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charts/chart2.xml" ContentType="application/vnd.openxmlformats-officedocument.drawingml.chart+xml"/>
  <Override PartName="/xl/drawings/drawing5.xml" ContentType="application/vnd.openxmlformats-officedocument.drawing+xml"/>
  <Override PartName="/xl/comments8.xml" ContentType="application/vnd.openxmlformats-officedocument.spreadsheetml.comments+xml"/>
  <Override PartName="/xl/threadedComments/threadedComment7.xml" ContentType="application/vnd.ms-excel.threaded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8.xml" ContentType="application/vnd.ms-excel.threadedcomments+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11.xml" ContentType="application/vnd.openxmlformats-officedocument.spreadsheetml.comments+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omments12.xml" ContentType="application/vnd.openxmlformats-officedocument.spreadsheetml.comments+xml"/>
  <Override PartName="/xl/drawings/drawing8.xml" ContentType="application/vnd.openxmlformats-officedocument.drawing+xml"/>
  <Override PartName="/xl/comments13.xml" ContentType="application/vnd.openxmlformats-officedocument.spreadsheetml.comments+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omments14.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B2F5922A-57ED-4CAB-B260-941422A71D04}" xr6:coauthVersionLast="47" xr6:coauthVersionMax="47" xr10:uidLastSave="{00000000-0000-0000-0000-000000000000}"/>
  <bookViews>
    <workbookView xWindow="-8190" yWindow="-21720" windowWidth="38640" windowHeight="21240" activeTab="12" xr2:uid="{E2E76818-39F4-4BBE-93AA-8C71FE1D5983}"/>
  </bookViews>
  <sheets>
    <sheet name="TRP" sheetId="11" r:id="rId1"/>
    <sheet name="ITEMS_Tech" sheetId="12" r:id="rId2"/>
    <sheet name="NT_TRP" sheetId="13" r:id="rId3"/>
    <sheet name="ITEMS_nTech" sheetId="14" r:id="rId4"/>
    <sheet name="Demand" sheetId="15" r:id="rId5"/>
    <sheet name="SHAPE" sheetId="16" r:id="rId6"/>
    <sheet name="Calib_2017" sheetId="10" r:id="rId7"/>
    <sheet name="EB_2017" sheetId="1" r:id="rId8"/>
    <sheet name="SOL" sheetId="2" r:id="rId9"/>
    <sheet name="Analytica" sheetId="4" r:id="rId10"/>
    <sheet name="Vehicle data-proc2023" sheetId="8" r:id="rId11"/>
    <sheet name="AEA2012 update" sheetId="6" r:id="rId12"/>
    <sheet name="VehicleCostData2023" sheetId="18" r:id="rId13"/>
    <sheet name="Vehicle data-NDC2020" sheetId="20" r:id="rId14"/>
    <sheet name="AEA2012 summary" sheetId="17" r:id="rId15"/>
    <sheet name="Vehicle data " sheetId="7" r:id="rId16"/>
    <sheet name="FuelCell" sheetId="9" r:id="rId17"/>
    <sheet name="Calib_old" sheetId="3" r:id="rId18"/>
  </sheets>
  <externalReferences>
    <externalReference r:id="rId19"/>
    <externalReference r:id="rId20"/>
    <externalReference r:id="rId21"/>
    <externalReference r:id="rId22"/>
    <externalReference r:id="rId23"/>
    <externalReference r:id="rId24"/>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base.year">[1]NT_TRP!$A$2</definedName>
    <definedName name="ComTechs">TRP!$B$115</definedName>
    <definedName name="cv.diesel.hhv.MJL">[1]Units.CV!$C$9</definedName>
    <definedName name="cv.diesel.lhv.MJL">[1]Units.CV!$B$9</definedName>
    <definedName name="CV.LHV.E85">[1]Units.CV!$F$50</definedName>
    <definedName name="cv.petrol.hhv.MJL">[1]Units.CV!$C$13</definedName>
    <definedName name="CVV_DIESEL">'[2]Constants Tables'!$F$48</definedName>
    <definedName name="CVV_Petrol">'[2]Constants Tables'!$K$8</definedName>
    <definedName name="DieselLHV">[1]Units.CV!$F$46</definedName>
    <definedName name="EB.year">[1]NT_TRP!$A$2</definedName>
    <definedName name="emissions_data">[3]NameConv!$V$4:$AL$38</definedName>
    <definedName name="emissions_data_parameters">[3]NameConv!$V$3:$AL$3</definedName>
    <definedName name="emissions_start">[3]NameConv!$W$3</definedName>
    <definedName name="emissions_types">[3]NameConv!$V$2</definedName>
    <definedName name="eMode">[1]Scenarios!$B$21</definedName>
    <definedName name="eps">[1]NameConv!$F$1</definedName>
    <definedName name="ERC.Efficiency">[1]Scenarios!$B$16</definedName>
    <definedName name="EV.Battery">[1]Scenarios!$B$28</definedName>
    <definedName name="flagPenetrationOnly">[1]Scenarios!$B$3</definedName>
    <definedName name="fuel_types">#REF!</definedName>
    <definedName name="FuelNames">[1]NameConv!$D$3:$E$39</definedName>
    <definedName name="GasolineLHV">[1]Units.CV!$F$43</definedName>
    <definedName name="NTECH_ROW1">NT_TRP!$A$18</definedName>
    <definedName name="Pal_Workbook_GUID" localSheetId="7" hidden="1">"PR96PDJKS3LEB6ZECQ4BMJXM"</definedName>
    <definedName name="Pal_Workbook_GUID" localSheetId="8" hidden="1">"96L1C7T4Q6JN4DLGVSVE41P3"</definedName>
    <definedName name="Pal_Workbook_GUID" hidden="1">"VPJDZVPESBNLN75EMHY6J774"</definedName>
    <definedName name="reftrofits">[4]TRP_Retrofit!$AL$67</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[3]UPS!$B$6</definedName>
    <definedName name="solver_adj" localSheetId="6" hidden="1">Calib_2017!$H$96,Calib_2017!$K$118,Calib_2017!$J$87,Calib_2017!$H$102,Calib_2017!$H$101,Calib_2017!$H$104:$J$104,Calib_2017!$H$113:$K$113</definedName>
    <definedName name="solver_adj" localSheetId="17" hidden="1">Calib_old!$H$96,Calib_old!$K$118,Calib_old!$J$87,Calib_old!$H$102,Calib_old!$H$101,Calib_old!$H$104:$J$104,Calib_old!$H$113:$K$113</definedName>
    <definedName name="solver_cvg" localSheetId="6" hidden="1">0.0001</definedName>
    <definedName name="solver_cvg" localSheetId="17" hidden="1">0.0001</definedName>
    <definedName name="solver_drv" localSheetId="6" hidden="1">1</definedName>
    <definedName name="solver_drv" localSheetId="17" hidden="1">1</definedName>
    <definedName name="solver_eng" localSheetId="6" hidden="1">1</definedName>
    <definedName name="solver_eng" localSheetId="17" hidden="1">1</definedName>
    <definedName name="solver_est" localSheetId="6" hidden="1">1</definedName>
    <definedName name="solver_est" localSheetId="17" hidden="1">1</definedName>
    <definedName name="solver_itr" localSheetId="6" hidden="1">100</definedName>
    <definedName name="solver_itr" localSheetId="17" hidden="1">100</definedName>
    <definedName name="solver_lin" localSheetId="6" hidden="1">2</definedName>
    <definedName name="solver_lin" localSheetId="17" hidden="1">2</definedName>
    <definedName name="solver_mip" localSheetId="6" hidden="1">2147483647</definedName>
    <definedName name="solver_mip" localSheetId="17" hidden="1">2147483647</definedName>
    <definedName name="solver_mni" localSheetId="6" hidden="1">30</definedName>
    <definedName name="solver_mni" localSheetId="17" hidden="1">30</definedName>
    <definedName name="solver_mrt" localSheetId="6" hidden="1">0.075</definedName>
    <definedName name="solver_mrt" localSheetId="17" hidden="1">0.075</definedName>
    <definedName name="solver_msl" localSheetId="6" hidden="1">2</definedName>
    <definedName name="solver_msl" localSheetId="17" hidden="1">2</definedName>
    <definedName name="solver_neg" localSheetId="6" hidden="1">2</definedName>
    <definedName name="solver_neg" localSheetId="17" hidden="1">2</definedName>
    <definedName name="solver_nod" localSheetId="6" hidden="1">2147483647</definedName>
    <definedName name="solver_nod" localSheetId="17" hidden="1">2147483647</definedName>
    <definedName name="solver_num" localSheetId="6" hidden="1">0</definedName>
    <definedName name="solver_num" localSheetId="17" hidden="1">0</definedName>
    <definedName name="solver_nwt" localSheetId="6" hidden="1">1</definedName>
    <definedName name="solver_nwt" localSheetId="17" hidden="1">1</definedName>
    <definedName name="solver_opt" localSheetId="6" hidden="1">Calib_2017!$N$120</definedName>
    <definedName name="solver_opt" localSheetId="17" hidden="1">Calib_old!$N$120</definedName>
    <definedName name="solver_pre" localSheetId="6" hidden="1">0.000001</definedName>
    <definedName name="solver_pre" localSheetId="17" hidden="1">0.000001</definedName>
    <definedName name="solver_rbv" localSheetId="6" hidden="1">1</definedName>
    <definedName name="solver_rbv" localSheetId="17" hidden="1">1</definedName>
    <definedName name="solver_rlx" localSheetId="6" hidden="1">1</definedName>
    <definedName name="solver_rlx" localSheetId="17" hidden="1">1</definedName>
    <definedName name="solver_rsd" localSheetId="6" hidden="1">0</definedName>
    <definedName name="solver_rsd" localSheetId="17" hidden="1">0</definedName>
    <definedName name="solver_scl" localSheetId="6" hidden="1">2</definedName>
    <definedName name="solver_scl" localSheetId="17" hidden="1">2</definedName>
    <definedName name="solver_sho" localSheetId="6" hidden="1">2</definedName>
    <definedName name="solver_sho" localSheetId="17" hidden="1">2</definedName>
    <definedName name="solver_ssz" localSheetId="6" hidden="1">100</definedName>
    <definedName name="solver_ssz" localSheetId="17" hidden="1">100</definedName>
    <definedName name="solver_tim" localSheetId="6" hidden="1">100</definedName>
    <definedName name="solver_tim" localSheetId="17" hidden="1">100</definedName>
    <definedName name="solver_tol" localSheetId="6" hidden="1">0.05</definedName>
    <definedName name="solver_tol" localSheetId="17" hidden="1">0.05</definedName>
    <definedName name="solver_typ" localSheetId="6" hidden="1">2</definedName>
    <definedName name="solver_typ" localSheetId="17" hidden="1">2</definedName>
    <definedName name="solver_val" localSheetId="6" hidden="1">0</definedName>
    <definedName name="solver_val" localSheetId="17" hidden="1">0</definedName>
    <definedName name="solver_ver" localSheetId="6" hidden="1">3</definedName>
    <definedName name="solver_ver" localSheetId="17" hidden="1">3</definedName>
    <definedName name="TRA.freight.capex">[1]Scenarios!$B$18</definedName>
    <definedName name="XLSIMSIM" localSheetId="14" hidden="1">{"Sim",3,"Output 1","'Reworked data'!$AI$84","Output 2","'Reworked data'!$AJ$84","Output 3","'Reworked data'!$AK$84","1","2","100","0"}</definedName>
    <definedName name="XLSIMSIM" localSheetId="11" hidden="1">{"Sim",3,"Output 1","'Reworked data'!$AI$84","Output 2","'Reworked data'!$AJ$84","Output 3","'Reworked data'!$AK$84","1","2","100","0"}</definedName>
    <definedName name="XLSIMSIM" localSheetId="16" hidden="1">{"Sim",3,"Output 1","'Reworked data'!$AI$84","Output 2","'Reworked data'!$AJ$84","Output 3","'Reworked data'!$AK$84","1","2","100","0"}</definedName>
    <definedName name="XLSIMSIM" hidden="1">{"Sim",3,"Output 1","'Reworked data'!$AI$84","Output 2","'Reworked data'!$AJ$84","Output 3","'Reworked data'!$AK$84","1","2","100","0"}</definedName>
    <definedName name="zar.2010">[5]Deflator!$P$4</definedName>
    <definedName name="zar.2012">[5]Deflator!$R$4</definedName>
    <definedName name="zar.2015">[5]Deflator!$U$4</definedName>
    <definedName name="zar.base">[5]Deflator!$B$12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4" i="18" l="1"/>
  <c r="D116" i="18"/>
  <c r="D128" i="18"/>
  <c r="D129" i="18"/>
  <c r="D92" i="18"/>
  <c r="B4" i="16"/>
  <c r="C4" i="16" s="1"/>
  <c r="D4" i="16" s="1"/>
  <c r="I4" i="16" s="1"/>
  <c r="B5" i="16"/>
  <c r="C5" i="16" s="1"/>
  <c r="D5" i="16" s="1"/>
  <c r="I5" i="16" s="1"/>
  <c r="B6" i="16"/>
  <c r="C6" i="16" s="1"/>
  <c r="D6" i="16" s="1"/>
  <c r="I6" i="16" s="1"/>
  <c r="B7" i="16"/>
  <c r="C7" i="16" s="1"/>
  <c r="D7" i="16" s="1"/>
  <c r="I7" i="16" s="1"/>
  <c r="B3" i="16"/>
  <c r="C3" i="16" s="1"/>
  <c r="D3" i="16" s="1"/>
  <c r="I3" i="16" s="1"/>
  <c r="S55" i="16"/>
  <c r="S56" i="16"/>
  <c r="S57" i="16"/>
  <c r="S58" i="16"/>
  <c r="S59" i="16"/>
  <c r="S60" i="16"/>
  <c r="S61" i="16"/>
  <c r="S62" i="16"/>
  <c r="S63" i="16"/>
  <c r="S64" i="16"/>
  <c r="S65" i="16"/>
  <c r="S66" i="16"/>
  <c r="S67" i="16"/>
  <c r="S68" i="16"/>
  <c r="S69" i="16"/>
  <c r="S70" i="16"/>
  <c r="S71" i="16"/>
  <c r="S72" i="16"/>
  <c r="S73" i="16"/>
  <c r="S74" i="16"/>
  <c r="S75" i="16"/>
  <c r="S76" i="16"/>
  <c r="S77" i="16"/>
  <c r="S78" i="16"/>
  <c r="S79" i="16"/>
  <c r="S80" i="16"/>
  <c r="S81" i="16"/>
  <c r="S82" i="16"/>
  <c r="S83" i="16"/>
  <c r="S84" i="16"/>
  <c r="S85" i="16"/>
  <c r="S86" i="16"/>
  <c r="S87" i="16"/>
  <c r="S88" i="16"/>
  <c r="S89" i="16"/>
  <c r="S54" i="16"/>
  <c r="S48" i="16"/>
  <c r="S49" i="16"/>
  <c r="S50" i="16"/>
  <c r="S51" i="16"/>
  <c r="S52" i="16"/>
  <c r="S53" i="16"/>
  <c r="S47" i="16"/>
  <c r="S13" i="16"/>
  <c r="S14" i="16"/>
  <c r="S15" i="16"/>
  <c r="S16" i="16"/>
  <c r="S17" i="16"/>
  <c r="S18" i="16"/>
  <c r="S19" i="16"/>
  <c r="S20" i="16"/>
  <c r="S21" i="16"/>
  <c r="S22" i="16"/>
  <c r="S23" i="16"/>
  <c r="S24" i="16"/>
  <c r="S25" i="16"/>
  <c r="S26" i="16"/>
  <c r="S27" i="16"/>
  <c r="S28" i="16"/>
  <c r="S29" i="16"/>
  <c r="S30" i="16"/>
  <c r="S31" i="16"/>
  <c r="S32" i="16"/>
  <c r="S33" i="16"/>
  <c r="S34" i="16"/>
  <c r="S35" i="16"/>
  <c r="S36" i="16"/>
  <c r="S37" i="16"/>
  <c r="S38" i="16"/>
  <c r="S39" i="16"/>
  <c r="S40" i="16"/>
  <c r="S41" i="16"/>
  <c r="S42" i="16"/>
  <c r="S43" i="16"/>
  <c r="S44" i="16"/>
  <c r="S45" i="16"/>
  <c r="S46" i="16"/>
  <c r="S6" i="16"/>
  <c r="S7" i="16"/>
  <c r="S8" i="16"/>
  <c r="S9" i="16"/>
  <c r="S10" i="16"/>
  <c r="S11" i="16"/>
  <c r="S12" i="16"/>
  <c r="S5" i="16"/>
  <c r="AO99" i="13"/>
  <c r="AN99" i="13"/>
  <c r="AM99" i="13"/>
  <c r="AL99" i="13"/>
  <c r="AK99" i="13"/>
  <c r="AO98" i="13"/>
  <c r="AN98" i="13"/>
  <c r="AM98" i="13"/>
  <c r="AL98" i="13"/>
  <c r="AK98" i="13"/>
  <c r="AO97" i="13"/>
  <c r="AN97" i="13"/>
  <c r="AM97" i="13"/>
  <c r="AL97" i="13"/>
  <c r="AK97" i="13"/>
  <c r="AO96" i="13"/>
  <c r="AN96" i="13"/>
  <c r="AM96" i="13"/>
  <c r="AL96" i="13"/>
  <c r="AK96" i="13"/>
  <c r="AO95" i="13"/>
  <c r="AN95" i="13"/>
  <c r="AM95" i="13"/>
  <c r="AL95" i="13"/>
  <c r="AK95" i="13"/>
  <c r="AO94" i="13"/>
  <c r="AN94" i="13"/>
  <c r="AM94" i="13"/>
  <c r="AL94" i="13"/>
  <c r="AK94" i="13"/>
  <c r="AT99" i="4"/>
  <c r="AT98" i="4"/>
  <c r="AT97" i="4"/>
  <c r="AT96" i="4"/>
  <c r="AT95" i="4"/>
  <c r="AT94" i="4"/>
  <c r="AB99" i="13"/>
  <c r="AB98" i="13"/>
  <c r="AB97" i="13"/>
  <c r="AB96" i="13"/>
  <c r="AB95" i="13"/>
  <c r="AB94" i="13"/>
  <c r="AA99" i="4"/>
  <c r="AA98" i="4"/>
  <c r="AA97" i="4"/>
  <c r="AA96" i="4"/>
  <c r="AA95" i="4"/>
  <c r="AA94" i="4"/>
  <c r="AL114" i="8"/>
  <c r="AL109" i="8"/>
  <c r="AL104" i="8"/>
  <c r="AL99" i="8"/>
  <c r="AL94" i="8"/>
  <c r="AL89" i="8"/>
  <c r="R99" i="4"/>
  <c r="Q99" i="4"/>
  <c r="P99" i="4"/>
  <c r="O99" i="4"/>
  <c r="N99" i="4"/>
  <c r="R98" i="4"/>
  <c r="Q98" i="4"/>
  <c r="P98" i="4"/>
  <c r="O98" i="4"/>
  <c r="N98" i="4"/>
  <c r="R97" i="4"/>
  <c r="Q97" i="4"/>
  <c r="P97" i="4"/>
  <c r="O97" i="4"/>
  <c r="N97" i="4"/>
  <c r="R96" i="4"/>
  <c r="Q96" i="4"/>
  <c r="P96" i="4"/>
  <c r="O96" i="4"/>
  <c r="N96" i="4"/>
  <c r="R95" i="4"/>
  <c r="Q95" i="4"/>
  <c r="P95" i="4"/>
  <c r="O95" i="4"/>
  <c r="N95" i="4"/>
  <c r="R94" i="4"/>
  <c r="Q94" i="4"/>
  <c r="P94" i="4"/>
  <c r="O94" i="4"/>
  <c r="N94" i="4"/>
  <c r="M99" i="4"/>
  <c r="M98" i="4"/>
  <c r="M97" i="4"/>
  <c r="M96" i="4"/>
  <c r="M95" i="4"/>
  <c r="M94" i="4"/>
  <c r="L99" i="4"/>
  <c r="K99" i="4"/>
  <c r="J99" i="4"/>
  <c r="I99" i="4"/>
  <c r="H99" i="4"/>
  <c r="L98" i="4"/>
  <c r="K98" i="4"/>
  <c r="J98" i="4"/>
  <c r="I98" i="4"/>
  <c r="H98" i="4"/>
  <c r="L97" i="4"/>
  <c r="K97" i="4"/>
  <c r="J97" i="4"/>
  <c r="I97" i="4"/>
  <c r="H97" i="4"/>
  <c r="L96" i="4"/>
  <c r="K96" i="4"/>
  <c r="J96" i="4"/>
  <c r="I96" i="4"/>
  <c r="H96" i="4"/>
  <c r="L95" i="4"/>
  <c r="K95" i="4"/>
  <c r="J95" i="4"/>
  <c r="I95" i="4"/>
  <c r="H95" i="4"/>
  <c r="L94" i="4"/>
  <c r="K94" i="4"/>
  <c r="J94" i="4"/>
  <c r="I94" i="4"/>
  <c r="H94" i="4"/>
  <c r="G94" i="4"/>
  <c r="G95" i="4" s="1"/>
  <c r="G96" i="4" s="1"/>
  <c r="G97" i="4" s="1"/>
  <c r="G98" i="4" s="1"/>
  <c r="G99" i="4" s="1"/>
  <c r="F99" i="4"/>
  <c r="F98" i="4"/>
  <c r="F97" i="4"/>
  <c r="F96" i="4"/>
  <c r="F95" i="4"/>
  <c r="F94" i="4"/>
  <c r="B99" i="4"/>
  <c r="B98" i="4"/>
  <c r="B97" i="4"/>
  <c r="B96" i="4"/>
  <c r="B95" i="4"/>
  <c r="B94" i="4"/>
  <c r="A99" i="4"/>
  <c r="A98" i="4"/>
  <c r="A97" i="4"/>
  <c r="A96" i="4"/>
  <c r="A95" i="4"/>
  <c r="A94" i="4"/>
  <c r="D99" i="4"/>
  <c r="D98" i="4"/>
  <c r="D97" i="4"/>
  <c r="D96" i="4"/>
  <c r="D95" i="4"/>
  <c r="D94" i="4"/>
  <c r="A99" i="13"/>
  <c r="A98" i="13"/>
  <c r="A97" i="13"/>
  <c r="A96" i="13"/>
  <c r="A95" i="13"/>
  <c r="A94" i="13"/>
  <c r="AY114" i="8"/>
  <c r="AC114" i="8"/>
  <c r="AB114" i="8"/>
  <c r="AA114" i="8"/>
  <c r="Z114" i="8"/>
  <c r="Y114" i="8"/>
  <c r="X114" i="8"/>
  <c r="W114" i="8"/>
  <c r="Q114" i="8"/>
  <c r="AK114" i="8" s="1"/>
  <c r="AY109" i="8"/>
  <c r="AC109" i="8"/>
  <c r="AB109" i="8"/>
  <c r="AA109" i="8"/>
  <c r="Z109" i="8"/>
  <c r="Y109" i="8"/>
  <c r="X109" i="8"/>
  <c r="W109" i="8"/>
  <c r="Q109" i="8"/>
  <c r="AK109" i="8" s="1"/>
  <c r="AY104" i="8"/>
  <c r="AC104" i="8"/>
  <c r="AB104" i="8"/>
  <c r="AA104" i="8"/>
  <c r="Z104" i="8"/>
  <c r="Y104" i="8"/>
  <c r="X104" i="8"/>
  <c r="W104" i="8"/>
  <c r="Q104" i="8"/>
  <c r="AK104" i="8" s="1"/>
  <c r="AY99" i="8"/>
  <c r="AC99" i="8"/>
  <c r="AB99" i="8"/>
  <c r="AA99" i="8"/>
  <c r="Z99" i="8"/>
  <c r="Y99" i="8"/>
  <c r="X99" i="8"/>
  <c r="W99" i="8"/>
  <c r="Q99" i="8"/>
  <c r="AK99" i="8" s="1"/>
  <c r="AY94" i="8"/>
  <c r="AC94" i="8"/>
  <c r="AB94" i="8"/>
  <c r="AA94" i="8"/>
  <c r="Z94" i="8"/>
  <c r="Y94" i="8"/>
  <c r="X94" i="8"/>
  <c r="W94" i="8"/>
  <c r="Q94" i="8"/>
  <c r="AK94" i="8" s="1"/>
  <c r="AY89" i="8"/>
  <c r="AC89" i="8"/>
  <c r="AB89" i="8"/>
  <c r="AA89" i="8"/>
  <c r="Z89" i="8"/>
  <c r="Y89" i="8"/>
  <c r="X89" i="8"/>
  <c r="W89" i="8"/>
  <c r="Q89" i="8"/>
  <c r="AK89" i="8" s="1"/>
  <c r="AC116" i="8" l="1"/>
  <c r="AB116" i="8"/>
  <c r="AA116" i="8"/>
  <c r="Z116" i="8"/>
  <c r="Y116" i="8"/>
  <c r="X116" i="8"/>
  <c r="W116" i="8"/>
  <c r="AC115" i="8"/>
  <c r="AB115" i="8"/>
  <c r="AA115" i="8"/>
  <c r="Z115" i="8"/>
  <c r="Y115" i="8"/>
  <c r="X115" i="8"/>
  <c r="W115" i="8"/>
  <c r="AC113" i="8"/>
  <c r="AB113" i="8"/>
  <c r="AA113" i="8"/>
  <c r="Z113" i="8"/>
  <c r="Y113" i="8"/>
  <c r="X113" i="8"/>
  <c r="W113" i="8"/>
  <c r="AC112" i="8"/>
  <c r="AJ112" i="8" s="1" a="1"/>
  <c r="AJ112" i="8" s="1"/>
  <c r="AB112" i="8"/>
  <c r="AI112" i="8" s="1" a="1"/>
  <c r="AI112" i="8" s="1"/>
  <c r="AA112" i="8"/>
  <c r="AH112" i="8" s="1" a="1"/>
  <c r="AH112" i="8" s="1"/>
  <c r="Z112" i="8"/>
  <c r="AG112" i="8" s="1" a="1"/>
  <c r="AG112" i="8" s="1"/>
  <c r="Y112" i="8"/>
  <c r="AF112" i="8" s="1" a="1"/>
  <c r="AF112" i="8" s="1"/>
  <c r="X112" i="8"/>
  <c r="AE112" i="8" s="1" a="1"/>
  <c r="AE112" i="8" s="1"/>
  <c r="W112" i="8"/>
  <c r="AD112" i="8" s="1" a="1"/>
  <c r="AD112" i="8" s="1"/>
  <c r="AC111" i="8"/>
  <c r="AB111" i="8"/>
  <c r="AA111" i="8"/>
  <c r="Z111" i="8"/>
  <c r="Y111" i="8"/>
  <c r="X111" i="8"/>
  <c r="W111" i="8"/>
  <c r="AC110" i="8"/>
  <c r="AB110" i="8"/>
  <c r="AA110" i="8"/>
  <c r="Z110" i="8"/>
  <c r="Y110" i="8"/>
  <c r="X110" i="8"/>
  <c r="W110" i="8"/>
  <c r="AC108" i="8"/>
  <c r="AB108" i="8"/>
  <c r="AA108" i="8"/>
  <c r="Z108" i="8"/>
  <c r="Y108" i="8"/>
  <c r="X108" i="8"/>
  <c r="W108" i="8"/>
  <c r="AC107" i="8"/>
  <c r="AJ107" i="8" s="1" a="1"/>
  <c r="AJ107" i="8" s="1"/>
  <c r="AB107" i="8"/>
  <c r="AI107" i="8" s="1" a="1"/>
  <c r="AI107" i="8" s="1"/>
  <c r="AA107" i="8"/>
  <c r="AH107" i="8" s="1" a="1"/>
  <c r="AH107" i="8" s="1"/>
  <c r="Z107" i="8"/>
  <c r="AG107" i="8" s="1" a="1"/>
  <c r="AG107" i="8" s="1"/>
  <c r="Y107" i="8"/>
  <c r="AF107" i="8" s="1" a="1"/>
  <c r="AF107" i="8" s="1"/>
  <c r="X107" i="8"/>
  <c r="AE107" i="8" s="1" a="1"/>
  <c r="AE107" i="8" s="1"/>
  <c r="W107" i="8"/>
  <c r="AD107" i="8" s="1" a="1"/>
  <c r="AD107" i="8" s="1"/>
  <c r="AC106" i="8"/>
  <c r="AB106" i="8"/>
  <c r="AA106" i="8"/>
  <c r="Z106" i="8"/>
  <c r="Y106" i="8"/>
  <c r="X106" i="8"/>
  <c r="W106" i="8"/>
  <c r="AC105" i="8"/>
  <c r="AB105" i="8"/>
  <c r="AA105" i="8"/>
  <c r="Z105" i="8"/>
  <c r="Y105" i="8"/>
  <c r="X105" i="8"/>
  <c r="W105" i="8"/>
  <c r="AC103" i="8"/>
  <c r="AB103" i="8"/>
  <c r="AA103" i="8"/>
  <c r="Z103" i="8"/>
  <c r="Y103" i="8"/>
  <c r="X103" i="8"/>
  <c r="W103" i="8"/>
  <c r="AC102" i="8"/>
  <c r="AJ102" i="8" s="1" a="1"/>
  <c r="AJ102" i="8" s="1"/>
  <c r="AB102" i="8"/>
  <c r="AI102" i="8" s="1" a="1"/>
  <c r="AI102" i="8" s="1"/>
  <c r="AA102" i="8"/>
  <c r="AH102" i="8" s="1" a="1"/>
  <c r="AH102" i="8" s="1"/>
  <c r="Z102" i="8"/>
  <c r="AG102" i="8" s="1" a="1"/>
  <c r="AG102" i="8" s="1"/>
  <c r="Y102" i="8"/>
  <c r="AF102" i="8" s="1" a="1"/>
  <c r="AF102" i="8" s="1"/>
  <c r="X102" i="8"/>
  <c r="AE102" i="8" s="1" a="1"/>
  <c r="AE102" i="8" s="1"/>
  <c r="W102" i="8"/>
  <c r="AD102" i="8" s="1" a="1"/>
  <c r="AD102" i="8" s="1"/>
  <c r="AC101" i="8"/>
  <c r="AB101" i="8"/>
  <c r="AA101" i="8"/>
  <c r="Z101" i="8"/>
  <c r="Y101" i="8"/>
  <c r="X101" i="8"/>
  <c r="W101" i="8"/>
  <c r="AC100" i="8"/>
  <c r="AB100" i="8"/>
  <c r="AA100" i="8"/>
  <c r="Z100" i="8"/>
  <c r="Y100" i="8"/>
  <c r="X100" i="8"/>
  <c r="W100" i="8"/>
  <c r="AC98" i="8"/>
  <c r="AB98" i="8"/>
  <c r="AA98" i="8"/>
  <c r="Z98" i="8"/>
  <c r="Y98" i="8"/>
  <c r="X98" i="8"/>
  <c r="W98" i="8"/>
  <c r="AC97" i="8"/>
  <c r="AJ97" i="8" s="1" a="1"/>
  <c r="AJ97" i="8" s="1"/>
  <c r="AB97" i="8"/>
  <c r="AI97" i="8" s="1" a="1"/>
  <c r="AI97" i="8" s="1"/>
  <c r="AA97" i="8"/>
  <c r="AH97" i="8" s="1" a="1"/>
  <c r="AH97" i="8" s="1"/>
  <c r="Z97" i="8"/>
  <c r="AG97" i="8" s="1" a="1"/>
  <c r="AG97" i="8" s="1"/>
  <c r="Y97" i="8"/>
  <c r="AF97" i="8" s="1" a="1"/>
  <c r="AF97" i="8" s="1"/>
  <c r="X97" i="8"/>
  <c r="AE97" i="8" s="1" a="1"/>
  <c r="AE97" i="8" s="1"/>
  <c r="W97" i="8"/>
  <c r="AD97" i="8" s="1" a="1"/>
  <c r="AD97" i="8" s="1"/>
  <c r="AC96" i="8"/>
  <c r="AB96" i="8"/>
  <c r="AA96" i="8"/>
  <c r="Z96" i="8"/>
  <c r="Y96" i="8"/>
  <c r="X96" i="8"/>
  <c r="W96" i="8"/>
  <c r="AC95" i="8"/>
  <c r="AB95" i="8"/>
  <c r="AA95" i="8"/>
  <c r="Z95" i="8"/>
  <c r="Y95" i="8"/>
  <c r="X95" i="8"/>
  <c r="W95" i="8"/>
  <c r="AC93" i="8"/>
  <c r="AB93" i="8"/>
  <c r="AA93" i="8"/>
  <c r="Z93" i="8"/>
  <c r="Y93" i="8"/>
  <c r="X93" i="8"/>
  <c r="W93" i="8"/>
  <c r="AC92" i="8"/>
  <c r="AJ92" i="8" s="1" a="1"/>
  <c r="AJ92" i="8" s="1"/>
  <c r="AB92" i="8"/>
  <c r="AI92" i="8" s="1" a="1"/>
  <c r="AI92" i="8" s="1"/>
  <c r="AA92" i="8"/>
  <c r="AH92" i="8" s="1" a="1"/>
  <c r="AH92" i="8" s="1"/>
  <c r="Z92" i="8"/>
  <c r="AG92" i="8" s="1" a="1"/>
  <c r="AG92" i="8" s="1"/>
  <c r="Y92" i="8"/>
  <c r="AF92" i="8" s="1" a="1"/>
  <c r="AF92" i="8" s="1"/>
  <c r="X92" i="8"/>
  <c r="AE92" i="8" s="1" a="1"/>
  <c r="AE92" i="8" s="1"/>
  <c r="W92" i="8"/>
  <c r="AD92" i="8" s="1" a="1"/>
  <c r="AD92" i="8" s="1"/>
  <c r="AC91" i="8"/>
  <c r="AB91" i="8"/>
  <c r="AA91" i="8"/>
  <c r="Z91" i="8"/>
  <c r="Y91" i="8"/>
  <c r="X91" i="8"/>
  <c r="W91" i="8"/>
  <c r="AC90" i="8"/>
  <c r="AB90" i="8"/>
  <c r="AA90" i="8"/>
  <c r="Z90" i="8"/>
  <c r="Y90" i="8"/>
  <c r="X90" i="8"/>
  <c r="W90" i="8"/>
  <c r="AC88" i="8"/>
  <c r="AB88" i="8"/>
  <c r="AA88" i="8"/>
  <c r="Z88" i="8"/>
  <c r="Y88" i="8"/>
  <c r="X88" i="8"/>
  <c r="W88" i="8"/>
  <c r="AC87" i="8"/>
  <c r="AJ87" i="8" s="1" a="1"/>
  <c r="AJ87" i="8" s="1"/>
  <c r="AB87" i="8"/>
  <c r="AI87" i="8" s="1" a="1"/>
  <c r="AI87" i="8" s="1"/>
  <c r="AA87" i="8"/>
  <c r="AH87" i="8" s="1" a="1"/>
  <c r="AH87" i="8" s="1"/>
  <c r="Z87" i="8"/>
  <c r="AG87" i="8" s="1" a="1"/>
  <c r="AG87" i="8" s="1"/>
  <c r="Y87" i="8"/>
  <c r="AF87" i="8" s="1" a="1"/>
  <c r="AF87" i="8" s="1"/>
  <c r="X87" i="8"/>
  <c r="AE87" i="8" s="1" a="1"/>
  <c r="AE87" i="8" s="1"/>
  <c r="W87" i="8"/>
  <c r="AD87" i="8" s="1" a="1"/>
  <c r="AD87" i="8" s="1"/>
  <c r="AC86" i="8"/>
  <c r="AB86" i="8"/>
  <c r="AA86" i="8"/>
  <c r="Z86" i="8"/>
  <c r="Y86" i="8"/>
  <c r="X86" i="8"/>
  <c r="W86" i="8"/>
  <c r="AC85" i="8"/>
  <c r="AB85" i="8"/>
  <c r="AA85" i="8"/>
  <c r="Z85" i="8"/>
  <c r="Y85" i="8"/>
  <c r="X85" i="8"/>
  <c r="W85" i="8"/>
  <c r="AC84" i="8"/>
  <c r="AB84" i="8"/>
  <c r="AA84" i="8"/>
  <c r="Z84" i="8"/>
  <c r="Y84" i="8"/>
  <c r="X84" i="8"/>
  <c r="W84" i="8"/>
  <c r="AC83" i="8"/>
  <c r="AB83" i="8"/>
  <c r="AA83" i="8"/>
  <c r="Z83" i="8"/>
  <c r="Y83" i="8"/>
  <c r="X83" i="8"/>
  <c r="W83" i="8"/>
  <c r="AC82" i="8"/>
  <c r="AJ82" i="8" s="1" a="1"/>
  <c r="AJ82" i="8" s="1"/>
  <c r="AB82" i="8"/>
  <c r="AI82" i="8" s="1" a="1"/>
  <c r="AI82" i="8" s="1"/>
  <c r="AA82" i="8"/>
  <c r="AH82" i="8" s="1" a="1"/>
  <c r="AH82" i="8" s="1"/>
  <c r="Z82" i="8"/>
  <c r="AG82" i="8" s="1" a="1"/>
  <c r="AG82" i="8" s="1"/>
  <c r="Y82" i="8"/>
  <c r="AF82" i="8" s="1" a="1"/>
  <c r="AF82" i="8" s="1"/>
  <c r="X82" i="8"/>
  <c r="AE82" i="8" s="1" a="1"/>
  <c r="AE82" i="8" s="1"/>
  <c r="W82" i="8"/>
  <c r="AD82" i="8" s="1" a="1"/>
  <c r="AD82" i="8" s="1"/>
  <c r="AC81" i="8"/>
  <c r="AB81" i="8"/>
  <c r="AA81" i="8"/>
  <c r="Z81" i="8"/>
  <c r="Y81" i="8"/>
  <c r="X81" i="8"/>
  <c r="W81" i="8"/>
  <c r="AC80" i="8"/>
  <c r="AB80" i="8"/>
  <c r="AA80" i="8"/>
  <c r="Z80" i="8"/>
  <c r="Y80" i="8"/>
  <c r="X80" i="8"/>
  <c r="W80" i="8"/>
  <c r="AC79" i="8"/>
  <c r="AB79" i="8"/>
  <c r="AA79" i="8"/>
  <c r="Z79" i="8"/>
  <c r="Y79" i="8"/>
  <c r="X79" i="8"/>
  <c r="W79" i="8"/>
  <c r="AC78" i="8"/>
  <c r="AB78" i="8"/>
  <c r="AA78" i="8"/>
  <c r="Z78" i="8"/>
  <c r="Y78" i="8"/>
  <c r="X78" i="8"/>
  <c r="W78" i="8"/>
  <c r="AC77" i="8"/>
  <c r="AJ77" i="8" s="1" a="1"/>
  <c r="AJ77" i="8" s="1"/>
  <c r="AB77" i="8"/>
  <c r="AI77" i="8" s="1" a="1"/>
  <c r="AI77" i="8" s="1"/>
  <c r="AA77" i="8"/>
  <c r="AH77" i="8" s="1" a="1"/>
  <c r="AH77" i="8" s="1"/>
  <c r="Z77" i="8"/>
  <c r="AG77" i="8" s="1" a="1"/>
  <c r="AG77" i="8" s="1"/>
  <c r="Y77" i="8"/>
  <c r="AF77" i="8" s="1" a="1"/>
  <c r="AF77" i="8" s="1"/>
  <c r="X77" i="8"/>
  <c r="AE77" i="8" s="1" a="1"/>
  <c r="AE77" i="8" s="1"/>
  <c r="W77" i="8"/>
  <c r="AD77" i="8" s="1" a="1"/>
  <c r="AD77" i="8" s="1"/>
  <c r="AC76" i="8"/>
  <c r="AB76" i="8"/>
  <c r="AA76" i="8"/>
  <c r="Z76" i="8"/>
  <c r="Y76" i="8"/>
  <c r="X76" i="8"/>
  <c r="W76" i="8"/>
  <c r="AC75" i="8"/>
  <c r="AB75" i="8"/>
  <c r="AA75" i="8"/>
  <c r="Z75" i="8"/>
  <c r="Y75" i="8"/>
  <c r="X75" i="8"/>
  <c r="W75" i="8"/>
  <c r="AC74" i="8"/>
  <c r="AB74" i="8"/>
  <c r="AA74" i="8"/>
  <c r="Z74" i="8"/>
  <c r="Y74" i="8"/>
  <c r="X74" i="8"/>
  <c r="W74" i="8"/>
  <c r="AC73" i="8"/>
  <c r="AB73" i="8"/>
  <c r="AA73" i="8"/>
  <c r="Z73" i="8"/>
  <c r="Y73" i="8"/>
  <c r="X73" i="8"/>
  <c r="W73" i="8"/>
  <c r="AC72" i="8"/>
  <c r="AB72" i="8"/>
  <c r="AA72" i="8"/>
  <c r="Z72" i="8"/>
  <c r="Y72" i="8"/>
  <c r="X72" i="8"/>
  <c r="W72" i="8"/>
  <c r="AC71" i="8"/>
  <c r="AJ71" i="8" s="1" a="1"/>
  <c r="AJ71" i="8" s="1"/>
  <c r="AB71" i="8"/>
  <c r="AI71" i="8" s="1" a="1"/>
  <c r="AI71" i="8" s="1"/>
  <c r="AA71" i="8"/>
  <c r="AH71" i="8" s="1" a="1"/>
  <c r="AH71" i="8" s="1"/>
  <c r="Z71" i="8"/>
  <c r="AG71" i="8" s="1" a="1"/>
  <c r="AG71" i="8" s="1"/>
  <c r="Y71" i="8"/>
  <c r="AF71" i="8" s="1" a="1"/>
  <c r="AF71" i="8" s="1"/>
  <c r="X71" i="8"/>
  <c r="AE71" i="8" s="1" a="1"/>
  <c r="AE71" i="8" s="1"/>
  <c r="W71" i="8"/>
  <c r="AD71" i="8" s="1" a="1"/>
  <c r="AD71" i="8" s="1"/>
  <c r="AC70" i="8"/>
  <c r="AB70" i="8"/>
  <c r="AA70" i="8"/>
  <c r="Z70" i="8"/>
  <c r="Y70" i="8"/>
  <c r="X70" i="8"/>
  <c r="W70" i="8"/>
  <c r="AC69" i="8"/>
  <c r="AB69" i="8"/>
  <c r="AA69" i="8"/>
  <c r="Z69" i="8"/>
  <c r="Y69" i="8"/>
  <c r="X69" i="8"/>
  <c r="W69" i="8"/>
  <c r="AC68" i="8"/>
  <c r="AB68" i="8"/>
  <c r="AA68" i="8"/>
  <c r="Z68" i="8"/>
  <c r="Y68" i="8"/>
  <c r="X68" i="8"/>
  <c r="W68" i="8"/>
  <c r="AC67" i="8"/>
  <c r="AB67" i="8"/>
  <c r="AA67" i="8"/>
  <c r="Z67" i="8"/>
  <c r="Y67" i="8"/>
  <c r="X67" i="8"/>
  <c r="W67" i="8"/>
  <c r="AC66" i="8"/>
  <c r="AB66" i="8"/>
  <c r="AA66" i="8"/>
  <c r="Z66" i="8"/>
  <c r="Y66" i="8"/>
  <c r="X66" i="8"/>
  <c r="W66" i="8"/>
  <c r="AC65" i="8"/>
  <c r="AB65" i="8"/>
  <c r="AA65" i="8"/>
  <c r="Z65" i="8"/>
  <c r="Y65" i="8"/>
  <c r="X65" i="8"/>
  <c r="W65" i="8"/>
  <c r="AC64" i="8"/>
  <c r="AB64" i="8"/>
  <c r="AA64" i="8"/>
  <c r="Z64" i="8"/>
  <c r="Y64" i="8"/>
  <c r="X64" i="8"/>
  <c r="W64" i="8"/>
  <c r="AC63" i="8"/>
  <c r="AJ63" i="8" s="1" a="1"/>
  <c r="AJ63" i="8" s="1"/>
  <c r="AB63" i="8"/>
  <c r="AI63" i="8" s="1" a="1"/>
  <c r="AI63" i="8" s="1"/>
  <c r="AA63" i="8"/>
  <c r="AH63" i="8" s="1" a="1"/>
  <c r="AH63" i="8" s="1"/>
  <c r="Z63" i="8"/>
  <c r="AG63" i="8" s="1" a="1"/>
  <c r="AG63" i="8" s="1"/>
  <c r="Y63" i="8"/>
  <c r="AF63" i="8" s="1" a="1"/>
  <c r="AF63" i="8" s="1"/>
  <c r="X63" i="8"/>
  <c r="AE63" i="8" s="1" a="1"/>
  <c r="AE63" i="8" s="1"/>
  <c r="W63" i="8"/>
  <c r="AD63" i="8" s="1" a="1"/>
  <c r="AD63" i="8" s="1"/>
  <c r="AC62" i="8"/>
  <c r="AB62" i="8"/>
  <c r="AA62" i="8"/>
  <c r="Z62" i="8"/>
  <c r="Y62" i="8"/>
  <c r="X62" i="8"/>
  <c r="W62" i="8"/>
  <c r="AC61" i="8"/>
  <c r="AB61" i="8"/>
  <c r="AA61" i="8"/>
  <c r="Z61" i="8"/>
  <c r="Y61" i="8"/>
  <c r="X61" i="8"/>
  <c r="W61" i="8"/>
  <c r="AC60" i="8"/>
  <c r="AB60" i="8"/>
  <c r="AA60" i="8"/>
  <c r="Z60" i="8"/>
  <c r="Y60" i="8"/>
  <c r="X60" i="8"/>
  <c r="W60" i="8"/>
  <c r="AC59" i="8"/>
  <c r="AB59" i="8"/>
  <c r="AA59" i="8"/>
  <c r="Z59" i="8"/>
  <c r="Y59" i="8"/>
  <c r="X59" i="8"/>
  <c r="W59" i="8"/>
  <c r="AC58" i="8"/>
  <c r="AB58" i="8"/>
  <c r="AA58" i="8"/>
  <c r="Z58" i="8"/>
  <c r="Y58" i="8"/>
  <c r="X58" i="8"/>
  <c r="W58" i="8"/>
  <c r="AC57" i="8"/>
  <c r="AJ57" i="8" s="1" a="1"/>
  <c r="AJ57" i="8" s="1"/>
  <c r="AB57" i="8"/>
  <c r="AI57" i="8" s="1" a="1"/>
  <c r="AI57" i="8" s="1"/>
  <c r="AA57" i="8"/>
  <c r="AH57" i="8" s="1" a="1"/>
  <c r="AH57" i="8" s="1"/>
  <c r="Z57" i="8"/>
  <c r="AG57" i="8" s="1" a="1"/>
  <c r="AG57" i="8" s="1"/>
  <c r="Y57" i="8"/>
  <c r="AF57" i="8" s="1" a="1"/>
  <c r="AF57" i="8" s="1"/>
  <c r="X57" i="8"/>
  <c r="AE57" i="8" s="1" a="1"/>
  <c r="AE57" i="8" s="1"/>
  <c r="W57" i="8"/>
  <c r="AD57" i="8" s="1" a="1"/>
  <c r="AD57" i="8" s="1"/>
  <c r="AC56" i="8"/>
  <c r="AB56" i="8"/>
  <c r="AA56" i="8"/>
  <c r="Z56" i="8"/>
  <c r="Y56" i="8"/>
  <c r="X56" i="8"/>
  <c r="W56" i="8"/>
  <c r="AC55" i="8"/>
  <c r="AB55" i="8"/>
  <c r="AA55" i="8"/>
  <c r="Z55" i="8"/>
  <c r="Y55" i="8"/>
  <c r="X55" i="8"/>
  <c r="W55" i="8"/>
  <c r="AC54" i="8"/>
  <c r="AB54" i="8"/>
  <c r="AA54" i="8"/>
  <c r="Z54" i="8"/>
  <c r="Y54" i="8"/>
  <c r="X54" i="8"/>
  <c r="W54" i="8"/>
  <c r="AC53" i="8"/>
  <c r="AB53" i="8"/>
  <c r="AA53" i="8"/>
  <c r="Z53" i="8"/>
  <c r="Y53" i="8"/>
  <c r="X53" i="8"/>
  <c r="W53" i="8"/>
  <c r="AC52" i="8"/>
  <c r="AB52" i="8"/>
  <c r="AA52" i="8"/>
  <c r="Z52" i="8"/>
  <c r="Y52" i="8"/>
  <c r="X52" i="8"/>
  <c r="W52" i="8"/>
  <c r="AC51" i="8"/>
  <c r="AJ51" i="8" s="1" a="1"/>
  <c r="AJ51" i="8" s="1"/>
  <c r="AB51" i="8"/>
  <c r="AI51" i="8" s="1" a="1"/>
  <c r="AI51" i="8" s="1"/>
  <c r="AA51" i="8"/>
  <c r="AH51" i="8" s="1" a="1"/>
  <c r="AH51" i="8" s="1"/>
  <c r="Z51" i="8"/>
  <c r="AG51" i="8" s="1" a="1"/>
  <c r="AG51" i="8" s="1"/>
  <c r="Y51" i="8"/>
  <c r="AF51" i="8" s="1" a="1"/>
  <c r="AF51" i="8" s="1"/>
  <c r="X51" i="8"/>
  <c r="AE51" i="8" s="1" a="1"/>
  <c r="AE51" i="8" s="1"/>
  <c r="W51" i="8"/>
  <c r="AD51" i="8" s="1" a="1"/>
  <c r="AD51" i="8" s="1"/>
  <c r="AC50" i="8"/>
  <c r="AB50" i="8"/>
  <c r="AA50" i="8"/>
  <c r="Z50" i="8"/>
  <c r="Y50" i="8"/>
  <c r="X50" i="8"/>
  <c r="W50" i="8"/>
  <c r="AC49" i="8"/>
  <c r="AB49" i="8"/>
  <c r="AA49" i="8"/>
  <c r="Z49" i="8"/>
  <c r="Y49" i="8"/>
  <c r="X49" i="8"/>
  <c r="W49" i="8"/>
  <c r="AC48" i="8"/>
  <c r="AB48" i="8"/>
  <c r="AA48" i="8"/>
  <c r="Z48" i="8"/>
  <c r="Y48" i="8"/>
  <c r="X48" i="8"/>
  <c r="W48" i="8"/>
  <c r="AC47" i="8"/>
  <c r="AB47" i="8"/>
  <c r="AA47" i="8"/>
  <c r="Z47" i="8"/>
  <c r="Y47" i="8"/>
  <c r="X47" i="8"/>
  <c r="W47" i="8"/>
  <c r="AC46" i="8"/>
  <c r="AJ46" i="8" s="1" a="1"/>
  <c r="AJ46" i="8" s="1"/>
  <c r="AB46" i="8"/>
  <c r="AI46" i="8" s="1" a="1"/>
  <c r="AI46" i="8" s="1"/>
  <c r="AA46" i="8"/>
  <c r="AH46" i="8" s="1" a="1"/>
  <c r="AH46" i="8" s="1"/>
  <c r="Z46" i="8"/>
  <c r="AG46" i="8" s="1" a="1"/>
  <c r="AG46" i="8" s="1"/>
  <c r="Y46" i="8"/>
  <c r="AF46" i="8" s="1" a="1"/>
  <c r="AF46" i="8" s="1"/>
  <c r="X46" i="8"/>
  <c r="AE46" i="8" s="1" a="1"/>
  <c r="AE46" i="8" s="1"/>
  <c r="W46" i="8"/>
  <c r="AD46" i="8" s="1" a="1"/>
  <c r="AD46" i="8" s="1"/>
  <c r="AC45" i="8"/>
  <c r="AB45" i="8"/>
  <c r="AA45" i="8"/>
  <c r="Z45" i="8"/>
  <c r="Y45" i="8"/>
  <c r="X45" i="8"/>
  <c r="W45" i="8"/>
  <c r="AC44" i="8"/>
  <c r="AB44" i="8"/>
  <c r="AA44" i="8"/>
  <c r="Z44" i="8"/>
  <c r="Y44" i="8"/>
  <c r="X44" i="8"/>
  <c r="W44" i="8"/>
  <c r="AC43" i="8"/>
  <c r="AB43" i="8"/>
  <c r="AA43" i="8"/>
  <c r="Z43" i="8"/>
  <c r="Y43" i="8"/>
  <c r="X43" i="8"/>
  <c r="W43" i="8"/>
  <c r="AC42" i="8"/>
  <c r="AB42" i="8"/>
  <c r="AA42" i="8"/>
  <c r="Z42" i="8"/>
  <c r="Y42" i="8"/>
  <c r="X42" i="8"/>
  <c r="W42" i="8"/>
  <c r="AC41" i="8"/>
  <c r="AB41" i="8"/>
  <c r="AA41" i="8"/>
  <c r="Z41" i="8"/>
  <c r="Y41" i="8"/>
  <c r="X41" i="8"/>
  <c r="W41" i="8"/>
  <c r="AC40" i="8"/>
  <c r="AB40" i="8"/>
  <c r="AA40" i="8"/>
  <c r="Z40" i="8"/>
  <c r="Y40" i="8"/>
  <c r="X40" i="8"/>
  <c r="W40" i="8"/>
  <c r="AC39" i="8"/>
  <c r="AJ39" i="8" s="1" a="1"/>
  <c r="AJ39" i="8" s="1"/>
  <c r="AB39" i="8"/>
  <c r="AI39" i="8" s="1" a="1"/>
  <c r="AI39" i="8" s="1"/>
  <c r="AA39" i="8"/>
  <c r="AH39" i="8" s="1" a="1"/>
  <c r="AH39" i="8" s="1"/>
  <c r="Z39" i="8"/>
  <c r="AG39" i="8" s="1" a="1"/>
  <c r="AG39" i="8" s="1"/>
  <c r="Y39" i="8"/>
  <c r="AF39" i="8" s="1" a="1"/>
  <c r="AF39" i="8" s="1"/>
  <c r="X39" i="8"/>
  <c r="AE39" i="8" s="1" a="1"/>
  <c r="AE39" i="8" s="1"/>
  <c r="W39" i="8"/>
  <c r="AD39" i="8" s="1" a="1"/>
  <c r="AD39" i="8" s="1"/>
  <c r="AC38" i="8"/>
  <c r="AB38" i="8"/>
  <c r="AA38" i="8"/>
  <c r="Z38" i="8"/>
  <c r="Y38" i="8"/>
  <c r="X38" i="8"/>
  <c r="W38" i="8"/>
  <c r="AC37" i="8"/>
  <c r="AB37" i="8"/>
  <c r="AA37" i="8"/>
  <c r="Z37" i="8"/>
  <c r="Y37" i="8"/>
  <c r="X37" i="8"/>
  <c r="W37" i="8"/>
  <c r="AC36" i="8"/>
  <c r="AB36" i="8"/>
  <c r="AA36" i="8"/>
  <c r="Z36" i="8"/>
  <c r="Y36" i="8"/>
  <c r="X36" i="8"/>
  <c r="W36" i="8"/>
  <c r="AC35" i="8"/>
  <c r="AB35" i="8"/>
  <c r="AA35" i="8"/>
  <c r="Z35" i="8"/>
  <c r="Y35" i="8"/>
  <c r="X35" i="8"/>
  <c r="W35" i="8"/>
  <c r="AC34" i="8"/>
  <c r="AB34" i="8"/>
  <c r="AA34" i="8"/>
  <c r="Z34" i="8"/>
  <c r="Y34" i="8"/>
  <c r="X34" i="8"/>
  <c r="W34" i="8"/>
  <c r="AC33" i="8"/>
  <c r="AB33" i="8"/>
  <c r="AA33" i="8"/>
  <c r="Z33" i="8"/>
  <c r="Y33" i="8"/>
  <c r="X33" i="8"/>
  <c r="W33" i="8"/>
  <c r="AC32" i="8"/>
  <c r="AB32" i="8"/>
  <c r="AA32" i="8"/>
  <c r="Z32" i="8"/>
  <c r="Y32" i="8"/>
  <c r="X32" i="8"/>
  <c r="W32" i="8"/>
  <c r="AC31" i="8"/>
  <c r="AB31" i="8"/>
  <c r="AA31" i="8"/>
  <c r="Z31" i="8"/>
  <c r="Y31" i="8"/>
  <c r="X31" i="8"/>
  <c r="W31" i="8"/>
  <c r="AC30" i="8"/>
  <c r="AJ30" i="8" s="1" a="1"/>
  <c r="AJ30" i="8" s="1"/>
  <c r="AB30" i="8"/>
  <c r="AI30" i="8" s="1" a="1"/>
  <c r="AI30" i="8" s="1"/>
  <c r="AA30" i="8"/>
  <c r="AH30" i="8" s="1" a="1"/>
  <c r="AH30" i="8" s="1"/>
  <c r="Z30" i="8"/>
  <c r="AG30" i="8" s="1" a="1"/>
  <c r="AG30" i="8" s="1"/>
  <c r="Y30" i="8"/>
  <c r="AF30" i="8" s="1" a="1"/>
  <c r="AF30" i="8" s="1"/>
  <c r="X30" i="8"/>
  <c r="AE30" i="8" s="1" a="1"/>
  <c r="AE30" i="8" s="1"/>
  <c r="W30" i="8"/>
  <c r="AD30" i="8" s="1" a="1"/>
  <c r="AD30" i="8" s="1"/>
  <c r="AC29" i="8"/>
  <c r="AB29" i="8"/>
  <c r="AA29" i="8"/>
  <c r="Z29" i="8"/>
  <c r="Y29" i="8"/>
  <c r="X29" i="8"/>
  <c r="W29" i="8"/>
  <c r="AC28" i="8"/>
  <c r="AB28" i="8"/>
  <c r="AA28" i="8"/>
  <c r="Z28" i="8"/>
  <c r="Y28" i="8"/>
  <c r="X28" i="8"/>
  <c r="W28" i="8"/>
  <c r="AC27" i="8"/>
  <c r="AB27" i="8"/>
  <c r="AA27" i="8"/>
  <c r="Z27" i="8"/>
  <c r="Y27" i="8"/>
  <c r="X27" i="8"/>
  <c r="W27" i="8"/>
  <c r="AC26" i="8"/>
  <c r="AB26" i="8"/>
  <c r="AA26" i="8"/>
  <c r="Z26" i="8"/>
  <c r="Y26" i="8"/>
  <c r="X26" i="8"/>
  <c r="W26" i="8"/>
  <c r="AC25" i="8"/>
  <c r="AB25" i="8"/>
  <c r="AA25" i="8"/>
  <c r="Z25" i="8"/>
  <c r="Y25" i="8"/>
  <c r="X25" i="8"/>
  <c r="W25" i="8"/>
  <c r="AC24" i="8"/>
  <c r="AB24" i="8"/>
  <c r="AA24" i="8"/>
  <c r="Z24" i="8"/>
  <c r="Y24" i="8"/>
  <c r="X24" i="8"/>
  <c r="W24" i="8"/>
  <c r="AC23" i="8"/>
  <c r="AB23" i="8"/>
  <c r="AA23" i="8"/>
  <c r="Z23" i="8"/>
  <c r="Y23" i="8"/>
  <c r="X23" i="8"/>
  <c r="W23" i="8"/>
  <c r="AC22" i="8"/>
  <c r="AB22" i="8"/>
  <c r="AA22" i="8"/>
  <c r="Z22" i="8"/>
  <c r="Y22" i="8"/>
  <c r="X22" i="8"/>
  <c r="W22" i="8"/>
  <c r="AC21" i="8"/>
  <c r="AB21" i="8"/>
  <c r="AA21" i="8"/>
  <c r="Z21" i="8"/>
  <c r="Y21" i="8"/>
  <c r="X21" i="8"/>
  <c r="W21" i="8"/>
  <c r="AC20" i="8"/>
  <c r="AB20" i="8"/>
  <c r="AA20" i="8"/>
  <c r="Z20" i="8"/>
  <c r="Y20" i="8"/>
  <c r="X20" i="8"/>
  <c r="W20" i="8"/>
  <c r="Y23" i="18"/>
  <c r="Z23" i="18" s="1"/>
  <c r="AA23" i="18" s="1"/>
  <c r="AB23" i="18" s="1"/>
  <c r="AC23" i="18" s="1"/>
  <c r="X23" i="18"/>
  <c r="W272" i="20"/>
  <c r="AP27" i="20" s="1"/>
  <c r="V272" i="20"/>
  <c r="AO27" i="20" s="1"/>
  <c r="U272" i="20"/>
  <c r="T272" i="20"/>
  <c r="AN27" i="20" s="1"/>
  <c r="S272" i="20"/>
  <c r="R272" i="20"/>
  <c r="AM27" i="20" s="1"/>
  <c r="Q272" i="20"/>
  <c r="P272" i="20"/>
  <c r="N272" i="20"/>
  <c r="W271" i="20"/>
  <c r="V271" i="20"/>
  <c r="U271" i="20"/>
  <c r="T271" i="20"/>
  <c r="S271" i="20"/>
  <c r="R271" i="20"/>
  <c r="Q271" i="20"/>
  <c r="P271" i="20"/>
  <c r="N271" i="20"/>
  <c r="H271" i="20"/>
  <c r="F271" i="20"/>
  <c r="E271" i="20"/>
  <c r="D271" i="20"/>
  <c r="G270" i="20"/>
  <c r="G271" i="20" s="1"/>
  <c r="H266" i="20"/>
  <c r="AB143" i="20"/>
  <c r="K272" i="20" s="1"/>
  <c r="AA143" i="20"/>
  <c r="J272" i="20" s="1"/>
  <c r="Y143" i="20"/>
  <c r="H272" i="20" s="1"/>
  <c r="W143" i="20"/>
  <c r="F272" i="20" s="1"/>
  <c r="V143" i="20"/>
  <c r="C272" i="20" s="1"/>
  <c r="H126" i="20"/>
  <c r="G126" i="20"/>
  <c r="H125" i="20"/>
  <c r="G125" i="20"/>
  <c r="H124" i="20"/>
  <c r="G124" i="20"/>
  <c r="H123" i="20"/>
  <c r="G123" i="20"/>
  <c r="H122" i="20"/>
  <c r="G122" i="20"/>
  <c r="H121" i="20"/>
  <c r="G121" i="20"/>
  <c r="H120" i="20"/>
  <c r="G120" i="20"/>
  <c r="H119" i="20"/>
  <c r="G119" i="20"/>
  <c r="H118" i="20"/>
  <c r="G118" i="20"/>
  <c r="H117" i="20"/>
  <c r="G117" i="20"/>
  <c r="W116" i="20"/>
  <c r="H116" i="20"/>
  <c r="G116" i="20"/>
  <c r="H115" i="20"/>
  <c r="G115" i="20"/>
  <c r="H114" i="20"/>
  <c r="G114" i="20"/>
  <c r="H113" i="20"/>
  <c r="G113" i="20"/>
  <c r="H112" i="20"/>
  <c r="G112" i="20"/>
  <c r="AJ111" i="20"/>
  <c r="H111" i="20"/>
  <c r="G111" i="20"/>
  <c r="AQ110" i="20"/>
  <c r="Q110" i="20"/>
  <c r="AC110" i="20" s="1"/>
  <c r="H110" i="20"/>
  <c r="G110" i="20"/>
  <c r="AQ109" i="20"/>
  <c r="Q109" i="20"/>
  <c r="AC109" i="20" s="1"/>
  <c r="H109" i="20"/>
  <c r="G109" i="20"/>
  <c r="AQ108" i="20"/>
  <c r="Q108" i="20"/>
  <c r="AC108" i="20" s="1"/>
  <c r="AQ107" i="20"/>
  <c r="Q107" i="20"/>
  <c r="AC107" i="20" s="1"/>
  <c r="AQ106" i="20"/>
  <c r="Q106" i="20"/>
  <c r="AC106" i="20" s="1"/>
  <c r="AQ105" i="20"/>
  <c r="Q105" i="20"/>
  <c r="AC105" i="20" s="1"/>
  <c r="AQ104" i="20"/>
  <c r="Q104" i="20"/>
  <c r="AC104" i="20" s="1"/>
  <c r="AQ103" i="20"/>
  <c r="Q103" i="20"/>
  <c r="AC103" i="20" s="1"/>
  <c r="AQ102" i="20"/>
  <c r="Q102" i="20"/>
  <c r="AC102" i="20" s="1"/>
  <c r="AQ101" i="20"/>
  <c r="Q101" i="20"/>
  <c r="AC101" i="20" s="1"/>
  <c r="H101" i="20"/>
  <c r="G101" i="20"/>
  <c r="AQ100" i="20"/>
  <c r="Q100" i="20"/>
  <c r="AC100" i="20" s="1"/>
  <c r="H100" i="20"/>
  <c r="G100" i="20"/>
  <c r="AQ99" i="20"/>
  <c r="Q99" i="20"/>
  <c r="AC99" i="20" s="1"/>
  <c r="H99" i="20"/>
  <c r="G99" i="20"/>
  <c r="AQ98" i="20"/>
  <c r="Q98" i="20"/>
  <c r="AC98" i="20" s="1"/>
  <c r="H98" i="20"/>
  <c r="H102" i="20" s="1"/>
  <c r="G98" i="20"/>
  <c r="G102" i="20" s="1"/>
  <c r="AQ97" i="20"/>
  <c r="Q97" i="20"/>
  <c r="AC97" i="20" s="1"/>
  <c r="AQ96" i="20"/>
  <c r="Q96" i="20"/>
  <c r="AC96" i="20" s="1"/>
  <c r="AQ95" i="20"/>
  <c r="Q95" i="20"/>
  <c r="AC95" i="20" s="1"/>
  <c r="AQ94" i="20"/>
  <c r="Q94" i="20"/>
  <c r="AC94" i="20" s="1"/>
  <c r="AQ93" i="20"/>
  <c r="Q93" i="20"/>
  <c r="AC93" i="20" s="1"/>
  <c r="AQ92" i="20"/>
  <c r="Q92" i="20"/>
  <c r="AC92" i="20" s="1"/>
  <c r="AQ91" i="20"/>
  <c r="Q91" i="20"/>
  <c r="AC91" i="20" s="1"/>
  <c r="AQ90" i="20"/>
  <c r="Q90" i="20"/>
  <c r="AC90" i="20" s="1"/>
  <c r="AQ89" i="20"/>
  <c r="Q89" i="20"/>
  <c r="AC89" i="20" s="1"/>
  <c r="AQ88" i="20"/>
  <c r="Q88" i="20"/>
  <c r="AC88" i="20" s="1"/>
  <c r="AQ87" i="20"/>
  <c r="Q87" i="20"/>
  <c r="AC87" i="20" s="1"/>
  <c r="AQ86" i="20"/>
  <c r="Q86" i="20"/>
  <c r="AC86" i="20" s="1"/>
  <c r="AQ85" i="20"/>
  <c r="Q85" i="20"/>
  <c r="AC85" i="20" s="1"/>
  <c r="AQ84" i="20"/>
  <c r="Q84" i="20"/>
  <c r="AC84" i="20" s="1"/>
  <c r="AQ83" i="20"/>
  <c r="Q83" i="20"/>
  <c r="AC83" i="20" s="1"/>
  <c r="AQ82" i="20"/>
  <c r="Q82" i="20"/>
  <c r="AC82" i="20" s="1"/>
  <c r="AQ81" i="20"/>
  <c r="Q81" i="20"/>
  <c r="AC81" i="20" s="1"/>
  <c r="AQ80" i="20"/>
  <c r="Q80" i="20"/>
  <c r="AC80" i="20" s="1"/>
  <c r="AQ79" i="20"/>
  <c r="Q79" i="20"/>
  <c r="AC79" i="20" s="1"/>
  <c r="AQ78" i="20"/>
  <c r="Q78" i="20"/>
  <c r="AC78" i="20" s="1"/>
  <c r="AQ77" i="20"/>
  <c r="Q77" i="20"/>
  <c r="AC77" i="20" s="1"/>
  <c r="AQ76" i="20"/>
  <c r="Q76" i="20"/>
  <c r="AC76" i="20" s="1"/>
  <c r="B76" i="20"/>
  <c r="AQ75" i="20"/>
  <c r="Q75" i="20"/>
  <c r="AC75" i="20" s="1"/>
  <c r="C75" i="20"/>
  <c r="AQ74" i="20"/>
  <c r="Q74" i="20"/>
  <c r="AC74" i="20" s="1"/>
  <c r="C74" i="20"/>
  <c r="AQ73" i="20"/>
  <c r="Q73" i="20"/>
  <c r="AC73" i="20" s="1"/>
  <c r="C73" i="20"/>
  <c r="AQ72" i="20"/>
  <c r="Q72" i="20"/>
  <c r="AC72" i="20" s="1"/>
  <c r="C72" i="20"/>
  <c r="AQ71" i="20"/>
  <c r="Q71" i="20"/>
  <c r="AC71" i="20" s="1"/>
  <c r="C71" i="20"/>
  <c r="AQ70" i="20"/>
  <c r="Q70" i="20"/>
  <c r="AC70" i="20" s="1"/>
  <c r="C70" i="20"/>
  <c r="AQ69" i="20"/>
  <c r="Q69" i="20"/>
  <c r="AC69" i="20" s="1"/>
  <c r="C69" i="20"/>
  <c r="AQ68" i="20"/>
  <c r="Q68" i="20"/>
  <c r="AC68" i="20" s="1"/>
  <c r="C68" i="20"/>
  <c r="AQ67" i="20"/>
  <c r="Q67" i="20"/>
  <c r="AC67" i="20" s="1"/>
  <c r="C67" i="20"/>
  <c r="AQ66" i="20"/>
  <c r="Q66" i="20"/>
  <c r="AC66" i="20" s="1"/>
  <c r="C66" i="20"/>
  <c r="AZ65" i="20"/>
  <c r="AQ65" i="20"/>
  <c r="Q65" i="20"/>
  <c r="AC65" i="20" s="1"/>
  <c r="C65" i="20"/>
  <c r="AZ64" i="20"/>
  <c r="AQ64" i="20"/>
  <c r="Q64" i="20"/>
  <c r="AC64" i="20" s="1"/>
  <c r="C64" i="20"/>
  <c r="C76" i="20" s="1"/>
  <c r="AQ63" i="20"/>
  <c r="Q63" i="20"/>
  <c r="AC63" i="20" s="1"/>
  <c r="AQ62" i="20"/>
  <c r="Q62" i="20"/>
  <c r="AC62" i="20" s="1"/>
  <c r="AQ61" i="20"/>
  <c r="Q61" i="20"/>
  <c r="AC61" i="20" s="1"/>
  <c r="AQ60" i="20"/>
  <c r="Q60" i="20"/>
  <c r="AC60" i="20" s="1"/>
  <c r="AQ59" i="20"/>
  <c r="Q59" i="20"/>
  <c r="AC59" i="20" s="1"/>
  <c r="AQ58" i="20"/>
  <c r="Q58" i="20"/>
  <c r="AC58" i="20" s="1"/>
  <c r="L58" i="20"/>
  <c r="D58" i="20"/>
  <c r="AQ57" i="20"/>
  <c r="Q57" i="20"/>
  <c r="AC57" i="20" s="1"/>
  <c r="AQ56" i="20"/>
  <c r="Q56" i="20"/>
  <c r="AC56" i="20" s="1"/>
  <c r="AQ55" i="20"/>
  <c r="Q55" i="20"/>
  <c r="AC55" i="20" s="1"/>
  <c r="AQ54" i="20"/>
  <c r="Q54" i="20"/>
  <c r="AC54" i="20" s="1"/>
  <c r="AQ53" i="20"/>
  <c r="Q53" i="20"/>
  <c r="AC53" i="20" s="1"/>
  <c r="AQ52" i="20"/>
  <c r="Q52" i="20"/>
  <c r="AC52" i="20" s="1"/>
  <c r="AQ51" i="20"/>
  <c r="Q51" i="20"/>
  <c r="AC51" i="20" s="1"/>
  <c r="AQ50" i="20"/>
  <c r="Q50" i="20"/>
  <c r="AC50" i="20" s="1"/>
  <c r="AQ49" i="20"/>
  <c r="Q49" i="20"/>
  <c r="AC49" i="20" s="1"/>
  <c r="AQ48" i="20"/>
  <c r="Q48" i="20"/>
  <c r="AC48" i="20" s="1"/>
  <c r="AQ47" i="20"/>
  <c r="Q47" i="20"/>
  <c r="AC47" i="20" s="1"/>
  <c r="AQ46" i="20"/>
  <c r="Q46" i="20"/>
  <c r="AC46" i="20" s="1"/>
  <c r="AQ45" i="20"/>
  <c r="Q45" i="20"/>
  <c r="AC45" i="20" s="1"/>
  <c r="AQ44" i="20"/>
  <c r="Q44" i="20"/>
  <c r="AC44" i="20" s="1"/>
  <c r="AQ43" i="20"/>
  <c r="Q43" i="20"/>
  <c r="AC43" i="20" s="1"/>
  <c r="AQ42" i="20"/>
  <c r="Q42" i="20"/>
  <c r="AC42" i="20" s="1"/>
  <c r="AQ41" i="20"/>
  <c r="Q41" i="20"/>
  <c r="AC41" i="20" s="1"/>
  <c r="AQ40" i="20"/>
  <c r="Q40" i="20"/>
  <c r="AC40" i="20" s="1"/>
  <c r="AQ39" i="20"/>
  <c r="Q39" i="20"/>
  <c r="AC39" i="20" s="1"/>
  <c r="AQ38" i="20"/>
  <c r="Q38" i="20"/>
  <c r="AC38" i="20" s="1"/>
  <c r="AQ37" i="20"/>
  <c r="Q37" i="20"/>
  <c r="AC37" i="20" s="1"/>
  <c r="AQ36" i="20"/>
  <c r="Q36" i="20"/>
  <c r="AC36" i="20" s="1"/>
  <c r="AQ35" i="20"/>
  <c r="Q35" i="20"/>
  <c r="AC35" i="20" s="1"/>
  <c r="AQ34" i="20"/>
  <c r="Q34" i="20"/>
  <c r="AC34" i="20" s="1"/>
  <c r="AQ33" i="20"/>
  <c r="Q33" i="20"/>
  <c r="AC33" i="20" s="1"/>
  <c r="AQ32" i="20"/>
  <c r="Q32" i="20"/>
  <c r="AC32" i="20" s="1"/>
  <c r="AQ31" i="20"/>
  <c r="Q31" i="20"/>
  <c r="AC31" i="20" s="1"/>
  <c r="AQ30" i="20"/>
  <c r="Q30" i="20"/>
  <c r="AC30" i="20" s="1"/>
  <c r="AQ29" i="20"/>
  <c r="Q29" i="20"/>
  <c r="AC29" i="20" s="1"/>
  <c r="AQ28" i="20"/>
  <c r="Q28" i="20"/>
  <c r="AC28" i="20" s="1"/>
  <c r="AQ27" i="20"/>
  <c r="AL27" i="20"/>
  <c r="AC27" i="20"/>
  <c r="AD27" i="20" s="1"/>
  <c r="Q27" i="20"/>
  <c r="AQ26" i="20"/>
  <c r="Q26" i="20"/>
  <c r="AC26" i="20" s="1"/>
  <c r="AQ25" i="20"/>
  <c r="Q25" i="20"/>
  <c r="AC25" i="20" s="1"/>
  <c r="AQ24" i="20"/>
  <c r="Q24" i="20"/>
  <c r="AC24" i="20" s="1"/>
  <c r="AQ23" i="20"/>
  <c r="Q23" i="20"/>
  <c r="AC23" i="20" s="1"/>
  <c r="AQ22" i="20"/>
  <c r="Q22" i="20"/>
  <c r="AC22" i="20" s="1"/>
  <c r="AQ21" i="20"/>
  <c r="Q21" i="20"/>
  <c r="AC21" i="20" s="1"/>
  <c r="AQ20" i="20"/>
  <c r="Q20" i="20"/>
  <c r="J20" i="20"/>
  <c r="I20" i="20"/>
  <c r="AV19" i="20"/>
  <c r="AU19" i="20"/>
  <c r="AT19" i="20"/>
  <c r="AS19" i="20"/>
  <c r="AR19" i="20"/>
  <c r="V18" i="20"/>
  <c r="Y15" i="20"/>
  <c r="AH12" i="20"/>
  <c r="AG12" i="20"/>
  <c r="AE11" i="20"/>
  <c r="AD11" i="20"/>
  <c r="AD12" i="20" s="1"/>
  <c r="AE10" i="20"/>
  <c r="AF10" i="20" s="1"/>
  <c r="AG10" i="20" s="1"/>
  <c r="AH10" i="20" s="1"/>
  <c r="AH7" i="20"/>
  <c r="AG7" i="20"/>
  <c r="AE7" i="20"/>
  <c r="AD7" i="20"/>
  <c r="AF6" i="20"/>
  <c r="AC2" i="20"/>
  <c r="AC1" i="20"/>
  <c r="W1" i="20"/>
  <c r="R95" i="6"/>
  <c r="Q95" i="6"/>
  <c r="P95" i="6"/>
  <c r="O95" i="6"/>
  <c r="N95" i="6"/>
  <c r="M95" i="6"/>
  <c r="L95" i="6"/>
  <c r="K95" i="6"/>
  <c r="R94" i="6"/>
  <c r="Q94" i="6"/>
  <c r="P94" i="6"/>
  <c r="O94" i="6"/>
  <c r="N94" i="6"/>
  <c r="M94" i="6"/>
  <c r="L94" i="6"/>
  <c r="K94" i="6"/>
  <c r="R93" i="6"/>
  <c r="Q93" i="6"/>
  <c r="P93" i="6"/>
  <c r="O93" i="6"/>
  <c r="N93" i="6"/>
  <c r="M93" i="6"/>
  <c r="L93" i="6"/>
  <c r="K93" i="6"/>
  <c r="R83" i="6"/>
  <c r="Q83" i="6"/>
  <c r="P83" i="6"/>
  <c r="O83" i="6"/>
  <c r="N83" i="6"/>
  <c r="M83" i="6"/>
  <c r="L83" i="6"/>
  <c r="K83" i="6"/>
  <c r="R82" i="6"/>
  <c r="Q82" i="6"/>
  <c r="P82" i="6"/>
  <c r="O82" i="6"/>
  <c r="N82" i="6"/>
  <c r="M82" i="6"/>
  <c r="L82" i="6"/>
  <c r="K82" i="6"/>
  <c r="R81" i="6"/>
  <c r="Q81" i="6"/>
  <c r="P81" i="6"/>
  <c r="O81" i="6"/>
  <c r="N81" i="6"/>
  <c r="M81" i="6"/>
  <c r="L81" i="6"/>
  <c r="K81" i="6"/>
  <c r="R71" i="6"/>
  <c r="Q71" i="6"/>
  <c r="P71" i="6"/>
  <c r="O71" i="6"/>
  <c r="N71" i="6"/>
  <c r="M71" i="6"/>
  <c r="L71" i="6"/>
  <c r="K71" i="6"/>
  <c r="R70" i="6"/>
  <c r="Q70" i="6"/>
  <c r="P70" i="6"/>
  <c r="O70" i="6"/>
  <c r="N70" i="6"/>
  <c r="M70" i="6"/>
  <c r="L70" i="6"/>
  <c r="K70" i="6"/>
  <c r="R69" i="6"/>
  <c r="Q69" i="6"/>
  <c r="P69" i="6"/>
  <c r="O69" i="6"/>
  <c r="N69" i="6"/>
  <c r="M69" i="6"/>
  <c r="L69" i="6"/>
  <c r="K69" i="6"/>
  <c r="R59" i="6"/>
  <c r="Q59" i="6"/>
  <c r="P59" i="6"/>
  <c r="O59" i="6"/>
  <c r="N59" i="6"/>
  <c r="M59" i="6"/>
  <c r="L59" i="6"/>
  <c r="K59" i="6"/>
  <c r="R58" i="6"/>
  <c r="Q58" i="6"/>
  <c r="P58" i="6"/>
  <c r="O58" i="6"/>
  <c r="N58" i="6"/>
  <c r="M58" i="6"/>
  <c r="L58" i="6"/>
  <c r="K58" i="6"/>
  <c r="R57" i="6"/>
  <c r="Q57" i="6"/>
  <c r="P57" i="6"/>
  <c r="O57" i="6"/>
  <c r="N57" i="6"/>
  <c r="M57" i="6"/>
  <c r="L57" i="6"/>
  <c r="K57" i="6"/>
  <c r="R46" i="6"/>
  <c r="Q46" i="6"/>
  <c r="P46" i="6"/>
  <c r="O46" i="6"/>
  <c r="N46" i="6"/>
  <c r="M46" i="6"/>
  <c r="L46" i="6"/>
  <c r="K46" i="6"/>
  <c r="R45" i="6"/>
  <c r="Q45" i="6"/>
  <c r="P45" i="6"/>
  <c r="O45" i="6"/>
  <c r="N45" i="6"/>
  <c r="M45" i="6"/>
  <c r="L45" i="6"/>
  <c r="K45" i="6"/>
  <c r="R44" i="6"/>
  <c r="Q44" i="6"/>
  <c r="P44" i="6"/>
  <c r="O44" i="6"/>
  <c r="N44" i="6"/>
  <c r="M44" i="6"/>
  <c r="L44" i="6"/>
  <c r="K44" i="6"/>
  <c r="R29" i="6"/>
  <c r="Q29" i="6"/>
  <c r="P29" i="6"/>
  <c r="O29" i="6"/>
  <c r="N29" i="6"/>
  <c r="M29" i="6"/>
  <c r="L29" i="6"/>
  <c r="K29" i="6"/>
  <c r="R28" i="6"/>
  <c r="Q28" i="6"/>
  <c r="P28" i="6"/>
  <c r="O28" i="6"/>
  <c r="N28" i="6"/>
  <c r="M28" i="6"/>
  <c r="L28" i="6"/>
  <c r="K28" i="6"/>
  <c r="R27" i="6"/>
  <c r="Q27" i="6"/>
  <c r="P27" i="6"/>
  <c r="O27" i="6"/>
  <c r="N27" i="6"/>
  <c r="M27" i="6"/>
  <c r="L27" i="6"/>
  <c r="K27" i="6"/>
  <c r="R21" i="6"/>
  <c r="Q21" i="6"/>
  <c r="P21" i="6"/>
  <c r="O21" i="6"/>
  <c r="N21" i="6"/>
  <c r="M21" i="6"/>
  <c r="L21" i="6"/>
  <c r="K21" i="6"/>
  <c r="R20" i="6"/>
  <c r="Q20" i="6"/>
  <c r="P20" i="6"/>
  <c r="O20" i="6"/>
  <c r="N20" i="6"/>
  <c r="M20" i="6"/>
  <c r="L20" i="6"/>
  <c r="K20" i="6"/>
  <c r="R19" i="6"/>
  <c r="Q19" i="6"/>
  <c r="P19" i="6"/>
  <c r="O19" i="6"/>
  <c r="N19" i="6"/>
  <c r="M19" i="6"/>
  <c r="L19" i="6"/>
  <c r="K19" i="6"/>
  <c r="D24" i="18"/>
  <c r="BA64" i="20" a="1"/>
  <c r="BA65" i="20" a="1"/>
  <c r="BA65" i="20" l="1"/>
  <c r="BA64" i="20"/>
  <c r="AH1" i="20"/>
  <c r="AG1" i="20"/>
  <c r="AF1" i="20"/>
  <c r="AE1" i="20"/>
  <c r="AD1" i="20"/>
  <c r="AH2" i="20"/>
  <c r="AG2" i="20"/>
  <c r="AE2" i="20"/>
  <c r="AD2" i="20"/>
  <c r="AF8" i="20"/>
  <c r="AF7" i="20"/>
  <c r="AE12" i="20"/>
  <c r="AF11" i="20"/>
  <c r="V107" i="20" a="1"/>
  <c r="V107" i="20" s="1"/>
  <c r="V103" i="20" a="1"/>
  <c r="V103" i="20" s="1"/>
  <c r="V99" i="20" a="1"/>
  <c r="V99" i="20" s="1"/>
  <c r="V95" i="20" a="1"/>
  <c r="V95" i="20" s="1"/>
  <c r="V91" i="20" a="1"/>
  <c r="V91" i="20" s="1"/>
  <c r="V87" i="20" a="1"/>
  <c r="V87" i="20" s="1"/>
  <c r="V82" i="20" a="1"/>
  <c r="V82" i="20" s="1"/>
  <c r="V77" i="20" a="1"/>
  <c r="V77" i="20" s="1"/>
  <c r="V71" i="20" a="1"/>
  <c r="V71" i="20" s="1"/>
  <c r="V63" i="20" a="1"/>
  <c r="V63" i="20" s="1"/>
  <c r="V57" i="20" a="1"/>
  <c r="V57" i="20" s="1"/>
  <c r="V51" i="20" a="1"/>
  <c r="V51" i="20" s="1"/>
  <c r="V46" i="20" a="1"/>
  <c r="V46" i="20" s="1"/>
  <c r="V39" i="20" a="1"/>
  <c r="V39" i="20" s="1"/>
  <c r="V30" i="20" a="1"/>
  <c r="V30" i="20" s="1"/>
  <c r="W18" i="20"/>
  <c r="C82" i="20"/>
  <c r="C83" i="20" s="1"/>
  <c r="C84" i="20"/>
  <c r="D84" i="20" s="1"/>
  <c r="C85" i="20"/>
  <c r="D85" i="20" s="1"/>
  <c r="C86" i="20"/>
  <c r="D86" i="20" s="1"/>
  <c r="C87" i="20"/>
  <c r="D87" i="20" s="1"/>
  <c r="C88" i="20"/>
  <c r="D88" i="20" s="1"/>
  <c r="C89" i="20"/>
  <c r="D89" i="20" s="1"/>
  <c r="C90" i="20"/>
  <c r="D90" i="20" s="1"/>
  <c r="K271" i="20"/>
  <c r="J271" i="20"/>
  <c r="I271" i="20"/>
  <c r="C271" i="20"/>
  <c r="AR27" i="20" a="1"/>
  <c r="AR27" i="20" l="1"/>
  <c r="C91" i="20"/>
  <c r="D83" i="20"/>
  <c r="D91" i="20" s="1"/>
  <c r="D82" i="20" s="1"/>
  <c r="W107" i="20" a="1"/>
  <c r="W107" i="20" s="1"/>
  <c r="W103" i="20" a="1"/>
  <c r="W103" i="20" s="1"/>
  <c r="W99" i="20" a="1"/>
  <c r="W99" i="20" s="1"/>
  <c r="W95" i="20" a="1"/>
  <c r="W95" i="20" s="1"/>
  <c r="W91" i="20" a="1"/>
  <c r="W91" i="20" s="1"/>
  <c r="W87" i="20" a="1"/>
  <c r="W87" i="20" s="1"/>
  <c r="W82" i="20" a="1"/>
  <c r="W82" i="20" s="1"/>
  <c r="W77" i="20" a="1"/>
  <c r="W77" i="20" s="1"/>
  <c r="W71" i="20" a="1"/>
  <c r="W71" i="20" s="1"/>
  <c r="W63" i="20" a="1"/>
  <c r="W63" i="20" s="1"/>
  <c r="W57" i="20" a="1"/>
  <c r="W57" i="20" s="1"/>
  <c r="W51" i="20" a="1"/>
  <c r="W51" i="20" s="1"/>
  <c r="W46" i="20" a="1"/>
  <c r="W46" i="20" s="1"/>
  <c r="W39" i="20" a="1"/>
  <c r="W39" i="20" s="1"/>
  <c r="W30" i="20" a="1"/>
  <c r="W30" i="20" s="1"/>
  <c r="X18" i="20"/>
  <c r="AF12" i="20"/>
  <c r="AF2" i="20"/>
  <c r="AE27" i="20" a="1"/>
  <c r="AE27" i="20" s="1"/>
  <c r="AF27" i="20" l="1" a="1"/>
  <c r="AF27" i="20" s="1"/>
  <c r="AJ27" i="20"/>
  <c r="X107" i="20" a="1"/>
  <c r="X107" i="20" s="1"/>
  <c r="X103" i="20" a="1"/>
  <c r="X103" i="20" s="1"/>
  <c r="X99" i="20" a="1"/>
  <c r="X99" i="20" s="1"/>
  <c r="X95" i="20" a="1"/>
  <c r="X95" i="20" s="1"/>
  <c r="X91" i="20" a="1"/>
  <c r="X91" i="20" s="1"/>
  <c r="X87" i="20" a="1"/>
  <c r="X87" i="20" s="1"/>
  <c r="X82" i="20" a="1"/>
  <c r="X82" i="20" s="1"/>
  <c r="X77" i="20" a="1"/>
  <c r="X77" i="20" s="1"/>
  <c r="X71" i="20" a="1"/>
  <c r="X71" i="20" s="1"/>
  <c r="X63" i="20" a="1"/>
  <c r="X63" i="20" s="1"/>
  <c r="X57" i="20" a="1"/>
  <c r="X57" i="20" s="1"/>
  <c r="X51" i="20" a="1"/>
  <c r="X51" i="20" s="1"/>
  <c r="X46" i="20" a="1"/>
  <c r="X46" i="20" s="1"/>
  <c r="X39" i="20" a="1"/>
  <c r="X39" i="20" s="1"/>
  <c r="X30" i="20" a="1"/>
  <c r="X30" i="20" s="1"/>
  <c r="Y18" i="20"/>
  <c r="AS27" i="20" a="1"/>
  <c r="AS27" i="20" l="1"/>
  <c r="Y107" i="20" a="1"/>
  <c r="Y107" i="20" s="1"/>
  <c r="Y103" i="20" a="1"/>
  <c r="Y103" i="20" s="1"/>
  <c r="Y99" i="20" a="1"/>
  <c r="Y99" i="20" s="1"/>
  <c r="Y95" i="20" a="1"/>
  <c r="Y95" i="20" s="1"/>
  <c r="Y91" i="20" a="1"/>
  <c r="Y91" i="20" s="1"/>
  <c r="Y87" i="20" a="1"/>
  <c r="Y87" i="20" s="1"/>
  <c r="Y82" i="20" a="1"/>
  <c r="Y82" i="20" s="1"/>
  <c r="Y77" i="20" a="1"/>
  <c r="Y77" i="20" s="1"/>
  <c r="Y71" i="20" a="1"/>
  <c r="Y71" i="20" s="1"/>
  <c r="Y63" i="20" a="1"/>
  <c r="Y63" i="20" s="1"/>
  <c r="Y57" i="20" a="1"/>
  <c r="Y57" i="20" s="1"/>
  <c r="Y51" i="20" a="1"/>
  <c r="Y51" i="20" s="1"/>
  <c r="Y46" i="20" a="1"/>
  <c r="Y46" i="20" s="1"/>
  <c r="Y39" i="20" a="1"/>
  <c r="Y39" i="20" s="1"/>
  <c r="Y30" i="20" a="1"/>
  <c r="Y30" i="20" s="1"/>
  <c r="Z18" i="20"/>
  <c r="AG27" i="20" a="1"/>
  <c r="AG27" i="20" s="1"/>
  <c r="AT27" i="20" a="1"/>
  <c r="AT27" i="20" l="1"/>
  <c r="AH27" i="20" a="1"/>
  <c r="AH27" i="20" s="1"/>
  <c r="Z107" i="20" a="1"/>
  <c r="Z107" i="20" s="1"/>
  <c r="Z103" i="20" a="1"/>
  <c r="Z103" i="20" s="1"/>
  <c r="Z99" i="20" a="1"/>
  <c r="Z99" i="20" s="1"/>
  <c r="Z95" i="20" a="1"/>
  <c r="Z95" i="20" s="1"/>
  <c r="Z91" i="20" a="1"/>
  <c r="Z91" i="20" s="1"/>
  <c r="Z87" i="20" a="1"/>
  <c r="Z87" i="20" s="1"/>
  <c r="Z82" i="20" a="1"/>
  <c r="Z82" i="20" s="1"/>
  <c r="Z77" i="20" a="1"/>
  <c r="Z77" i="20" s="1"/>
  <c r="Z71" i="20" a="1"/>
  <c r="Z71" i="20" s="1"/>
  <c r="Z63" i="20" a="1"/>
  <c r="Z63" i="20" s="1"/>
  <c r="Z57" i="20" a="1"/>
  <c r="Z57" i="20" s="1"/>
  <c r="Z51" i="20" a="1"/>
  <c r="Z51" i="20" s="1"/>
  <c r="Z46" i="20" a="1"/>
  <c r="Z46" i="20" s="1"/>
  <c r="Z39" i="20" a="1"/>
  <c r="Z39" i="20" s="1"/>
  <c r="Z30" i="20" a="1"/>
  <c r="Z30" i="20" s="1"/>
  <c r="AA18" i="20"/>
  <c r="AU27" i="20" a="1"/>
  <c r="AU27" i="20" l="1"/>
  <c r="AA107" i="20" a="1"/>
  <c r="AA107" i="20" s="1"/>
  <c r="AA103" i="20" a="1"/>
  <c r="AA103" i="20" s="1"/>
  <c r="AA99" i="20" a="1"/>
  <c r="AA99" i="20" s="1"/>
  <c r="AA95" i="20" a="1"/>
  <c r="AA95" i="20" s="1"/>
  <c r="AA91" i="20" a="1"/>
  <c r="AA91" i="20" s="1"/>
  <c r="AA87" i="20" a="1"/>
  <c r="AA87" i="20" s="1"/>
  <c r="AA82" i="20" a="1"/>
  <c r="AA82" i="20" s="1"/>
  <c r="AA77" i="20" a="1"/>
  <c r="AA77" i="20" s="1"/>
  <c r="AA71" i="20" a="1"/>
  <c r="AA71" i="20" s="1"/>
  <c r="AA63" i="20" a="1"/>
  <c r="AA63" i="20" s="1"/>
  <c r="AA57" i="20" a="1"/>
  <c r="AA57" i="20" s="1"/>
  <c r="AA51" i="20" a="1"/>
  <c r="AA51" i="20" s="1"/>
  <c r="AA46" i="20" a="1"/>
  <c r="AA46" i="20" s="1"/>
  <c r="AA39" i="20" a="1"/>
  <c r="AA39" i="20" s="1"/>
  <c r="AA30" i="20" a="1"/>
  <c r="AA30" i="20" s="1"/>
  <c r="AB18" i="20"/>
  <c r="AK27" i="20"/>
  <c r="AV27" i="20" a="1"/>
  <c r="AV27" i="20" l="1"/>
  <c r="AB107" i="20" a="1"/>
  <c r="AB107" i="20" s="1"/>
  <c r="AB103" i="20" a="1"/>
  <c r="AB103" i="20" s="1"/>
  <c r="AB99" i="20" a="1"/>
  <c r="AB99" i="20" s="1"/>
  <c r="AB95" i="20" a="1"/>
  <c r="AB95" i="20" s="1"/>
  <c r="AB91" i="20" a="1"/>
  <c r="AB91" i="20" s="1"/>
  <c r="AB87" i="20" a="1"/>
  <c r="AB87" i="20" s="1"/>
  <c r="AB82" i="20" a="1"/>
  <c r="AB82" i="20" s="1"/>
  <c r="AB77" i="20" a="1"/>
  <c r="AB77" i="20" s="1"/>
  <c r="AB71" i="20" a="1"/>
  <c r="AB71" i="20" s="1"/>
  <c r="AB63" i="20" a="1"/>
  <c r="AB63" i="20" s="1"/>
  <c r="AB57" i="20" a="1"/>
  <c r="AB57" i="20" s="1"/>
  <c r="AB51" i="20" a="1"/>
  <c r="AB51" i="20" s="1"/>
  <c r="AB46" i="20" a="1"/>
  <c r="AB46" i="20" s="1"/>
  <c r="AB39" i="20" a="1"/>
  <c r="AB39" i="20" s="1"/>
  <c r="AB30" i="20" a="1"/>
  <c r="AB30" i="20" s="1"/>
  <c r="L71" i="17" l="1"/>
  <c r="L72" i="17"/>
  <c r="L73" i="17"/>
  <c r="L74" i="17"/>
  <c r="L75" i="17"/>
  <c r="L76" i="17"/>
  <c r="L77" i="17"/>
  <c r="L78" i="17"/>
  <c r="L79" i="17"/>
  <c r="L80" i="17"/>
  <c r="L83" i="17"/>
  <c r="L84" i="17"/>
  <c r="L85" i="17"/>
  <c r="L86" i="17"/>
  <c r="L87" i="17"/>
  <c r="L88" i="17"/>
  <c r="L89" i="17"/>
  <c r="L90" i="17"/>
  <c r="L91" i="17"/>
  <c r="L92" i="17"/>
  <c r="L95" i="17"/>
  <c r="L96" i="17"/>
  <c r="L97" i="17"/>
  <c r="L98" i="17"/>
  <c r="L99" i="17"/>
  <c r="L100" i="17"/>
  <c r="L101" i="17"/>
  <c r="L102" i="17"/>
  <c r="D57" i="18"/>
  <c r="T22" i="18" s="1"/>
  <c r="D46" i="18"/>
  <c r="T11" i="18"/>
  <c r="R92" i="18"/>
  <c r="R93" i="18" s="1"/>
  <c r="R94" i="18" s="1"/>
  <c r="R95" i="18" s="1"/>
  <c r="R96" i="18" s="1"/>
  <c r="R97" i="18" s="1"/>
  <c r="R98" i="18" s="1"/>
  <c r="R99" i="18" s="1"/>
  <c r="R100" i="18" s="1"/>
  <c r="R101" i="18" s="1"/>
  <c r="R80" i="18"/>
  <c r="R81" i="18" s="1"/>
  <c r="R82" i="18" s="1"/>
  <c r="R83" i="18" s="1"/>
  <c r="R84" i="18" s="1"/>
  <c r="R85" i="18" s="1"/>
  <c r="R86" i="18" s="1"/>
  <c r="R87" i="18" s="1"/>
  <c r="R88" i="18" s="1"/>
  <c r="R89" i="18" s="1"/>
  <c r="R90" i="18" s="1"/>
  <c r="R91" i="18" s="1"/>
  <c r="R68" i="18"/>
  <c r="R69" i="18" s="1"/>
  <c r="R70" i="18" s="1"/>
  <c r="R71" i="18" s="1"/>
  <c r="R72" i="18" s="1"/>
  <c r="R73" i="18" s="1"/>
  <c r="R74" i="18" s="1"/>
  <c r="R75" i="18" s="1"/>
  <c r="R76" i="18" s="1"/>
  <c r="R77" i="18" s="1"/>
  <c r="R78" i="18" s="1"/>
  <c r="R79" i="18" s="1"/>
  <c r="R56" i="18"/>
  <c r="R57" i="18" s="1"/>
  <c r="R58" i="18" s="1"/>
  <c r="R59" i="18" s="1"/>
  <c r="R60" i="18" s="1"/>
  <c r="R61" i="18" s="1"/>
  <c r="R62" i="18" s="1"/>
  <c r="R63" i="18" s="1"/>
  <c r="R64" i="18" s="1"/>
  <c r="R65" i="18" s="1"/>
  <c r="R66" i="18" s="1"/>
  <c r="R67" i="18" s="1"/>
  <c r="R43" i="18"/>
  <c r="R44" i="18" s="1"/>
  <c r="R45" i="18" s="1"/>
  <c r="R26" i="18"/>
  <c r="R27" i="18" s="1"/>
  <c r="R28" i="18" s="1"/>
  <c r="R29" i="18" s="1"/>
  <c r="R30" i="18" s="1"/>
  <c r="R31" i="18" s="1"/>
  <c r="R32" i="18" s="1"/>
  <c r="R33" i="18" s="1"/>
  <c r="R34" i="18" s="1"/>
  <c r="R35" i="18" s="1"/>
  <c r="R36" i="18" s="1"/>
  <c r="R37" i="18" s="1"/>
  <c r="R38" i="18" s="1"/>
  <c r="R39" i="18" s="1"/>
  <c r="R40" i="18" s="1"/>
  <c r="R41" i="18" s="1"/>
  <c r="R42" i="18" s="1"/>
  <c r="R18" i="18"/>
  <c r="R19" i="18" s="1"/>
  <c r="R20" i="18" s="1"/>
  <c r="R21" i="18" s="1"/>
  <c r="R22" i="18" s="1"/>
  <c r="R23" i="18" s="1"/>
  <c r="R25" i="18" s="1"/>
  <c r="R3" i="18"/>
  <c r="R4" i="18" s="1"/>
  <c r="R5" i="18" s="1"/>
  <c r="R6" i="18" s="1"/>
  <c r="R7" i="18" s="1"/>
  <c r="R8" i="18" s="1"/>
  <c r="R9" i="18" s="1"/>
  <c r="R10" i="18" s="1"/>
  <c r="R11" i="18" s="1"/>
  <c r="R12" i="18" s="1"/>
  <c r="R13" i="18" s="1"/>
  <c r="R14" i="18" s="1"/>
  <c r="R15" i="18" s="1"/>
  <c r="R16" i="18" s="1"/>
  <c r="R17" i="18" s="1"/>
  <c r="E5" i="18"/>
  <c r="F5" i="18"/>
  <c r="G5" i="18"/>
  <c r="H5" i="18"/>
  <c r="I5" i="18"/>
  <c r="J5" i="18"/>
  <c r="K5" i="18"/>
  <c r="L5" i="18"/>
  <c r="M5" i="18"/>
  <c r="N5" i="18"/>
  <c r="O5" i="18"/>
  <c r="P5" i="18"/>
  <c r="E6" i="18"/>
  <c r="F6" i="18"/>
  <c r="G6" i="18"/>
  <c r="H6" i="18"/>
  <c r="I6" i="18"/>
  <c r="J6" i="18"/>
  <c r="K6" i="18"/>
  <c r="K7" i="18" s="1"/>
  <c r="K8" i="18" s="1"/>
  <c r="L6" i="18"/>
  <c r="M6" i="18"/>
  <c r="N6" i="18"/>
  <c r="O6" i="18"/>
  <c r="P6" i="18"/>
  <c r="C18" i="18"/>
  <c r="D21" i="18"/>
  <c r="D22" i="18"/>
  <c r="D23" i="18"/>
  <c r="D25" i="18" s="1"/>
  <c r="N7" i="18" l="1"/>
  <c r="N8" i="18" s="1"/>
  <c r="M7" i="18"/>
  <c r="M8" i="18" s="1"/>
  <c r="L7" i="18"/>
  <c r="L8" i="18" s="1"/>
  <c r="I7" i="18"/>
  <c r="I8" i="18" s="1"/>
  <c r="E7" i="18"/>
  <c r="E8" i="18" s="1"/>
  <c r="O7" i="18"/>
  <c r="O8" i="18" s="1"/>
  <c r="F7" i="18"/>
  <c r="F8" i="18" s="1"/>
  <c r="J7" i="18"/>
  <c r="J8" i="18" s="1"/>
  <c r="H7" i="18"/>
  <c r="H8" i="18" s="1"/>
  <c r="G7" i="18"/>
  <c r="P7" i="18"/>
  <c r="P8" i="18" s="1"/>
  <c r="U24" i="18"/>
  <c r="AD24" i="18" s="1"/>
  <c r="U25" i="18"/>
  <c r="AD25" i="18" s="1"/>
  <c r="U26" i="18"/>
  <c r="AD26" i="18" s="1"/>
  <c r="U27" i="18"/>
  <c r="AD27" i="18" s="1"/>
  <c r="U41" i="18"/>
  <c r="AD41" i="18" s="1"/>
  <c r="U42" i="18"/>
  <c r="AD42" i="18" s="1"/>
  <c r="U43" i="18"/>
  <c r="AD43" i="18" s="1"/>
  <c r="U44" i="18"/>
  <c r="AD44" i="18" s="1"/>
  <c r="U54" i="18"/>
  <c r="AD54" i="18" s="1"/>
  <c r="U55" i="18"/>
  <c r="AD55" i="18" s="1"/>
  <c r="U56" i="18"/>
  <c r="AD56" i="18" s="1"/>
  <c r="U57" i="18"/>
  <c r="AD57" i="18" s="1"/>
  <c r="U66" i="18"/>
  <c r="AD66" i="18" s="1"/>
  <c r="U67" i="18"/>
  <c r="AD67" i="18" s="1"/>
  <c r="U68" i="18"/>
  <c r="AD68" i="18" s="1"/>
  <c r="U69" i="18"/>
  <c r="AD69" i="18" s="1"/>
  <c r="U78" i="18"/>
  <c r="AD78" i="18" s="1"/>
  <c r="U79" i="18"/>
  <c r="AD79" i="18" s="1"/>
  <c r="U80" i="18"/>
  <c r="AD80" i="18" s="1"/>
  <c r="U81" i="18"/>
  <c r="AD81" i="18" s="1"/>
  <c r="U90" i="18"/>
  <c r="AD90" i="18" s="1"/>
  <c r="U91" i="18"/>
  <c r="AD91" i="18" s="1"/>
  <c r="U92" i="18"/>
  <c r="AD92" i="18" s="1"/>
  <c r="U93" i="18"/>
  <c r="AD93" i="18" s="1"/>
  <c r="U11" i="18"/>
  <c r="AD11" i="18" s="1"/>
  <c r="U16" i="18"/>
  <c r="AD16" i="18" s="1"/>
  <c r="U17" i="18"/>
  <c r="AD17" i="18" s="1"/>
  <c r="U18" i="18"/>
  <c r="AD18" i="18" s="1"/>
  <c r="U19" i="18"/>
  <c r="AD19" i="18" s="1"/>
  <c r="U22" i="18"/>
  <c r="AD22" i="18" s="1"/>
  <c r="D88" i="18"/>
  <c r="D77" i="18"/>
  <c r="T3" i="18"/>
  <c r="U3" i="18" s="1"/>
  <c r="AD3" i="18" s="1"/>
  <c r="D55" i="18"/>
  <c r="T20" i="18" s="1"/>
  <c r="U20" i="18" s="1"/>
  <c r="AD20" i="18" s="1"/>
  <c r="D29" i="18"/>
  <c r="D50" i="18" s="1"/>
  <c r="T15" i="18" s="1"/>
  <c r="U15" i="18" s="1"/>
  <c r="AD15" i="18" s="1"/>
  <c r="T36" i="18"/>
  <c r="U36" i="18" s="1"/>
  <c r="AD36" i="18" s="1"/>
  <c r="D62" i="18"/>
  <c r="D61" i="18"/>
  <c r="T28" i="18" s="1"/>
  <c r="U28" i="18" s="1"/>
  <c r="AD28" i="18" s="1"/>
  <c r="D33" i="18"/>
  <c r="D58" i="18"/>
  <c r="T23" i="18" s="1"/>
  <c r="U23" i="18" s="1"/>
  <c r="AD23" i="18" s="1"/>
  <c r="T12" i="18"/>
  <c r="U12" i="18" s="1"/>
  <c r="AD12" i="18" s="1"/>
  <c r="D48" i="18"/>
  <c r="T14" i="18" s="1"/>
  <c r="U14" i="18" s="1"/>
  <c r="AD14" i="18" s="1"/>
  <c r="D47" i="18"/>
  <c r="T13" i="18" s="1"/>
  <c r="U13" i="18" s="1"/>
  <c r="AD13" i="18" s="1"/>
  <c r="R47" i="18"/>
  <c r="R48" i="18" s="1"/>
  <c r="R49" i="18" s="1"/>
  <c r="R50" i="18" s="1"/>
  <c r="R51" i="18" s="1"/>
  <c r="R52" i="18" s="1"/>
  <c r="R53" i="18" s="1"/>
  <c r="R54" i="18" s="1"/>
  <c r="R55" i="18" s="1"/>
  <c r="R46" i="18"/>
  <c r="Z104" i="17"/>
  <c r="X104" i="17"/>
  <c r="V104" i="17"/>
  <c r="T104" i="17"/>
  <c r="S104" i="17"/>
  <c r="R104" i="17"/>
  <c r="P104" i="17"/>
  <c r="N104" i="17"/>
  <c r="L104" i="17"/>
  <c r="K104" i="17"/>
  <c r="I104" i="17"/>
  <c r="G104" i="17"/>
  <c r="E104" i="17"/>
  <c r="Z103" i="17"/>
  <c r="X103" i="17"/>
  <c r="V103" i="17"/>
  <c r="T103" i="17"/>
  <c r="S103" i="17"/>
  <c r="R103" i="17"/>
  <c r="P103" i="17"/>
  <c r="N103" i="17"/>
  <c r="L103" i="17"/>
  <c r="K103" i="17"/>
  <c r="I103" i="17"/>
  <c r="G103" i="17"/>
  <c r="E103" i="17"/>
  <c r="Z102" i="17"/>
  <c r="X102" i="17"/>
  <c r="V102" i="17"/>
  <c r="T102" i="17"/>
  <c r="S102" i="17"/>
  <c r="R102" i="17"/>
  <c r="P102" i="17"/>
  <c r="N102" i="17"/>
  <c r="K102" i="17"/>
  <c r="I102" i="17"/>
  <c r="G102" i="17"/>
  <c r="E102" i="17"/>
  <c r="Z101" i="17"/>
  <c r="X101" i="17"/>
  <c r="V101" i="17"/>
  <c r="T101" i="17"/>
  <c r="S101" i="17"/>
  <c r="R101" i="17"/>
  <c r="P101" i="17"/>
  <c r="N101" i="17"/>
  <c r="K101" i="17"/>
  <c r="I101" i="17"/>
  <c r="G101" i="17"/>
  <c r="E101" i="17"/>
  <c r="Z100" i="17"/>
  <c r="X100" i="17"/>
  <c r="V100" i="17"/>
  <c r="T100" i="17"/>
  <c r="S100" i="17"/>
  <c r="R100" i="17"/>
  <c r="P100" i="17"/>
  <c r="N100" i="17"/>
  <c r="K100" i="17"/>
  <c r="I100" i="17"/>
  <c r="G100" i="17"/>
  <c r="E100" i="17"/>
  <c r="Z99" i="17"/>
  <c r="X99" i="17"/>
  <c r="V99" i="17"/>
  <c r="T99" i="17"/>
  <c r="S99" i="17"/>
  <c r="R99" i="17"/>
  <c r="P99" i="17"/>
  <c r="N99" i="17"/>
  <c r="K99" i="17"/>
  <c r="I99" i="17"/>
  <c r="G99" i="17"/>
  <c r="E99" i="17"/>
  <c r="Z98" i="17"/>
  <c r="X98" i="17"/>
  <c r="V98" i="17"/>
  <c r="T98" i="17"/>
  <c r="S98" i="17"/>
  <c r="R98" i="17"/>
  <c r="P98" i="17"/>
  <c r="N98" i="17"/>
  <c r="K98" i="17"/>
  <c r="I98" i="17"/>
  <c r="G98" i="17"/>
  <c r="E98" i="17"/>
  <c r="Z97" i="17"/>
  <c r="X97" i="17"/>
  <c r="V97" i="17"/>
  <c r="T97" i="17"/>
  <c r="S97" i="17"/>
  <c r="R97" i="17"/>
  <c r="P97" i="17"/>
  <c r="N97" i="17"/>
  <c r="K97" i="17"/>
  <c r="I97" i="17"/>
  <c r="G97" i="17"/>
  <c r="E97" i="17"/>
  <c r="R96" i="17"/>
  <c r="P96" i="17"/>
  <c r="N96" i="17"/>
  <c r="K96" i="17"/>
  <c r="Z95" i="17"/>
  <c r="X95" i="17"/>
  <c r="V95" i="17"/>
  <c r="T95" i="17"/>
  <c r="S95" i="17"/>
  <c r="R95" i="17"/>
  <c r="P95" i="17"/>
  <c r="N95" i="17"/>
  <c r="K95" i="17"/>
  <c r="A95" i="17"/>
  <c r="A96" i="17" s="1"/>
  <c r="A97" i="17" s="1"/>
  <c r="A98" i="17" s="1"/>
  <c r="A99" i="17" s="1"/>
  <c r="A100" i="17" s="1"/>
  <c r="A101" i="17" s="1"/>
  <c r="A102" i="17" s="1"/>
  <c r="A103" i="17" s="1"/>
  <c r="A104" i="17" s="1"/>
  <c r="Z92" i="17"/>
  <c r="X92" i="17"/>
  <c r="V92" i="17"/>
  <c r="T92" i="17"/>
  <c r="S92" i="17"/>
  <c r="R92" i="17"/>
  <c r="P92" i="17"/>
  <c r="N92" i="17"/>
  <c r="K92" i="17"/>
  <c r="I92" i="17"/>
  <c r="G92" i="17"/>
  <c r="E92" i="17"/>
  <c r="Z91" i="17"/>
  <c r="X91" i="17"/>
  <c r="V91" i="17"/>
  <c r="T91" i="17"/>
  <c r="S91" i="17"/>
  <c r="R91" i="17"/>
  <c r="P91" i="17"/>
  <c r="N91" i="17"/>
  <c r="K91" i="17"/>
  <c r="I91" i="17"/>
  <c r="G91" i="17"/>
  <c r="E91" i="17"/>
  <c r="Z90" i="17"/>
  <c r="X90" i="17"/>
  <c r="V90" i="17"/>
  <c r="T90" i="17"/>
  <c r="S90" i="17"/>
  <c r="R90" i="17"/>
  <c r="P90" i="17"/>
  <c r="N90" i="17"/>
  <c r="K90" i="17"/>
  <c r="I90" i="17"/>
  <c r="G90" i="17"/>
  <c r="E90" i="17"/>
  <c r="Z89" i="17"/>
  <c r="X89" i="17"/>
  <c r="V89" i="17"/>
  <c r="T89" i="17"/>
  <c r="S89" i="17"/>
  <c r="R89" i="17"/>
  <c r="Q89" i="17"/>
  <c r="P89" i="17"/>
  <c r="O89" i="17"/>
  <c r="N89" i="17"/>
  <c r="M89" i="17"/>
  <c r="K89" i="17"/>
  <c r="Z88" i="17"/>
  <c r="X88" i="17"/>
  <c r="V88" i="17"/>
  <c r="T88" i="17"/>
  <c r="S88" i="17"/>
  <c r="R88" i="17"/>
  <c r="P88" i="17"/>
  <c r="N88" i="17"/>
  <c r="K88" i="17"/>
  <c r="I88" i="17"/>
  <c r="G88" i="17"/>
  <c r="E88" i="17"/>
  <c r="Z87" i="17"/>
  <c r="X87" i="17"/>
  <c r="V87" i="17"/>
  <c r="T87" i="17"/>
  <c r="S87" i="17"/>
  <c r="R87" i="17"/>
  <c r="P87" i="17"/>
  <c r="N87" i="17"/>
  <c r="K87" i="17"/>
  <c r="I87" i="17"/>
  <c r="G87" i="17"/>
  <c r="E87" i="17"/>
  <c r="Z86" i="17"/>
  <c r="X86" i="17"/>
  <c r="V86" i="17"/>
  <c r="T86" i="17"/>
  <c r="S86" i="17"/>
  <c r="R86" i="17"/>
  <c r="P86" i="17"/>
  <c r="N86" i="17"/>
  <c r="K86" i="17"/>
  <c r="I86" i="17"/>
  <c r="G86" i="17"/>
  <c r="E86" i="17"/>
  <c r="Z85" i="17"/>
  <c r="X85" i="17"/>
  <c r="V85" i="17"/>
  <c r="T85" i="17"/>
  <c r="S85" i="17"/>
  <c r="R85" i="17"/>
  <c r="P85" i="17"/>
  <c r="N85" i="17"/>
  <c r="K85" i="17"/>
  <c r="I85" i="17"/>
  <c r="G85" i="17"/>
  <c r="E85" i="17"/>
  <c r="R84" i="17"/>
  <c r="P84" i="17"/>
  <c r="N84" i="17"/>
  <c r="K84" i="17"/>
  <c r="Z83" i="17"/>
  <c r="X83" i="17"/>
  <c r="V83" i="17"/>
  <c r="T83" i="17"/>
  <c r="S83" i="17"/>
  <c r="R83" i="17"/>
  <c r="P83" i="17"/>
  <c r="N83" i="17"/>
  <c r="K83" i="17"/>
  <c r="A83" i="17"/>
  <c r="A84" i="17" s="1"/>
  <c r="A85" i="17" s="1"/>
  <c r="A86" i="17" s="1"/>
  <c r="A87" i="17" s="1"/>
  <c r="A88" i="17" s="1"/>
  <c r="A89" i="17" s="1"/>
  <c r="A90" i="17" s="1"/>
  <c r="A91" i="17" s="1"/>
  <c r="A92" i="17" s="1"/>
  <c r="A93" i="17" s="1"/>
  <c r="A94" i="17" s="1"/>
  <c r="Z80" i="17"/>
  <c r="X80" i="17"/>
  <c r="V80" i="17"/>
  <c r="T80" i="17"/>
  <c r="S80" i="17"/>
  <c r="R80" i="17"/>
  <c r="P80" i="17"/>
  <c r="N80" i="17"/>
  <c r="K80" i="17"/>
  <c r="I80" i="17"/>
  <c r="G80" i="17"/>
  <c r="E80" i="17"/>
  <c r="Z79" i="17"/>
  <c r="X79" i="17"/>
  <c r="V79" i="17"/>
  <c r="T79" i="17"/>
  <c r="S79" i="17"/>
  <c r="R79" i="17"/>
  <c r="P79" i="17"/>
  <c r="N79" i="17"/>
  <c r="K79" i="17"/>
  <c r="I79" i="17"/>
  <c r="G79" i="17"/>
  <c r="E79" i="17"/>
  <c r="Z78" i="17"/>
  <c r="X78" i="17"/>
  <c r="V78" i="17"/>
  <c r="T78" i="17"/>
  <c r="S78" i="17"/>
  <c r="R78" i="17"/>
  <c r="P78" i="17"/>
  <c r="N78" i="17"/>
  <c r="K78" i="17"/>
  <c r="I78" i="17"/>
  <c r="G78" i="17"/>
  <c r="E78" i="17"/>
  <c r="Z77" i="17"/>
  <c r="X77" i="17"/>
  <c r="V77" i="17"/>
  <c r="T77" i="17"/>
  <c r="S77" i="17"/>
  <c r="R77" i="17"/>
  <c r="Q77" i="17"/>
  <c r="P77" i="17"/>
  <c r="O77" i="17"/>
  <c r="N77" i="17"/>
  <c r="M77" i="17"/>
  <c r="K77" i="17"/>
  <c r="Z76" i="17"/>
  <c r="X76" i="17"/>
  <c r="V76" i="17"/>
  <c r="T76" i="17"/>
  <c r="S76" i="17"/>
  <c r="R76" i="17"/>
  <c r="P76" i="17"/>
  <c r="N76" i="17"/>
  <c r="K76" i="17"/>
  <c r="I76" i="17"/>
  <c r="G76" i="17"/>
  <c r="E76" i="17"/>
  <c r="Z75" i="17"/>
  <c r="X75" i="17"/>
  <c r="V75" i="17"/>
  <c r="T75" i="17"/>
  <c r="S75" i="17"/>
  <c r="R75" i="17"/>
  <c r="P75" i="17"/>
  <c r="N75" i="17"/>
  <c r="K75" i="17"/>
  <c r="I75" i="17"/>
  <c r="G75" i="17"/>
  <c r="E75" i="17"/>
  <c r="Z74" i="17"/>
  <c r="X74" i="17"/>
  <c r="V74" i="17"/>
  <c r="T74" i="17"/>
  <c r="S74" i="17"/>
  <c r="R74" i="17"/>
  <c r="P74" i="17"/>
  <c r="N74" i="17"/>
  <c r="K74" i="17"/>
  <c r="I74" i="17"/>
  <c r="G74" i="17"/>
  <c r="E74" i="17"/>
  <c r="Z73" i="17"/>
  <c r="X73" i="17"/>
  <c r="V73" i="17"/>
  <c r="T73" i="17"/>
  <c r="S73" i="17"/>
  <c r="R73" i="17"/>
  <c r="P73" i="17"/>
  <c r="N73" i="17"/>
  <c r="K73" i="17"/>
  <c r="I73" i="17"/>
  <c r="G73" i="17"/>
  <c r="E73" i="17"/>
  <c r="R72" i="17"/>
  <c r="P72" i="17"/>
  <c r="N72" i="17"/>
  <c r="K72" i="17"/>
  <c r="Z71" i="17"/>
  <c r="X71" i="17"/>
  <c r="V71" i="17"/>
  <c r="T71" i="17"/>
  <c r="S71" i="17"/>
  <c r="R71" i="17"/>
  <c r="P71" i="17"/>
  <c r="N71" i="17"/>
  <c r="K71" i="17"/>
  <c r="A71" i="17"/>
  <c r="A72" i="17" s="1"/>
  <c r="A73" i="17" s="1"/>
  <c r="A74" i="17" s="1"/>
  <c r="A75" i="17" s="1"/>
  <c r="A76" i="17" s="1"/>
  <c r="A77" i="17" s="1"/>
  <c r="A78" i="17" s="1"/>
  <c r="A79" i="17" s="1"/>
  <c r="A80" i="17" s="1"/>
  <c r="A81" i="17" s="1"/>
  <c r="A82" i="17" s="1"/>
  <c r="Z68" i="17"/>
  <c r="X68" i="17"/>
  <c r="V68" i="17"/>
  <c r="T68" i="17"/>
  <c r="S68" i="17"/>
  <c r="R68" i="17"/>
  <c r="P68" i="17"/>
  <c r="N68" i="17"/>
  <c r="L68" i="17"/>
  <c r="K68" i="17"/>
  <c r="I68" i="17"/>
  <c r="G68" i="17"/>
  <c r="E68" i="17"/>
  <c r="Z67" i="17"/>
  <c r="X67" i="17"/>
  <c r="V67" i="17"/>
  <c r="T67" i="17"/>
  <c r="S67" i="17"/>
  <c r="R67" i="17"/>
  <c r="P67" i="17"/>
  <c r="N67" i="17"/>
  <c r="L67" i="17"/>
  <c r="K67" i="17"/>
  <c r="I67" i="17"/>
  <c r="G67" i="17"/>
  <c r="E67" i="17"/>
  <c r="Z66" i="17"/>
  <c r="X66" i="17"/>
  <c r="V66" i="17"/>
  <c r="T66" i="17"/>
  <c r="S66" i="17"/>
  <c r="R66" i="17"/>
  <c r="P66" i="17"/>
  <c r="N66" i="17"/>
  <c r="L66" i="17"/>
  <c r="K66" i="17"/>
  <c r="I66" i="17"/>
  <c r="G66" i="17"/>
  <c r="E66" i="17"/>
  <c r="Z65" i="17"/>
  <c r="X65" i="17"/>
  <c r="V65" i="17"/>
  <c r="T65" i="17"/>
  <c r="S65" i="17"/>
  <c r="R65" i="17"/>
  <c r="Q65" i="17"/>
  <c r="P65" i="17"/>
  <c r="O65" i="17"/>
  <c r="N65" i="17"/>
  <c r="M65" i="17"/>
  <c r="L65" i="17"/>
  <c r="K65" i="17"/>
  <c r="Z64" i="17"/>
  <c r="X64" i="17"/>
  <c r="V64" i="17"/>
  <c r="T64" i="17"/>
  <c r="S64" i="17"/>
  <c r="R64" i="17"/>
  <c r="P64" i="17"/>
  <c r="N64" i="17"/>
  <c r="L64" i="17"/>
  <c r="K64" i="17"/>
  <c r="I64" i="17"/>
  <c r="G64" i="17"/>
  <c r="E64" i="17"/>
  <c r="Z63" i="17"/>
  <c r="X63" i="17"/>
  <c r="V63" i="17"/>
  <c r="T63" i="17"/>
  <c r="S63" i="17"/>
  <c r="R63" i="17"/>
  <c r="P63" i="17"/>
  <c r="N63" i="17"/>
  <c r="L63" i="17"/>
  <c r="K63" i="17"/>
  <c r="I63" i="17"/>
  <c r="G63" i="17"/>
  <c r="E63" i="17"/>
  <c r="Z62" i="17"/>
  <c r="X62" i="17"/>
  <c r="V62" i="17"/>
  <c r="T62" i="17"/>
  <c r="S62" i="17"/>
  <c r="R62" i="17"/>
  <c r="P62" i="17"/>
  <c r="N62" i="17"/>
  <c r="L62" i="17"/>
  <c r="K62" i="17"/>
  <c r="I62" i="17"/>
  <c r="G62" i="17"/>
  <c r="E62" i="17"/>
  <c r="Z61" i="17"/>
  <c r="X61" i="17"/>
  <c r="V61" i="17"/>
  <c r="T61" i="17"/>
  <c r="S61" i="17"/>
  <c r="R61" i="17"/>
  <c r="P61" i="17"/>
  <c r="N61" i="17"/>
  <c r="L61" i="17"/>
  <c r="K61" i="17"/>
  <c r="I61" i="17"/>
  <c r="G61" i="17"/>
  <c r="E61" i="17"/>
  <c r="R60" i="17"/>
  <c r="P60" i="17"/>
  <c r="N60" i="17"/>
  <c r="L60" i="17"/>
  <c r="K60" i="17"/>
  <c r="Z59" i="17"/>
  <c r="X59" i="17"/>
  <c r="V59" i="17"/>
  <c r="T59" i="17"/>
  <c r="S59" i="17"/>
  <c r="R59" i="17"/>
  <c r="P59" i="17"/>
  <c r="N59" i="17"/>
  <c r="L59" i="17"/>
  <c r="K59" i="17"/>
  <c r="A59" i="17"/>
  <c r="A60" i="17" s="1"/>
  <c r="A61" i="17" s="1"/>
  <c r="A62" i="17" s="1"/>
  <c r="A63" i="17" s="1"/>
  <c r="A64" i="17" s="1"/>
  <c r="A65" i="17" s="1"/>
  <c r="A66" i="17" s="1"/>
  <c r="A67" i="17" s="1"/>
  <c r="A68" i="17" s="1"/>
  <c r="A69" i="17" s="1"/>
  <c r="A70" i="17" s="1"/>
  <c r="Z56" i="17"/>
  <c r="X56" i="17"/>
  <c r="V56" i="17"/>
  <c r="T56" i="17"/>
  <c r="S56" i="17"/>
  <c r="R56" i="17"/>
  <c r="P56" i="17"/>
  <c r="N56" i="17"/>
  <c r="L56" i="17"/>
  <c r="K56" i="17"/>
  <c r="I56" i="17"/>
  <c r="G56" i="17"/>
  <c r="E56" i="17"/>
  <c r="Z55" i="17"/>
  <c r="X55" i="17"/>
  <c r="V55" i="17"/>
  <c r="T55" i="17"/>
  <c r="S55" i="17"/>
  <c r="R55" i="17"/>
  <c r="P55" i="17"/>
  <c r="N55" i="17"/>
  <c r="L55" i="17"/>
  <c r="K55" i="17"/>
  <c r="I55" i="17"/>
  <c r="G55" i="17"/>
  <c r="E55" i="17"/>
  <c r="Z54" i="17"/>
  <c r="X54" i="17"/>
  <c r="V54" i="17"/>
  <c r="T54" i="17"/>
  <c r="S54" i="17"/>
  <c r="R54" i="17"/>
  <c r="P54" i="17"/>
  <c r="N54" i="17"/>
  <c r="L54" i="17"/>
  <c r="K54" i="17"/>
  <c r="I54" i="17"/>
  <c r="G54" i="17"/>
  <c r="E54" i="17"/>
  <c r="Z53" i="17"/>
  <c r="X53" i="17"/>
  <c r="V53" i="17"/>
  <c r="T53" i="17"/>
  <c r="S53" i="17"/>
  <c r="R53" i="17"/>
  <c r="P53" i="17"/>
  <c r="N53" i="17"/>
  <c r="L53" i="17"/>
  <c r="K53" i="17"/>
  <c r="I53" i="17"/>
  <c r="G53" i="17"/>
  <c r="E53" i="17"/>
  <c r="Z52" i="17"/>
  <c r="X52" i="17"/>
  <c r="V52" i="17"/>
  <c r="T52" i="17"/>
  <c r="S52" i="17"/>
  <c r="R52" i="17"/>
  <c r="P52" i="17"/>
  <c r="N52" i="17"/>
  <c r="L52" i="17"/>
  <c r="K52" i="17"/>
  <c r="I52" i="17"/>
  <c r="G52" i="17"/>
  <c r="E52" i="17"/>
  <c r="Z51" i="17"/>
  <c r="X51" i="17"/>
  <c r="V51" i="17"/>
  <c r="T51" i="17"/>
  <c r="S51" i="17"/>
  <c r="R51" i="17"/>
  <c r="P51" i="17"/>
  <c r="N51" i="17"/>
  <c r="L51" i="17"/>
  <c r="K51" i="17"/>
  <c r="I51" i="17"/>
  <c r="G51" i="17"/>
  <c r="E51" i="17"/>
  <c r="Z50" i="17"/>
  <c r="X50" i="17"/>
  <c r="V50" i="17"/>
  <c r="T50" i="17"/>
  <c r="S50" i="17"/>
  <c r="R50" i="17"/>
  <c r="P50" i="17"/>
  <c r="N50" i="17"/>
  <c r="L50" i="17"/>
  <c r="K50" i="17"/>
  <c r="I50" i="17"/>
  <c r="G50" i="17"/>
  <c r="E50" i="17"/>
  <c r="Z48" i="17"/>
  <c r="X48" i="17"/>
  <c r="V48" i="17"/>
  <c r="T48" i="17"/>
  <c r="S48" i="17"/>
  <c r="R48" i="17"/>
  <c r="P48" i="17"/>
  <c r="N48" i="17"/>
  <c r="L48" i="17"/>
  <c r="K48" i="17"/>
  <c r="I48" i="17"/>
  <c r="G48" i="17"/>
  <c r="E48" i="17"/>
  <c r="R47" i="17"/>
  <c r="P47" i="17"/>
  <c r="N47" i="17"/>
  <c r="L47" i="17"/>
  <c r="K47" i="17"/>
  <c r="R46" i="17"/>
  <c r="P46" i="17"/>
  <c r="N46" i="17"/>
  <c r="L46" i="17"/>
  <c r="K46" i="17"/>
  <c r="A46" i="17"/>
  <c r="A47" i="17" s="1"/>
  <c r="A48" i="17" s="1"/>
  <c r="Z43" i="17"/>
  <c r="X43" i="17"/>
  <c r="V43" i="17"/>
  <c r="T43" i="17"/>
  <c r="S43" i="17"/>
  <c r="R43" i="17"/>
  <c r="P43" i="17"/>
  <c r="N43" i="17"/>
  <c r="L43" i="17"/>
  <c r="K43" i="17"/>
  <c r="I43" i="17"/>
  <c r="G43" i="17"/>
  <c r="E43" i="17"/>
  <c r="Z42" i="17"/>
  <c r="X42" i="17"/>
  <c r="V42" i="17"/>
  <c r="T42" i="17"/>
  <c r="S42" i="17"/>
  <c r="R42" i="17"/>
  <c r="P42" i="17"/>
  <c r="N42" i="17"/>
  <c r="L42" i="17"/>
  <c r="K42" i="17"/>
  <c r="I42" i="17"/>
  <c r="G42" i="17"/>
  <c r="E42" i="17"/>
  <c r="Z41" i="17"/>
  <c r="X41" i="17"/>
  <c r="V41" i="17"/>
  <c r="T41" i="17"/>
  <c r="S41" i="17"/>
  <c r="R41" i="17"/>
  <c r="P41" i="17"/>
  <c r="N41" i="17"/>
  <c r="L41" i="17"/>
  <c r="K41" i="17"/>
  <c r="I41" i="17"/>
  <c r="G41" i="17"/>
  <c r="E41" i="17"/>
  <c r="Z40" i="17"/>
  <c r="X40" i="17"/>
  <c r="V40" i="17"/>
  <c r="T40" i="17"/>
  <c r="S40" i="17"/>
  <c r="R40" i="17"/>
  <c r="P40" i="17"/>
  <c r="N40" i="17"/>
  <c r="L40" i="17"/>
  <c r="K40" i="17"/>
  <c r="I40" i="17"/>
  <c r="G40" i="17"/>
  <c r="E40" i="17"/>
  <c r="AK39" i="17"/>
  <c r="Z39" i="17"/>
  <c r="X39" i="17"/>
  <c r="V39" i="17"/>
  <c r="T39" i="17"/>
  <c r="S39" i="17"/>
  <c r="R39" i="17"/>
  <c r="P39" i="17"/>
  <c r="N39" i="17"/>
  <c r="L39" i="17"/>
  <c r="K39" i="17"/>
  <c r="I39" i="17"/>
  <c r="G39" i="17"/>
  <c r="E39" i="17"/>
  <c r="AK38" i="17"/>
  <c r="Z38" i="17"/>
  <c r="X38" i="17"/>
  <c r="V38" i="17"/>
  <c r="T38" i="17"/>
  <c r="S38" i="17"/>
  <c r="R38" i="17"/>
  <c r="P38" i="17"/>
  <c r="N38" i="17"/>
  <c r="L38" i="17"/>
  <c r="K38" i="17"/>
  <c r="I38" i="17"/>
  <c r="G38" i="17"/>
  <c r="E38" i="17"/>
  <c r="Z37" i="17"/>
  <c r="X37" i="17"/>
  <c r="V37" i="17"/>
  <c r="T37" i="17"/>
  <c r="S37" i="17"/>
  <c r="R37" i="17"/>
  <c r="P37" i="17"/>
  <c r="N37" i="17"/>
  <c r="L37" i="17"/>
  <c r="K37" i="17"/>
  <c r="I37" i="17"/>
  <c r="G37" i="17"/>
  <c r="E37" i="17"/>
  <c r="Z36" i="17"/>
  <c r="X36" i="17"/>
  <c r="V36" i="17"/>
  <c r="T36" i="17"/>
  <c r="S36" i="17"/>
  <c r="R36" i="17"/>
  <c r="P36" i="17"/>
  <c r="N36" i="17"/>
  <c r="L36" i="17"/>
  <c r="K36" i="17"/>
  <c r="I36" i="17"/>
  <c r="G36" i="17"/>
  <c r="E36" i="17"/>
  <c r="Z35" i="17"/>
  <c r="X35" i="17"/>
  <c r="V35" i="17"/>
  <c r="T35" i="17"/>
  <c r="S35" i="17"/>
  <c r="R35" i="17"/>
  <c r="P35" i="17"/>
  <c r="N35" i="17"/>
  <c r="L35" i="17"/>
  <c r="K35" i="17"/>
  <c r="I35" i="17"/>
  <c r="G35" i="17"/>
  <c r="E35" i="17"/>
  <c r="Z34" i="17"/>
  <c r="X34" i="17"/>
  <c r="V34" i="17"/>
  <c r="T34" i="17"/>
  <c r="S34" i="17"/>
  <c r="R34" i="17"/>
  <c r="P34" i="17"/>
  <c r="N34" i="17"/>
  <c r="L34" i="17"/>
  <c r="K34" i="17"/>
  <c r="I34" i="17"/>
  <c r="G34" i="17"/>
  <c r="E34" i="17"/>
  <c r="Z33" i="17"/>
  <c r="X33" i="17"/>
  <c r="V33" i="17"/>
  <c r="T33" i="17"/>
  <c r="S33" i="17"/>
  <c r="R33" i="17"/>
  <c r="P33" i="17"/>
  <c r="N33" i="17"/>
  <c r="L33" i="17"/>
  <c r="K33" i="17"/>
  <c r="I33" i="17"/>
  <c r="G33" i="17"/>
  <c r="E33" i="17"/>
  <c r="Z32" i="17"/>
  <c r="X32" i="17"/>
  <c r="V32" i="17"/>
  <c r="T32" i="17"/>
  <c r="S32" i="17"/>
  <c r="R32" i="17"/>
  <c r="P32" i="17"/>
  <c r="N32" i="17"/>
  <c r="L32" i="17"/>
  <c r="K32" i="17"/>
  <c r="I32" i="17"/>
  <c r="G32" i="17"/>
  <c r="E32" i="17"/>
  <c r="Z31" i="17"/>
  <c r="X31" i="17"/>
  <c r="V31" i="17"/>
  <c r="T31" i="17"/>
  <c r="S31" i="17"/>
  <c r="R31" i="17"/>
  <c r="P31" i="17"/>
  <c r="N31" i="17"/>
  <c r="L31" i="17"/>
  <c r="K31" i="17"/>
  <c r="I31" i="17"/>
  <c r="G31" i="17"/>
  <c r="E31" i="17"/>
  <c r="R30" i="17"/>
  <c r="P30" i="17"/>
  <c r="N30" i="17"/>
  <c r="L30" i="17"/>
  <c r="K30" i="17"/>
  <c r="Z29" i="17"/>
  <c r="Z46" i="17" s="1"/>
  <c r="X29" i="17"/>
  <c r="X46" i="17" s="1"/>
  <c r="V29" i="17"/>
  <c r="V46" i="17" s="1"/>
  <c r="T29" i="17"/>
  <c r="T46" i="17" s="1"/>
  <c r="S29" i="17"/>
  <c r="S46" i="17" s="1"/>
  <c r="R29" i="17"/>
  <c r="P29" i="17"/>
  <c r="N29" i="17"/>
  <c r="L29" i="17"/>
  <c r="K29" i="17"/>
  <c r="A29" i="17"/>
  <c r="A30" i="17" s="1"/>
  <c r="A31" i="17" s="1"/>
  <c r="A32" i="17" s="1"/>
  <c r="A33" i="17" s="1"/>
  <c r="A34" i="17" s="1"/>
  <c r="A35" i="17" s="1"/>
  <c r="A36" i="17" s="1"/>
  <c r="A37" i="17" s="1"/>
  <c r="A38" i="17" s="1"/>
  <c r="A39" i="17" s="1"/>
  <c r="A40" i="17" s="1"/>
  <c r="A41" i="17" s="1"/>
  <c r="A42" i="17" s="1"/>
  <c r="A43" i="17" s="1"/>
  <c r="A44" i="17" s="1"/>
  <c r="A45" i="17" s="1"/>
  <c r="Z26" i="17"/>
  <c r="X26" i="17"/>
  <c r="V26" i="17"/>
  <c r="T26" i="17"/>
  <c r="S26" i="17"/>
  <c r="R26" i="17"/>
  <c r="P26" i="17"/>
  <c r="N26" i="17"/>
  <c r="L26" i="17"/>
  <c r="K26" i="17"/>
  <c r="I26" i="17"/>
  <c r="G26" i="17"/>
  <c r="E26" i="17"/>
  <c r="Z25" i="17"/>
  <c r="X25" i="17"/>
  <c r="V25" i="17"/>
  <c r="T25" i="17"/>
  <c r="S25" i="17"/>
  <c r="R25" i="17"/>
  <c r="P25" i="17"/>
  <c r="N25" i="17"/>
  <c r="L25" i="17"/>
  <c r="K25" i="17"/>
  <c r="I25" i="17"/>
  <c r="G25" i="17"/>
  <c r="E25" i="17"/>
  <c r="Z24" i="17"/>
  <c r="X24" i="17"/>
  <c r="V24" i="17"/>
  <c r="T24" i="17"/>
  <c r="S24" i="17"/>
  <c r="R24" i="17"/>
  <c r="P24" i="17"/>
  <c r="N24" i="17"/>
  <c r="L24" i="17"/>
  <c r="K24" i="17"/>
  <c r="I24" i="17"/>
  <c r="G24" i="17"/>
  <c r="E24" i="17"/>
  <c r="Z23" i="17"/>
  <c r="X23" i="17"/>
  <c r="V23" i="17"/>
  <c r="T23" i="17"/>
  <c r="S23" i="17"/>
  <c r="R23" i="17"/>
  <c r="P23" i="17"/>
  <c r="N23" i="17"/>
  <c r="L23" i="17"/>
  <c r="K23" i="17"/>
  <c r="I23" i="17"/>
  <c r="G23" i="17"/>
  <c r="E23" i="17"/>
  <c r="R22" i="17"/>
  <c r="P22" i="17"/>
  <c r="N22" i="17"/>
  <c r="L22" i="17"/>
  <c r="K22" i="17"/>
  <c r="R21" i="17"/>
  <c r="P21" i="17"/>
  <c r="N21" i="17"/>
  <c r="L21" i="17"/>
  <c r="K21" i="17"/>
  <c r="A21" i="17"/>
  <c r="A22" i="17" s="1"/>
  <c r="A23" i="17" s="1"/>
  <c r="A24" i="17" s="1"/>
  <c r="A25" i="17" s="1"/>
  <c r="A26" i="17" s="1"/>
  <c r="A27" i="17" s="1"/>
  <c r="A28" i="17" s="1"/>
  <c r="AS18" i="17"/>
  <c r="AR18" i="17"/>
  <c r="AQ18" i="17"/>
  <c r="AP18" i="17"/>
  <c r="AO18" i="17"/>
  <c r="Z18" i="17"/>
  <c r="X18" i="17"/>
  <c r="V18" i="17"/>
  <c r="T18" i="17"/>
  <c r="S18" i="17"/>
  <c r="R18" i="17"/>
  <c r="P18" i="17"/>
  <c r="N18" i="17"/>
  <c r="L18" i="17"/>
  <c r="K18" i="17"/>
  <c r="I18" i="17"/>
  <c r="G18" i="17"/>
  <c r="E18" i="17"/>
  <c r="AS17" i="17"/>
  <c r="AR17" i="17"/>
  <c r="AQ17" i="17"/>
  <c r="AP17" i="17"/>
  <c r="AO17" i="17"/>
  <c r="Z17" i="17"/>
  <c r="X17" i="17"/>
  <c r="V17" i="17"/>
  <c r="T17" i="17"/>
  <c r="S17" i="17"/>
  <c r="R17" i="17"/>
  <c r="P17" i="17"/>
  <c r="N17" i="17"/>
  <c r="L17" i="17"/>
  <c r="K17" i="17"/>
  <c r="I17" i="17"/>
  <c r="G17" i="17"/>
  <c r="E17" i="17"/>
  <c r="AS16" i="17"/>
  <c r="AR16" i="17"/>
  <c r="AQ16" i="17"/>
  <c r="AP16" i="17"/>
  <c r="AO16" i="17"/>
  <c r="Z16" i="17"/>
  <c r="X16" i="17"/>
  <c r="V16" i="17"/>
  <c r="T16" i="17"/>
  <c r="S16" i="17"/>
  <c r="R16" i="17"/>
  <c r="P16" i="17"/>
  <c r="N16" i="17"/>
  <c r="L16" i="17"/>
  <c r="K16" i="17"/>
  <c r="I16" i="17"/>
  <c r="G16" i="17"/>
  <c r="E16" i="17"/>
  <c r="AS15" i="17"/>
  <c r="AR15" i="17"/>
  <c r="AQ15" i="17"/>
  <c r="AP15" i="17"/>
  <c r="AO15" i="17"/>
  <c r="Z15" i="17"/>
  <c r="X15" i="17"/>
  <c r="V15" i="17"/>
  <c r="T15" i="17"/>
  <c r="S15" i="17"/>
  <c r="R15" i="17"/>
  <c r="P15" i="17"/>
  <c r="N15" i="17"/>
  <c r="L15" i="17"/>
  <c r="K15" i="17"/>
  <c r="I15" i="17"/>
  <c r="G15" i="17"/>
  <c r="E15" i="17"/>
  <c r="AZ14" i="17"/>
  <c r="AO14" i="17"/>
  <c r="AJ14" i="17"/>
  <c r="Z14" i="17"/>
  <c r="X14" i="17"/>
  <c r="V14" i="17"/>
  <c r="T14" i="17"/>
  <c r="S14" i="17"/>
  <c r="R14" i="17"/>
  <c r="P14" i="17"/>
  <c r="N14" i="17"/>
  <c r="L14" i="17"/>
  <c r="K14" i="17"/>
  <c r="I14" i="17"/>
  <c r="G14" i="17"/>
  <c r="E14" i="17"/>
  <c r="AS13" i="17"/>
  <c r="AR13" i="17"/>
  <c r="AQ13" i="17"/>
  <c r="AP13" i="17"/>
  <c r="AO13" i="17"/>
  <c r="Z13" i="17"/>
  <c r="X13" i="17"/>
  <c r="V13" i="17"/>
  <c r="T13" i="17"/>
  <c r="S13" i="17"/>
  <c r="R13" i="17"/>
  <c r="P13" i="17"/>
  <c r="N13" i="17"/>
  <c r="L13" i="17"/>
  <c r="K13" i="17"/>
  <c r="I13" i="17"/>
  <c r="G13" i="17"/>
  <c r="E13" i="17"/>
  <c r="AS12" i="17"/>
  <c r="AR12" i="17"/>
  <c r="AQ12" i="17"/>
  <c r="AP12" i="17"/>
  <c r="AO12" i="17"/>
  <c r="Z12" i="17"/>
  <c r="X12" i="17"/>
  <c r="V12" i="17"/>
  <c r="T12" i="17"/>
  <c r="S12" i="17"/>
  <c r="R12" i="17"/>
  <c r="P12" i="17"/>
  <c r="N12" i="17"/>
  <c r="L12" i="17"/>
  <c r="K12" i="17"/>
  <c r="I12" i="17"/>
  <c r="G12" i="17"/>
  <c r="E12" i="17"/>
  <c r="AS11" i="17"/>
  <c r="AR11" i="17"/>
  <c r="AQ11" i="17"/>
  <c r="AP11" i="17"/>
  <c r="AO11" i="17"/>
  <c r="Z11" i="17"/>
  <c r="X11" i="17"/>
  <c r="V11" i="17"/>
  <c r="T11" i="17"/>
  <c r="S11" i="17"/>
  <c r="R11" i="17"/>
  <c r="P11" i="17"/>
  <c r="N11" i="17"/>
  <c r="L11" i="17"/>
  <c r="K11" i="17"/>
  <c r="I11" i="17"/>
  <c r="G11" i="17"/>
  <c r="E11" i="17"/>
  <c r="AS10" i="17"/>
  <c r="AR10" i="17"/>
  <c r="AQ10" i="17"/>
  <c r="AP10" i="17"/>
  <c r="AO10" i="17"/>
  <c r="Z10" i="17"/>
  <c r="X10" i="17"/>
  <c r="V10" i="17"/>
  <c r="T10" i="17"/>
  <c r="S10" i="17"/>
  <c r="R10" i="17"/>
  <c r="P10" i="17"/>
  <c r="N10" i="17"/>
  <c r="L10" i="17"/>
  <c r="K10" i="17"/>
  <c r="I10" i="17"/>
  <c r="G10" i="17"/>
  <c r="E10" i="17"/>
  <c r="AS9" i="17"/>
  <c r="AR9" i="17"/>
  <c r="AQ9" i="17"/>
  <c r="AP9" i="17"/>
  <c r="AO9" i="17"/>
  <c r="Z9" i="17"/>
  <c r="X9" i="17"/>
  <c r="V9" i="17"/>
  <c r="T9" i="17"/>
  <c r="S9" i="17"/>
  <c r="R9" i="17"/>
  <c r="P9" i="17"/>
  <c r="N9" i="17"/>
  <c r="L9" i="17"/>
  <c r="K9" i="17"/>
  <c r="I9" i="17"/>
  <c r="G9" i="17"/>
  <c r="E9" i="17"/>
  <c r="AS8" i="17"/>
  <c r="AR8" i="17"/>
  <c r="AQ8" i="17"/>
  <c r="AP8" i="17"/>
  <c r="AO8" i="17"/>
  <c r="Z8" i="17"/>
  <c r="X8" i="17"/>
  <c r="V8" i="17"/>
  <c r="T8" i="17"/>
  <c r="S8" i="17"/>
  <c r="R8" i="17"/>
  <c r="P8" i="17"/>
  <c r="N8" i="17"/>
  <c r="L8" i="17"/>
  <c r="K8" i="17"/>
  <c r="I8" i="17"/>
  <c r="G8" i="17"/>
  <c r="E8" i="17"/>
  <c r="AS7" i="17"/>
  <c r="AR7" i="17"/>
  <c r="AQ7" i="17"/>
  <c r="AP7" i="17"/>
  <c r="AO7" i="17"/>
  <c r="Z7" i="17"/>
  <c r="X7" i="17"/>
  <c r="V7" i="17"/>
  <c r="T7" i="17"/>
  <c r="S7" i="17"/>
  <c r="R7" i="17"/>
  <c r="P7" i="17"/>
  <c r="N7" i="17"/>
  <c r="L7" i="17"/>
  <c r="K7" i="17"/>
  <c r="I7" i="17"/>
  <c r="G7" i="17"/>
  <c r="E7" i="17"/>
  <c r="AS6" i="17"/>
  <c r="AR6" i="17"/>
  <c r="AQ6" i="17"/>
  <c r="AP6" i="17"/>
  <c r="AO6" i="17"/>
  <c r="Z6" i="17"/>
  <c r="X6" i="17"/>
  <c r="V6" i="17"/>
  <c r="T6" i="17"/>
  <c r="S6" i="17"/>
  <c r="R6" i="17"/>
  <c r="P6" i="17"/>
  <c r="N6" i="17"/>
  <c r="L6" i="17"/>
  <c r="K6" i="17"/>
  <c r="I6" i="17"/>
  <c r="G6" i="17"/>
  <c r="E6" i="17"/>
  <c r="A6" i="17"/>
  <c r="A7" i="17" s="1"/>
  <c r="A8" i="17" s="1"/>
  <c r="A9" i="17" s="1"/>
  <c r="A10" i="17" s="1"/>
  <c r="A11" i="17" s="1"/>
  <c r="A12" i="17" s="1"/>
  <c r="A13" i="17" s="1"/>
  <c r="A14" i="17" s="1"/>
  <c r="A15" i="17" s="1"/>
  <c r="A16" i="17" s="1"/>
  <c r="A17" i="17" s="1"/>
  <c r="A18" i="17" s="1"/>
  <c r="A19" i="17" s="1"/>
  <c r="A20" i="17" s="1"/>
  <c r="AM4" i="17"/>
  <c r="AS4" i="17" s="1"/>
  <c r="AL4" i="17"/>
  <c r="AR4" i="17" s="1"/>
  <c r="AK4" i="17"/>
  <c r="AQ4" i="17" s="1"/>
  <c r="AJ4" i="17"/>
  <c r="AP4" i="17" s="1"/>
  <c r="AI4" i="17"/>
  <c r="AO4" i="17" s="1"/>
  <c r="Z4" i="17"/>
  <c r="Y4" i="17"/>
  <c r="X4" i="17"/>
  <c r="W4" i="17"/>
  <c r="V4" i="17"/>
  <c r="U4" i="17"/>
  <c r="T4" i="17"/>
  <c r="S4" i="17"/>
  <c r="R4" i="17"/>
  <c r="Q4" i="17"/>
  <c r="P4" i="17"/>
  <c r="O4" i="17"/>
  <c r="N4" i="17"/>
  <c r="M4" i="17"/>
  <c r="L4" i="17"/>
  <c r="K4" i="17"/>
  <c r="T4" i="18" l="1"/>
  <c r="U4" i="18" s="1"/>
  <c r="AD4" i="18" s="1"/>
  <c r="AE4" i="18" s="1"/>
  <c r="K7" i="6" s="1"/>
  <c r="E10" i="18"/>
  <c r="G8" i="18"/>
  <c r="E9" i="18" s="1"/>
  <c r="AL13" i="18"/>
  <c r="R16" i="6" s="1"/>
  <c r="AK13" i="18"/>
  <c r="Q16" i="6" s="1"/>
  <c r="AJ13" i="18"/>
  <c r="P16" i="6" s="1"/>
  <c r="AI13" i="18"/>
  <c r="O16" i="6" s="1"/>
  <c r="AH13" i="18"/>
  <c r="N16" i="6" s="1"/>
  <c r="AG13" i="18"/>
  <c r="M16" i="6" s="1"/>
  <c r="AF13" i="18"/>
  <c r="L16" i="6" s="1"/>
  <c r="AE13" i="18"/>
  <c r="K16" i="6" s="1"/>
  <c r="AL14" i="18"/>
  <c r="R17" i="6" s="1"/>
  <c r="AK14" i="18"/>
  <c r="Q17" i="6" s="1"/>
  <c r="AJ14" i="18"/>
  <c r="P17" i="6" s="1"/>
  <c r="AI14" i="18"/>
  <c r="O17" i="6" s="1"/>
  <c r="AH14" i="18"/>
  <c r="N17" i="6" s="1"/>
  <c r="AG14" i="18"/>
  <c r="M17" i="6" s="1"/>
  <c r="AF14" i="18"/>
  <c r="L17" i="6" s="1"/>
  <c r="AE14" i="18"/>
  <c r="K17" i="6" s="1"/>
  <c r="AL12" i="18"/>
  <c r="R15" i="6" s="1"/>
  <c r="AK12" i="18"/>
  <c r="Q15" i="6" s="1"/>
  <c r="AJ12" i="18"/>
  <c r="P15" i="6" s="1"/>
  <c r="AI28" i="8" s="1" a="1"/>
  <c r="AI28" i="8" s="1"/>
  <c r="AI12" i="18"/>
  <c r="O15" i="6" s="1"/>
  <c r="AH28" i="8" s="1" a="1"/>
  <c r="AH28" i="8" s="1"/>
  <c r="AH12" i="18"/>
  <c r="N15" i="6" s="1"/>
  <c r="AG28" i="8" s="1" a="1"/>
  <c r="AG28" i="8" s="1"/>
  <c r="AG12" i="18"/>
  <c r="M15" i="6" s="1"/>
  <c r="AF12" i="18"/>
  <c r="L15" i="6" s="1"/>
  <c r="AE12" i="18"/>
  <c r="K15" i="6" s="1"/>
  <c r="AL23" i="18"/>
  <c r="R26" i="6" s="1"/>
  <c r="AJ50" i="8" s="1" a="1"/>
  <c r="AJ50" i="8" s="1"/>
  <c r="AK23" i="18"/>
  <c r="Q26" i="6" s="1"/>
  <c r="AJ23" i="18"/>
  <c r="P26" i="6" s="1"/>
  <c r="AI50" i="8" s="1" a="1"/>
  <c r="AI50" i="8" s="1"/>
  <c r="AI23" i="18"/>
  <c r="O26" i="6" s="1"/>
  <c r="AH50" i="8" s="1" a="1"/>
  <c r="AH50" i="8" s="1"/>
  <c r="AH23" i="18"/>
  <c r="N26" i="6" s="1"/>
  <c r="AG50" i="8" s="1" a="1"/>
  <c r="AG50" i="8" s="1"/>
  <c r="AG23" i="18"/>
  <c r="M26" i="6" s="1"/>
  <c r="AF23" i="18"/>
  <c r="L26" i="6" s="1"/>
  <c r="AE23" i="18"/>
  <c r="K26" i="6" s="1"/>
  <c r="AL28" i="18"/>
  <c r="R31" i="6" s="1"/>
  <c r="AK28" i="18"/>
  <c r="Q31" i="6" s="1"/>
  <c r="AJ28" i="18"/>
  <c r="P31" i="6" s="1"/>
  <c r="AI28" i="18"/>
  <c r="O31" i="6" s="1"/>
  <c r="AH28" i="18"/>
  <c r="N31" i="6" s="1"/>
  <c r="AG28" i="18"/>
  <c r="M31" i="6" s="1"/>
  <c r="AF28" i="18"/>
  <c r="L31" i="6" s="1"/>
  <c r="AE28" i="18"/>
  <c r="K31" i="6" s="1"/>
  <c r="AL36" i="18"/>
  <c r="R39" i="6" s="1"/>
  <c r="AK36" i="18"/>
  <c r="Q39" i="6" s="1"/>
  <c r="AJ36" i="18"/>
  <c r="P39" i="6" s="1"/>
  <c r="AI36" i="18"/>
  <c r="O39" i="6" s="1"/>
  <c r="AH36" i="18"/>
  <c r="N39" i="6" s="1"/>
  <c r="AG36" i="18"/>
  <c r="M39" i="6" s="1"/>
  <c r="AF36" i="18"/>
  <c r="L39" i="6" s="1"/>
  <c r="AE36" i="18"/>
  <c r="K39" i="6" s="1"/>
  <c r="AL22" i="18"/>
  <c r="R25" i="6" s="1"/>
  <c r="AK22" i="18"/>
  <c r="Q25" i="6" s="1"/>
  <c r="AJ22" i="18"/>
  <c r="P25" i="6" s="1"/>
  <c r="AI22" i="18"/>
  <c r="O25" i="6" s="1"/>
  <c r="AH22" i="18"/>
  <c r="N25" i="6" s="1"/>
  <c r="AG22" i="18"/>
  <c r="M25" i="6" s="1"/>
  <c r="AF22" i="18"/>
  <c r="L25" i="6" s="1"/>
  <c r="AE22" i="18"/>
  <c r="K25" i="6" s="1"/>
  <c r="AL11" i="18"/>
  <c r="R14" i="6" s="1"/>
  <c r="AK11" i="18"/>
  <c r="Q14" i="6" s="1"/>
  <c r="AJ11" i="18"/>
  <c r="P14" i="6" s="1"/>
  <c r="AI11" i="18"/>
  <c r="O14" i="6" s="1"/>
  <c r="AH11" i="18"/>
  <c r="N14" i="6" s="1"/>
  <c r="AG11" i="18"/>
  <c r="M14" i="6" s="1"/>
  <c r="AF11" i="18"/>
  <c r="L14" i="6" s="1"/>
  <c r="AE11" i="18"/>
  <c r="K14" i="6" s="1"/>
  <c r="AL4" i="18"/>
  <c r="R7" i="6" s="1"/>
  <c r="AK4" i="18"/>
  <c r="Q7" i="6" s="1"/>
  <c r="AJ4" i="18"/>
  <c r="P7" i="6" s="1"/>
  <c r="AI4" i="18"/>
  <c r="O7" i="6" s="1"/>
  <c r="AH4" i="18"/>
  <c r="N7" i="6" s="1"/>
  <c r="AG4" i="18"/>
  <c r="M7" i="6" s="1"/>
  <c r="AF4" i="18"/>
  <c r="L7" i="6" s="1"/>
  <c r="AL15" i="18"/>
  <c r="R18" i="6" s="1"/>
  <c r="AJ29" i="8" s="1" a="1"/>
  <c r="AJ29" i="8" s="1"/>
  <c r="AK15" i="18"/>
  <c r="Q18" i="6" s="1"/>
  <c r="AJ15" i="18"/>
  <c r="P18" i="6" s="1"/>
  <c r="AI29" i="8" s="1" a="1"/>
  <c r="AI29" i="8" s="1"/>
  <c r="AI15" i="18"/>
  <c r="O18" i="6" s="1"/>
  <c r="AH29" i="8" s="1" a="1"/>
  <c r="AH29" i="8" s="1"/>
  <c r="AH15" i="18"/>
  <c r="N18" i="6" s="1"/>
  <c r="AG29" i="8" s="1" a="1"/>
  <c r="AG29" i="8" s="1"/>
  <c r="AG15" i="18"/>
  <c r="M18" i="6" s="1"/>
  <c r="AF15" i="18"/>
  <c r="L18" i="6" s="1"/>
  <c r="AE15" i="18"/>
  <c r="K18" i="6" s="1"/>
  <c r="AL20" i="18"/>
  <c r="R23" i="6" s="1"/>
  <c r="AK20" i="18"/>
  <c r="Q23" i="6" s="1"/>
  <c r="AJ20" i="18"/>
  <c r="P23" i="6" s="1"/>
  <c r="AI20" i="18"/>
  <c r="O23" i="6" s="1"/>
  <c r="AH20" i="18"/>
  <c r="N23" i="6" s="1"/>
  <c r="AG20" i="18"/>
  <c r="M23" i="6" s="1"/>
  <c r="AF20" i="18"/>
  <c r="L23" i="6" s="1"/>
  <c r="AE20" i="18"/>
  <c r="K23" i="6" s="1"/>
  <c r="AL3" i="18"/>
  <c r="R6" i="6" s="1"/>
  <c r="AK3" i="18"/>
  <c r="Q6" i="6" s="1"/>
  <c r="AJ3" i="18"/>
  <c r="P6" i="6" s="1"/>
  <c r="AI3" i="18"/>
  <c r="O6" i="6" s="1"/>
  <c r="AH3" i="18"/>
  <c r="N6" i="6" s="1"/>
  <c r="AG3" i="18"/>
  <c r="M6" i="6" s="1"/>
  <c r="AF3" i="18"/>
  <c r="L6" i="6" s="1"/>
  <c r="AE3" i="18"/>
  <c r="K6" i="6" s="1"/>
  <c r="T45" i="18"/>
  <c r="U45" i="18" s="1"/>
  <c r="AD45" i="18" s="1"/>
  <c r="D79" i="18"/>
  <c r="T47" i="18" s="1"/>
  <c r="U47" i="18" s="1"/>
  <c r="AD47" i="18" s="1"/>
  <c r="D80" i="18"/>
  <c r="T48" i="18" s="1"/>
  <c r="U48" i="18" s="1"/>
  <c r="AD48" i="18" s="1"/>
  <c r="D81" i="18"/>
  <c r="T49" i="18" s="1"/>
  <c r="U49" i="18" s="1"/>
  <c r="AD49" i="18" s="1"/>
  <c r="D82" i="18"/>
  <c r="T50" i="18" s="1"/>
  <c r="U50" i="18" s="1"/>
  <c r="AD50" i="18" s="1"/>
  <c r="D83" i="18"/>
  <c r="T51" i="18" s="1"/>
  <c r="U51" i="18" s="1"/>
  <c r="AD51" i="18" s="1"/>
  <c r="D84" i="18"/>
  <c r="T52" i="18" s="1"/>
  <c r="U52" i="18" s="1"/>
  <c r="AD52" i="18" s="1"/>
  <c r="D85" i="18"/>
  <c r="T53" i="18" s="1"/>
  <c r="U53" i="18" s="1"/>
  <c r="AD53" i="18" s="1"/>
  <c r="D78" i="18"/>
  <c r="T46" i="18" s="1"/>
  <c r="U46" i="18" s="1"/>
  <c r="AD46" i="18" s="1"/>
  <c r="D124" i="18"/>
  <c r="T94" i="18" s="1"/>
  <c r="U94" i="18" s="1"/>
  <c r="AD94" i="18" s="1"/>
  <c r="D112" i="18"/>
  <c r="T82" i="18" s="1"/>
  <c r="U82" i="18" s="1"/>
  <c r="AD82" i="18" s="1"/>
  <c r="D100" i="18"/>
  <c r="T70" i="18" s="1"/>
  <c r="U70" i="18" s="1"/>
  <c r="AD70" i="18" s="1"/>
  <c r="T58" i="18"/>
  <c r="U58" i="18" s="1"/>
  <c r="AD58" i="18" s="1"/>
  <c r="D90" i="18"/>
  <c r="D91" i="18"/>
  <c r="D93" i="18"/>
  <c r="D94" i="18"/>
  <c r="D95" i="18"/>
  <c r="D89" i="18"/>
  <c r="D56" i="18"/>
  <c r="T21" i="18" s="1"/>
  <c r="U21" i="18" s="1"/>
  <c r="AD21" i="18" s="1"/>
  <c r="D37" i="18"/>
  <c r="D35" i="18"/>
  <c r="T5" i="18"/>
  <c r="U5" i="18" s="1"/>
  <c r="AD5" i="18" s="1"/>
  <c r="D73" i="18"/>
  <c r="T40" i="18" s="1"/>
  <c r="U40" i="18" s="1"/>
  <c r="AD40" i="18" s="1"/>
  <c r="T29" i="18"/>
  <c r="U29" i="18" s="1"/>
  <c r="AD29" i="18" s="1"/>
  <c r="T30" i="18"/>
  <c r="U30" i="18" s="1"/>
  <c r="AD30" i="18" s="1"/>
  <c r="D65" i="18"/>
  <c r="D64" i="18"/>
  <c r="U6" i="17"/>
  <c r="M6" i="17"/>
  <c r="W6" i="17"/>
  <c r="O6" i="17"/>
  <c r="Y6" i="17"/>
  <c r="Q6" i="17"/>
  <c r="U7" i="17"/>
  <c r="M7" i="17"/>
  <c r="W7" i="17"/>
  <c r="O7" i="17"/>
  <c r="Y7" i="17"/>
  <c r="Q7" i="17"/>
  <c r="U8" i="17"/>
  <c r="M8" i="17"/>
  <c r="W8" i="17"/>
  <c r="O8" i="17"/>
  <c r="Y8" i="17"/>
  <c r="Q8" i="17"/>
  <c r="U9" i="17"/>
  <c r="M9" i="17"/>
  <c r="W9" i="17"/>
  <c r="O9" i="17"/>
  <c r="Y9" i="17"/>
  <c r="Q9" i="17"/>
  <c r="U10" i="17"/>
  <c r="M10" i="17"/>
  <c r="W10" i="17"/>
  <c r="O10" i="17"/>
  <c r="Y10" i="17"/>
  <c r="Q10" i="17"/>
  <c r="U11" i="17"/>
  <c r="M11" i="17"/>
  <c r="W11" i="17"/>
  <c r="O11" i="17"/>
  <c r="Y11" i="17"/>
  <c r="Q11" i="17"/>
  <c r="U12" i="17"/>
  <c r="M12" i="17"/>
  <c r="W12" i="17"/>
  <c r="O12" i="17"/>
  <c r="Y12" i="17"/>
  <c r="Q12" i="17"/>
  <c r="U13" i="17"/>
  <c r="M13" i="17"/>
  <c r="W13" i="17"/>
  <c r="O13" i="17"/>
  <c r="Y13" i="17"/>
  <c r="Q13" i="17"/>
  <c r="U14" i="17"/>
  <c r="M14" i="17"/>
  <c r="W14" i="17"/>
  <c r="O14" i="17"/>
  <c r="Y14" i="17"/>
  <c r="Q14" i="17"/>
  <c r="AP14" i="17"/>
  <c r="AK14" i="17"/>
  <c r="U15" i="17"/>
  <c r="M15" i="17"/>
  <c r="W15" i="17"/>
  <c r="O15" i="17"/>
  <c r="Y15" i="17"/>
  <c r="Q15" i="17"/>
  <c r="U16" i="17"/>
  <c r="M16" i="17"/>
  <c r="W16" i="17"/>
  <c r="O16" i="17"/>
  <c r="Y16" i="17"/>
  <c r="Q16" i="17"/>
  <c r="U17" i="17"/>
  <c r="M17" i="17"/>
  <c r="W17" i="17"/>
  <c r="O17" i="17"/>
  <c r="Y17" i="17"/>
  <c r="Q17" i="17"/>
  <c r="U18" i="17"/>
  <c r="M18" i="17"/>
  <c r="W18" i="17"/>
  <c r="O18" i="17"/>
  <c r="Y18" i="17"/>
  <c r="Q18" i="17"/>
  <c r="U23" i="17"/>
  <c r="M23" i="17"/>
  <c r="W23" i="17"/>
  <c r="O23" i="17"/>
  <c r="Y23" i="17"/>
  <c r="Q23" i="17"/>
  <c r="U24" i="17"/>
  <c r="M24" i="17"/>
  <c r="W24" i="17"/>
  <c r="O24" i="17"/>
  <c r="Y24" i="17"/>
  <c r="Q24" i="17"/>
  <c r="U25" i="17"/>
  <c r="M25" i="17"/>
  <c r="W25" i="17"/>
  <c r="O25" i="17"/>
  <c r="Y25" i="17"/>
  <c r="Q25" i="17"/>
  <c r="U26" i="17"/>
  <c r="M26" i="17"/>
  <c r="W26" i="17"/>
  <c r="O26" i="17"/>
  <c r="Y26" i="17"/>
  <c r="Q26" i="17"/>
  <c r="U31" i="17"/>
  <c r="M31" i="17"/>
  <c r="W31" i="17"/>
  <c r="O31" i="17"/>
  <c r="Y31" i="17"/>
  <c r="Q31" i="17"/>
  <c r="U32" i="17"/>
  <c r="M32" i="17"/>
  <c r="W32" i="17"/>
  <c r="O32" i="17"/>
  <c r="Y32" i="17"/>
  <c r="Q32" i="17"/>
  <c r="U33" i="17"/>
  <c r="M33" i="17"/>
  <c r="W33" i="17"/>
  <c r="O33" i="17"/>
  <c r="Y33" i="17"/>
  <c r="Q33" i="17"/>
  <c r="U34" i="17"/>
  <c r="M34" i="17"/>
  <c r="W34" i="17"/>
  <c r="O34" i="17"/>
  <c r="Y34" i="17"/>
  <c r="Q34" i="17"/>
  <c r="U35" i="17"/>
  <c r="M35" i="17"/>
  <c r="W35" i="17"/>
  <c r="O35" i="17"/>
  <c r="Y35" i="17"/>
  <c r="Q35" i="17"/>
  <c r="U36" i="17"/>
  <c r="M36" i="17"/>
  <c r="W36" i="17"/>
  <c r="O36" i="17"/>
  <c r="Y36" i="17"/>
  <c r="Q36" i="17"/>
  <c r="U37" i="17"/>
  <c r="M37" i="17"/>
  <c r="W37" i="17"/>
  <c r="O37" i="17"/>
  <c r="Y37" i="17"/>
  <c r="Q37" i="17"/>
  <c r="U38" i="17"/>
  <c r="M38" i="17"/>
  <c r="W38" i="17"/>
  <c r="O38" i="17"/>
  <c r="Y38" i="17"/>
  <c r="Q38" i="17"/>
  <c r="U39" i="17"/>
  <c r="M39" i="17"/>
  <c r="W39" i="17"/>
  <c r="O39" i="17"/>
  <c r="Y39" i="17"/>
  <c r="Q39" i="17"/>
  <c r="U40" i="17"/>
  <c r="M40" i="17"/>
  <c r="W40" i="17"/>
  <c r="O40" i="17"/>
  <c r="Y40" i="17"/>
  <c r="Q40" i="17"/>
  <c r="U41" i="17"/>
  <c r="M41" i="17"/>
  <c r="W41" i="17"/>
  <c r="O41" i="17"/>
  <c r="Y41" i="17"/>
  <c r="Q41" i="17"/>
  <c r="U42" i="17"/>
  <c r="M42" i="17"/>
  <c r="W42" i="17"/>
  <c r="O42" i="17"/>
  <c r="Y42" i="17"/>
  <c r="Q42" i="17"/>
  <c r="U43" i="17"/>
  <c r="M43" i="17"/>
  <c r="W43" i="17"/>
  <c r="O43" i="17"/>
  <c r="Y43" i="17"/>
  <c r="Q43" i="17"/>
  <c r="A50" i="17"/>
  <c r="A51" i="17" s="1"/>
  <c r="A52" i="17" s="1"/>
  <c r="A53" i="17" s="1"/>
  <c r="A54" i="17" s="1"/>
  <c r="A55" i="17" s="1"/>
  <c r="A56" i="17" s="1"/>
  <c r="A57" i="17" s="1"/>
  <c r="A58" i="17" s="1"/>
  <c r="A49" i="17"/>
  <c r="U48" i="17"/>
  <c r="M48" i="17"/>
  <c r="W48" i="17"/>
  <c r="O48" i="17"/>
  <c r="Y48" i="17"/>
  <c r="Q48" i="17"/>
  <c r="U50" i="17"/>
  <c r="M50" i="17"/>
  <c r="W50" i="17"/>
  <c r="O50" i="17"/>
  <c r="Y50" i="17"/>
  <c r="Q50" i="17"/>
  <c r="U51" i="17"/>
  <c r="M51" i="17"/>
  <c r="W51" i="17"/>
  <c r="O51" i="17"/>
  <c r="Y51" i="17"/>
  <c r="Q51" i="17"/>
  <c r="U52" i="17"/>
  <c r="M52" i="17"/>
  <c r="W52" i="17"/>
  <c r="O52" i="17"/>
  <c r="Y52" i="17"/>
  <c r="Q52" i="17"/>
  <c r="U53" i="17"/>
  <c r="M53" i="17"/>
  <c r="W53" i="17"/>
  <c r="O53" i="17"/>
  <c r="Y53" i="17"/>
  <c r="Q53" i="17"/>
  <c r="U54" i="17"/>
  <c r="M54" i="17"/>
  <c r="W54" i="17"/>
  <c r="O54" i="17"/>
  <c r="Y54" i="17"/>
  <c r="Q54" i="17"/>
  <c r="U55" i="17"/>
  <c r="M55" i="17"/>
  <c r="W55" i="17"/>
  <c r="O55" i="17"/>
  <c r="Y55" i="17"/>
  <c r="Q55" i="17"/>
  <c r="U56" i="17"/>
  <c r="M56" i="17"/>
  <c r="W56" i="17"/>
  <c r="O56" i="17"/>
  <c r="Y56" i="17"/>
  <c r="Q56" i="17"/>
  <c r="U65" i="17"/>
  <c r="U61" i="17"/>
  <c r="M61" i="17"/>
  <c r="W65" i="17"/>
  <c r="W61" i="17"/>
  <c r="O61" i="17"/>
  <c r="Y65" i="17"/>
  <c r="Y61" i="17"/>
  <c r="Q61" i="17"/>
  <c r="U62" i="17"/>
  <c r="M62" i="17"/>
  <c r="W62" i="17"/>
  <c r="O62" i="17"/>
  <c r="Y62" i="17"/>
  <c r="Q62" i="17"/>
  <c r="U63" i="17"/>
  <c r="M63" i="17"/>
  <c r="W63" i="17"/>
  <c r="O63" i="17"/>
  <c r="Y63" i="17"/>
  <c r="Q63" i="17"/>
  <c r="U64" i="17"/>
  <c r="M64" i="17"/>
  <c r="W64" i="17"/>
  <c r="O64" i="17"/>
  <c r="Y64" i="17"/>
  <c r="Q64" i="17"/>
  <c r="U66" i="17"/>
  <c r="M66" i="17"/>
  <c r="W66" i="17"/>
  <c r="O66" i="17"/>
  <c r="Y66" i="17"/>
  <c r="Q66" i="17"/>
  <c r="U67" i="17"/>
  <c r="M67" i="17"/>
  <c r="W67" i="17"/>
  <c r="O67" i="17"/>
  <c r="Y67" i="17"/>
  <c r="Q67" i="17"/>
  <c r="U68" i="17"/>
  <c r="M68" i="17"/>
  <c r="W68" i="17"/>
  <c r="O68" i="17"/>
  <c r="Y68" i="17"/>
  <c r="Q68" i="17"/>
  <c r="U77" i="17"/>
  <c r="U73" i="17"/>
  <c r="M73" i="17"/>
  <c r="W77" i="17"/>
  <c r="W73" i="17"/>
  <c r="O73" i="17"/>
  <c r="Y77" i="17"/>
  <c r="Y73" i="17"/>
  <c r="Q73" i="17"/>
  <c r="U74" i="17"/>
  <c r="M74" i="17"/>
  <c r="W74" i="17"/>
  <c r="O74" i="17"/>
  <c r="Y74" i="17"/>
  <c r="Q74" i="17"/>
  <c r="U75" i="17"/>
  <c r="M75" i="17"/>
  <c r="W75" i="17"/>
  <c r="O75" i="17"/>
  <c r="Y75" i="17"/>
  <c r="Q75" i="17"/>
  <c r="U76" i="17"/>
  <c r="M76" i="17"/>
  <c r="W76" i="17"/>
  <c r="O76" i="17"/>
  <c r="Y76" i="17"/>
  <c r="Q76" i="17"/>
  <c r="U78" i="17"/>
  <c r="M78" i="17"/>
  <c r="W78" i="17"/>
  <c r="O78" i="17"/>
  <c r="Y78" i="17"/>
  <c r="Q78" i="17"/>
  <c r="U79" i="17"/>
  <c r="M79" i="17"/>
  <c r="W79" i="17"/>
  <c r="O79" i="17"/>
  <c r="Y79" i="17"/>
  <c r="Q79" i="17"/>
  <c r="U80" i="17"/>
  <c r="M80" i="17"/>
  <c r="W80" i="17"/>
  <c r="O80" i="17"/>
  <c r="Y80" i="17"/>
  <c r="Q80" i="17"/>
  <c r="U89" i="17"/>
  <c r="U85" i="17"/>
  <c r="M85" i="17"/>
  <c r="W89" i="17"/>
  <c r="W85" i="17"/>
  <c r="O85" i="17"/>
  <c r="Y89" i="17"/>
  <c r="Y85" i="17"/>
  <c r="Q85" i="17"/>
  <c r="U86" i="17"/>
  <c r="M86" i="17"/>
  <c r="W86" i="17"/>
  <c r="O86" i="17"/>
  <c r="Y86" i="17"/>
  <c r="Q86" i="17"/>
  <c r="U87" i="17"/>
  <c r="M87" i="17"/>
  <c r="W87" i="17"/>
  <c r="O87" i="17"/>
  <c r="Y87" i="17"/>
  <c r="Q87" i="17"/>
  <c r="U88" i="17"/>
  <c r="M88" i="17"/>
  <c r="W88" i="17"/>
  <c r="O88" i="17"/>
  <c r="Y88" i="17"/>
  <c r="Q88" i="17"/>
  <c r="U90" i="17"/>
  <c r="M90" i="17"/>
  <c r="W90" i="17"/>
  <c r="O90" i="17"/>
  <c r="Y90" i="17"/>
  <c r="Q90" i="17"/>
  <c r="U91" i="17"/>
  <c r="M91" i="17"/>
  <c r="W91" i="17"/>
  <c r="O91" i="17"/>
  <c r="Y91" i="17"/>
  <c r="Q91" i="17"/>
  <c r="U92" i="17"/>
  <c r="M92" i="17"/>
  <c r="W92" i="17"/>
  <c r="O92" i="17"/>
  <c r="Y92" i="17"/>
  <c r="Q92" i="17"/>
  <c r="U97" i="17"/>
  <c r="M97" i="17"/>
  <c r="W97" i="17"/>
  <c r="O97" i="17"/>
  <c r="Y97" i="17"/>
  <c r="Q97" i="17"/>
  <c r="U98" i="17"/>
  <c r="M98" i="17"/>
  <c r="W98" i="17"/>
  <c r="O98" i="17"/>
  <c r="Y98" i="17"/>
  <c r="Q98" i="17"/>
  <c r="U99" i="17"/>
  <c r="M99" i="17"/>
  <c r="W99" i="17"/>
  <c r="O99" i="17"/>
  <c r="Y99" i="17"/>
  <c r="Q99" i="17"/>
  <c r="U100" i="17"/>
  <c r="M100" i="17"/>
  <c r="W100" i="17"/>
  <c r="O100" i="17"/>
  <c r="Y100" i="17"/>
  <c r="Q100" i="17"/>
  <c r="U101" i="17"/>
  <c r="M101" i="17"/>
  <c r="W101" i="17"/>
  <c r="O101" i="17"/>
  <c r="Y101" i="17"/>
  <c r="Q101" i="17"/>
  <c r="U102" i="17"/>
  <c r="M102" i="17"/>
  <c r="W102" i="17"/>
  <c r="O102" i="17"/>
  <c r="Y102" i="17"/>
  <c r="Q102" i="17"/>
  <c r="U103" i="17"/>
  <c r="M103" i="17"/>
  <c r="W103" i="17"/>
  <c r="O103" i="17"/>
  <c r="Y103" i="17"/>
  <c r="Q103" i="17"/>
  <c r="U104" i="17"/>
  <c r="M104" i="17"/>
  <c r="W104" i="17"/>
  <c r="O104" i="17"/>
  <c r="Y104" i="17"/>
  <c r="Q104" i="17"/>
  <c r="AE70" i="18" l="1"/>
  <c r="K73" i="6" s="1"/>
  <c r="AL70" i="18"/>
  <c r="R73" i="6" s="1"/>
  <c r="AJ70" i="18"/>
  <c r="P73" i="6" s="1"/>
  <c r="AK70" i="18"/>
  <c r="Q73" i="6" s="1"/>
  <c r="AI70" i="18"/>
  <c r="O73" i="6" s="1"/>
  <c r="AH70" i="18"/>
  <c r="N73" i="6" s="1"/>
  <c r="AG70" i="18"/>
  <c r="M73" i="6" s="1"/>
  <c r="AF70" i="18"/>
  <c r="L73" i="6" s="1"/>
  <c r="AJ82" i="18"/>
  <c r="P85" i="6" s="1"/>
  <c r="AI82" i="18"/>
  <c r="O85" i="6" s="1"/>
  <c r="AH82" i="18"/>
  <c r="N85" i="6" s="1"/>
  <c r="AG82" i="18"/>
  <c r="M85" i="6" s="1"/>
  <c r="AL82" i="18"/>
  <c r="R85" i="6" s="1"/>
  <c r="AF82" i="18"/>
  <c r="L85" i="6" s="1"/>
  <c r="AE82" i="18"/>
  <c r="K85" i="6" s="1"/>
  <c r="AK82" i="18"/>
  <c r="Q85" i="6" s="1"/>
  <c r="AF94" i="18"/>
  <c r="L97" i="6" s="1"/>
  <c r="AI94" i="18"/>
  <c r="O97" i="6" s="1"/>
  <c r="AE94" i="18"/>
  <c r="K97" i="6" s="1"/>
  <c r="AH94" i="18"/>
  <c r="N97" i="6" s="1"/>
  <c r="AL94" i="18"/>
  <c r="R97" i="6" s="1"/>
  <c r="AK94" i="18"/>
  <c r="Q97" i="6" s="1"/>
  <c r="AJ94" i="18"/>
  <c r="P97" i="6" s="1"/>
  <c r="AG94" i="18"/>
  <c r="M97" i="6" s="1"/>
  <c r="AG27" i="8" a="1"/>
  <c r="AG27" i="8" s="1"/>
  <c r="AG49" i="8" a="1"/>
  <c r="AG49" i="8" s="1"/>
  <c r="E11" i="18"/>
  <c r="AE47" i="8" a="1"/>
  <c r="AE47" i="8" s="1"/>
  <c r="W47" i="20" a="1"/>
  <c r="W47" i="20" s="1"/>
  <c r="AF47" i="8" a="1"/>
  <c r="AF47" i="8" s="1"/>
  <c r="X47" i="20" a="1"/>
  <c r="X47" i="20" s="1"/>
  <c r="AG47" i="8" a="1"/>
  <c r="AG47" i="8" s="1"/>
  <c r="Y49" i="20" a="1"/>
  <c r="Y49" i="20" s="1"/>
  <c r="Y48" i="20" a="1"/>
  <c r="Y48" i="20" s="1"/>
  <c r="Y47" i="20" a="1"/>
  <c r="Y47" i="20" s="1"/>
  <c r="Y50" i="20" a="1"/>
  <c r="Y50" i="20" s="1"/>
  <c r="AG31" i="8" a="1"/>
  <c r="AG31" i="8" s="1"/>
  <c r="AG64" i="8" a="1"/>
  <c r="AG64" i="8" s="1"/>
  <c r="AG41" i="8" a="1"/>
  <c r="AG41" i="8" s="1"/>
  <c r="AG66" i="8" a="1"/>
  <c r="AG66" i="8" s="1"/>
  <c r="AG40" i="8" a="1"/>
  <c r="AG40" i="8" s="1"/>
  <c r="AG33" i="8" a="1"/>
  <c r="AG33" i="8" s="1"/>
  <c r="AG42" i="8" a="1"/>
  <c r="AG42" i="8" s="1"/>
  <c r="AG34" i="8" a="1"/>
  <c r="AG34" i="8" s="1"/>
  <c r="Y37" i="20" a="1"/>
  <c r="Y37" i="20" s="1"/>
  <c r="Y34" i="20" a="1"/>
  <c r="Y34" i="20" s="1"/>
  <c r="Y36" i="20" a="1"/>
  <c r="Y36" i="20" s="1"/>
  <c r="Y35" i="20" a="1"/>
  <c r="Y35" i="20" s="1"/>
  <c r="Y70" i="20" a="1"/>
  <c r="Y70" i="20" s="1"/>
  <c r="Y69" i="20" a="1"/>
  <c r="Y69" i="20" s="1"/>
  <c r="Y45" i="20" a="1"/>
  <c r="Y45" i="20" s="1"/>
  <c r="Y33" i="20" a="1"/>
  <c r="Y33" i="20" s="1"/>
  <c r="Y68" i="20" a="1"/>
  <c r="Y68" i="20" s="1"/>
  <c r="Y44" i="20" a="1"/>
  <c r="Y44" i="20" s="1"/>
  <c r="Y67" i="20" a="1"/>
  <c r="Y67" i="20" s="1"/>
  <c r="Y43" i="20" a="1"/>
  <c r="Y43" i="20" s="1"/>
  <c r="Y66" i="20" a="1"/>
  <c r="Y66" i="20" s="1"/>
  <c r="Y42" i="20" a="1"/>
  <c r="Y42" i="20" s="1"/>
  <c r="Y38" i="20" a="1"/>
  <c r="Y38" i="20" s="1"/>
  <c r="Y32" i="20" a="1"/>
  <c r="Y32" i="20" s="1"/>
  <c r="Y65" i="20" a="1"/>
  <c r="Y65" i="20" s="1"/>
  <c r="Y41" i="20" a="1"/>
  <c r="Y41" i="20" s="1"/>
  <c r="Y64" i="20" a="1"/>
  <c r="Y64" i="20" s="1"/>
  <c r="Y40" i="20" a="1"/>
  <c r="Y40" i="20" s="1"/>
  <c r="Y31" i="20" a="1"/>
  <c r="Y31" i="20" s="1"/>
  <c r="AD20" i="8" a="1"/>
  <c r="AD20" i="8" s="1"/>
  <c r="AD21" i="8" a="1"/>
  <c r="AD21" i="8" s="1"/>
  <c r="V21" i="20" a="1"/>
  <c r="V21" i="20" s="1"/>
  <c r="V20" i="20" a="1"/>
  <c r="V20" i="20" s="1"/>
  <c r="V22" i="20" a="1"/>
  <c r="V22" i="20" s="1"/>
  <c r="AD22" i="8" a="1"/>
  <c r="AD22" i="8" s="1"/>
  <c r="AH64" i="8" a="1"/>
  <c r="AH64" i="8" s="1"/>
  <c r="AH35" i="8" a="1"/>
  <c r="AH35" i="8" s="1"/>
  <c r="AH67" i="8" a="1"/>
  <c r="AH67" i="8" s="1"/>
  <c r="AH41" i="8" a="1"/>
  <c r="AH41" i="8" s="1"/>
  <c r="AH32" i="8" a="1"/>
  <c r="AH32" i="8" s="1"/>
  <c r="AH43" i="8" a="1"/>
  <c r="AH43" i="8" s="1"/>
  <c r="AH66" i="8" a="1"/>
  <c r="AH66" i="8" s="1"/>
  <c r="AH33" i="8" a="1"/>
  <c r="AH33" i="8" s="1"/>
  <c r="AH31" i="8" a="1"/>
  <c r="AH31" i="8" s="1"/>
  <c r="AH40" i="8" a="1"/>
  <c r="AH40" i="8" s="1"/>
  <c r="AH65" i="8" a="1"/>
  <c r="AH65" i="8" s="1"/>
  <c r="AH42" i="8" a="1"/>
  <c r="AH42" i="8" s="1"/>
  <c r="AH34" i="8" a="1"/>
  <c r="AH34" i="8" s="1"/>
  <c r="Z36" i="20" a="1"/>
  <c r="Z36" i="20" s="1"/>
  <c r="Z34" i="20" a="1"/>
  <c r="Z34" i="20" s="1"/>
  <c r="Z70" i="20" a="1"/>
  <c r="Z70" i="20" s="1"/>
  <c r="Z69" i="20" a="1"/>
  <c r="Z69" i="20" s="1"/>
  <c r="Z45" i="20" a="1"/>
  <c r="Z45" i="20" s="1"/>
  <c r="Z33" i="20" a="1"/>
  <c r="Z33" i="20" s="1"/>
  <c r="Z44" i="20" a="1"/>
  <c r="Z44" i="20" s="1"/>
  <c r="Z68" i="20" a="1"/>
  <c r="Z68" i="20" s="1"/>
  <c r="Z32" i="20" a="1"/>
  <c r="Z32" i="20" s="1"/>
  <c r="Z67" i="20" a="1"/>
  <c r="Z67" i="20" s="1"/>
  <c r="Z43" i="20" a="1"/>
  <c r="Z43" i="20" s="1"/>
  <c r="Z31" i="20" a="1"/>
  <c r="Z31" i="20" s="1"/>
  <c r="Z66" i="20" a="1"/>
  <c r="Z66" i="20" s="1"/>
  <c r="Z42" i="20" a="1"/>
  <c r="Z42" i="20" s="1"/>
  <c r="Z40" i="20" a="1"/>
  <c r="Z40" i="20" s="1"/>
  <c r="Z65" i="20" a="1"/>
  <c r="Z65" i="20" s="1"/>
  <c r="Z41" i="20" a="1"/>
  <c r="Z41" i="20" s="1"/>
  <c r="Z64" i="20" a="1"/>
  <c r="Z64" i="20" s="1"/>
  <c r="Z38" i="20" a="1"/>
  <c r="Z38" i="20" s="1"/>
  <c r="Z35" i="20" a="1"/>
  <c r="Z35" i="20" s="1"/>
  <c r="Z37" i="20" a="1"/>
  <c r="Z37" i="20" s="1"/>
  <c r="AE22" i="8" a="1"/>
  <c r="AE22" i="8" s="1"/>
  <c r="W22" i="20" a="1"/>
  <c r="W22" i="20" s="1"/>
  <c r="AI67" i="8" a="1"/>
  <c r="AI67" i="8" s="1"/>
  <c r="AI41" i="8" a="1"/>
  <c r="AI41" i="8" s="1"/>
  <c r="AI32" i="8" a="1"/>
  <c r="AI32" i="8" s="1"/>
  <c r="AI65" i="8" a="1"/>
  <c r="AI65" i="8" s="1"/>
  <c r="AI36" i="8" a="1"/>
  <c r="AI36" i="8" s="1"/>
  <c r="AI68" i="8" a="1"/>
  <c r="AI68" i="8" s="1"/>
  <c r="AI43" i="8" a="1"/>
  <c r="AI43" i="8" s="1"/>
  <c r="AI33" i="8" a="1"/>
  <c r="AI33" i="8" s="1"/>
  <c r="AI66" i="8" a="1"/>
  <c r="AI66" i="8" s="1"/>
  <c r="AI40" i="8" a="1"/>
  <c r="AI40" i="8" s="1"/>
  <c r="AI64" i="8" a="1"/>
  <c r="AI64" i="8" s="1"/>
  <c r="AI35" i="8" a="1"/>
  <c r="AI35" i="8" s="1"/>
  <c r="AI31" i="8" a="1"/>
  <c r="AI31" i="8" s="1"/>
  <c r="AI34" i="8" a="1"/>
  <c r="AI34" i="8" s="1"/>
  <c r="AI42" i="8" a="1"/>
  <c r="AI42" i="8" s="1"/>
  <c r="AA37" i="20" a="1"/>
  <c r="AA37" i="20" s="1"/>
  <c r="AA35" i="20" a="1"/>
  <c r="AA35" i="20" s="1"/>
  <c r="AA34" i="20" a="1"/>
  <c r="AA34" i="20" s="1"/>
  <c r="AA70" i="20" a="1"/>
  <c r="AA70" i="20" s="1"/>
  <c r="AA69" i="20" a="1"/>
  <c r="AA69" i="20" s="1"/>
  <c r="AA45" i="20" a="1"/>
  <c r="AA45" i="20" s="1"/>
  <c r="AA33" i="20" a="1"/>
  <c r="AA33" i="20" s="1"/>
  <c r="AA44" i="20" a="1"/>
  <c r="AA44" i="20" s="1"/>
  <c r="AA65" i="20" a="1"/>
  <c r="AA65" i="20" s="1"/>
  <c r="AA38" i="20" a="1"/>
  <c r="AA38" i="20" s="1"/>
  <c r="AA68" i="20" a="1"/>
  <c r="AA68" i="20" s="1"/>
  <c r="AA32" i="20" a="1"/>
  <c r="AA32" i="20" s="1"/>
  <c r="AA67" i="20" a="1"/>
  <c r="AA67" i="20" s="1"/>
  <c r="AA43" i="20" a="1"/>
  <c r="AA43" i="20" s="1"/>
  <c r="AA31" i="20" a="1"/>
  <c r="AA31" i="20" s="1"/>
  <c r="AA66" i="20" a="1"/>
  <c r="AA66" i="20" s="1"/>
  <c r="AA42" i="20" a="1"/>
  <c r="AA42" i="20" s="1"/>
  <c r="AA41" i="20" a="1"/>
  <c r="AA41" i="20" s="1"/>
  <c r="AA64" i="20" a="1"/>
  <c r="AA64" i="20" s="1"/>
  <c r="AA40" i="20" a="1"/>
  <c r="AA40" i="20" s="1"/>
  <c r="AA36" i="20" a="1"/>
  <c r="AA36" i="20" s="1"/>
  <c r="AE28" i="8" a="1"/>
  <c r="AE28" i="8" s="1"/>
  <c r="W28" i="20" a="1"/>
  <c r="W28" i="20" s="1"/>
  <c r="AF20" i="8" a="1"/>
  <c r="AF20" i="8" s="1"/>
  <c r="AF21" i="8" a="1"/>
  <c r="AF21" i="8" s="1"/>
  <c r="X21" i="20" a="1"/>
  <c r="X21" i="20" s="1"/>
  <c r="X20" i="20" a="1"/>
  <c r="X20" i="20" s="1"/>
  <c r="AF22" i="8" a="1"/>
  <c r="AF22" i="8" s="1"/>
  <c r="X22" i="20" a="1"/>
  <c r="X22" i="20" s="1"/>
  <c r="AF36" i="8" a="1"/>
  <c r="AF36" i="8" s="1"/>
  <c r="AF68" i="8" a="1"/>
  <c r="AF68" i="8" s="1"/>
  <c r="AF43" i="8" a="1"/>
  <c r="AF43" i="8" s="1"/>
  <c r="X36" i="20" a="1"/>
  <c r="X36" i="20" s="1"/>
  <c r="X68" i="20" a="1"/>
  <c r="X68" i="20" s="1"/>
  <c r="X43" i="20" a="1"/>
  <c r="X43" i="20" s="1"/>
  <c r="AF28" i="8" a="1"/>
  <c r="AF28" i="8" s="1"/>
  <c r="X28" i="20" a="1"/>
  <c r="X28" i="20" s="1"/>
  <c r="AD50" i="8" a="1"/>
  <c r="AD50" i="8" s="1"/>
  <c r="V50" i="20" a="1"/>
  <c r="V50" i="20" s="1"/>
  <c r="AG36" i="8" a="1"/>
  <c r="AG36" i="8" s="1"/>
  <c r="AG68" i="8" a="1"/>
  <c r="AG68" i="8" s="1"/>
  <c r="AG43" i="8" a="1"/>
  <c r="AG43" i="8" s="1"/>
  <c r="AH36" i="8" a="1"/>
  <c r="AH36" i="8" s="1"/>
  <c r="AH68" i="8" a="1"/>
  <c r="AH68" i="8" s="1"/>
  <c r="AE29" i="8" a="1"/>
  <c r="AE29" i="8" s="1"/>
  <c r="W29" i="20" a="1"/>
  <c r="W29" i="20" s="1"/>
  <c r="AE49" i="8" a="1"/>
  <c r="AE49" i="8" s="1"/>
  <c r="W49" i="20" a="1"/>
  <c r="W49" i="20" s="1"/>
  <c r="AE50" i="8" a="1"/>
  <c r="AE50" i="8" s="1"/>
  <c r="W50" i="20" a="1"/>
  <c r="W50" i="20" s="1"/>
  <c r="AJ35" i="8" a="1"/>
  <c r="AJ35" i="8" s="1"/>
  <c r="AJ67" i="8" a="1"/>
  <c r="AJ67" i="8" s="1"/>
  <c r="AJ32" i="8" a="1"/>
  <c r="AJ32" i="8" s="1"/>
  <c r="AJ65" i="8" a="1"/>
  <c r="AJ65" i="8" s="1"/>
  <c r="AJ68" i="8" a="1"/>
  <c r="AJ68" i="8" s="1"/>
  <c r="AJ43" i="8" a="1"/>
  <c r="AJ43" i="8" s="1"/>
  <c r="AJ33" i="8" a="1"/>
  <c r="AJ33" i="8" s="1"/>
  <c r="AJ64" i="8" a="1"/>
  <c r="AJ64" i="8" s="1"/>
  <c r="AJ66" i="8" a="1"/>
  <c r="AJ66" i="8" s="1"/>
  <c r="AJ40" i="8" a="1"/>
  <c r="AJ40" i="8" s="1"/>
  <c r="AJ31" i="8" a="1"/>
  <c r="AJ31" i="8" s="1"/>
  <c r="AJ69" i="8" a="1"/>
  <c r="AJ69" i="8" s="1"/>
  <c r="AJ44" i="8" a="1"/>
  <c r="AJ44" i="8" s="1"/>
  <c r="AJ41" i="8" a="1"/>
  <c r="AJ41" i="8" s="1"/>
  <c r="AJ36" i="8" a="1"/>
  <c r="AJ36" i="8" s="1"/>
  <c r="AJ37" i="8" a="1"/>
  <c r="AJ37" i="8" s="1"/>
  <c r="AJ34" i="8" a="1"/>
  <c r="AJ34" i="8" s="1"/>
  <c r="AJ42" i="8" a="1"/>
  <c r="AJ42" i="8" s="1"/>
  <c r="AB35" i="20" a="1"/>
  <c r="AB35" i="20" s="1"/>
  <c r="AB70" i="20" a="1"/>
  <c r="AB70" i="20" s="1"/>
  <c r="AB34" i="20" a="1"/>
  <c r="AB34" i="20" s="1"/>
  <c r="AB69" i="20" a="1"/>
  <c r="AB69" i="20" s="1"/>
  <c r="AB45" i="20" a="1"/>
  <c r="AB45" i="20" s="1"/>
  <c r="AB33" i="20" a="1"/>
  <c r="AB33" i="20" s="1"/>
  <c r="AB32" i="20" a="1"/>
  <c r="AB32" i="20" s="1"/>
  <c r="AB68" i="20" a="1"/>
  <c r="AB68" i="20" s="1"/>
  <c r="AB44" i="20" a="1"/>
  <c r="AB44" i="20" s="1"/>
  <c r="AB67" i="20" a="1"/>
  <c r="AB67" i="20" s="1"/>
  <c r="AB43" i="20" a="1"/>
  <c r="AB43" i="20" s="1"/>
  <c r="AB31" i="20" a="1"/>
  <c r="AB31" i="20" s="1"/>
  <c r="AB37" i="20" a="1"/>
  <c r="AB37" i="20" s="1"/>
  <c r="AB66" i="20" a="1"/>
  <c r="AB66" i="20" s="1"/>
  <c r="AB42" i="20" a="1"/>
  <c r="AB42" i="20" s="1"/>
  <c r="AB65" i="20" a="1"/>
  <c r="AB65" i="20" s="1"/>
  <c r="AB41" i="20" a="1"/>
  <c r="AB41" i="20" s="1"/>
  <c r="AB64" i="20" a="1"/>
  <c r="AB64" i="20" s="1"/>
  <c r="AB40" i="20" a="1"/>
  <c r="AB40" i="20" s="1"/>
  <c r="AB38" i="20" a="1"/>
  <c r="AB38" i="20" s="1"/>
  <c r="AB36" i="20" a="1"/>
  <c r="AB36" i="20" s="1"/>
  <c r="AD29" i="8" a="1"/>
  <c r="AD29" i="8" s="1"/>
  <c r="V29" i="20" a="1"/>
  <c r="V29" i="20" s="1"/>
  <c r="AI26" i="8" a="1"/>
  <c r="AI26" i="8" s="1"/>
  <c r="AI21" i="8" a="1"/>
  <c r="AI21" i="8" s="1"/>
  <c r="AI27" i="8" a="1"/>
  <c r="AI27" i="8" s="1"/>
  <c r="AI25" i="8" a="1"/>
  <c r="AI25" i="8" s="1"/>
  <c r="AI20" i="8" a="1"/>
  <c r="AI20" i="8" s="1"/>
  <c r="AI23" i="8" a="1"/>
  <c r="AI23" i="8" s="1"/>
  <c r="AI22" i="8" a="1"/>
  <c r="AI22" i="8" s="1"/>
  <c r="AI24" i="8" a="1"/>
  <c r="AI24" i="8" s="1"/>
  <c r="AA23" i="20" a="1"/>
  <c r="AA23" i="20" s="1"/>
  <c r="AA22" i="20" a="1"/>
  <c r="AA22" i="20" s="1"/>
  <c r="AA21" i="20" a="1"/>
  <c r="AA21" i="20" s="1"/>
  <c r="AA20" i="20" a="1"/>
  <c r="AA20" i="20" s="1"/>
  <c r="AA29" i="20" a="1"/>
  <c r="AA29" i="20" s="1"/>
  <c r="AA26" i="20" a="1"/>
  <c r="AA26" i="20" s="1"/>
  <c r="AA24" i="20" a="1"/>
  <c r="AA24" i="20" s="1"/>
  <c r="AA28" i="20" a="1"/>
  <c r="AA28" i="20" s="1"/>
  <c r="AA27" i="20" a="1"/>
  <c r="AA27" i="20" s="1"/>
  <c r="AA25" i="20" a="1"/>
  <c r="AA25" i="20" s="1"/>
  <c r="AF29" i="8" a="1"/>
  <c r="AF29" i="8" s="1"/>
  <c r="X29" i="20" a="1"/>
  <c r="X29" i="20" s="1"/>
  <c r="AF49" i="8" a="1"/>
  <c r="AF49" i="8" s="1"/>
  <c r="X49" i="20" a="1"/>
  <c r="X49" i="20" s="1"/>
  <c r="X50" i="20" a="1"/>
  <c r="X50" i="20" s="1"/>
  <c r="AF50" i="8" a="1"/>
  <c r="AF50" i="8" s="1"/>
  <c r="AG21" i="8" a="1"/>
  <c r="AG21" i="8" s="1"/>
  <c r="AG20" i="8" a="1"/>
  <c r="AG20" i="8" s="1"/>
  <c r="AG22" i="8" a="1"/>
  <c r="AG22" i="8" s="1"/>
  <c r="Y25" i="20" a="1"/>
  <c r="Y25" i="20" s="1"/>
  <c r="Y24" i="20" a="1"/>
  <c r="Y24" i="20" s="1"/>
  <c r="Y23" i="20" a="1"/>
  <c r="Y23" i="20" s="1"/>
  <c r="Y20" i="20" a="1"/>
  <c r="Y20" i="20" s="1"/>
  <c r="Y22" i="20" a="1"/>
  <c r="Y22" i="20" s="1"/>
  <c r="Y21" i="20" a="1"/>
  <c r="Y21" i="20" s="1"/>
  <c r="Y29" i="20" a="1"/>
  <c r="Y29" i="20" s="1"/>
  <c r="Y28" i="20" a="1"/>
  <c r="Y28" i="20" s="1"/>
  <c r="Y27" i="20" a="1"/>
  <c r="Y27" i="20" s="1"/>
  <c r="Y26" i="20" a="1"/>
  <c r="Y26" i="20" s="1"/>
  <c r="AH26" i="8" a="1"/>
  <c r="AH26" i="8" s="1"/>
  <c r="AH27" i="8" a="1"/>
  <c r="AH27" i="8" s="1"/>
  <c r="AH21" i="8" a="1"/>
  <c r="AH21" i="8" s="1"/>
  <c r="AH20" i="8" a="1"/>
  <c r="AH20" i="8" s="1"/>
  <c r="AH25" i="8" a="1"/>
  <c r="AH25" i="8" s="1"/>
  <c r="AH23" i="8" a="1"/>
  <c r="AH23" i="8" s="1"/>
  <c r="AH22" i="8" a="1"/>
  <c r="AH22" i="8" s="1"/>
  <c r="AH24" i="8" a="1"/>
  <c r="AH24" i="8" s="1"/>
  <c r="Z21" i="20" a="1"/>
  <c r="Z21" i="20" s="1"/>
  <c r="Z20" i="20" a="1"/>
  <c r="Z20" i="20" s="1"/>
  <c r="Z27" i="20" a="1"/>
  <c r="Z27" i="20" s="1"/>
  <c r="Z29" i="20" a="1"/>
  <c r="Z29" i="20" s="1"/>
  <c r="Z28" i="20" a="1"/>
  <c r="Z28" i="20" s="1"/>
  <c r="Z23" i="20" a="1"/>
  <c r="Z23" i="20" s="1"/>
  <c r="Z22" i="20" a="1"/>
  <c r="Z22" i="20" s="1"/>
  <c r="Z26" i="20" a="1"/>
  <c r="Z26" i="20" s="1"/>
  <c r="Z24" i="20" a="1"/>
  <c r="Z24" i="20" s="1"/>
  <c r="Z25" i="20" a="1"/>
  <c r="Z25" i="20" s="1"/>
  <c r="AD49" i="8" a="1"/>
  <c r="AD49" i="8" s="1"/>
  <c r="V49" i="20" a="1"/>
  <c r="V49" i="20" s="1"/>
  <c r="AJ21" i="8" a="1"/>
  <c r="AJ21" i="8" s="1"/>
  <c r="AJ27" i="8" a="1"/>
  <c r="AJ27" i="8" s="1"/>
  <c r="AJ25" i="8" a="1"/>
  <c r="AJ25" i="8" s="1"/>
  <c r="AJ28" i="8" a="1"/>
  <c r="AJ28" i="8" s="1"/>
  <c r="AJ20" i="8" a="1"/>
  <c r="AJ20" i="8" s="1"/>
  <c r="AJ26" i="8" a="1"/>
  <c r="AJ26" i="8" s="1"/>
  <c r="AJ22" i="8" a="1"/>
  <c r="AJ22" i="8" s="1"/>
  <c r="AJ23" i="8" a="1"/>
  <c r="AJ23" i="8" s="1"/>
  <c r="AJ24" i="8" a="1"/>
  <c r="AJ24" i="8" s="1"/>
  <c r="AB22" i="20" a="1"/>
  <c r="AB22" i="20" s="1"/>
  <c r="AB25" i="20" a="1"/>
  <c r="AB25" i="20" s="1"/>
  <c r="AB21" i="20" a="1"/>
  <c r="AB21" i="20" s="1"/>
  <c r="AB20" i="20" a="1"/>
  <c r="AB20" i="20" s="1"/>
  <c r="AB29" i="20" a="1"/>
  <c r="AB29" i="20" s="1"/>
  <c r="AB28" i="20" a="1"/>
  <c r="AB28" i="20" s="1"/>
  <c r="AB23" i="20" a="1"/>
  <c r="AB23" i="20" s="1"/>
  <c r="AB27" i="20" a="1"/>
  <c r="AB27" i="20" s="1"/>
  <c r="AB26" i="20" a="1"/>
  <c r="AB26" i="20" s="1"/>
  <c r="AB24" i="20" a="1"/>
  <c r="AB24" i="20" s="1"/>
  <c r="AJ49" i="8" a="1"/>
  <c r="AJ49" i="8" s="1"/>
  <c r="AJ47" i="8" a="1"/>
  <c r="AJ47" i="8" s="1"/>
  <c r="AB47" i="20" a="1"/>
  <c r="AB47" i="20" s="1"/>
  <c r="AB48" i="20" a="1"/>
  <c r="AB48" i="20" s="1"/>
  <c r="AB49" i="20" a="1"/>
  <c r="AB49" i="20" s="1"/>
  <c r="AB50" i="20" a="1"/>
  <c r="AB50" i="20" s="1"/>
  <c r="AD47" i="8" a="1"/>
  <c r="AD47" i="8" s="1"/>
  <c r="V47" i="20" a="1"/>
  <c r="V47" i="20" s="1"/>
  <c r="AD27" i="8" a="1"/>
  <c r="AD27" i="8" s="1"/>
  <c r="V27" i="20" a="1"/>
  <c r="V27" i="20" s="1"/>
  <c r="V116" i="20" s="1"/>
  <c r="AD40" i="8" a="1"/>
  <c r="AD40" i="8" s="1"/>
  <c r="AD31" i="8" a="1"/>
  <c r="AD31" i="8" s="1"/>
  <c r="AD64" i="8" a="1"/>
  <c r="AD64" i="8" s="1"/>
  <c r="AD41" i="8" a="1"/>
  <c r="AD41" i="8" s="1"/>
  <c r="AD33" i="8" a="1"/>
  <c r="AD33" i="8" s="1"/>
  <c r="V40" i="20" a="1"/>
  <c r="V40" i="20" s="1"/>
  <c r="V64" i="20" a="1"/>
  <c r="V64" i="20" s="1"/>
  <c r="V41" i="20" a="1"/>
  <c r="V41" i="20" s="1"/>
  <c r="V33" i="20" a="1"/>
  <c r="V33" i="20" s="1"/>
  <c r="V31" i="20" a="1"/>
  <c r="V31" i="20" s="1"/>
  <c r="AE27" i="8" a="1"/>
  <c r="AE27" i="8" s="1"/>
  <c r="W27" i="20" a="1"/>
  <c r="W27" i="20" s="1"/>
  <c r="AF27" i="8" a="1"/>
  <c r="AF27" i="8" s="1"/>
  <c r="X27" i="20" a="1"/>
  <c r="X27" i="20" s="1"/>
  <c r="AF40" i="8" a="1"/>
  <c r="AF40" i="8" s="1"/>
  <c r="AF64" i="8" a="1"/>
  <c r="AF64" i="8" s="1"/>
  <c r="AF33" i="8" a="1"/>
  <c r="AF33" i="8" s="1"/>
  <c r="AF41" i="8" a="1"/>
  <c r="AF41" i="8" s="1"/>
  <c r="AF31" i="8" a="1"/>
  <c r="AF31" i="8" s="1"/>
  <c r="X33" i="20" a="1"/>
  <c r="X33" i="20" s="1"/>
  <c r="X31" i="20" a="1"/>
  <c r="X31" i="20" s="1"/>
  <c r="X41" i="20" a="1"/>
  <c r="X41" i="20" s="1"/>
  <c r="X40" i="20" a="1"/>
  <c r="X40" i="20" s="1"/>
  <c r="X64" i="20" a="1"/>
  <c r="X64" i="20" s="1"/>
  <c r="AE33" i="8" a="1"/>
  <c r="AE33" i="8" s="1"/>
  <c r="AE31" i="8" a="1"/>
  <c r="AE31" i="8" s="1"/>
  <c r="AE64" i="8" a="1"/>
  <c r="AE64" i="8" s="1"/>
  <c r="AE41" i="8" a="1"/>
  <c r="AE41" i="8" s="1"/>
  <c r="AE40" i="8" a="1"/>
  <c r="AE40" i="8" s="1"/>
  <c r="W33" i="20" a="1"/>
  <c r="W33" i="20" s="1"/>
  <c r="W64" i="20" a="1"/>
  <c r="W64" i="20" s="1"/>
  <c r="W31" i="20" a="1"/>
  <c r="W31" i="20" s="1"/>
  <c r="W40" i="20" a="1"/>
  <c r="W40" i="20" s="1"/>
  <c r="W41" i="20" a="1"/>
  <c r="W41" i="20" s="1"/>
  <c r="AH49" i="8" a="1"/>
  <c r="AH49" i="8" s="1"/>
  <c r="AH47" i="8" a="1"/>
  <c r="AH47" i="8" s="1"/>
  <c r="Z48" i="20" a="1"/>
  <c r="Z48" i="20" s="1"/>
  <c r="Z47" i="20" a="1"/>
  <c r="Z47" i="20" s="1"/>
  <c r="Z50" i="20" a="1"/>
  <c r="Z50" i="20" s="1"/>
  <c r="Z49" i="20" a="1"/>
  <c r="Z49" i="20" s="1"/>
  <c r="AD68" i="8" a="1"/>
  <c r="AD68" i="8" s="1"/>
  <c r="AD43" i="8" a="1"/>
  <c r="AD43" i="8" s="1"/>
  <c r="AD36" i="8" a="1"/>
  <c r="AD36" i="8" s="1"/>
  <c r="V36" i="20" a="1"/>
  <c r="V36" i="20" s="1"/>
  <c r="V68" i="20" a="1"/>
  <c r="V68" i="20" s="1"/>
  <c r="V43" i="20" a="1"/>
  <c r="V43" i="20" s="1"/>
  <c r="AD28" i="8" a="1"/>
  <c r="AD28" i="8" s="1"/>
  <c r="V28" i="20" a="1"/>
  <c r="V28" i="20" s="1"/>
  <c r="AE21" i="8" a="1"/>
  <c r="AE21" i="8" s="1"/>
  <c r="AE20" i="8" a="1"/>
  <c r="AE20" i="8" s="1"/>
  <c r="W21" i="20" a="1"/>
  <c r="W21" i="20" s="1"/>
  <c r="W20" i="20" a="1"/>
  <c r="W20" i="20" s="1"/>
  <c r="S20" i="20" s="1"/>
  <c r="AI49" i="8" a="1"/>
  <c r="AI49" i="8" s="1"/>
  <c r="AI47" i="8" a="1"/>
  <c r="AI47" i="8" s="1"/>
  <c r="AA49" i="20" a="1"/>
  <c r="AA49" i="20" s="1"/>
  <c r="AA47" i="20" a="1"/>
  <c r="AA47" i="20" s="1"/>
  <c r="AA50" i="20" a="1"/>
  <c r="AA50" i="20" s="1"/>
  <c r="AA48" i="20" a="1"/>
  <c r="AA48" i="20" s="1"/>
  <c r="AE68" i="8" a="1"/>
  <c r="AE68" i="8" s="1"/>
  <c r="AE43" i="8" a="1"/>
  <c r="AE43" i="8" s="1"/>
  <c r="AE36" i="8" a="1"/>
  <c r="AE36" i="8" s="1"/>
  <c r="W36" i="20" a="1"/>
  <c r="W36" i="20" s="1"/>
  <c r="W68" i="20" a="1"/>
  <c r="W68" i="20" s="1"/>
  <c r="W43" i="20" a="1"/>
  <c r="W43" i="20" s="1"/>
  <c r="AL30" i="18"/>
  <c r="R33" i="6" s="1"/>
  <c r="AK30" i="18"/>
  <c r="Q33" i="6" s="1"/>
  <c r="AJ30" i="18"/>
  <c r="P33" i="6" s="1"/>
  <c r="AI30" i="18"/>
  <c r="O33" i="6" s="1"/>
  <c r="AH30" i="18"/>
  <c r="N33" i="6" s="1"/>
  <c r="AG30" i="18"/>
  <c r="M33" i="6" s="1"/>
  <c r="AF30" i="18"/>
  <c r="L33" i="6" s="1"/>
  <c r="AE30" i="18"/>
  <c r="K33" i="6" s="1"/>
  <c r="AL29" i="18"/>
  <c r="R32" i="6" s="1"/>
  <c r="AK29" i="18"/>
  <c r="Q32" i="6" s="1"/>
  <c r="AJ29" i="18"/>
  <c r="P32" i="6" s="1"/>
  <c r="AI29" i="18"/>
  <c r="O32" i="6" s="1"/>
  <c r="AH29" i="18"/>
  <c r="N32" i="6" s="1"/>
  <c r="AG29" i="18"/>
  <c r="M32" i="6" s="1"/>
  <c r="AF29" i="18"/>
  <c r="L32" i="6" s="1"/>
  <c r="AE29" i="18"/>
  <c r="K32" i="6" s="1"/>
  <c r="AL40" i="18"/>
  <c r="R43" i="6" s="1"/>
  <c r="AK40" i="18"/>
  <c r="Q43" i="6" s="1"/>
  <c r="AJ40" i="18"/>
  <c r="P43" i="6" s="1"/>
  <c r="AI40" i="18"/>
  <c r="O43" i="6" s="1"/>
  <c r="AH40" i="18"/>
  <c r="N43" i="6" s="1"/>
  <c r="AG40" i="18"/>
  <c r="M43" i="6" s="1"/>
  <c r="AF40" i="18"/>
  <c r="L43" i="6" s="1"/>
  <c r="AE40" i="18"/>
  <c r="K43" i="6" s="1"/>
  <c r="AL5" i="18"/>
  <c r="R8" i="6" s="1"/>
  <c r="AK5" i="18"/>
  <c r="Q8" i="6" s="1"/>
  <c r="AJ5" i="18"/>
  <c r="P8" i="6" s="1"/>
  <c r="AI5" i="18"/>
  <c r="O8" i="6" s="1"/>
  <c r="AH5" i="18"/>
  <c r="N8" i="6" s="1"/>
  <c r="AG23" i="8" s="1" a="1"/>
  <c r="AG23" i="8" s="1"/>
  <c r="AG5" i="18"/>
  <c r="M8" i="6" s="1"/>
  <c r="AF5" i="18"/>
  <c r="L8" i="6" s="1"/>
  <c r="AE5" i="18"/>
  <c r="K8" i="6" s="1"/>
  <c r="AL21" i="18"/>
  <c r="R24" i="6" s="1"/>
  <c r="AJ48" i="8" s="1" a="1"/>
  <c r="AJ48" i="8" s="1"/>
  <c r="AK21" i="18"/>
  <c r="Q24" i="6" s="1"/>
  <c r="AJ21" i="18"/>
  <c r="P24" i="6" s="1"/>
  <c r="AI48" i="8" s="1" a="1"/>
  <c r="AI48" i="8" s="1"/>
  <c r="AI21" i="18"/>
  <c r="O24" i="6" s="1"/>
  <c r="AH48" i="8" s="1" a="1"/>
  <c r="AH48" i="8" s="1"/>
  <c r="AH21" i="18"/>
  <c r="N24" i="6" s="1"/>
  <c r="AG48" i="8" s="1" a="1"/>
  <c r="AG48" i="8" s="1"/>
  <c r="AG21" i="18"/>
  <c r="M24" i="6" s="1"/>
  <c r="AF21" i="18"/>
  <c r="L24" i="6" s="1"/>
  <c r="AE21" i="18"/>
  <c r="K24" i="6" s="1"/>
  <c r="AL58" i="18"/>
  <c r="R61" i="6" s="1"/>
  <c r="AK58" i="18"/>
  <c r="Q61" i="6" s="1"/>
  <c r="AJ58" i="18"/>
  <c r="P61" i="6" s="1"/>
  <c r="AI58" i="18"/>
  <c r="O61" i="6" s="1"/>
  <c r="AH58" i="18"/>
  <c r="N61" i="6" s="1"/>
  <c r="AG58" i="18"/>
  <c r="M61" i="6" s="1"/>
  <c r="AF58" i="18"/>
  <c r="L61" i="6" s="1"/>
  <c r="AE58" i="18"/>
  <c r="K61" i="6" s="1"/>
  <c r="AL46" i="18"/>
  <c r="R49" i="6" s="1"/>
  <c r="AJ73" i="8" s="1" a="1"/>
  <c r="AJ73" i="8" s="1"/>
  <c r="AJ72" i="8" s="1"/>
  <c r="AK46" i="18"/>
  <c r="Q49" i="6" s="1"/>
  <c r="AJ46" i="18"/>
  <c r="P49" i="6" s="1"/>
  <c r="AI73" i="8" s="1" a="1"/>
  <c r="AI73" i="8" s="1"/>
  <c r="AI72" i="8" s="1"/>
  <c r="AI46" i="18"/>
  <c r="O49" i="6" s="1"/>
  <c r="AH73" i="8" s="1" a="1"/>
  <c r="AH73" i="8" s="1"/>
  <c r="AH72" i="8" s="1"/>
  <c r="AH46" i="18"/>
  <c r="N49" i="6" s="1"/>
  <c r="AG73" i="8" s="1" a="1"/>
  <c r="AG73" i="8" s="1"/>
  <c r="AG72" i="8" s="1"/>
  <c r="AG46" i="18"/>
  <c r="M49" i="6" s="1"/>
  <c r="AF46" i="18"/>
  <c r="L49" i="6" s="1"/>
  <c r="AE46" i="18"/>
  <c r="K49" i="6" s="1"/>
  <c r="AL53" i="18"/>
  <c r="R56" i="6" s="1"/>
  <c r="AK53" i="18"/>
  <c r="Q56" i="6" s="1"/>
  <c r="AJ53" i="18"/>
  <c r="P56" i="6" s="1"/>
  <c r="AI53" i="18"/>
  <c r="O56" i="6" s="1"/>
  <c r="AH53" i="18"/>
  <c r="N56" i="6" s="1"/>
  <c r="AG53" i="18"/>
  <c r="M56" i="6" s="1"/>
  <c r="AF53" i="18"/>
  <c r="L56" i="6" s="1"/>
  <c r="AE53" i="18"/>
  <c r="K56" i="6" s="1"/>
  <c r="AL52" i="18"/>
  <c r="R55" i="6" s="1"/>
  <c r="AK52" i="18"/>
  <c r="Q55" i="6" s="1"/>
  <c r="AJ52" i="18"/>
  <c r="P55" i="6" s="1"/>
  <c r="AI52" i="18"/>
  <c r="O55" i="6" s="1"/>
  <c r="AH52" i="18"/>
  <c r="N55" i="6" s="1"/>
  <c r="AG52" i="18"/>
  <c r="M55" i="6" s="1"/>
  <c r="AF52" i="18"/>
  <c r="L55" i="6" s="1"/>
  <c r="AE52" i="18"/>
  <c r="K55" i="6" s="1"/>
  <c r="AL51" i="18"/>
  <c r="R54" i="6" s="1"/>
  <c r="AK51" i="18"/>
  <c r="Q54" i="6" s="1"/>
  <c r="AJ51" i="18"/>
  <c r="P54" i="6" s="1"/>
  <c r="AI51" i="18"/>
  <c r="O54" i="6" s="1"/>
  <c r="AH51" i="18"/>
  <c r="N54" i="6" s="1"/>
  <c r="AG51" i="18"/>
  <c r="M54" i="6" s="1"/>
  <c r="AF51" i="18"/>
  <c r="L54" i="6" s="1"/>
  <c r="AE51" i="18"/>
  <c r="K54" i="6" s="1"/>
  <c r="AL50" i="18"/>
  <c r="R53" i="6" s="1"/>
  <c r="AK50" i="18"/>
  <c r="Q53" i="6" s="1"/>
  <c r="AJ50" i="18"/>
  <c r="P53" i="6" s="1"/>
  <c r="AI50" i="18"/>
  <c r="O53" i="6" s="1"/>
  <c r="AH50" i="18"/>
  <c r="N53" i="6" s="1"/>
  <c r="AG50" i="18"/>
  <c r="M53" i="6" s="1"/>
  <c r="AF50" i="18"/>
  <c r="L53" i="6" s="1"/>
  <c r="AE50" i="18"/>
  <c r="K53" i="6" s="1"/>
  <c r="AL49" i="18"/>
  <c r="R52" i="6" s="1"/>
  <c r="AK49" i="18"/>
  <c r="Q52" i="6" s="1"/>
  <c r="AJ49" i="18"/>
  <c r="P52" i="6" s="1"/>
  <c r="AI49" i="18"/>
  <c r="O52" i="6" s="1"/>
  <c r="AH49" i="18"/>
  <c r="N52" i="6" s="1"/>
  <c r="AG49" i="18"/>
  <c r="M52" i="6" s="1"/>
  <c r="AF49" i="18"/>
  <c r="L52" i="6" s="1"/>
  <c r="AE49" i="18"/>
  <c r="K52" i="6" s="1"/>
  <c r="AL48" i="18"/>
  <c r="R51" i="6" s="1"/>
  <c r="AK48" i="18"/>
  <c r="Q51" i="6" s="1"/>
  <c r="AJ48" i="18"/>
  <c r="P51" i="6" s="1"/>
  <c r="AI48" i="18"/>
  <c r="O51" i="6" s="1"/>
  <c r="AH48" i="18"/>
  <c r="N51" i="6" s="1"/>
  <c r="AG48" i="18"/>
  <c r="M51" i="6" s="1"/>
  <c r="AF48" i="18"/>
  <c r="L51" i="6" s="1"/>
  <c r="AE48" i="18"/>
  <c r="K51" i="6" s="1"/>
  <c r="AL47" i="18"/>
  <c r="R50" i="6" s="1"/>
  <c r="AK47" i="18"/>
  <c r="Q50" i="6" s="1"/>
  <c r="AJ47" i="18"/>
  <c r="P50" i="6" s="1"/>
  <c r="AI47" i="18"/>
  <c r="O50" i="6" s="1"/>
  <c r="AH47" i="18"/>
  <c r="N50" i="6" s="1"/>
  <c r="AG47" i="18"/>
  <c r="M50" i="6" s="1"/>
  <c r="AF47" i="18"/>
  <c r="L50" i="6" s="1"/>
  <c r="AE47" i="18"/>
  <c r="K50" i="6" s="1"/>
  <c r="AL45" i="18"/>
  <c r="R48" i="6" s="1"/>
  <c r="AK45" i="18"/>
  <c r="Q48" i="6" s="1"/>
  <c r="AJ45" i="18"/>
  <c r="P48" i="6" s="1"/>
  <c r="AI45" i="18"/>
  <c r="O48" i="6" s="1"/>
  <c r="AH45" i="18"/>
  <c r="N48" i="6" s="1"/>
  <c r="AG45" i="18"/>
  <c r="M48" i="6" s="1"/>
  <c r="AF45" i="18"/>
  <c r="L48" i="6" s="1"/>
  <c r="AE45" i="18"/>
  <c r="K48" i="6" s="1"/>
  <c r="D125" i="18"/>
  <c r="T95" i="18" s="1"/>
  <c r="U95" i="18" s="1"/>
  <c r="AD95" i="18" s="1"/>
  <c r="D113" i="18"/>
  <c r="T83" i="18" s="1"/>
  <c r="U83" i="18" s="1"/>
  <c r="AD83" i="18" s="1"/>
  <c r="D101" i="18"/>
  <c r="T71" i="18" s="1"/>
  <c r="U71" i="18" s="1"/>
  <c r="AD71" i="18" s="1"/>
  <c r="T59" i="18"/>
  <c r="U59" i="18" s="1"/>
  <c r="AD59" i="18" s="1"/>
  <c r="D131" i="18"/>
  <c r="T101" i="18" s="1"/>
  <c r="U101" i="18" s="1"/>
  <c r="AD101" i="18" s="1"/>
  <c r="D119" i="18"/>
  <c r="T89" i="18" s="1"/>
  <c r="U89" i="18" s="1"/>
  <c r="AD89" i="18" s="1"/>
  <c r="D107" i="18"/>
  <c r="T77" i="18" s="1"/>
  <c r="U77" i="18" s="1"/>
  <c r="AD77" i="18" s="1"/>
  <c r="T65" i="18"/>
  <c r="U65" i="18" s="1"/>
  <c r="AD65" i="18" s="1"/>
  <c r="D130" i="18"/>
  <c r="T100" i="18" s="1"/>
  <c r="U100" i="18" s="1"/>
  <c r="AD100" i="18" s="1"/>
  <c r="D118" i="18"/>
  <c r="T88" i="18" s="1"/>
  <c r="U88" i="18" s="1"/>
  <c r="AD88" i="18" s="1"/>
  <c r="D106" i="18"/>
  <c r="T76" i="18" s="1"/>
  <c r="U76" i="18" s="1"/>
  <c r="AD76" i="18" s="1"/>
  <c r="T64" i="18"/>
  <c r="U64" i="18" s="1"/>
  <c r="AD64" i="18" s="1"/>
  <c r="D117" i="18"/>
  <c r="D105" i="18"/>
  <c r="T63" i="18"/>
  <c r="U63" i="18" s="1"/>
  <c r="AD63" i="18" s="1"/>
  <c r="T62" i="18"/>
  <c r="U62" i="18" s="1"/>
  <c r="W62" i="18" s="1"/>
  <c r="V62" i="18" s="1"/>
  <c r="AE62" i="18" s="1"/>
  <c r="K65" i="6" s="1"/>
  <c r="D127" i="18"/>
  <c r="T97" i="18" s="1"/>
  <c r="U97" i="18" s="1"/>
  <c r="AD97" i="18" s="1"/>
  <c r="D115" i="18"/>
  <c r="T85" i="18" s="1"/>
  <c r="U85" i="18" s="1"/>
  <c r="AD85" i="18" s="1"/>
  <c r="D103" i="18"/>
  <c r="T73" i="18" s="1"/>
  <c r="U73" i="18" s="1"/>
  <c r="AD73" i="18" s="1"/>
  <c r="T61" i="18"/>
  <c r="U61" i="18" s="1"/>
  <c r="AD61" i="18" s="1"/>
  <c r="D126" i="18"/>
  <c r="T96" i="18" s="1"/>
  <c r="U96" i="18" s="1"/>
  <c r="AD96" i="18" s="1"/>
  <c r="D114" i="18"/>
  <c r="T84" i="18" s="1"/>
  <c r="U84" i="18" s="1"/>
  <c r="AD84" i="18" s="1"/>
  <c r="D102" i="18"/>
  <c r="T72" i="18" s="1"/>
  <c r="U72" i="18" s="1"/>
  <c r="AD72" i="18" s="1"/>
  <c r="T60" i="18"/>
  <c r="U60" i="18" s="1"/>
  <c r="AD60" i="18" s="1"/>
  <c r="T31" i="18"/>
  <c r="U31" i="18" s="1"/>
  <c r="AD31" i="18" s="1"/>
  <c r="D66" i="18"/>
  <c r="T32" i="18"/>
  <c r="U32" i="18" s="1"/>
  <c r="AD32" i="18" s="1"/>
  <c r="D67" i="18"/>
  <c r="T34" i="18" s="1"/>
  <c r="U34" i="18" s="1"/>
  <c r="AD34" i="18" s="1"/>
  <c r="D38" i="18"/>
  <c r="T6" i="18"/>
  <c r="U6" i="18" s="1"/>
  <c r="AD6" i="18" s="1"/>
  <c r="D40" i="18"/>
  <c r="T9" i="18" s="1"/>
  <c r="U9" i="18" s="1"/>
  <c r="AD9" i="18" s="1"/>
  <c r="T7" i="18"/>
  <c r="U7" i="18" s="1"/>
  <c r="AD7" i="18" s="1"/>
  <c r="AQ14" i="17"/>
  <c r="AL14" i="17"/>
  <c r="AE96" i="18" l="1"/>
  <c r="K99" i="6" s="1"/>
  <c r="AL96" i="18"/>
  <c r="R99" i="6" s="1"/>
  <c r="AK96" i="18"/>
  <c r="Q99" i="6" s="1"/>
  <c r="AJ96" i="18"/>
  <c r="P99" i="6" s="1"/>
  <c r="AI96" i="18"/>
  <c r="O99" i="6" s="1"/>
  <c r="AH96" i="18"/>
  <c r="N99" i="6" s="1"/>
  <c r="AG96" i="18"/>
  <c r="M99" i="6" s="1"/>
  <c r="AF96" i="18"/>
  <c r="L99" i="6" s="1"/>
  <c r="AF59" i="8" a="1"/>
  <c r="AF59" i="8" s="1"/>
  <c r="AF53" i="8" a="1"/>
  <c r="AF53" i="8" s="1"/>
  <c r="AF58" i="8" a="1"/>
  <c r="AF58" i="8" s="1"/>
  <c r="AF52" i="8" a="1"/>
  <c r="AF52" i="8" s="1"/>
  <c r="X53" i="20" a="1"/>
  <c r="X53" i="20" s="1"/>
  <c r="X52" i="20" a="1"/>
  <c r="X52" i="20" s="1"/>
  <c r="X58" i="20" a="1"/>
  <c r="X58" i="20" s="1"/>
  <c r="X59" i="20" a="1"/>
  <c r="X59" i="20" s="1"/>
  <c r="AF88" i="8" a="1"/>
  <c r="AF88" i="8" s="1"/>
  <c r="X88" i="20" a="1"/>
  <c r="X88" i="20" s="1"/>
  <c r="AE73" i="18"/>
  <c r="K76" i="6" s="1"/>
  <c r="AL73" i="18"/>
  <c r="R76" i="6" s="1"/>
  <c r="AK73" i="18"/>
  <c r="Q76" i="6" s="1"/>
  <c r="AJ73" i="18"/>
  <c r="P76" i="6" s="1"/>
  <c r="AI73" i="18"/>
  <c r="O76" i="6" s="1"/>
  <c r="AH73" i="18"/>
  <c r="N76" i="6" s="1"/>
  <c r="AG73" i="18"/>
  <c r="M76" i="6" s="1"/>
  <c r="AF73" i="18"/>
  <c r="L76" i="6" s="1"/>
  <c r="AI52" i="8" a="1"/>
  <c r="AI52" i="8" s="1"/>
  <c r="AI59" i="8" a="1"/>
  <c r="AI59" i="8" s="1"/>
  <c r="AI53" i="8" a="1"/>
  <c r="AI53" i="8" s="1"/>
  <c r="AI58" i="8" a="1"/>
  <c r="AI58" i="8" s="1"/>
  <c r="AA61" i="20" a="1"/>
  <c r="AA61" i="20" s="1"/>
  <c r="AA55" i="20" a="1"/>
  <c r="AA55" i="20" s="1"/>
  <c r="AA60" i="20" a="1"/>
  <c r="AA60" i="20" s="1"/>
  <c r="AA59" i="20" a="1"/>
  <c r="AA59" i="20" s="1"/>
  <c r="AA53" i="20" a="1"/>
  <c r="AA53" i="20" s="1"/>
  <c r="AA58" i="20" a="1"/>
  <c r="AA58" i="20" s="1"/>
  <c r="AA56" i="20" a="1"/>
  <c r="AA56" i="20" s="1"/>
  <c r="AA54" i="20" a="1"/>
  <c r="AA54" i="20" s="1"/>
  <c r="AA52" i="20" a="1"/>
  <c r="AA52" i="20" s="1"/>
  <c r="AA62" i="20" a="1"/>
  <c r="AA62" i="20" s="1"/>
  <c r="AG88" i="8" a="1"/>
  <c r="AG88" i="8" s="1"/>
  <c r="Y90" i="20" a="1"/>
  <c r="Y90" i="20" s="1"/>
  <c r="Y89" i="20" a="1"/>
  <c r="Y89" i="20" s="1"/>
  <c r="Y88" i="20" a="1"/>
  <c r="Y88" i="20" s="1"/>
  <c r="AJ88" i="18"/>
  <c r="P91" i="6" s="1"/>
  <c r="AI88" i="18"/>
  <c r="O91" i="6" s="1"/>
  <c r="AH88" i="18"/>
  <c r="N91" i="6" s="1"/>
  <c r="AG88" i="18"/>
  <c r="M91" i="6" s="1"/>
  <c r="AF88" i="18"/>
  <c r="L91" i="6" s="1"/>
  <c r="AE88" i="18"/>
  <c r="K91" i="6" s="1"/>
  <c r="AL88" i="18"/>
  <c r="R91" i="6" s="1"/>
  <c r="AK88" i="18"/>
  <c r="Q91" i="6" s="1"/>
  <c r="AJ85" i="18"/>
  <c r="P88" i="6" s="1"/>
  <c r="AI85" i="18"/>
  <c r="O88" i="6" s="1"/>
  <c r="AH85" i="18"/>
  <c r="N88" i="6" s="1"/>
  <c r="AG85" i="18"/>
  <c r="M88" i="6" s="1"/>
  <c r="AF85" i="18"/>
  <c r="L88" i="6" s="1"/>
  <c r="AE85" i="18"/>
  <c r="K88" i="6" s="1"/>
  <c r="AL85" i="18"/>
  <c r="R88" i="6" s="1"/>
  <c r="AK85" i="18"/>
  <c r="Q88" i="6" s="1"/>
  <c r="AH88" i="8" a="1"/>
  <c r="AH88" i="8" s="1"/>
  <c r="Z90" i="20" a="1"/>
  <c r="Z90" i="20" s="1"/>
  <c r="Z89" i="20" a="1"/>
  <c r="Z89" i="20" s="1"/>
  <c r="Z88" i="20" a="1"/>
  <c r="Z88" i="20" s="1"/>
  <c r="AF77" i="18"/>
  <c r="L80" i="6" s="1"/>
  <c r="AI77" i="18"/>
  <c r="O80" i="6" s="1"/>
  <c r="AE77" i="18"/>
  <c r="K80" i="6" s="1"/>
  <c r="AH77" i="18"/>
  <c r="N80" i="6" s="1"/>
  <c r="AL77" i="18"/>
  <c r="R80" i="6" s="1"/>
  <c r="AK77" i="18"/>
  <c r="Q80" i="6" s="1"/>
  <c r="AJ77" i="18"/>
  <c r="P80" i="6" s="1"/>
  <c r="AG77" i="18"/>
  <c r="M80" i="6" s="1"/>
  <c r="AF97" i="18"/>
  <c r="L100" i="6" s="1"/>
  <c r="AI97" i="18"/>
  <c r="O100" i="6" s="1"/>
  <c r="AH97" i="18"/>
  <c r="N100" i="6" s="1"/>
  <c r="AE97" i="18"/>
  <c r="K100" i="6" s="1"/>
  <c r="AG97" i="18"/>
  <c r="M100" i="6" s="1"/>
  <c r="AL97" i="18"/>
  <c r="R100" i="6" s="1"/>
  <c r="AK97" i="18"/>
  <c r="Q100" i="6" s="1"/>
  <c r="AJ97" i="18"/>
  <c r="P100" i="6" s="1"/>
  <c r="AE89" i="18"/>
  <c r="K92" i="6" s="1"/>
  <c r="AL89" i="18"/>
  <c r="R92" i="6" s="1"/>
  <c r="AJ91" i="8" s="1" a="1"/>
  <c r="AJ91" i="8" s="1"/>
  <c r="AK89" i="18"/>
  <c r="Q92" i="6" s="1"/>
  <c r="AJ89" i="18"/>
  <c r="P92" i="6" s="1"/>
  <c r="AI91" i="8" s="1" a="1"/>
  <c r="AI91" i="8" s="1"/>
  <c r="AI89" i="18"/>
  <c r="O92" i="6" s="1"/>
  <c r="AH91" i="8" s="1" a="1"/>
  <c r="AH91" i="8" s="1"/>
  <c r="AH89" i="18"/>
  <c r="N92" i="6" s="1"/>
  <c r="AG91" i="8" s="1" a="1"/>
  <c r="AG91" i="8" s="1"/>
  <c r="AG89" i="18"/>
  <c r="M92" i="6" s="1"/>
  <c r="AF89" i="18"/>
  <c r="L92" i="6" s="1"/>
  <c r="AJ52" i="8" a="1"/>
  <c r="AJ52" i="8" s="1"/>
  <c r="AJ54" i="8" a="1"/>
  <c r="AJ54" i="8" s="1"/>
  <c r="AJ58" i="8" a="1"/>
  <c r="AJ58" i="8" s="1"/>
  <c r="AJ59" i="8" a="1"/>
  <c r="AJ59" i="8" s="1"/>
  <c r="AJ53" i="8" a="1"/>
  <c r="AJ53" i="8" s="1"/>
  <c r="AJ55" i="8" a="1"/>
  <c r="AJ55" i="8" s="1"/>
  <c r="AB61" i="20" a="1"/>
  <c r="AB61" i="20" s="1"/>
  <c r="AB59" i="20" a="1"/>
  <c r="AB59" i="20" s="1"/>
  <c r="AB58" i="20" a="1"/>
  <c r="AB58" i="20" s="1"/>
  <c r="AB60" i="20" a="1"/>
  <c r="AB60" i="20" s="1"/>
  <c r="AB56" i="20" a="1"/>
  <c r="AB56" i="20" s="1"/>
  <c r="AB55" i="20" a="1"/>
  <c r="AB55" i="20" s="1"/>
  <c r="AB54" i="20" a="1"/>
  <c r="AB54" i="20" s="1"/>
  <c r="AB53" i="20" a="1"/>
  <c r="AB53" i="20" s="1"/>
  <c r="AB52" i="20" a="1"/>
  <c r="AB52" i="20" s="1"/>
  <c r="AB62" i="20" a="1"/>
  <c r="AB62" i="20" s="1"/>
  <c r="AI88" i="8" a="1"/>
  <c r="AI88" i="8" s="1"/>
  <c r="AA90" i="20" a="1"/>
  <c r="AA90" i="20" s="1"/>
  <c r="AA89" i="20" a="1"/>
  <c r="AA89" i="20" s="1"/>
  <c r="AA88" i="20" a="1"/>
  <c r="AA88" i="20" s="1"/>
  <c r="AG59" i="8" a="1"/>
  <c r="AG59" i="8" s="1"/>
  <c r="AG53" i="8" a="1"/>
  <c r="AG53" i="8" s="1"/>
  <c r="AG58" i="8" a="1"/>
  <c r="AG58" i="8" s="1"/>
  <c r="AG52" i="8" a="1"/>
  <c r="AG52" i="8" s="1"/>
  <c r="Y52" i="20" a="1"/>
  <c r="Y52" i="20" s="1"/>
  <c r="Y62" i="20" a="1"/>
  <c r="Y62" i="20" s="1"/>
  <c r="Y61" i="20" a="1"/>
  <c r="Y61" i="20" s="1"/>
  <c r="Y60" i="20" a="1"/>
  <c r="Y60" i="20" s="1"/>
  <c r="Y58" i="20" a="1"/>
  <c r="Y58" i="20" s="1"/>
  <c r="Y59" i="20" a="1"/>
  <c r="Y59" i="20" s="1"/>
  <c r="Y53" i="20" a="1"/>
  <c r="Y53" i="20" s="1"/>
  <c r="Y56" i="20" a="1"/>
  <c r="Y56" i="20" s="1"/>
  <c r="Y55" i="20" a="1"/>
  <c r="Y55" i="20" s="1"/>
  <c r="Y54" i="20" a="1"/>
  <c r="Y54" i="20" s="1"/>
  <c r="AE103" i="8" a="1"/>
  <c r="AE103" i="8" s="1"/>
  <c r="AE113" i="8" a="1"/>
  <c r="AE113" i="8" s="1"/>
  <c r="AE108" i="8" a="1"/>
  <c r="AE108" i="8" s="1"/>
  <c r="W104" i="20" a="1"/>
  <c r="W104" i="20" s="1"/>
  <c r="W100" i="20" a="1"/>
  <c r="W100" i="20" s="1"/>
  <c r="W108" i="20" a="1"/>
  <c r="W108" i="20" s="1"/>
  <c r="AD59" i="8" a="1"/>
  <c r="AD59" i="8" s="1"/>
  <c r="V52" i="20" a="1"/>
  <c r="V52" i="20" s="1"/>
  <c r="AD53" i="8" a="1"/>
  <c r="AD53" i="8" s="1"/>
  <c r="AD58" i="8" a="1"/>
  <c r="AD58" i="8" s="1"/>
  <c r="V59" i="20" a="1"/>
  <c r="V59" i="20" s="1"/>
  <c r="AD52" i="8" a="1"/>
  <c r="AD52" i="8" s="1"/>
  <c r="V58" i="20" a="1"/>
  <c r="V58" i="20" s="1"/>
  <c r="V53" i="20" a="1"/>
  <c r="V53" i="20" s="1"/>
  <c r="AF103" i="8" a="1"/>
  <c r="AF103" i="8" s="1"/>
  <c r="AF113" i="8" a="1"/>
  <c r="AF113" i="8" s="1"/>
  <c r="AF108" i="8" a="1"/>
  <c r="AF108" i="8" s="1"/>
  <c r="X104" i="20" a="1"/>
  <c r="X104" i="20" s="1"/>
  <c r="X100" i="20" a="1"/>
  <c r="X100" i="20" s="1"/>
  <c r="X108" i="20" a="1"/>
  <c r="X108" i="20" s="1"/>
  <c r="AF71" i="18"/>
  <c r="L74" i="6" s="1"/>
  <c r="AI71" i="18"/>
  <c r="O74" i="6" s="1"/>
  <c r="AH71" i="18"/>
  <c r="N74" i="6" s="1"/>
  <c r="AE71" i="18"/>
  <c r="K74" i="6" s="1"/>
  <c r="AG71" i="18"/>
  <c r="M74" i="6" s="1"/>
  <c r="AL71" i="18"/>
  <c r="R74" i="6" s="1"/>
  <c r="AK71" i="18"/>
  <c r="Q74" i="6" s="1"/>
  <c r="AJ71" i="18"/>
  <c r="P74" i="6" s="1"/>
  <c r="AH59" i="8" a="1"/>
  <c r="AH59" i="8" s="1"/>
  <c r="AH53" i="8" a="1"/>
  <c r="AH53" i="8" s="1"/>
  <c r="AH52" i="8" a="1"/>
  <c r="AH52" i="8" s="1"/>
  <c r="AH58" i="8" a="1"/>
  <c r="AH58" i="8" s="1"/>
  <c r="Z62" i="20" a="1"/>
  <c r="Z62" i="20" s="1"/>
  <c r="Z53" i="20" a="1"/>
  <c r="Z53" i="20" s="1"/>
  <c r="Z61" i="20" a="1"/>
  <c r="Z61" i="20" s="1"/>
  <c r="Z59" i="20" a="1"/>
  <c r="Z59" i="20" s="1"/>
  <c r="Z60" i="20" a="1"/>
  <c r="Z60" i="20" s="1"/>
  <c r="Z58" i="20" a="1"/>
  <c r="Z58" i="20" s="1"/>
  <c r="Z55" i="20" a="1"/>
  <c r="Z55" i="20" s="1"/>
  <c r="Z56" i="20" a="1"/>
  <c r="Z56" i="20" s="1"/>
  <c r="Z54" i="20" a="1"/>
  <c r="Z54" i="20" s="1"/>
  <c r="Z52" i="20" a="1"/>
  <c r="Z52" i="20" s="1"/>
  <c r="AG103" i="8" a="1"/>
  <c r="AG103" i="8" s="1"/>
  <c r="AG108" i="8" a="1"/>
  <c r="AG108" i="8" s="1"/>
  <c r="AG113" i="8" a="1"/>
  <c r="AG113" i="8" s="1"/>
  <c r="Y102" i="20" a="1"/>
  <c r="Y102" i="20" s="1"/>
  <c r="Y101" i="20" a="1"/>
  <c r="Y101" i="20" s="1"/>
  <c r="Y100" i="20" a="1"/>
  <c r="Y100" i="20" s="1"/>
  <c r="Y110" i="20" a="1"/>
  <c r="Y110" i="20" s="1"/>
  <c r="Y109" i="20" a="1"/>
  <c r="Y109" i="20" s="1"/>
  <c r="Y108" i="20" a="1"/>
  <c r="Y108" i="20" s="1"/>
  <c r="Y106" i="20" a="1"/>
  <c r="Y106" i="20" s="1"/>
  <c r="Y105" i="20" a="1"/>
  <c r="Y105" i="20" s="1"/>
  <c r="Y104" i="20" a="1"/>
  <c r="Y104" i="20" s="1"/>
  <c r="AJ101" i="18"/>
  <c r="P104" i="6" s="1"/>
  <c r="AI101" i="18"/>
  <c r="O104" i="6" s="1"/>
  <c r="AH101" i="18"/>
  <c r="N104" i="6" s="1"/>
  <c r="AG101" i="18"/>
  <c r="M104" i="6" s="1"/>
  <c r="AF101" i="18"/>
  <c r="L104" i="6" s="1"/>
  <c r="AE101" i="18"/>
  <c r="K104" i="6" s="1"/>
  <c r="AL101" i="18"/>
  <c r="R104" i="6" s="1"/>
  <c r="AK101" i="18"/>
  <c r="Q104" i="6" s="1"/>
  <c r="AJ94" i="8" a="1"/>
  <c r="AJ94" i="8" s="1"/>
  <c r="AQ95" i="4" s="1"/>
  <c r="AJ99" i="8" a="1"/>
  <c r="AJ99" i="8" s="1"/>
  <c r="AQ96" i="4" s="1"/>
  <c r="AE59" i="8" a="1"/>
  <c r="AE59" i="8" s="1"/>
  <c r="AE53" i="8" a="1"/>
  <c r="AE53" i="8" s="1"/>
  <c r="AE58" i="8" a="1"/>
  <c r="AE58" i="8" s="1"/>
  <c r="AE52" i="8" a="1"/>
  <c r="AE52" i="8" s="1"/>
  <c r="W59" i="20" a="1"/>
  <c r="W59" i="20" s="1"/>
  <c r="W53" i="20" a="1"/>
  <c r="W53" i="20" s="1"/>
  <c r="W52" i="20" a="1"/>
  <c r="W52" i="20" s="1"/>
  <c r="W58" i="20" a="1"/>
  <c r="W58" i="20" s="1"/>
  <c r="AH108" i="8" a="1"/>
  <c r="AH108" i="8" s="1"/>
  <c r="AH103" i="8" a="1"/>
  <c r="AH103" i="8" s="1"/>
  <c r="AH113" i="8" a="1"/>
  <c r="AH113" i="8" s="1"/>
  <c r="Z101" i="20" a="1"/>
  <c r="Z101" i="20" s="1"/>
  <c r="Z100" i="20" a="1"/>
  <c r="Z100" i="20" s="1"/>
  <c r="Z110" i="20" a="1"/>
  <c r="Z110" i="20" s="1"/>
  <c r="Z109" i="20" a="1"/>
  <c r="Z109" i="20" s="1"/>
  <c r="Z102" i="20" a="1"/>
  <c r="Z102" i="20" s="1"/>
  <c r="Z108" i="20" a="1"/>
  <c r="Z108" i="20" s="1"/>
  <c r="Z106" i="20" a="1"/>
  <c r="Z106" i="20" s="1"/>
  <c r="Z105" i="20" a="1"/>
  <c r="Z105" i="20" s="1"/>
  <c r="Z104" i="20" a="1"/>
  <c r="Z104" i="20" s="1"/>
  <c r="AF100" i="18"/>
  <c r="L103" i="6" s="1"/>
  <c r="AI100" i="18"/>
  <c r="O103" i="6" s="1"/>
  <c r="AE100" i="18"/>
  <c r="K103" i="6" s="1"/>
  <c r="AH100" i="18"/>
  <c r="N103" i="6" s="1"/>
  <c r="AL100" i="18"/>
  <c r="R103" i="6" s="1"/>
  <c r="AK100" i="18"/>
  <c r="Q103" i="6" s="1"/>
  <c r="AG100" i="18"/>
  <c r="M103" i="6" s="1"/>
  <c r="AJ100" i="18"/>
  <c r="P103" i="6" s="1"/>
  <c r="AD94" i="8" a="1"/>
  <c r="AD94" i="8" s="1"/>
  <c r="AK95" i="4" s="1"/>
  <c r="AU95" i="4" s="1"/>
  <c r="AD99" i="8" a="1"/>
  <c r="AD99" i="8" s="1"/>
  <c r="AK96" i="4" s="1"/>
  <c r="AU96" i="4" s="1"/>
  <c r="AJ95" i="18"/>
  <c r="P98" i="6" s="1"/>
  <c r="AI95" i="18"/>
  <c r="O98" i="6" s="1"/>
  <c r="AH95" i="18"/>
  <c r="N98" i="6" s="1"/>
  <c r="AG95" i="18"/>
  <c r="M98" i="6" s="1"/>
  <c r="AF95" i="18"/>
  <c r="L98" i="6" s="1"/>
  <c r="AE95" i="18"/>
  <c r="K98" i="6" s="1"/>
  <c r="AL95" i="18"/>
  <c r="R98" i="6" s="1"/>
  <c r="AK95" i="18"/>
  <c r="Q98" i="6" s="1"/>
  <c r="AJ72" i="18"/>
  <c r="P75" i="6" s="1"/>
  <c r="AI72" i="18"/>
  <c r="O75" i="6" s="1"/>
  <c r="AH72" i="18"/>
  <c r="N75" i="6" s="1"/>
  <c r="AG72" i="18"/>
  <c r="M75" i="6" s="1"/>
  <c r="AF72" i="18"/>
  <c r="L75" i="6" s="1"/>
  <c r="AE72" i="18"/>
  <c r="K75" i="6" s="1"/>
  <c r="AL72" i="18"/>
  <c r="R75" i="6" s="1"/>
  <c r="AK72" i="18"/>
  <c r="Q75" i="6" s="1"/>
  <c r="V88" i="20" a="1"/>
  <c r="V88" i="20" s="1"/>
  <c r="AD88" i="8" a="1"/>
  <c r="AD88" i="8" s="1"/>
  <c r="AI108" i="8" a="1"/>
  <c r="AI108" i="8" s="1"/>
  <c r="AI103" i="8" a="1"/>
  <c r="AI103" i="8" s="1"/>
  <c r="AI113" i="8" a="1"/>
  <c r="AI113" i="8" s="1"/>
  <c r="AA110" i="20" a="1"/>
  <c r="AA110" i="20" s="1"/>
  <c r="AA109" i="20" a="1"/>
  <c r="AA109" i="20" s="1"/>
  <c r="AA108" i="20" a="1"/>
  <c r="AA108" i="20" s="1"/>
  <c r="AA106" i="20" a="1"/>
  <c r="AA106" i="20" s="1"/>
  <c r="AA105" i="20" a="1"/>
  <c r="AA105" i="20" s="1"/>
  <c r="AA104" i="20" a="1"/>
  <c r="AA104" i="20" s="1"/>
  <c r="AA102" i="20" a="1"/>
  <c r="AA102" i="20" s="1"/>
  <c r="AA100" i="20" a="1"/>
  <c r="AA100" i="20" s="1"/>
  <c r="AA101" i="20" a="1"/>
  <c r="AA101" i="20" s="1"/>
  <c r="AE83" i="18"/>
  <c r="K86" i="6" s="1"/>
  <c r="AL83" i="18"/>
  <c r="R86" i="6" s="1"/>
  <c r="AK83" i="18"/>
  <c r="Q86" i="6" s="1"/>
  <c r="AJ83" i="18"/>
  <c r="P86" i="6" s="1"/>
  <c r="AI83" i="18"/>
  <c r="O86" i="6" s="1"/>
  <c r="AH83" i="18"/>
  <c r="N86" i="6" s="1"/>
  <c r="AG83" i="18"/>
  <c r="M86" i="6" s="1"/>
  <c r="AF83" i="18"/>
  <c r="L86" i="6" s="1"/>
  <c r="AF84" i="18"/>
  <c r="L87" i="6" s="1"/>
  <c r="AE84" i="18"/>
  <c r="K87" i="6" s="1"/>
  <c r="AI84" i="18"/>
  <c r="O87" i="6" s="1"/>
  <c r="AH84" i="18"/>
  <c r="N87" i="6" s="1"/>
  <c r="AL84" i="18"/>
  <c r="R87" i="6" s="1"/>
  <c r="AK84" i="18"/>
  <c r="Q87" i="6" s="1"/>
  <c r="AJ84" i="18"/>
  <c r="P87" i="6" s="1"/>
  <c r="AG84" i="18"/>
  <c r="M87" i="6" s="1"/>
  <c r="AE76" i="18"/>
  <c r="K79" i="6" s="1"/>
  <c r="AL76" i="18"/>
  <c r="R79" i="6" s="1"/>
  <c r="AK76" i="18"/>
  <c r="Q79" i="6" s="1"/>
  <c r="AJ76" i="18"/>
  <c r="P79" i="6" s="1"/>
  <c r="AI76" i="18"/>
  <c r="O79" i="6" s="1"/>
  <c r="AH76" i="18"/>
  <c r="N79" i="6" s="1"/>
  <c r="AG76" i="18"/>
  <c r="M79" i="6" s="1"/>
  <c r="AF76" i="18"/>
  <c r="L79" i="6" s="1"/>
  <c r="AE88" i="8" a="1"/>
  <c r="AE88" i="8" s="1"/>
  <c r="W88" i="20" a="1"/>
  <c r="W88" i="20" s="1"/>
  <c r="AJ104" i="8" a="1"/>
  <c r="AJ104" i="8" s="1"/>
  <c r="AQ97" i="4" s="1"/>
  <c r="AJ108" i="8" a="1"/>
  <c r="AJ108" i="8" s="1"/>
  <c r="AJ109" i="8" a="1"/>
  <c r="AJ109" i="8" s="1"/>
  <c r="AQ98" i="4" s="1"/>
  <c r="AJ114" i="8" a="1"/>
  <c r="AJ114" i="8" s="1"/>
  <c r="AQ99" i="4" s="1"/>
  <c r="AJ103" i="8" a="1"/>
  <c r="AJ103" i="8" s="1"/>
  <c r="AJ115" i="8" a="1"/>
  <c r="AJ115" i="8" s="1"/>
  <c r="AJ110" i="8" a="1"/>
  <c r="AJ110" i="8" s="1"/>
  <c r="AJ105" i="8" a="1"/>
  <c r="AJ105" i="8" s="1"/>
  <c r="AJ113" i="8" a="1"/>
  <c r="AJ113" i="8" s="1"/>
  <c r="AB110" i="20" a="1"/>
  <c r="AB110" i="20" s="1"/>
  <c r="AB109" i="20" a="1"/>
  <c r="AB109" i="20" s="1"/>
  <c r="AB108" i="20" a="1"/>
  <c r="AB108" i="20" s="1"/>
  <c r="AB106" i="20" a="1"/>
  <c r="AB106" i="20" s="1"/>
  <c r="AB105" i="20" a="1"/>
  <c r="AB105" i="20" s="1"/>
  <c r="AB100" i="20" a="1"/>
  <c r="AB100" i="20" s="1"/>
  <c r="AB104" i="20" a="1"/>
  <c r="AB104" i="20" s="1"/>
  <c r="AB102" i="20" a="1"/>
  <c r="AB102" i="20" s="1"/>
  <c r="AB101" i="20" a="1"/>
  <c r="AB101" i="20" s="1"/>
  <c r="AJ89" i="8" a="1"/>
  <c r="AJ89" i="8" s="1"/>
  <c r="AQ94" i="4" s="1"/>
  <c r="AJ88" i="8" a="1"/>
  <c r="AJ88" i="8" s="1"/>
  <c r="AJ90" i="8" a="1"/>
  <c r="AJ90" i="8" s="1"/>
  <c r="AB90" i="20" a="1"/>
  <c r="AB90" i="20" s="1"/>
  <c r="AB89" i="20" a="1"/>
  <c r="AB89" i="20" s="1"/>
  <c r="AB88" i="20" a="1"/>
  <c r="AB88" i="20" s="1"/>
  <c r="V100" i="20" a="1"/>
  <c r="V100" i="20" s="1"/>
  <c r="AD113" i="8" a="1"/>
  <c r="AD113" i="8" s="1"/>
  <c r="V108" i="20" a="1"/>
  <c r="V108" i="20" s="1"/>
  <c r="AD103" i="8" a="1"/>
  <c r="AD103" i="8" s="1"/>
  <c r="V104" i="20" a="1"/>
  <c r="V104" i="20" s="1"/>
  <c r="AD108" i="8" a="1"/>
  <c r="AD108" i="8" s="1"/>
  <c r="Z116" i="20"/>
  <c r="AA116" i="20"/>
  <c r="Y116" i="20"/>
  <c r="AG74" i="8" a="1"/>
  <c r="AG74" i="8" s="1"/>
  <c r="AG79" i="8" a="1"/>
  <c r="AG79" i="8" s="1"/>
  <c r="AG84" i="8" a="1"/>
  <c r="AG84" i="8" s="1"/>
  <c r="AD78" i="8" a="1"/>
  <c r="AD78" i="8" s="1"/>
  <c r="AD83" i="8" a="1"/>
  <c r="AD83" i="8" s="1"/>
  <c r="AD72" i="8" a="1"/>
  <c r="AD72" i="8" s="1"/>
  <c r="V72" i="20" a="1"/>
  <c r="V72" i="20" s="1"/>
  <c r="V83" i="20" a="1"/>
  <c r="V83" i="20" s="1"/>
  <c r="V78" i="20" a="1"/>
  <c r="V78" i="20" s="1"/>
  <c r="AH74" i="8" a="1"/>
  <c r="AH74" i="8" s="1"/>
  <c r="AH79" i="8" a="1"/>
  <c r="AH79" i="8" s="1"/>
  <c r="AH84" i="8" a="1"/>
  <c r="AH84" i="8" s="1"/>
  <c r="AH76" i="8" a="1"/>
  <c r="AH76" i="8" s="1"/>
  <c r="AH81" i="8" a="1"/>
  <c r="AH81" i="8" s="1"/>
  <c r="AH86" i="8" a="1"/>
  <c r="AH86" i="8" s="1"/>
  <c r="AD93" i="8" a="1"/>
  <c r="AD93" i="8" s="1"/>
  <c r="AD98" i="8" a="1"/>
  <c r="AD98" i="8" s="1"/>
  <c r="V96" i="20" a="1"/>
  <c r="V96" i="20" s="1"/>
  <c r="V92" i="20" a="1"/>
  <c r="V92" i="20" s="1"/>
  <c r="AD70" i="8" a="1"/>
  <c r="AD70" i="8" s="1"/>
  <c r="V38" i="20" a="1"/>
  <c r="V38" i="20" s="1"/>
  <c r="AD45" i="8" a="1"/>
  <c r="AD45" i="8" s="1"/>
  <c r="V70" i="20" a="1"/>
  <c r="V70" i="20" s="1"/>
  <c r="V45" i="20" a="1"/>
  <c r="V45" i="20" s="1"/>
  <c r="AD38" i="8" a="1"/>
  <c r="AD38" i="8" s="1"/>
  <c r="AE78" i="8" a="1"/>
  <c r="AE78" i="8" s="1"/>
  <c r="AE83" i="8" a="1"/>
  <c r="AE83" i="8" s="1"/>
  <c r="W72" i="20" a="1"/>
  <c r="W72" i="20" s="1"/>
  <c r="W83" i="20" a="1"/>
  <c r="W83" i="20" s="1"/>
  <c r="W78" i="20" a="1"/>
  <c r="W78" i="20" s="1"/>
  <c r="AF70" i="8" a="1"/>
  <c r="AF70" i="8" s="1"/>
  <c r="AF38" i="8" a="1"/>
  <c r="AF38" i="8" s="1"/>
  <c r="AF45" i="8" a="1"/>
  <c r="AF45" i="8" s="1"/>
  <c r="X70" i="20" a="1"/>
  <c r="X70" i="20" s="1"/>
  <c r="X45" i="20" a="1"/>
  <c r="X45" i="20" s="1"/>
  <c r="X38" i="20" a="1"/>
  <c r="X38" i="20" s="1"/>
  <c r="AI81" i="8" a="1"/>
  <c r="AI81" i="8" s="1"/>
  <c r="AI86" i="8" a="1"/>
  <c r="AI86" i="8" s="1"/>
  <c r="AI76" i="8" a="1"/>
  <c r="AI76" i="8" s="1"/>
  <c r="AG98" i="8" a="1"/>
  <c r="AG98" i="8" s="1"/>
  <c r="AG93" i="8" a="1"/>
  <c r="AG93" i="8" s="1"/>
  <c r="Y97" i="20" a="1"/>
  <c r="Y97" i="20" s="1"/>
  <c r="Y96" i="20" a="1"/>
  <c r="Y96" i="20" s="1"/>
  <c r="Y94" i="20" a="1"/>
  <c r="Y94" i="20" s="1"/>
  <c r="Y93" i="20" a="1"/>
  <c r="Y93" i="20" s="1"/>
  <c r="Y92" i="20" a="1"/>
  <c r="Y92" i="20" s="1"/>
  <c r="Y98" i="20" a="1"/>
  <c r="Y98" i="20" s="1"/>
  <c r="AG70" i="8" a="1"/>
  <c r="AG70" i="8" s="1"/>
  <c r="AG45" i="8" a="1"/>
  <c r="AG45" i="8" s="1"/>
  <c r="AG38" i="8" a="1"/>
  <c r="AG38" i="8" s="1"/>
  <c r="AF78" i="8" a="1"/>
  <c r="AF78" i="8" s="1"/>
  <c r="AF83" i="8" a="1"/>
  <c r="AF83" i="8" s="1"/>
  <c r="X72" i="20" a="1"/>
  <c r="X72" i="20" s="1"/>
  <c r="X83" i="20" a="1"/>
  <c r="X83" i="20" s="1"/>
  <c r="X78" i="20" a="1"/>
  <c r="X78" i="20" s="1"/>
  <c r="AG83" i="8" a="1"/>
  <c r="AG83" i="8" s="1"/>
  <c r="AG78" i="8" a="1"/>
  <c r="AG78" i="8" s="1"/>
  <c r="Y85" i="20" a="1"/>
  <c r="Y85" i="20" s="1"/>
  <c r="Y73" i="20" a="1"/>
  <c r="Y73" i="20" s="1"/>
  <c r="Y84" i="20" a="1"/>
  <c r="Y84" i="20" s="1"/>
  <c r="Y72" i="20" a="1"/>
  <c r="Y72" i="20" s="1"/>
  <c r="Y83" i="20" a="1"/>
  <c r="Y83" i="20" s="1"/>
  <c r="Y81" i="20" a="1"/>
  <c r="Y81" i="20" s="1"/>
  <c r="Y80" i="20" a="1"/>
  <c r="Y80" i="20" s="1"/>
  <c r="Y79" i="20" a="1"/>
  <c r="Y79" i="20" s="1"/>
  <c r="Y78" i="20" a="1"/>
  <c r="Y78" i="20" s="1"/>
  <c r="Y86" i="20" a="1"/>
  <c r="Y86" i="20" s="1"/>
  <c r="Y76" i="20" a="1"/>
  <c r="Y76" i="20" s="1"/>
  <c r="Y75" i="20" a="1"/>
  <c r="Y75" i="20" s="1"/>
  <c r="Y74" i="20" a="1"/>
  <c r="Y74" i="20" s="1"/>
  <c r="AJ86" i="8" a="1"/>
  <c r="AJ86" i="8" s="1"/>
  <c r="AJ76" i="8" a="1"/>
  <c r="AJ76" i="8" s="1"/>
  <c r="AJ81" i="8" a="1"/>
  <c r="AJ81" i="8" s="1"/>
  <c r="X116" i="20"/>
  <c r="S27" i="20"/>
  <c r="AF98" i="8" a="1"/>
  <c r="AF98" i="8" s="1"/>
  <c r="AF93" i="8" a="1"/>
  <c r="AF93" i="8" s="1"/>
  <c r="X96" i="20" a="1"/>
  <c r="X96" i="20" s="1"/>
  <c r="X92" i="20" a="1"/>
  <c r="X92" i="20" s="1"/>
  <c r="AH78" i="8" a="1"/>
  <c r="AH78" i="8" s="1"/>
  <c r="AH83" i="8" a="1"/>
  <c r="AH83" i="8" s="1"/>
  <c r="Z84" i="20" a="1"/>
  <c r="Z84" i="20" s="1"/>
  <c r="Z72" i="20" a="1"/>
  <c r="Z72" i="20" s="1"/>
  <c r="Z83" i="20" a="1"/>
  <c r="Z83" i="20" s="1"/>
  <c r="Z81" i="20" a="1"/>
  <c r="Z81" i="20" s="1"/>
  <c r="Z80" i="20" a="1"/>
  <c r="Z80" i="20" s="1"/>
  <c r="Z79" i="20" a="1"/>
  <c r="Z79" i="20" s="1"/>
  <c r="Z78" i="20" a="1"/>
  <c r="Z78" i="20" s="1"/>
  <c r="Z76" i="20" a="1"/>
  <c r="Z76" i="20" s="1"/>
  <c r="Z75" i="20" a="1"/>
  <c r="Z75" i="20" s="1"/>
  <c r="Z86" i="20" a="1"/>
  <c r="Z86" i="20" s="1"/>
  <c r="Z74" i="20" a="1"/>
  <c r="Z74" i="20" s="1"/>
  <c r="Z85" i="20" a="1"/>
  <c r="Z85" i="20" s="1"/>
  <c r="Z73" i="20" a="1"/>
  <c r="Z73" i="20" s="1"/>
  <c r="AD80" i="8" a="1"/>
  <c r="AD80" i="8" s="1"/>
  <c r="AD85" i="8" a="1"/>
  <c r="AD85" i="8" s="1"/>
  <c r="AD75" i="8" a="1"/>
  <c r="AD75" i="8" s="1"/>
  <c r="V75" i="20" a="1"/>
  <c r="V75" i="20" s="1"/>
  <c r="V85" i="20" a="1"/>
  <c r="V85" i="20" s="1"/>
  <c r="V80" i="20" a="1"/>
  <c r="V80" i="20" s="1"/>
  <c r="AD73" i="8" a="1"/>
  <c r="AD73" i="8" s="1"/>
  <c r="V73" i="20" a="1"/>
  <c r="V73" i="20" s="1"/>
  <c r="AH98" i="8" a="1"/>
  <c r="AH98" i="8" s="1"/>
  <c r="AH93" i="8" a="1"/>
  <c r="AH93" i="8" s="1"/>
  <c r="Z96" i="20" a="1"/>
  <c r="Z96" i="20" s="1"/>
  <c r="Z94" i="20" a="1"/>
  <c r="Z94" i="20" s="1"/>
  <c r="Z93" i="20" a="1"/>
  <c r="Z93" i="20" s="1"/>
  <c r="Z92" i="20" a="1"/>
  <c r="Z92" i="20" s="1"/>
  <c r="Z98" i="20" a="1"/>
  <c r="Z98" i="20" s="1"/>
  <c r="Z97" i="20" a="1"/>
  <c r="Z97" i="20" s="1"/>
  <c r="V23" i="20" a="1"/>
  <c r="V23" i="20" s="1"/>
  <c r="AD23" i="8" a="1"/>
  <c r="AD23" i="8" s="1"/>
  <c r="AH70" i="8" a="1"/>
  <c r="AH70" i="8" s="1"/>
  <c r="AH38" i="8" a="1"/>
  <c r="AH38" i="8" s="1"/>
  <c r="AH45" i="8" a="1"/>
  <c r="AH45" i="8" s="1"/>
  <c r="AD32" i="8" a="1"/>
  <c r="AD32" i="8" s="1"/>
  <c r="AD65" i="8" a="1"/>
  <c r="AD65" i="8" s="1"/>
  <c r="V32" i="20" a="1"/>
  <c r="V32" i="20" s="1"/>
  <c r="V65" i="20" a="1"/>
  <c r="V65" i="20" s="1"/>
  <c r="AI74" i="8" a="1"/>
  <c r="AI74" i="8" s="1"/>
  <c r="AI79" i="8" a="1"/>
  <c r="AI79" i="8" s="1"/>
  <c r="AI84" i="8" a="1"/>
  <c r="AI84" i="8" s="1"/>
  <c r="AI75" i="8" a="1"/>
  <c r="AI75" i="8" s="1"/>
  <c r="AI83" i="8" a="1"/>
  <c r="AI83" i="8" s="1"/>
  <c r="AI78" i="8" a="1"/>
  <c r="AI78" i="8" s="1"/>
  <c r="AA85" i="20" a="1"/>
  <c r="AA85" i="20" s="1"/>
  <c r="AA73" i="20" a="1"/>
  <c r="AA73" i="20" s="1"/>
  <c r="AA84" i="20" a="1"/>
  <c r="AA84" i="20" s="1"/>
  <c r="AA72" i="20" a="1"/>
  <c r="AA72" i="20" s="1"/>
  <c r="AA83" i="20" a="1"/>
  <c r="AA83" i="20" s="1"/>
  <c r="AA81" i="20" a="1"/>
  <c r="AA81" i="20" s="1"/>
  <c r="AA80" i="20" a="1"/>
  <c r="AA80" i="20" s="1"/>
  <c r="AA79" i="20" a="1"/>
  <c r="AA79" i="20" s="1"/>
  <c r="AA78" i="20" a="1"/>
  <c r="AA78" i="20" s="1"/>
  <c r="AA76" i="20" a="1"/>
  <c r="AA76" i="20" s="1"/>
  <c r="AA86" i="20" a="1"/>
  <c r="AA86" i="20" s="1"/>
  <c r="AA75" i="20" a="1"/>
  <c r="AA75" i="20" s="1"/>
  <c r="AA74" i="20" a="1"/>
  <c r="AA74" i="20" s="1"/>
  <c r="AE85" i="8" a="1"/>
  <c r="AE85" i="8" s="1"/>
  <c r="AE75" i="8" a="1"/>
  <c r="AE75" i="8" s="1"/>
  <c r="AE80" i="8" a="1"/>
  <c r="AE80" i="8" s="1"/>
  <c r="W75" i="20" a="1"/>
  <c r="W75" i="20" s="1"/>
  <c r="W85" i="20" a="1"/>
  <c r="W85" i="20" s="1"/>
  <c r="W80" i="20" a="1"/>
  <c r="W80" i="20" s="1"/>
  <c r="AE73" i="8" a="1"/>
  <c r="AE73" i="8" s="1"/>
  <c r="W73" i="20" a="1"/>
  <c r="W73" i="20" s="1"/>
  <c r="AI98" i="8" a="1"/>
  <c r="AI98" i="8" s="1"/>
  <c r="AI93" i="8" a="1"/>
  <c r="AI93" i="8" s="1"/>
  <c r="AA97" i="20" a="1"/>
  <c r="AA97" i="20" s="1"/>
  <c r="AA96" i="20" a="1"/>
  <c r="AA96" i="20" s="1"/>
  <c r="AA94" i="20" a="1"/>
  <c r="AA94" i="20" s="1"/>
  <c r="AA93" i="20" a="1"/>
  <c r="AA93" i="20" s="1"/>
  <c r="AA92" i="20" a="1"/>
  <c r="AA92" i="20" s="1"/>
  <c r="AA98" i="20" a="1"/>
  <c r="AA98" i="20" s="1"/>
  <c r="AE23" i="8" a="1"/>
  <c r="AE23" i="8" s="1"/>
  <c r="W23" i="20" a="1"/>
  <c r="W23" i="20" s="1"/>
  <c r="AI70" i="8" a="1"/>
  <c r="AI70" i="8" s="1"/>
  <c r="AI38" i="8" a="1"/>
  <c r="AI38" i="8" s="1"/>
  <c r="AI45" i="8" a="1"/>
  <c r="AI45" i="8" s="1"/>
  <c r="AE32" i="8" a="1"/>
  <c r="AE32" i="8" s="1"/>
  <c r="AE65" i="8" a="1"/>
  <c r="AE65" i="8" s="1"/>
  <c r="W32" i="20" a="1"/>
  <c r="W32" i="20" s="1"/>
  <c r="W65" i="20" a="1"/>
  <c r="W65" i="20" s="1"/>
  <c r="AE98" i="8" a="1"/>
  <c r="AE98" i="8" s="1"/>
  <c r="AE93" i="8" a="1"/>
  <c r="AE93" i="8" s="1"/>
  <c r="W96" i="20" a="1"/>
  <c r="W96" i="20" s="1"/>
  <c r="W92" i="20" a="1"/>
  <c r="W92" i="20" s="1"/>
  <c r="AE70" i="8" a="1"/>
  <c r="AE70" i="8" s="1"/>
  <c r="AE45" i="8" a="1"/>
  <c r="AE45" i="8" s="1"/>
  <c r="AE38" i="8" a="1"/>
  <c r="AE38" i="8" s="1"/>
  <c r="W38" i="20" a="1"/>
  <c r="W38" i="20" s="1"/>
  <c r="W70" i="20" a="1"/>
  <c r="W70" i="20" s="1"/>
  <c r="W45" i="20" a="1"/>
  <c r="W45" i="20" s="1"/>
  <c r="AF80" i="8" a="1"/>
  <c r="AF80" i="8" s="1"/>
  <c r="AF75" i="8" a="1"/>
  <c r="AF75" i="8" s="1"/>
  <c r="AF85" i="8" a="1"/>
  <c r="AF85" i="8" s="1"/>
  <c r="X85" i="20" a="1"/>
  <c r="X85" i="20" s="1"/>
  <c r="X80" i="20" a="1"/>
  <c r="X80" i="20" s="1"/>
  <c r="X75" i="20" a="1"/>
  <c r="X75" i="20" s="1"/>
  <c r="AG75" i="8" a="1"/>
  <c r="AG75" i="8" s="1"/>
  <c r="AG80" i="8" a="1"/>
  <c r="AG80" i="8" s="1"/>
  <c r="AG85" i="8" a="1"/>
  <c r="AG85" i="8" s="1"/>
  <c r="AJ70" i="8" a="1"/>
  <c r="AJ70" i="8" s="1"/>
  <c r="AJ45" i="8" a="1"/>
  <c r="AJ45" i="8" s="1"/>
  <c r="AJ38" i="8" a="1"/>
  <c r="AJ38" i="8" s="1"/>
  <c r="AG65" i="8" a="1"/>
  <c r="AG65" i="8" s="1"/>
  <c r="AG32" i="8" a="1"/>
  <c r="AG32" i="8" s="1"/>
  <c r="AJ74" i="8" a="1"/>
  <c r="AJ74" i="8" s="1"/>
  <c r="AJ79" i="8" a="1"/>
  <c r="AJ79" i="8" s="1"/>
  <c r="AJ84" i="8" a="1"/>
  <c r="AJ84" i="8" s="1"/>
  <c r="AJ80" i="8" a="1"/>
  <c r="AJ80" i="8" s="1"/>
  <c r="AJ85" i="8" a="1"/>
  <c r="AJ85" i="8" s="1"/>
  <c r="AJ78" i="8" a="1"/>
  <c r="AJ78" i="8" s="1"/>
  <c r="AJ83" i="8" a="1"/>
  <c r="AJ83" i="8" s="1"/>
  <c r="AJ75" i="8" a="1"/>
  <c r="AJ75" i="8" s="1"/>
  <c r="AB83" i="20" a="1"/>
  <c r="AB83" i="20" s="1"/>
  <c r="AB81" i="20" a="1"/>
  <c r="AB81" i="20" s="1"/>
  <c r="AB84" i="20" a="1"/>
  <c r="AB84" i="20" s="1"/>
  <c r="AB80" i="20" a="1"/>
  <c r="AB80" i="20" s="1"/>
  <c r="AB72" i="20" a="1"/>
  <c r="AB72" i="20" s="1"/>
  <c r="AB79" i="20" a="1"/>
  <c r="AB79" i="20" s="1"/>
  <c r="AB78" i="20" a="1"/>
  <c r="AB78" i="20" s="1"/>
  <c r="AB76" i="20" a="1"/>
  <c r="AB76" i="20" s="1"/>
  <c r="AB75" i="20" a="1"/>
  <c r="AB75" i="20" s="1"/>
  <c r="AB74" i="20" a="1"/>
  <c r="AB74" i="20" s="1"/>
  <c r="AB86" i="20" a="1"/>
  <c r="AB86" i="20" s="1"/>
  <c r="AB85" i="20" a="1"/>
  <c r="AB85" i="20" s="1"/>
  <c r="AB73" i="20" a="1"/>
  <c r="AB73" i="20" s="1"/>
  <c r="AJ98" i="8" a="1"/>
  <c r="AJ98" i="8" s="1"/>
  <c r="AJ93" i="8" a="1"/>
  <c r="AJ93" i="8" s="1"/>
  <c r="AJ100" i="8" a="1"/>
  <c r="AJ100" i="8" s="1"/>
  <c r="AJ95" i="8" a="1"/>
  <c r="AJ95" i="8" s="1"/>
  <c r="AB94" i="20" a="1"/>
  <c r="AB94" i="20" s="1"/>
  <c r="AB93" i="20" a="1"/>
  <c r="AB93" i="20" s="1"/>
  <c r="AB92" i="20" a="1"/>
  <c r="AB92" i="20" s="1"/>
  <c r="AB98" i="20" a="1"/>
  <c r="AB98" i="20" s="1"/>
  <c r="AB97" i="20" a="1"/>
  <c r="AB97" i="20" s="1"/>
  <c r="AB96" i="20" a="1"/>
  <c r="AB96" i="20" s="1"/>
  <c r="AD74" i="8" a="1"/>
  <c r="AD74" i="8" s="1"/>
  <c r="AD79" i="8" a="1"/>
  <c r="AD79" i="8" s="1"/>
  <c r="AD84" i="8" a="1"/>
  <c r="AD84" i="8" s="1"/>
  <c r="V74" i="20" a="1"/>
  <c r="V74" i="20" s="1"/>
  <c r="V84" i="20" a="1"/>
  <c r="V84" i="20" s="1"/>
  <c r="V79" i="20" a="1"/>
  <c r="V79" i="20" s="1"/>
  <c r="AH75" i="8" a="1"/>
  <c r="AH75" i="8" s="1"/>
  <c r="AH80" i="8" a="1"/>
  <c r="AH80" i="8" s="1"/>
  <c r="AH85" i="8" a="1"/>
  <c r="AH85" i="8" s="1"/>
  <c r="AD76" i="8" a="1"/>
  <c r="AD76" i="8" s="1"/>
  <c r="AD86" i="8" a="1"/>
  <c r="AD86" i="8" s="1"/>
  <c r="AD81" i="8" a="1"/>
  <c r="AD81" i="8" s="1"/>
  <c r="V86" i="20" a="1"/>
  <c r="V86" i="20" s="1"/>
  <c r="V81" i="20" a="1"/>
  <c r="V81" i="20" s="1"/>
  <c r="V76" i="20" a="1"/>
  <c r="V76" i="20" s="1"/>
  <c r="AD48" i="8" a="1"/>
  <c r="AD48" i="8" s="1"/>
  <c r="V48" i="20" a="1"/>
  <c r="V48" i="20" s="1"/>
  <c r="AD66" i="8" a="1"/>
  <c r="AD66" i="8" s="1"/>
  <c r="AD42" i="8" a="1"/>
  <c r="AD42" i="8" s="1"/>
  <c r="AD34" i="8" a="1"/>
  <c r="AD34" i="8" s="1"/>
  <c r="V34" i="20" a="1"/>
  <c r="V34" i="20" s="1"/>
  <c r="V66" i="20" a="1"/>
  <c r="V66" i="20" s="1"/>
  <c r="V42" i="20" a="1"/>
  <c r="V42" i="20" s="1"/>
  <c r="AE79" i="8" a="1"/>
  <c r="AE79" i="8" s="1"/>
  <c r="AE84" i="8" a="1"/>
  <c r="AE84" i="8" s="1"/>
  <c r="AE74" i="8" a="1"/>
  <c r="AE74" i="8" s="1"/>
  <c r="W74" i="20" a="1"/>
  <c r="W74" i="20" s="1"/>
  <c r="W84" i="20" a="1"/>
  <c r="W84" i="20" s="1"/>
  <c r="W79" i="20" a="1"/>
  <c r="W79" i="20" s="1"/>
  <c r="AI80" i="8" a="1"/>
  <c r="AI80" i="8" s="1"/>
  <c r="AI85" i="8" a="1"/>
  <c r="AI85" i="8" s="1"/>
  <c r="AE76" i="8" a="1"/>
  <c r="AE76" i="8" s="1"/>
  <c r="AE81" i="8" a="1"/>
  <c r="AE81" i="8" s="1"/>
  <c r="AE86" i="8" a="1"/>
  <c r="AE86" i="8" s="1"/>
  <c r="W86" i="20" a="1"/>
  <c r="W86" i="20" s="1"/>
  <c r="W81" i="20" a="1"/>
  <c r="W81" i="20" s="1"/>
  <c r="W76" i="20" a="1"/>
  <c r="W76" i="20" s="1"/>
  <c r="AE48" i="8" a="1"/>
  <c r="AE48" i="8" s="1"/>
  <c r="W48" i="20" a="1"/>
  <c r="W48" i="20" s="1"/>
  <c r="AE66" i="8" a="1"/>
  <c r="AE66" i="8" s="1"/>
  <c r="AE42" i="8" a="1"/>
  <c r="AE42" i="8" s="1"/>
  <c r="AE34" i="8" a="1"/>
  <c r="AE34" i="8" s="1"/>
  <c r="W34" i="20" a="1"/>
  <c r="W34" i="20" s="1"/>
  <c r="W66" i="20" a="1"/>
  <c r="W66" i="20" s="1"/>
  <c r="W42" i="20" a="1"/>
  <c r="W42" i="20" s="1"/>
  <c r="AF74" i="8" a="1"/>
  <c r="AF74" i="8" s="1"/>
  <c r="AF84" i="8" a="1"/>
  <c r="AF84" i="8" s="1"/>
  <c r="AF79" i="8" a="1"/>
  <c r="AF79" i="8" s="1"/>
  <c r="X74" i="20" a="1"/>
  <c r="X74" i="20" s="1"/>
  <c r="X84" i="20" a="1"/>
  <c r="X84" i="20" s="1"/>
  <c r="X79" i="20" a="1"/>
  <c r="X79" i="20" s="1"/>
  <c r="AF76" i="8" a="1"/>
  <c r="AF76" i="8" s="1"/>
  <c r="AF81" i="8" a="1"/>
  <c r="AF81" i="8" s="1"/>
  <c r="AF86" i="8" a="1"/>
  <c r="AF86" i="8" s="1"/>
  <c r="X86" i="20" a="1"/>
  <c r="X86" i="20" s="1"/>
  <c r="X81" i="20" a="1"/>
  <c r="X81" i="20" s="1"/>
  <c r="X76" i="20" a="1"/>
  <c r="X76" i="20" s="1"/>
  <c r="AF48" i="8" a="1"/>
  <c r="AF48" i="8" s="1"/>
  <c r="X48" i="20" a="1"/>
  <c r="X48" i="20" s="1"/>
  <c r="AF66" i="8" a="1"/>
  <c r="AF66" i="8" s="1"/>
  <c r="AF34" i="8" a="1"/>
  <c r="AF34" i="8" s="1"/>
  <c r="AF42" i="8" a="1"/>
  <c r="AF42" i="8" s="1"/>
  <c r="X34" i="20" a="1"/>
  <c r="X34" i="20" s="1"/>
  <c r="X42" i="20" a="1"/>
  <c r="X42" i="20" s="1"/>
  <c r="X66" i="20" a="1"/>
  <c r="X66" i="20" s="1"/>
  <c r="AF73" i="8" a="1"/>
  <c r="AF73" i="8" s="1"/>
  <c r="AF72" i="8" s="1"/>
  <c r="X73" i="20" a="1"/>
  <c r="X73" i="20" s="1"/>
  <c r="AF23" i="8" a="1"/>
  <c r="AF23" i="8" s="1"/>
  <c r="X23" i="20" a="1"/>
  <c r="X23" i="20" s="1"/>
  <c r="AF32" i="8" a="1"/>
  <c r="AF32" i="8" s="1"/>
  <c r="AF65" i="8" a="1"/>
  <c r="AF65" i="8" s="1"/>
  <c r="X32" i="20" a="1"/>
  <c r="X32" i="20" s="1"/>
  <c r="X65" i="20" a="1"/>
  <c r="X65" i="20" s="1"/>
  <c r="AG76" i="8" a="1"/>
  <c r="AG76" i="8" s="1"/>
  <c r="AG81" i="8" a="1"/>
  <c r="AG81" i="8" s="1"/>
  <c r="AG86" i="8" a="1"/>
  <c r="AG86" i="8" s="1"/>
  <c r="AL7" i="18"/>
  <c r="R10" i="6" s="1"/>
  <c r="AK7" i="18"/>
  <c r="Q10" i="6" s="1"/>
  <c r="AJ7" i="18"/>
  <c r="P10" i="6" s="1"/>
  <c r="AI7" i="18"/>
  <c r="O10" i="6" s="1"/>
  <c r="AH7" i="18"/>
  <c r="N10" i="6" s="1"/>
  <c r="AG25" i="8" s="1" a="1"/>
  <c r="AG25" i="8" s="1"/>
  <c r="AG7" i="18"/>
  <c r="M10" i="6" s="1"/>
  <c r="AF7" i="18"/>
  <c r="L10" i="6" s="1"/>
  <c r="AE7" i="18"/>
  <c r="K10" i="6" s="1"/>
  <c r="AL9" i="18"/>
  <c r="R12" i="6" s="1"/>
  <c r="AK9" i="18"/>
  <c r="Q12" i="6" s="1"/>
  <c r="AJ9" i="18"/>
  <c r="P12" i="6" s="1"/>
  <c r="AI9" i="18"/>
  <c r="O12" i="6" s="1"/>
  <c r="AH9" i="18"/>
  <c r="N12" i="6" s="1"/>
  <c r="AG9" i="18"/>
  <c r="M12" i="6" s="1"/>
  <c r="AF9" i="18"/>
  <c r="L12" i="6" s="1"/>
  <c r="AE9" i="18"/>
  <c r="K12" i="6" s="1"/>
  <c r="AL6" i="18"/>
  <c r="R9" i="6" s="1"/>
  <c r="AK6" i="18"/>
  <c r="Q9" i="6" s="1"/>
  <c r="AJ6" i="18"/>
  <c r="P9" i="6" s="1"/>
  <c r="AI6" i="18"/>
  <c r="O9" i="6" s="1"/>
  <c r="AH6" i="18"/>
  <c r="N9" i="6" s="1"/>
  <c r="AG24" i="8" s="1" a="1"/>
  <c r="AG24" i="8" s="1"/>
  <c r="AG6" i="18"/>
  <c r="M9" i="6" s="1"/>
  <c r="AF6" i="18"/>
  <c r="L9" i="6" s="1"/>
  <c r="AE6" i="18"/>
  <c r="K9" i="6" s="1"/>
  <c r="AL34" i="18"/>
  <c r="R37" i="6" s="1"/>
  <c r="AK34" i="18"/>
  <c r="Q37" i="6" s="1"/>
  <c r="AJ34" i="18"/>
  <c r="P37" i="6" s="1"/>
  <c r="AI34" i="18"/>
  <c r="O37" i="6" s="1"/>
  <c r="AH34" i="18"/>
  <c r="N37" i="6" s="1"/>
  <c r="AG34" i="18"/>
  <c r="M37" i="6" s="1"/>
  <c r="AF34" i="18"/>
  <c r="L37" i="6" s="1"/>
  <c r="AE34" i="18"/>
  <c r="K37" i="6" s="1"/>
  <c r="AL32" i="18"/>
  <c r="R35" i="6" s="1"/>
  <c r="AK32" i="18"/>
  <c r="Q35" i="6" s="1"/>
  <c r="AJ32" i="18"/>
  <c r="P35" i="6" s="1"/>
  <c r="AI32" i="18"/>
  <c r="O35" i="6" s="1"/>
  <c r="AH32" i="18"/>
  <c r="N35" i="6" s="1"/>
  <c r="AG32" i="18"/>
  <c r="M35" i="6" s="1"/>
  <c r="AF32" i="18"/>
  <c r="L35" i="6" s="1"/>
  <c r="AE32" i="18"/>
  <c r="K35" i="6" s="1"/>
  <c r="AL31" i="18"/>
  <c r="R34" i="6" s="1"/>
  <c r="AK31" i="18"/>
  <c r="Q34" i="6" s="1"/>
  <c r="AJ31" i="18"/>
  <c r="P34" i="6" s="1"/>
  <c r="AI31" i="18"/>
  <c r="O34" i="6" s="1"/>
  <c r="AH31" i="18"/>
  <c r="N34" i="6" s="1"/>
  <c r="AG31" i="18"/>
  <c r="M34" i="6" s="1"/>
  <c r="AF31" i="18"/>
  <c r="L34" i="6" s="1"/>
  <c r="AE31" i="18"/>
  <c r="K34" i="6" s="1"/>
  <c r="AL60" i="18"/>
  <c r="R63" i="6" s="1"/>
  <c r="AK60" i="18"/>
  <c r="Q63" i="6" s="1"/>
  <c r="AJ60" i="18"/>
  <c r="P63" i="6" s="1"/>
  <c r="AI60" i="18"/>
  <c r="O63" i="6" s="1"/>
  <c r="AH60" i="18"/>
  <c r="N63" i="6" s="1"/>
  <c r="AG60" i="18"/>
  <c r="M63" i="6" s="1"/>
  <c r="AF60" i="18"/>
  <c r="L63" i="6" s="1"/>
  <c r="AE60" i="18"/>
  <c r="K63" i="6" s="1"/>
  <c r="AL61" i="18"/>
  <c r="R64" i="6" s="1"/>
  <c r="AK61" i="18"/>
  <c r="Q64" i="6" s="1"/>
  <c r="AJ61" i="18"/>
  <c r="P64" i="6" s="1"/>
  <c r="AI61" i="18"/>
  <c r="O64" i="6" s="1"/>
  <c r="AH61" i="18"/>
  <c r="N64" i="6" s="1"/>
  <c r="AG61" i="18"/>
  <c r="M64" i="6" s="1"/>
  <c r="AF61" i="18"/>
  <c r="L64" i="6" s="1"/>
  <c r="AE61" i="18"/>
  <c r="K64" i="6" s="1"/>
  <c r="AC62" i="18"/>
  <c r="AL62" i="18" s="1"/>
  <c r="R65" i="6" s="1"/>
  <c r="Z62" i="18"/>
  <c r="X62" i="18"/>
  <c r="AF62" i="18"/>
  <c r="L65" i="6" s="1"/>
  <c r="AL63" i="18"/>
  <c r="R66" i="6" s="1"/>
  <c r="AK63" i="18"/>
  <c r="Q66" i="6" s="1"/>
  <c r="AJ63" i="18"/>
  <c r="P66" i="6" s="1"/>
  <c r="AI63" i="18"/>
  <c r="O66" i="6" s="1"/>
  <c r="AH63" i="18"/>
  <c r="N66" i="6" s="1"/>
  <c r="AG63" i="18"/>
  <c r="M66" i="6" s="1"/>
  <c r="AF63" i="18"/>
  <c r="L66" i="6" s="1"/>
  <c r="AE63" i="18"/>
  <c r="K66" i="6" s="1"/>
  <c r="AL64" i="18"/>
  <c r="R67" i="6" s="1"/>
  <c r="AK64" i="18"/>
  <c r="Q67" i="6" s="1"/>
  <c r="AJ64" i="18"/>
  <c r="P67" i="6" s="1"/>
  <c r="AI64" i="18"/>
  <c r="O67" i="6" s="1"/>
  <c r="AH64" i="18"/>
  <c r="N67" i="6" s="1"/>
  <c r="AG64" i="18"/>
  <c r="M67" i="6" s="1"/>
  <c r="AF64" i="18"/>
  <c r="L67" i="6" s="1"/>
  <c r="AE64" i="18"/>
  <c r="K67" i="6" s="1"/>
  <c r="AL65" i="18"/>
  <c r="R68" i="6" s="1"/>
  <c r="AK65" i="18"/>
  <c r="Q68" i="6" s="1"/>
  <c r="AJ65" i="18"/>
  <c r="P68" i="6" s="1"/>
  <c r="AI65" i="18"/>
  <c r="O68" i="6" s="1"/>
  <c r="AH65" i="18"/>
  <c r="N68" i="6" s="1"/>
  <c r="AG65" i="18"/>
  <c r="M68" i="6" s="1"/>
  <c r="AF65" i="18"/>
  <c r="L68" i="6" s="1"/>
  <c r="AE65" i="18"/>
  <c r="K68" i="6" s="1"/>
  <c r="AL59" i="18"/>
  <c r="R62" i="6" s="1"/>
  <c r="AK59" i="18"/>
  <c r="Q62" i="6" s="1"/>
  <c r="AJ59" i="18"/>
  <c r="P62" i="6" s="1"/>
  <c r="AI59" i="18"/>
  <c r="O62" i="6" s="1"/>
  <c r="AH59" i="18"/>
  <c r="N62" i="6" s="1"/>
  <c r="AG59" i="18"/>
  <c r="M62" i="6" s="1"/>
  <c r="AF59" i="18"/>
  <c r="L62" i="6" s="1"/>
  <c r="AE59" i="18"/>
  <c r="K62" i="6" s="1"/>
  <c r="T75" i="18"/>
  <c r="U75" i="18" s="1"/>
  <c r="AD75" i="18" s="1"/>
  <c r="T74" i="18"/>
  <c r="U74" i="18" s="1"/>
  <c r="W74" i="18" s="1"/>
  <c r="T87" i="18"/>
  <c r="U87" i="18" s="1"/>
  <c r="AD87" i="18" s="1"/>
  <c r="T86" i="18"/>
  <c r="U86" i="18" s="1"/>
  <c r="W86" i="18" s="1"/>
  <c r="T99" i="18"/>
  <c r="U99" i="18" s="1"/>
  <c r="AD99" i="18" s="1"/>
  <c r="T98" i="18"/>
  <c r="U98" i="18" s="1"/>
  <c r="AD98" i="18" s="1"/>
  <c r="D41" i="18"/>
  <c r="T10" i="18" s="1"/>
  <c r="U10" i="18" s="1"/>
  <c r="AD10" i="18" s="1"/>
  <c r="T8" i="18"/>
  <c r="U8" i="18" s="1"/>
  <c r="AD8" i="18" s="1"/>
  <c r="T33" i="18"/>
  <c r="U33" i="18" s="1"/>
  <c r="AD33" i="18" s="1"/>
  <c r="D68" i="18"/>
  <c r="AR14" i="17"/>
  <c r="AM14" i="17"/>
  <c r="AS14" i="17" s="1"/>
  <c r="AF56" i="8" l="1" a="1"/>
  <c r="AF56" i="8" s="1"/>
  <c r="AF62" i="8" a="1"/>
  <c r="AF62" i="8" s="1"/>
  <c r="X56" i="20" a="1"/>
  <c r="X56" i="20" s="1"/>
  <c r="X62" i="20" a="1"/>
  <c r="X62" i="20" s="1"/>
  <c r="AI111" i="8" a="1"/>
  <c r="AI111" i="8" s="1"/>
  <c r="AI106" i="8" a="1"/>
  <c r="AI106" i="8" s="1"/>
  <c r="AI116" i="8" a="1"/>
  <c r="AI116" i="8" s="1"/>
  <c r="AH62" i="8" a="1"/>
  <c r="AH62" i="8" s="1"/>
  <c r="AH56" i="8" a="1"/>
  <c r="AH56" i="8" s="1"/>
  <c r="AY99" i="4"/>
  <c r="AY98" i="4"/>
  <c r="AY97" i="4"/>
  <c r="AI62" i="8" a="1"/>
  <c r="AI62" i="8" s="1"/>
  <c r="AI56" i="8" a="1"/>
  <c r="AI56" i="8" s="1"/>
  <c r="AD91" i="8" a="1"/>
  <c r="AD91" i="8" s="1"/>
  <c r="V90" i="20" a="1"/>
  <c r="V90" i="20" s="1"/>
  <c r="AJ116" i="8" a="1"/>
  <c r="AJ116" i="8" s="1"/>
  <c r="AJ111" i="8" a="1"/>
  <c r="AJ111" i="8" s="1"/>
  <c r="AJ106" i="8" a="1"/>
  <c r="AJ106" i="8" s="1"/>
  <c r="AG111" i="8" a="1"/>
  <c r="AG111" i="8" s="1"/>
  <c r="AG106" i="8" a="1"/>
  <c r="AG106" i="8" s="1"/>
  <c r="AG116" i="8" a="1"/>
  <c r="AG116" i="8" s="1"/>
  <c r="AE99" i="8" a="1"/>
  <c r="AE99" i="8" s="1"/>
  <c r="AL96" i="4" s="1"/>
  <c r="AE94" i="8" a="1"/>
  <c r="AE94" i="8" s="1"/>
  <c r="AL95" i="4" s="1"/>
  <c r="AD106" i="8" a="1"/>
  <c r="AD106" i="8" s="1"/>
  <c r="V102" i="20" a="1"/>
  <c r="V102" i="20" s="1"/>
  <c r="V106" i="20" a="1"/>
  <c r="V106" i="20" s="1"/>
  <c r="V110" i="20" a="1"/>
  <c r="V110" i="20" s="1"/>
  <c r="AD116" i="8" a="1"/>
  <c r="AD116" i="8" s="1"/>
  <c r="AD111" i="8" a="1"/>
  <c r="AD111" i="8" s="1"/>
  <c r="AF106" i="8" a="1"/>
  <c r="AF106" i="8" s="1"/>
  <c r="AF111" i="8" a="1"/>
  <c r="AF111" i="8" s="1"/>
  <c r="AF116" i="8" a="1"/>
  <c r="AF116" i="8" s="1"/>
  <c r="X102" i="20" a="1"/>
  <c r="X102" i="20" s="1"/>
  <c r="X110" i="20" a="1"/>
  <c r="X110" i="20" s="1"/>
  <c r="X106" i="20" a="1"/>
  <c r="X106" i="20" s="1"/>
  <c r="AE99" i="18"/>
  <c r="K102" i="6" s="1"/>
  <c r="AL99" i="18"/>
  <c r="R102" i="6" s="1"/>
  <c r="AJ61" i="8" s="1" a="1"/>
  <c r="AJ61" i="8" s="1"/>
  <c r="AJ99" i="18"/>
  <c r="P102" i="6" s="1"/>
  <c r="AK99" i="18"/>
  <c r="Q102" i="6" s="1"/>
  <c r="AI99" i="18"/>
  <c r="O102" i="6" s="1"/>
  <c r="AH99" i="18"/>
  <c r="N102" i="6" s="1"/>
  <c r="AG99" i="18"/>
  <c r="M102" i="6" s="1"/>
  <c r="AF99" i="18"/>
  <c r="L102" i="6" s="1"/>
  <c r="AY96" i="4"/>
  <c r="AH111" i="8" a="1"/>
  <c r="AH111" i="8" s="1"/>
  <c r="AH106" i="8" a="1"/>
  <c r="AH106" i="8" s="1"/>
  <c r="AH116" i="8" a="1"/>
  <c r="AH116" i="8" s="1"/>
  <c r="AG62" i="8" a="1"/>
  <c r="AG62" i="8" s="1"/>
  <c r="AG56" i="8" a="1"/>
  <c r="AG56" i="8" s="1"/>
  <c r="AF74" i="18"/>
  <c r="L77" i="6" s="1"/>
  <c r="V74" i="18"/>
  <c r="AE74" i="18" s="1"/>
  <c r="K77" i="6" s="1"/>
  <c r="AY95" i="4"/>
  <c r="AE106" i="8" a="1"/>
  <c r="AE106" i="8" s="1"/>
  <c r="AE116" i="8" a="1"/>
  <c r="AE116" i="8" s="1"/>
  <c r="AE111" i="8" a="1"/>
  <c r="AE111" i="8" s="1"/>
  <c r="W102" i="20" a="1"/>
  <c r="W102" i="20" s="1"/>
  <c r="W106" i="20" a="1"/>
  <c r="W106" i="20" s="1"/>
  <c r="W110" i="20" a="1"/>
  <c r="W110" i="20" s="1"/>
  <c r="V86" i="18"/>
  <c r="AE86" i="18" s="1"/>
  <c r="K89" i="6" s="1"/>
  <c r="AD89" i="8" s="1" a="1"/>
  <c r="AD89" i="8" s="1"/>
  <c r="AK94" i="4" s="1"/>
  <c r="AU94" i="4" s="1"/>
  <c r="AF86" i="18"/>
  <c r="L89" i="6" s="1"/>
  <c r="AE89" i="8" s="1" a="1"/>
  <c r="AE89" i="8" s="1"/>
  <c r="AL94" i="4" s="1"/>
  <c r="AJ75" i="18"/>
  <c r="P78" i="6" s="1"/>
  <c r="AL75" i="18"/>
  <c r="R78" i="6" s="1"/>
  <c r="AI75" i="18"/>
  <c r="O78" i="6" s="1"/>
  <c r="AH75" i="18"/>
  <c r="N78" i="6" s="1"/>
  <c r="AG75" i="18"/>
  <c r="M78" i="6" s="1"/>
  <c r="AF75" i="18"/>
  <c r="L78" i="6" s="1"/>
  <c r="AE75" i="18"/>
  <c r="K78" i="6" s="1"/>
  <c r="AK75" i="18"/>
  <c r="Q78" i="6" s="1"/>
  <c r="AE91" i="8" a="1"/>
  <c r="AE91" i="8" s="1"/>
  <c r="W90" i="20" a="1"/>
  <c r="W90" i="20" s="1"/>
  <c r="AY94" i="4"/>
  <c r="AJ62" i="8" a="1"/>
  <c r="AJ62" i="8" s="1"/>
  <c r="AJ56" i="8" a="1"/>
  <c r="AJ56" i="8" s="1"/>
  <c r="AF91" i="8" a="1"/>
  <c r="AF91" i="8" s="1"/>
  <c r="X90" i="20" a="1"/>
  <c r="X90" i="20" s="1"/>
  <c r="V56" i="20" a="1"/>
  <c r="V56" i="20" s="1"/>
  <c r="V62" i="20" a="1"/>
  <c r="V62" i="20" s="1"/>
  <c r="AD56" i="8" a="1"/>
  <c r="AD56" i="8" s="1"/>
  <c r="AD62" i="8" a="1"/>
  <c r="AD62" i="8" s="1"/>
  <c r="AJ98" i="18"/>
  <c r="P101" i="6" s="1"/>
  <c r="AI98" i="18"/>
  <c r="O101" i="6" s="1"/>
  <c r="AH98" i="18"/>
  <c r="N101" i="6" s="1"/>
  <c r="AG98" i="18"/>
  <c r="M101" i="6" s="1"/>
  <c r="AF98" i="18"/>
  <c r="L101" i="6" s="1"/>
  <c r="AL98" i="18"/>
  <c r="R101" i="6" s="1"/>
  <c r="AJ60" i="8" s="1" a="1"/>
  <c r="AJ60" i="8" s="1"/>
  <c r="AE98" i="18"/>
  <c r="K101" i="6" s="1"/>
  <c r="AK98" i="18"/>
  <c r="Q101" i="6" s="1"/>
  <c r="AF87" i="18"/>
  <c r="L90" i="6" s="1"/>
  <c r="AI87" i="18"/>
  <c r="O90" i="6" s="1"/>
  <c r="AH90" i="8" s="1" a="1"/>
  <c r="AH90" i="8" s="1"/>
  <c r="AG87" i="18"/>
  <c r="M90" i="6" s="1"/>
  <c r="AE87" i="18"/>
  <c r="K90" i="6" s="1"/>
  <c r="AH87" i="18"/>
  <c r="N90" i="6" s="1"/>
  <c r="AG90" i="8" s="1" a="1"/>
  <c r="AG90" i="8" s="1"/>
  <c r="AL87" i="18"/>
  <c r="R90" i="6" s="1"/>
  <c r="AK87" i="18"/>
  <c r="Q90" i="6" s="1"/>
  <c r="AJ87" i="18"/>
  <c r="P90" i="6" s="1"/>
  <c r="AI90" i="8" s="1" a="1"/>
  <c r="AI90" i="8" s="1"/>
  <c r="AE56" i="8" a="1"/>
  <c r="AE56" i="8" s="1"/>
  <c r="AE62" i="8" a="1"/>
  <c r="AE62" i="8" s="1"/>
  <c r="W62" i="20" a="1"/>
  <c r="W62" i="20" s="1"/>
  <c r="W56" i="20" a="1"/>
  <c r="W56" i="20" s="1"/>
  <c r="AE72" i="8"/>
  <c r="AI95" i="8" a="1"/>
  <c r="AI95" i="8" s="1"/>
  <c r="AI100" i="8" a="1"/>
  <c r="AI100" i="8" s="1"/>
  <c r="AE67" i="8" a="1"/>
  <c r="AE67" i="8" s="1"/>
  <c r="AE35" i="8" a="1"/>
  <c r="AE35" i="8" s="1"/>
  <c r="W35" i="20" a="1"/>
  <c r="W35" i="20" s="1"/>
  <c r="W67" i="20" a="1"/>
  <c r="W67" i="20" s="1"/>
  <c r="AE24" i="8" a="1"/>
  <c r="AE24" i="8" s="1"/>
  <c r="W24" i="20" a="1"/>
  <c r="W24" i="20" s="1"/>
  <c r="AF35" i="8" a="1"/>
  <c r="AF35" i="8" s="1"/>
  <c r="AF67" i="8" a="1"/>
  <c r="AF67" i="8" s="1"/>
  <c r="X35" i="20" a="1"/>
  <c r="X35" i="20" s="1"/>
  <c r="X67" i="20" a="1"/>
  <c r="X67" i="20" s="1"/>
  <c r="AF24" i="8" a="1"/>
  <c r="AF24" i="8" s="1"/>
  <c r="X24" i="20" a="1"/>
  <c r="X24" i="20" s="1"/>
  <c r="AG35" i="8" a="1"/>
  <c r="AG35" i="8" s="1"/>
  <c r="AG67" i="8" a="1"/>
  <c r="AG67" i="8" s="1"/>
  <c r="AD101" i="8" a="1"/>
  <c r="AD101" i="8" s="1"/>
  <c r="AD96" i="8" a="1"/>
  <c r="AD96" i="8" s="1"/>
  <c r="V98" i="20" a="1"/>
  <c r="V98" i="20" s="1"/>
  <c r="V94" i="20" a="1"/>
  <c r="V94" i="20" s="1"/>
  <c r="AD25" i="8" a="1"/>
  <c r="AD25" i="8" s="1"/>
  <c r="V25" i="20" a="1"/>
  <c r="V25" i="20" s="1"/>
  <c r="AD35" i="8" a="1"/>
  <c r="AD35" i="8" s="1"/>
  <c r="AD67" i="8" a="1"/>
  <c r="AD67" i="8" s="1"/>
  <c r="V35" i="20" a="1"/>
  <c r="V35" i="20" s="1"/>
  <c r="V67" i="20" a="1"/>
  <c r="V67" i="20" s="1"/>
  <c r="AE101" i="8" a="1"/>
  <c r="AE101" i="8" s="1"/>
  <c r="AE96" i="8" a="1"/>
  <c r="AE96" i="8" s="1"/>
  <c r="W98" i="20" a="1"/>
  <c r="W98" i="20" s="1"/>
  <c r="W94" i="20" a="1"/>
  <c r="W94" i="20" s="1"/>
  <c r="AE25" i="8" a="1"/>
  <c r="AE25" i="8" s="1"/>
  <c r="W25" i="20" a="1"/>
  <c r="W25" i="20" s="1"/>
  <c r="AF25" i="8" a="1"/>
  <c r="AF25" i="8" s="1"/>
  <c r="X25" i="20" a="1"/>
  <c r="X25" i="20" s="1"/>
  <c r="AF101" i="8" a="1"/>
  <c r="AF101" i="8" s="1"/>
  <c r="AF96" i="8" a="1"/>
  <c r="AF96" i="8" s="1"/>
  <c r="X98" i="20" a="1"/>
  <c r="X98" i="20" s="1"/>
  <c r="X94" i="20" a="1"/>
  <c r="X94" i="20" s="1"/>
  <c r="AD100" i="8" a="1"/>
  <c r="AD100" i="8" s="1"/>
  <c r="AD95" i="8" a="1"/>
  <c r="AD95" i="8" s="1"/>
  <c r="V97" i="20" a="1"/>
  <c r="V97" i="20" s="1"/>
  <c r="V93" i="20" a="1"/>
  <c r="V93" i="20" s="1"/>
  <c r="AG101" i="8" a="1"/>
  <c r="AG101" i="8" s="1"/>
  <c r="AG96" i="8" a="1"/>
  <c r="AG96" i="8" s="1"/>
  <c r="AH101" i="8" a="1"/>
  <c r="AH101" i="8" s="1"/>
  <c r="AH96" i="8" a="1"/>
  <c r="AH96" i="8" s="1"/>
  <c r="AI101" i="8" a="1"/>
  <c r="AI101" i="8" s="1"/>
  <c r="AI96" i="8" a="1"/>
  <c r="AI96" i="8" s="1"/>
  <c r="AE100" i="8" a="1"/>
  <c r="AE100" i="8" s="1"/>
  <c r="AE95" i="8" a="1"/>
  <c r="AE95" i="8" s="1"/>
  <c r="W97" i="20" a="1"/>
  <c r="W97" i="20" s="1"/>
  <c r="W93" i="20" a="1"/>
  <c r="W93" i="20" s="1"/>
  <c r="AH95" i="8" a="1"/>
  <c r="AH95" i="8" s="1"/>
  <c r="AH100" i="8" a="1"/>
  <c r="AH100" i="8" s="1"/>
  <c r="V24" i="20" a="1"/>
  <c r="V24" i="20" s="1"/>
  <c r="AD24" i="8" a="1"/>
  <c r="AD24" i="8" s="1"/>
  <c r="AF95" i="8" a="1"/>
  <c r="AF95" i="8" s="1"/>
  <c r="AF100" i="8" a="1"/>
  <c r="AF100" i="8" s="1"/>
  <c r="X97" i="20" a="1"/>
  <c r="X97" i="20" s="1"/>
  <c r="X93" i="20" a="1"/>
  <c r="X93" i="20" s="1"/>
  <c r="AJ101" i="8" a="1"/>
  <c r="AJ101" i="8" s="1"/>
  <c r="AJ96" i="8" a="1"/>
  <c r="AJ96" i="8" s="1"/>
  <c r="AG95" i="8" a="1"/>
  <c r="AG95" i="8" s="1"/>
  <c r="AG100" i="8" a="1"/>
  <c r="AG100" i="8" s="1"/>
  <c r="AL33" i="18"/>
  <c r="R36" i="6" s="1"/>
  <c r="AK33" i="18"/>
  <c r="Q36" i="6" s="1"/>
  <c r="AJ33" i="18"/>
  <c r="P36" i="6" s="1"/>
  <c r="AI33" i="18"/>
  <c r="O36" i="6" s="1"/>
  <c r="AH33" i="18"/>
  <c r="N36" i="6" s="1"/>
  <c r="AG33" i="18"/>
  <c r="M36" i="6" s="1"/>
  <c r="AF33" i="18"/>
  <c r="L36" i="6" s="1"/>
  <c r="AE33" i="18"/>
  <c r="K36" i="6" s="1"/>
  <c r="AL8" i="18"/>
  <c r="R11" i="6" s="1"/>
  <c r="AK8" i="18"/>
  <c r="Q11" i="6" s="1"/>
  <c r="AJ8" i="18"/>
  <c r="P11" i="6" s="1"/>
  <c r="AI8" i="18"/>
  <c r="O11" i="6" s="1"/>
  <c r="AH8" i="18"/>
  <c r="N11" i="6" s="1"/>
  <c r="AG26" i="8" s="1" a="1"/>
  <c r="AG26" i="8" s="1"/>
  <c r="AG8" i="18"/>
  <c r="M11" i="6" s="1"/>
  <c r="AF8" i="18"/>
  <c r="L11" i="6" s="1"/>
  <c r="AE8" i="18"/>
  <c r="K11" i="6" s="1"/>
  <c r="AL10" i="18"/>
  <c r="R13" i="6" s="1"/>
  <c r="AK10" i="18"/>
  <c r="Q13" i="6" s="1"/>
  <c r="AJ10" i="18"/>
  <c r="P13" i="6" s="1"/>
  <c r="AI10" i="18"/>
  <c r="O13" i="6" s="1"/>
  <c r="AH10" i="18"/>
  <c r="N13" i="6" s="1"/>
  <c r="AG10" i="18"/>
  <c r="M13" i="6" s="1"/>
  <c r="AF10" i="18"/>
  <c r="L13" i="6" s="1"/>
  <c r="AE10" i="18"/>
  <c r="K13" i="6" s="1"/>
  <c r="AC86" i="18"/>
  <c r="AL86" i="18" s="1"/>
  <c r="R89" i="6" s="1"/>
  <c r="Z86" i="18"/>
  <c r="AI86" i="18" s="1"/>
  <c r="O89" i="6" s="1"/>
  <c r="AH89" i="8" s="1" a="1"/>
  <c r="AH89" i="8" s="1"/>
  <c r="AO94" i="4" s="1"/>
  <c r="X86" i="18"/>
  <c r="AG86" i="18" s="1"/>
  <c r="M89" i="6" s="1"/>
  <c r="AF89" i="8" s="1" a="1"/>
  <c r="AF89" i="8" s="1"/>
  <c r="AM94" i="4" s="1"/>
  <c r="AC74" i="18"/>
  <c r="AL74" i="18" s="1"/>
  <c r="R77" i="6" s="1"/>
  <c r="Z74" i="18"/>
  <c r="AI74" i="18" s="1"/>
  <c r="O77" i="6" s="1"/>
  <c r="X74" i="18"/>
  <c r="AG74" i="18" s="1"/>
  <c r="M77" i="6" s="1"/>
  <c r="Y62" i="18"/>
  <c r="AH62" i="18" s="1"/>
  <c r="N65" i="6" s="1"/>
  <c r="AG62" i="18"/>
  <c r="M65" i="6" s="1"/>
  <c r="AB62" i="18"/>
  <c r="AK62" i="18" s="1"/>
  <c r="Q65" i="6" s="1"/>
  <c r="AA62" i="18"/>
  <c r="AJ62" i="18" s="1"/>
  <c r="P65" i="6" s="1"/>
  <c r="AI62" i="18"/>
  <c r="O65" i="6" s="1"/>
  <c r="D70" i="18"/>
  <c r="T35" i="18"/>
  <c r="U35" i="18" s="1"/>
  <c r="AD35" i="18" s="1"/>
  <c r="I89" i="10"/>
  <c r="J89" i="10"/>
  <c r="H89" i="10"/>
  <c r="H92" i="10"/>
  <c r="AE90" i="8" l="1" a="1"/>
  <c r="AE90" i="8" s="1"/>
  <c r="W89" i="20" a="1"/>
  <c r="W89" i="20" s="1"/>
  <c r="AF115" i="8" a="1"/>
  <c r="AF115" i="8" s="1"/>
  <c r="AF110" i="8" a="1"/>
  <c r="AF110" i="8" s="1"/>
  <c r="AF105" i="8" a="1"/>
  <c r="AF105" i="8" s="1"/>
  <c r="X101" i="20" a="1"/>
  <c r="X101" i="20" s="1"/>
  <c r="X105" i="20" a="1"/>
  <c r="X105" i="20" s="1"/>
  <c r="X109" i="20" a="1"/>
  <c r="X109" i="20" s="1"/>
  <c r="AE61" i="8" a="1"/>
  <c r="AE61" i="8" s="1"/>
  <c r="AE55" i="8" a="1"/>
  <c r="AE55" i="8" s="1"/>
  <c r="W55" i="20" a="1"/>
  <c r="W55" i="20" s="1"/>
  <c r="W61" i="20" a="1"/>
  <c r="W61" i="20" s="1"/>
  <c r="AG105" i="8" a="1"/>
  <c r="AG105" i="8" s="1"/>
  <c r="AG115" i="8" a="1"/>
  <c r="AG115" i="8" s="1"/>
  <c r="AG110" i="8" a="1"/>
  <c r="AG110" i="8" s="1"/>
  <c r="AF61" i="8" a="1"/>
  <c r="AF61" i="8" s="1"/>
  <c r="AF55" i="8" a="1"/>
  <c r="AF55" i="8" s="1"/>
  <c r="X55" i="20" a="1"/>
  <c r="X55" i="20" s="1"/>
  <c r="X61" i="20" a="1"/>
  <c r="X61" i="20" s="1"/>
  <c r="AE115" i="8" a="1"/>
  <c r="AE115" i="8" s="1"/>
  <c r="AE110" i="8" a="1"/>
  <c r="AE110" i="8" s="1"/>
  <c r="AE105" i="8" a="1"/>
  <c r="AE105" i="8" s="1"/>
  <c r="W105" i="20" a="1"/>
  <c r="W105" i="20" s="1"/>
  <c r="W101" i="20" a="1"/>
  <c r="W101" i="20" s="1"/>
  <c r="W109" i="20" a="1"/>
  <c r="W109" i="20" s="1"/>
  <c r="V54" i="20" a="1"/>
  <c r="V54" i="20" s="1"/>
  <c r="V60" i="20" a="1"/>
  <c r="V60" i="20" s="1"/>
  <c r="AD54" i="8" a="1"/>
  <c r="AD54" i="8" s="1"/>
  <c r="AD60" i="8" a="1"/>
  <c r="AD60" i="8" s="1"/>
  <c r="AH115" i="8" a="1"/>
  <c r="AH115" i="8" s="1"/>
  <c r="AH110" i="8" a="1"/>
  <c r="AH110" i="8" s="1"/>
  <c r="AH105" i="8" a="1"/>
  <c r="AH105" i="8" s="1"/>
  <c r="AG61" i="8" a="1"/>
  <c r="AG61" i="8" s="1"/>
  <c r="AG55" i="8" a="1"/>
  <c r="AG55" i="8" s="1"/>
  <c r="AH104" i="8" a="1"/>
  <c r="AH104" i="8" s="1"/>
  <c r="AO97" i="4" s="1"/>
  <c r="AH109" i="8" a="1"/>
  <c r="AH109" i="8" s="1"/>
  <c r="AO98" i="4" s="1"/>
  <c r="AH114" i="8" a="1"/>
  <c r="AH114" i="8" s="1"/>
  <c r="AO99" i="4" s="1"/>
  <c r="AD104" i="8" a="1"/>
  <c r="AD104" i="8" s="1"/>
  <c r="AK97" i="4" s="1"/>
  <c r="AU97" i="4" s="1"/>
  <c r="AD109" i="8" a="1"/>
  <c r="AD109" i="8" s="1"/>
  <c r="AK98" i="4" s="1"/>
  <c r="AU98" i="4" s="1"/>
  <c r="AD114" i="8" a="1"/>
  <c r="AD114" i="8" s="1"/>
  <c r="AK99" i="4" s="1"/>
  <c r="AU99" i="4" s="1"/>
  <c r="AH61" i="8" a="1"/>
  <c r="AH61" i="8" s="1"/>
  <c r="AH55" i="8" a="1"/>
  <c r="AH55" i="8" s="1"/>
  <c r="AF99" i="8" a="1"/>
  <c r="AF99" i="8" s="1"/>
  <c r="AM96" i="4" s="1"/>
  <c r="AF94" i="8" a="1"/>
  <c r="AF94" i="8" s="1"/>
  <c r="AM95" i="4" s="1"/>
  <c r="AG94" i="8" a="1"/>
  <c r="AG94" i="8" s="1"/>
  <c r="AN95" i="4" s="1"/>
  <c r="AG99" i="8" a="1"/>
  <c r="AG99" i="8" s="1"/>
  <c r="AN96" i="4" s="1"/>
  <c r="AF114" i="8" a="1"/>
  <c r="AF114" i="8" s="1"/>
  <c r="AM99" i="4" s="1"/>
  <c r="AF109" i="8" a="1"/>
  <c r="AF109" i="8" s="1"/>
  <c r="AM98" i="4" s="1"/>
  <c r="AF104" i="8" a="1"/>
  <c r="AF104" i="8" s="1"/>
  <c r="AM97" i="4" s="1"/>
  <c r="AE60" i="8" a="1"/>
  <c r="AE60" i="8" s="1"/>
  <c r="AE54" i="8" a="1"/>
  <c r="AE54" i="8" s="1"/>
  <c r="W54" i="20" a="1"/>
  <c r="W54" i="20" s="1"/>
  <c r="W60" i="20" a="1"/>
  <c r="W60" i="20" s="1"/>
  <c r="AI115" i="8" a="1"/>
  <c r="AI115" i="8" s="1"/>
  <c r="AI105" i="8" a="1"/>
  <c r="AI105" i="8" s="1"/>
  <c r="AI110" i="8" a="1"/>
  <c r="AI110" i="8" s="1"/>
  <c r="AE109" i="8" a="1"/>
  <c r="AE109" i="8" s="1"/>
  <c r="AL98" i="4" s="1"/>
  <c r="AE104" i="8" a="1"/>
  <c r="AE104" i="8" s="1"/>
  <c r="AL97" i="4" s="1"/>
  <c r="AE114" i="8" a="1"/>
  <c r="AE114" i="8" s="1"/>
  <c r="AL99" i="4" s="1"/>
  <c r="AF54" i="8" a="1"/>
  <c r="AF54" i="8" s="1"/>
  <c r="AF60" i="8" a="1"/>
  <c r="AF60" i="8" s="1"/>
  <c r="X54" i="20" a="1"/>
  <c r="X54" i="20" s="1"/>
  <c r="X60" i="20" a="1"/>
  <c r="X60" i="20" s="1"/>
  <c r="AV94" i="4"/>
  <c r="AI55" i="8" a="1"/>
  <c r="AI55" i="8" s="1"/>
  <c r="AI61" i="8" a="1"/>
  <c r="AI61" i="8" s="1"/>
  <c r="AG54" i="8" a="1"/>
  <c r="AG54" i="8" s="1"/>
  <c r="AG60" i="8" a="1"/>
  <c r="AG60" i="8" s="1"/>
  <c r="AH54" i="8" a="1"/>
  <c r="AH54" i="8" s="1"/>
  <c r="AH60" i="8" a="1"/>
  <c r="AH60" i="8" s="1"/>
  <c r="V55" i="20" a="1"/>
  <c r="V55" i="20" s="1"/>
  <c r="AD61" i="8" a="1"/>
  <c r="AD61" i="8" s="1"/>
  <c r="V61" i="20" a="1"/>
  <c r="V61" i="20" s="1"/>
  <c r="AD55" i="8" a="1"/>
  <c r="AD55" i="8" s="1"/>
  <c r="AI60" i="8" a="1"/>
  <c r="AI60" i="8" s="1"/>
  <c r="AI54" i="8" a="1"/>
  <c r="AI54" i="8" s="1"/>
  <c r="AV95" i="4"/>
  <c r="V89" i="20" a="1"/>
  <c r="V89" i="20" s="1"/>
  <c r="AD90" i="8" a="1"/>
  <c r="AD90" i="8" s="1"/>
  <c r="AV96" i="4"/>
  <c r="AH94" i="8" a="1"/>
  <c r="AH94" i="8" s="1"/>
  <c r="AO95" i="4" s="1"/>
  <c r="AH99" i="8" a="1"/>
  <c r="AH99" i="8" s="1"/>
  <c r="AO96" i="4" s="1"/>
  <c r="AI94" i="8" a="1"/>
  <c r="AI94" i="8" s="1"/>
  <c r="AP95" i="4" s="1"/>
  <c r="AI99" i="8" a="1"/>
  <c r="AI99" i="8" s="1"/>
  <c r="AP96" i="4" s="1"/>
  <c r="AF90" i="8" a="1"/>
  <c r="AF90" i="8" s="1"/>
  <c r="X89" i="20" a="1"/>
  <c r="X89" i="20" s="1"/>
  <c r="V101" i="20" a="1"/>
  <c r="V101" i="20" s="1"/>
  <c r="AD110" i="8" a="1"/>
  <c r="AD110" i="8" s="1"/>
  <c r="AD105" i="8" a="1"/>
  <c r="AD105" i="8" s="1"/>
  <c r="V109" i="20" a="1"/>
  <c r="V109" i="20" s="1"/>
  <c r="AD115" i="8" a="1"/>
  <c r="AD115" i="8" s="1"/>
  <c r="V105" i="20" a="1"/>
  <c r="V105" i="20" s="1"/>
  <c r="Y74" i="18"/>
  <c r="AH74" i="18" s="1"/>
  <c r="N77" i="6" s="1"/>
  <c r="AD26" i="8" a="1"/>
  <c r="AD26" i="8" s="1"/>
  <c r="V26" i="20" a="1"/>
  <c r="V26" i="20" s="1"/>
  <c r="Y86" i="18"/>
  <c r="AH86" i="18" s="1"/>
  <c r="N89" i="6" s="1"/>
  <c r="AG89" i="8" s="1" a="1"/>
  <c r="AG89" i="8" s="1"/>
  <c r="AN94" i="4" s="1"/>
  <c r="AE26" i="8" a="1"/>
  <c r="AE26" i="8" s="1"/>
  <c r="W26" i="20" a="1"/>
  <c r="W26" i="20" s="1"/>
  <c r="AF26" i="8" a="1"/>
  <c r="AF26" i="8" s="1"/>
  <c r="X26" i="20" a="1"/>
  <c r="X26" i="20" s="1"/>
  <c r="AL35" i="18"/>
  <c r="R38" i="6" s="1"/>
  <c r="AK35" i="18"/>
  <c r="Q38" i="6" s="1"/>
  <c r="AJ35" i="18"/>
  <c r="P38" i="6" s="1"/>
  <c r="AI35" i="18"/>
  <c r="O38" i="6" s="1"/>
  <c r="AH35" i="18"/>
  <c r="N38" i="6" s="1"/>
  <c r="AG35" i="18"/>
  <c r="M38" i="6" s="1"/>
  <c r="AF35" i="18"/>
  <c r="L38" i="6" s="1"/>
  <c r="AE35" i="18"/>
  <c r="K38" i="6" s="1"/>
  <c r="AB74" i="18"/>
  <c r="AK74" i="18" s="1"/>
  <c r="Q77" i="6" s="1"/>
  <c r="AA74" i="18"/>
  <c r="AJ74" i="18" s="1"/>
  <c r="P77" i="6" s="1"/>
  <c r="AB86" i="18"/>
  <c r="AK86" i="18" s="1"/>
  <c r="Q89" i="6" s="1"/>
  <c r="AA86" i="18"/>
  <c r="AJ86" i="18" s="1"/>
  <c r="P89" i="6" s="1"/>
  <c r="AI89" i="8" s="1" a="1"/>
  <c r="AI89" i="8" s="1"/>
  <c r="AP94" i="4" s="1"/>
  <c r="T37" i="18"/>
  <c r="U37" i="18" s="1"/>
  <c r="AD37" i="18" s="1"/>
  <c r="D72" i="18"/>
  <c r="T39" i="18" s="1"/>
  <c r="U39" i="18" s="1"/>
  <c r="AD39" i="18" s="1"/>
  <c r="D71" i="18"/>
  <c r="T38" i="18" s="1"/>
  <c r="U38" i="18" s="1"/>
  <c r="AD38" i="18" s="1"/>
  <c r="H14" i="10"/>
  <c r="W20" i="4"/>
  <c r="AD103" i="11"/>
  <c r="AD100" i="11"/>
  <c r="AD97" i="11"/>
  <c r="R108" i="11"/>
  <c r="R109" i="11"/>
  <c r="R107" i="11"/>
  <c r="P110" i="11"/>
  <c r="Q110" i="11" s="1"/>
  <c r="R110" i="11" s="1"/>
  <c r="Q109" i="11"/>
  <c r="P109" i="11"/>
  <c r="Q108" i="11"/>
  <c r="P108" i="11"/>
  <c r="P107" i="11"/>
  <c r="Z107" i="11" s="1"/>
  <c r="P106" i="11"/>
  <c r="Q106" i="11" s="1"/>
  <c r="R106" i="11" s="1"/>
  <c r="Z110" i="11"/>
  <c r="Z109" i="11"/>
  <c r="Z108" i="11"/>
  <c r="Z106" i="11"/>
  <c r="K110" i="11"/>
  <c r="K109" i="11"/>
  <c r="K108" i="11"/>
  <c r="K107" i="11"/>
  <c r="K106" i="11"/>
  <c r="K103" i="11"/>
  <c r="K102" i="11"/>
  <c r="K100" i="11"/>
  <c r="K99" i="11"/>
  <c r="K97" i="11"/>
  <c r="K96" i="11"/>
  <c r="V58" i="11"/>
  <c r="AV99" i="4" l="1"/>
  <c r="AV97" i="4"/>
  <c r="AW96" i="4"/>
  <c r="AV98" i="4"/>
  <c r="AW95" i="4"/>
  <c r="AG104" i="8" a="1"/>
  <c r="AG104" i="8" s="1"/>
  <c r="AN97" i="4" s="1"/>
  <c r="AG109" i="8" a="1"/>
  <c r="AG109" i="8" s="1"/>
  <c r="AN98" i="4" s="1"/>
  <c r="AG114" i="8" a="1"/>
  <c r="AG114" i="8" s="1"/>
  <c r="AN99" i="4" s="1"/>
  <c r="AI104" i="8" a="1"/>
  <c r="AI104" i="8" s="1"/>
  <c r="AP97" i="4" s="1"/>
  <c r="AI109" i="8" a="1"/>
  <c r="AI109" i="8" s="1"/>
  <c r="AP98" i="4" s="1"/>
  <c r="AI114" i="8" a="1"/>
  <c r="AI114" i="8" s="1"/>
  <c r="AP99" i="4" s="1"/>
  <c r="AX94" i="4"/>
  <c r="AW94" i="4"/>
  <c r="AX96" i="4"/>
  <c r="AX95" i="4"/>
  <c r="AL38" i="18"/>
  <c r="R41" i="6" s="1"/>
  <c r="AK38" i="18"/>
  <c r="Q41" i="6" s="1"/>
  <c r="AJ38" i="18"/>
  <c r="P41" i="6" s="1"/>
  <c r="AI38" i="18"/>
  <c r="O41" i="6" s="1"/>
  <c r="AH38" i="18"/>
  <c r="N41" i="6" s="1"/>
  <c r="AG38" i="18"/>
  <c r="M41" i="6" s="1"/>
  <c r="AF38" i="18"/>
  <c r="L41" i="6" s="1"/>
  <c r="AE38" i="18"/>
  <c r="K41" i="6" s="1"/>
  <c r="AL39" i="18"/>
  <c r="R42" i="6" s="1"/>
  <c r="AK39" i="18"/>
  <c r="Q42" i="6" s="1"/>
  <c r="AJ39" i="18"/>
  <c r="P42" i="6" s="1"/>
  <c r="AI39" i="18"/>
  <c r="O42" i="6" s="1"/>
  <c r="AH39" i="18"/>
  <c r="N42" i="6" s="1"/>
  <c r="AG39" i="18"/>
  <c r="M42" i="6" s="1"/>
  <c r="AF39" i="18"/>
  <c r="L42" i="6" s="1"/>
  <c r="AE39" i="18"/>
  <c r="K42" i="6" s="1"/>
  <c r="AL37" i="18"/>
  <c r="R40" i="6" s="1"/>
  <c r="AK37" i="18"/>
  <c r="Q40" i="6" s="1"/>
  <c r="AJ37" i="18"/>
  <c r="P40" i="6" s="1"/>
  <c r="AI37" i="18"/>
  <c r="O40" i="6" s="1"/>
  <c r="AH37" i="18"/>
  <c r="N40" i="6" s="1"/>
  <c r="AG37" i="18"/>
  <c r="M40" i="6" s="1"/>
  <c r="AF37" i="18"/>
  <c r="L40" i="6" s="1"/>
  <c r="AE37" i="18"/>
  <c r="K40" i="6" s="1"/>
  <c r="Q107" i="11"/>
  <c r="AW97" i="4" l="1"/>
  <c r="AW98" i="4"/>
  <c r="AX99" i="4"/>
  <c r="AX98" i="4"/>
  <c r="AX97" i="4"/>
  <c r="AW99" i="4"/>
  <c r="AD37" i="8" a="1"/>
  <c r="AD37" i="8" s="1"/>
  <c r="AD69" i="8" a="1"/>
  <c r="AD69" i="8" s="1"/>
  <c r="AD44" i="8" a="1"/>
  <c r="AD44" i="8" s="1"/>
  <c r="V37" i="20" a="1"/>
  <c r="V37" i="20" s="1"/>
  <c r="V69" i="20" a="1"/>
  <c r="V69" i="20" s="1"/>
  <c r="V44" i="20" a="1"/>
  <c r="V44" i="20" s="1"/>
  <c r="AE37" i="8" a="1"/>
  <c r="AE37" i="8" s="1"/>
  <c r="AE69" i="8" a="1"/>
  <c r="AE69" i="8" s="1"/>
  <c r="AE44" i="8" a="1"/>
  <c r="AE44" i="8" s="1"/>
  <c r="W37" i="20" a="1"/>
  <c r="W37" i="20" s="1"/>
  <c r="W69" i="20" a="1"/>
  <c r="W69" i="20" s="1"/>
  <c r="W44" i="20" a="1"/>
  <c r="W44" i="20" s="1"/>
  <c r="AF37" i="8" a="1"/>
  <c r="AF37" i="8" s="1"/>
  <c r="AF44" i="8" a="1"/>
  <c r="AF44" i="8" s="1"/>
  <c r="AF69" i="8" a="1"/>
  <c r="AF69" i="8" s="1"/>
  <c r="X37" i="20" a="1"/>
  <c r="X37" i="20" s="1"/>
  <c r="X69" i="20" a="1"/>
  <c r="X69" i="20" s="1"/>
  <c r="X44" i="20" a="1"/>
  <c r="X44" i="20" s="1"/>
  <c r="AH37" i="8" a="1"/>
  <c r="AH37" i="8" s="1"/>
  <c r="AH69" i="8" a="1"/>
  <c r="AH69" i="8" s="1"/>
  <c r="AH44" i="8" a="1"/>
  <c r="AH44" i="8" s="1"/>
  <c r="AI69" i="8" a="1"/>
  <c r="AI69" i="8" s="1"/>
  <c r="AI44" i="8" a="1"/>
  <c r="AI44" i="8" s="1"/>
  <c r="AI37" i="8" a="1"/>
  <c r="AI37" i="8" s="1"/>
  <c r="AG69" i="8" a="1"/>
  <c r="AG69" i="8" s="1"/>
  <c r="AG44" i="8" a="1"/>
  <c r="AG44" i="8" s="1"/>
  <c r="AG37" i="8" a="1"/>
  <c r="AG37" i="8" s="1"/>
  <c r="AL68" i="1"/>
  <c r="J40" i="4" l="1"/>
  <c r="K40" i="4"/>
  <c r="L40" i="4"/>
  <c r="M40" i="4"/>
  <c r="N40" i="4"/>
  <c r="J20" i="4"/>
  <c r="K20" i="4" s="1"/>
  <c r="L20" i="4" s="1"/>
  <c r="M20" i="4" s="1"/>
  <c r="N20" i="4" s="1"/>
  <c r="L58" i="11"/>
  <c r="M58" i="11"/>
  <c r="N58" i="11"/>
  <c r="J58" i="11"/>
  <c r="K58" i="11"/>
  <c r="AN16" i="4"/>
  <c r="AX12" i="13" l="1"/>
  <c r="AZ12" i="13" s="1"/>
  <c r="BA8" i="13"/>
  <c r="V14" i="13"/>
  <c r="W14" i="13"/>
  <c r="X14" i="13"/>
  <c r="Y14" i="13"/>
  <c r="A19" i="13"/>
  <c r="A20" i="13"/>
  <c r="A21" i="13"/>
  <c r="A22" i="13"/>
  <c r="A23" i="13"/>
  <c r="A24" i="13"/>
  <c r="A25" i="13"/>
  <c r="A27" i="13"/>
  <c r="A28" i="13"/>
  <c r="A29" i="13"/>
  <c r="A30" i="13"/>
  <c r="A31" i="13"/>
  <c r="A32" i="13"/>
  <c r="A33" i="13"/>
  <c r="A34" i="13"/>
  <c r="A36" i="13"/>
  <c r="A37" i="13"/>
  <c r="A39" i="13"/>
  <c r="A40" i="13"/>
  <c r="A41" i="13"/>
  <c r="A42" i="13"/>
  <c r="A43" i="13"/>
  <c r="A45" i="13"/>
  <c r="A46" i="13"/>
  <c r="A47" i="13"/>
  <c r="A48" i="13"/>
  <c r="A49" i="13"/>
  <c r="A50" i="13"/>
  <c r="A51" i="13"/>
  <c r="A53" i="13"/>
  <c r="A54" i="13"/>
  <c r="A55" i="13"/>
  <c r="A56" i="13"/>
  <c r="A57" i="13"/>
  <c r="A59" i="13"/>
  <c r="A61" i="13"/>
  <c r="A65" i="13"/>
  <c r="A66" i="13"/>
  <c r="A67" i="13"/>
  <c r="A68" i="13"/>
  <c r="A69" i="13"/>
  <c r="A70" i="13"/>
  <c r="A72" i="13"/>
  <c r="A73" i="13"/>
  <c r="A74" i="13"/>
  <c r="A75" i="13"/>
  <c r="A76" i="13"/>
  <c r="A77" i="13"/>
  <c r="A78" i="13"/>
  <c r="A79" i="13"/>
  <c r="A80" i="13"/>
  <c r="A81" i="13"/>
  <c r="A82" i="13"/>
  <c r="A83" i="13"/>
  <c r="A84" i="13"/>
  <c r="A85" i="13"/>
  <c r="A86" i="13"/>
  <c r="A87" i="13"/>
  <c r="A88" i="13"/>
  <c r="A89" i="13"/>
  <c r="A90" i="13"/>
  <c r="A91" i="13"/>
  <c r="A82" i="14" s="1"/>
  <c r="A92" i="13"/>
  <c r="A93" i="13"/>
  <c r="A100" i="13"/>
  <c r="A101" i="13"/>
  <c r="A102" i="13"/>
  <c r="A103" i="13"/>
  <c r="A104" i="13"/>
  <c r="A105" i="13"/>
  <c r="A106" i="13"/>
  <c r="A107" i="13"/>
  <c r="A109" i="13"/>
  <c r="A111" i="13"/>
  <c r="A113" i="13"/>
  <c r="A115" i="13"/>
  <c r="A118" i="13"/>
  <c r="A119" i="13"/>
  <c r="A120" i="13"/>
  <c r="A121" i="13"/>
  <c r="A122" i="13"/>
  <c r="A18" i="13"/>
  <c r="D119" i="13"/>
  <c r="D120" i="13"/>
  <c r="D121" i="13"/>
  <c r="D122" i="13"/>
  <c r="D118" i="13"/>
  <c r="D115" i="13"/>
  <c r="D113" i="13"/>
  <c r="D111" i="13"/>
  <c r="D109" i="13"/>
  <c r="D101" i="13"/>
  <c r="D102" i="13"/>
  <c r="D103" i="13"/>
  <c r="D104" i="13"/>
  <c r="D105" i="13"/>
  <c r="D106" i="13"/>
  <c r="D107" i="13"/>
  <c r="D100" i="13"/>
  <c r="D91" i="13"/>
  <c r="D83" i="13"/>
  <c r="D92" i="13" s="1"/>
  <c r="D84" i="13"/>
  <c r="D93" i="13" s="1"/>
  <c r="D85" i="13"/>
  <c r="D94" i="13" s="1"/>
  <c r="D86" i="13"/>
  <c r="D95" i="13" s="1"/>
  <c r="D87" i="13"/>
  <c r="D96" i="13" s="1"/>
  <c r="D88" i="13"/>
  <c r="D97" i="13" s="1"/>
  <c r="D89" i="13"/>
  <c r="D98" i="13" s="1"/>
  <c r="D90" i="13"/>
  <c r="D99" i="13" s="1"/>
  <c r="D82" i="13"/>
  <c r="D74" i="13"/>
  <c r="D75" i="13"/>
  <c r="D76" i="13"/>
  <c r="D77" i="13"/>
  <c r="D78" i="13"/>
  <c r="D79" i="13"/>
  <c r="D80" i="13"/>
  <c r="D81" i="13"/>
  <c r="D73" i="13"/>
  <c r="D72" i="13"/>
  <c r="D66" i="13"/>
  <c r="D67" i="13"/>
  <c r="D68" i="13"/>
  <c r="D69" i="13"/>
  <c r="D70" i="13"/>
  <c r="D65" i="13"/>
  <c r="D61" i="13"/>
  <c r="D59" i="13"/>
  <c r="D54" i="13"/>
  <c r="D55" i="13"/>
  <c r="D56" i="13"/>
  <c r="D57" i="13"/>
  <c r="D53" i="13"/>
  <c r="D46" i="13"/>
  <c r="D47" i="13"/>
  <c r="D48" i="13"/>
  <c r="D49" i="13"/>
  <c r="D50" i="13"/>
  <c r="D51" i="13"/>
  <c r="D45" i="13"/>
  <c r="D40" i="13"/>
  <c r="D41" i="13"/>
  <c r="D42" i="13"/>
  <c r="D43" i="13"/>
  <c r="D39" i="13"/>
  <c r="D37" i="13"/>
  <c r="D36" i="13"/>
  <c r="D28" i="13"/>
  <c r="D29" i="13"/>
  <c r="D30" i="13"/>
  <c r="D31" i="13"/>
  <c r="D32" i="13"/>
  <c r="D33" i="13"/>
  <c r="D34" i="13"/>
  <c r="D27" i="13"/>
  <c r="D19" i="13"/>
  <c r="D20" i="13"/>
  <c r="D21" i="13"/>
  <c r="D22" i="13"/>
  <c r="D23" i="13"/>
  <c r="D24" i="13"/>
  <c r="D25" i="13"/>
  <c r="D18" i="13"/>
  <c r="H33" i="15"/>
  <c r="H34" i="15"/>
  <c r="H35" i="15"/>
  <c r="H36" i="15"/>
  <c r="H32" i="15"/>
  <c r="H19" i="15"/>
  <c r="H20" i="15"/>
  <c r="H21" i="15"/>
  <c r="H22" i="15"/>
  <c r="H23" i="15"/>
  <c r="H24" i="15"/>
  <c r="H25" i="15"/>
  <c r="H26" i="15"/>
  <c r="H27" i="15"/>
  <c r="H28" i="15"/>
  <c r="H29" i="15"/>
  <c r="H30" i="15"/>
  <c r="H18" i="15"/>
  <c r="H11" i="15"/>
  <c r="H12" i="15"/>
  <c r="H13" i="15"/>
  <c r="H14" i="15"/>
  <c r="H15" i="15"/>
  <c r="H16" i="15"/>
  <c r="H10" i="15"/>
  <c r="I10" i="15"/>
  <c r="I11" i="15"/>
  <c r="I12" i="15"/>
  <c r="I13" i="15"/>
  <c r="I14" i="15"/>
  <c r="I15" i="15"/>
  <c r="I16" i="15"/>
  <c r="I18" i="15"/>
  <c r="I19" i="15"/>
  <c r="I20" i="15"/>
  <c r="I21" i="15"/>
  <c r="I22" i="15"/>
  <c r="I23" i="15"/>
  <c r="I24" i="15"/>
  <c r="I25" i="15"/>
  <c r="I26" i="15"/>
  <c r="I27" i="15"/>
  <c r="I28" i="15"/>
  <c r="I29" i="15"/>
  <c r="I30" i="15"/>
  <c r="I32" i="15"/>
  <c r="I33" i="15"/>
  <c r="I34" i="15"/>
  <c r="I35" i="15"/>
  <c r="I36" i="15"/>
  <c r="I9" i="15"/>
  <c r="AE99" i="13" l="1"/>
  <c r="AE98" i="13"/>
  <c r="AE97" i="13"/>
  <c r="AE96" i="13"/>
  <c r="AE95" i="13"/>
  <c r="AE94" i="13"/>
  <c r="AY12" i="13"/>
  <c r="BB12" i="13"/>
  <c r="BA12" i="13"/>
  <c r="J14" i="13" l="1"/>
  <c r="K14" i="13"/>
  <c r="L14" i="13"/>
  <c r="M14" i="13"/>
  <c r="I14" i="13"/>
  <c r="A9" i="15" l="1"/>
  <c r="A10" i="15"/>
  <c r="A11" i="15"/>
  <c r="A12" i="15"/>
  <c r="A13" i="15"/>
  <c r="A14" i="15"/>
  <c r="A15" i="15"/>
  <c r="A16" i="15"/>
  <c r="A17" i="15"/>
  <c r="A18" i="15"/>
  <c r="A26" i="15"/>
  <c r="A27" i="15"/>
  <c r="A28" i="15"/>
  <c r="A29" i="15"/>
  <c r="A30" i="15"/>
  <c r="A31" i="15"/>
  <c r="A32" i="15"/>
  <c r="A33" i="15"/>
  <c r="A34" i="15"/>
  <c r="A35" i="15"/>
  <c r="A36" i="15"/>
  <c r="A17" i="14"/>
  <c r="A26" i="14"/>
  <c r="A29" i="14"/>
  <c r="A35" i="14"/>
  <c r="A43" i="14"/>
  <c r="A49" i="14"/>
  <c r="A51" i="14"/>
  <c r="A53" i="14"/>
  <c r="A54" i="14"/>
  <c r="A55" i="14"/>
  <c r="A62" i="14"/>
  <c r="A99" i="14"/>
  <c r="A101" i="14"/>
  <c r="A103" i="14"/>
  <c r="A105" i="14"/>
  <c r="A107" i="14"/>
  <c r="A108" i="14"/>
  <c r="A114" i="14"/>
  <c r="A115" i="14"/>
  <c r="C18" i="13"/>
  <c r="CI18" i="13" s="1"/>
  <c r="CK18" i="13" s="1"/>
  <c r="C22" i="13"/>
  <c r="A18" i="14"/>
  <c r="A27" i="14"/>
  <c r="AE37" i="13"/>
  <c r="A52" i="14"/>
  <c r="AE61" i="13"/>
  <c r="AF62" i="13" s="1"/>
  <c r="A106" i="14"/>
  <c r="AE115" i="13"/>
  <c r="A109" i="14"/>
  <c r="AE118" i="13"/>
  <c r="A9" i="14"/>
  <c r="AE19" i="13"/>
  <c r="A76" i="14"/>
  <c r="A100" i="14"/>
  <c r="AE111" i="13"/>
  <c r="AF112" i="13" s="1"/>
  <c r="AQ10" i="13"/>
  <c r="AQ11" i="13"/>
  <c r="AR11" i="13"/>
  <c r="AR14" i="13" s="1"/>
  <c r="AU11" i="13"/>
  <c r="AU14" i="13" s="1"/>
  <c r="AV11" i="13"/>
  <c r="AV14" i="13" s="1"/>
  <c r="BE11" i="13"/>
  <c r="BF11" i="13"/>
  <c r="BG11" i="13"/>
  <c r="BG14" i="13" s="1"/>
  <c r="BH11" i="13"/>
  <c r="BH14" i="13" s="1"/>
  <c r="BK11" i="13"/>
  <c r="BK14" i="13" s="1"/>
  <c r="BL11" i="13"/>
  <c r="BL14" i="13" s="1"/>
  <c r="BM11" i="13"/>
  <c r="BN11" i="13"/>
  <c r="BN14" i="13" s="1"/>
  <c r="BO11" i="13"/>
  <c r="BO14" i="13" s="1"/>
  <c r="BR11" i="13"/>
  <c r="BR14" i="13" s="1"/>
  <c r="BS11" i="13"/>
  <c r="BT11" i="13"/>
  <c r="BU11" i="13"/>
  <c r="BV11" i="13"/>
  <c r="AB13" i="13"/>
  <c r="E14" i="13"/>
  <c r="F14" i="13"/>
  <c r="G14" i="13"/>
  <c r="H14" i="13"/>
  <c r="P14" i="13"/>
  <c r="Q14" i="13"/>
  <c r="R14" i="13"/>
  <c r="S14" i="13"/>
  <c r="T14" i="13"/>
  <c r="U14" i="13"/>
  <c r="AK14" i="13"/>
  <c r="AL14" i="13"/>
  <c r="AM14" i="13"/>
  <c r="AN14" i="13"/>
  <c r="AO14" i="13"/>
  <c r="AS14" i="13"/>
  <c r="AT14" i="13"/>
  <c r="AY14" i="13"/>
  <c r="BA14" i="13"/>
  <c r="BB14" i="13"/>
  <c r="BE14" i="13"/>
  <c r="BU14" i="13"/>
  <c r="BV14" i="13"/>
  <c r="AA18" i="13"/>
  <c r="AB18" i="13"/>
  <c r="AC18" i="13"/>
  <c r="AC19" i="13" s="1"/>
  <c r="AC20" i="13" s="1"/>
  <c r="AC21" i="13" s="1"/>
  <c r="AC22" i="13" s="1"/>
  <c r="AC23" i="13" s="1"/>
  <c r="AC24" i="13" s="1"/>
  <c r="AC25" i="13" s="1"/>
  <c r="AC26" i="13" s="1"/>
  <c r="AC27" i="13" s="1"/>
  <c r="AC28" i="13" s="1"/>
  <c r="AC29" i="13" s="1"/>
  <c r="AC30" i="13" s="1"/>
  <c r="AC31" i="13" s="1"/>
  <c r="AC32" i="13" s="1"/>
  <c r="AC33" i="13" s="1"/>
  <c r="AC34" i="13" s="1"/>
  <c r="AC35" i="13" s="1"/>
  <c r="AC36" i="13" s="1"/>
  <c r="AC37" i="13" s="1"/>
  <c r="AC38" i="13" s="1"/>
  <c r="AC39" i="13" s="1"/>
  <c r="AC40" i="13" s="1"/>
  <c r="AC41" i="13" s="1"/>
  <c r="AC42" i="13" s="1"/>
  <c r="AC43" i="13" s="1"/>
  <c r="AC44" i="13" s="1"/>
  <c r="AC45" i="13" s="1"/>
  <c r="AC46" i="13" s="1"/>
  <c r="AC47" i="13" s="1"/>
  <c r="AC48" i="13" s="1"/>
  <c r="AC49" i="13" s="1"/>
  <c r="AC50" i="13" s="1"/>
  <c r="AC51" i="13" s="1"/>
  <c r="AC52" i="13" s="1"/>
  <c r="AC53" i="13" s="1"/>
  <c r="AC54" i="13" s="1"/>
  <c r="AC55" i="13" s="1"/>
  <c r="AC56" i="13" s="1"/>
  <c r="AC57" i="13" s="1"/>
  <c r="AC58" i="13" s="1"/>
  <c r="AC59" i="13" s="1"/>
  <c r="AC60" i="13" s="1"/>
  <c r="AC61" i="13" s="1"/>
  <c r="AC62" i="13" s="1"/>
  <c r="AC63" i="13" s="1"/>
  <c r="AC64" i="13" s="1"/>
  <c r="AC65" i="13" s="1"/>
  <c r="AC66" i="13" s="1"/>
  <c r="AC67" i="13" s="1"/>
  <c r="AC68" i="13" s="1"/>
  <c r="AC69" i="13" s="1"/>
  <c r="AC70" i="13" s="1"/>
  <c r="AC71" i="13" s="1"/>
  <c r="AC72" i="13" s="1"/>
  <c r="AC73" i="13" s="1"/>
  <c r="AC74" i="13" s="1"/>
  <c r="AC75" i="13" s="1"/>
  <c r="AC76" i="13" s="1"/>
  <c r="AC77" i="13" s="1"/>
  <c r="AC78" i="13" s="1"/>
  <c r="AC79" i="13" s="1"/>
  <c r="AC80" i="13" s="1"/>
  <c r="AC81" i="13" s="1"/>
  <c r="AC82" i="13" s="1"/>
  <c r="AC83" i="13" s="1"/>
  <c r="AC84" i="13" s="1"/>
  <c r="AC85" i="13" s="1"/>
  <c r="AC86" i="13" s="1"/>
  <c r="AC87" i="13" s="1"/>
  <c r="AC88" i="13" s="1"/>
  <c r="AC89" i="13" s="1"/>
  <c r="AC90" i="13" s="1"/>
  <c r="AC91" i="13" s="1"/>
  <c r="AC92" i="13" s="1"/>
  <c r="AC93" i="13" s="1"/>
  <c r="C19" i="13"/>
  <c r="Z19" i="13"/>
  <c r="AA19" i="13" s="1"/>
  <c r="AB19" i="13"/>
  <c r="C20" i="13"/>
  <c r="CI20" i="13" s="1"/>
  <c r="CK20" i="13" s="1"/>
  <c r="C21" i="13"/>
  <c r="AB21" i="13"/>
  <c r="AB22" i="13"/>
  <c r="AB23" i="13"/>
  <c r="C25" i="13"/>
  <c r="AB25" i="13"/>
  <c r="N26" i="13"/>
  <c r="AA26" i="13"/>
  <c r="AB26" i="13"/>
  <c r="AE26" i="13"/>
  <c r="BD26" i="13"/>
  <c r="BL26" i="13"/>
  <c r="BS26" i="13"/>
  <c r="C27" i="13"/>
  <c r="AE27" i="13"/>
  <c r="AA27" i="13"/>
  <c r="AB27" i="13"/>
  <c r="A19" i="14"/>
  <c r="C28" i="13"/>
  <c r="CI28" i="13" s="1"/>
  <c r="CK28" i="13" s="1"/>
  <c r="Z28" i="13"/>
  <c r="AA28" i="13" s="1"/>
  <c r="AB28" i="13"/>
  <c r="A20" i="14"/>
  <c r="C29" i="13"/>
  <c r="CI29" i="13" s="1"/>
  <c r="CK29" i="13" s="1"/>
  <c r="Z29" i="13"/>
  <c r="AA29" i="13" s="1"/>
  <c r="A21" i="14"/>
  <c r="C30" i="13"/>
  <c r="CI30" i="13" s="1"/>
  <c r="CK30" i="13" s="1"/>
  <c r="AB30" i="13"/>
  <c r="A22" i="14"/>
  <c r="C31" i="13"/>
  <c r="AB31" i="13"/>
  <c r="CK31" i="13"/>
  <c r="A23" i="14"/>
  <c r="C32" i="13"/>
  <c r="AB32" i="13"/>
  <c r="AB33" i="13"/>
  <c r="AE34" i="13"/>
  <c r="N35" i="13"/>
  <c r="AA35" i="13"/>
  <c r="AB35" i="13"/>
  <c r="AE35" i="13"/>
  <c r="BD35" i="13"/>
  <c r="BL35" i="13"/>
  <c r="BS35" i="13"/>
  <c r="C36" i="13"/>
  <c r="AA36" i="13"/>
  <c r="AB36" i="13"/>
  <c r="C37" i="13"/>
  <c r="AA37" i="13"/>
  <c r="AB37" i="13"/>
  <c r="N38" i="13"/>
  <c r="AA38" i="13"/>
  <c r="AB38" i="13"/>
  <c r="AE38" i="13"/>
  <c r="BD38" i="13"/>
  <c r="BL38" i="13"/>
  <c r="BS38" i="13"/>
  <c r="C39" i="13"/>
  <c r="CI39" i="13" s="1"/>
  <c r="CK39" i="13" s="1"/>
  <c r="AE39" i="13"/>
  <c r="AF44" i="13" s="1"/>
  <c r="AA39" i="13"/>
  <c r="AB39" i="13"/>
  <c r="AE40" i="13"/>
  <c r="Z40" i="13"/>
  <c r="AA40" i="13" s="1"/>
  <c r="AB40" i="13"/>
  <c r="AE41" i="13"/>
  <c r="AB41" i="13"/>
  <c r="AX41" i="13"/>
  <c r="AX49" i="13" s="1"/>
  <c r="BK41" i="13"/>
  <c r="BK49" i="13" s="1"/>
  <c r="C43" i="13"/>
  <c r="CI43" i="13" s="1"/>
  <c r="CK43" i="13" s="1"/>
  <c r="AE43" i="13"/>
  <c r="AB43" i="13"/>
  <c r="N44" i="13"/>
  <c r="AA44" i="13"/>
  <c r="AB44" i="13"/>
  <c r="AE44" i="13"/>
  <c r="BD44" i="13"/>
  <c r="BL44" i="13"/>
  <c r="BS44" i="13"/>
  <c r="A36" i="14"/>
  <c r="C45" i="13"/>
  <c r="CI45" i="13" s="1"/>
  <c r="CK45" i="13" s="1"/>
  <c r="AE45" i="13"/>
  <c r="AB45" i="13"/>
  <c r="A37" i="14"/>
  <c r="C46" i="13"/>
  <c r="CI46" i="13" s="1"/>
  <c r="CK46" i="13" s="1"/>
  <c r="AB46" i="13"/>
  <c r="A38" i="14"/>
  <c r="C47" i="13"/>
  <c r="CI47" i="13" s="1"/>
  <c r="CK47" i="13" s="1"/>
  <c r="AE47" i="13"/>
  <c r="AF52" i="13" s="1"/>
  <c r="AB47" i="13"/>
  <c r="A39" i="14"/>
  <c r="C48" i="13"/>
  <c r="CI48" i="13" s="1"/>
  <c r="CK48" i="13" s="1"/>
  <c r="AE48" i="13"/>
  <c r="AB48" i="13"/>
  <c r="A40" i="14"/>
  <c r="AE49" i="13"/>
  <c r="AB49" i="13"/>
  <c r="BN49" i="13"/>
  <c r="BO49" i="13"/>
  <c r="BR49" i="13"/>
  <c r="BU49" i="13"/>
  <c r="BV49" i="13"/>
  <c r="AE50" i="13"/>
  <c r="A42" i="14"/>
  <c r="B51" i="13"/>
  <c r="AB51" i="13"/>
  <c r="CI51" i="13"/>
  <c r="CK51" i="13" s="1"/>
  <c r="N52" i="13"/>
  <c r="AA52" i="13"/>
  <c r="AB52" i="13"/>
  <c r="AE52" i="13"/>
  <c r="BD52" i="13"/>
  <c r="BL52" i="13"/>
  <c r="BS52" i="13"/>
  <c r="A44" i="14"/>
  <c r="C53" i="13"/>
  <c r="CI53" i="13" s="1"/>
  <c r="CK53" i="13" s="1"/>
  <c r="AE53" i="13"/>
  <c r="AF58" i="13" s="1"/>
  <c r="A45" i="14"/>
  <c r="AE54" i="13"/>
  <c r="AB54" i="13"/>
  <c r="A46" i="14"/>
  <c r="C55" i="13"/>
  <c r="CI55" i="13" s="1"/>
  <c r="CK55" i="13" s="1"/>
  <c r="AB55" i="13"/>
  <c r="AE56" i="13"/>
  <c r="AB56" i="13"/>
  <c r="AQ56" i="13"/>
  <c r="AR56" i="13" s="1"/>
  <c r="AX56" i="13"/>
  <c r="BD56" i="13"/>
  <c r="BJ56" i="13"/>
  <c r="BN56" i="13"/>
  <c r="BO56" i="13"/>
  <c r="BQ56" i="13"/>
  <c r="AE57" i="13"/>
  <c r="N58" i="13"/>
  <c r="AA58" i="13"/>
  <c r="AB58" i="13"/>
  <c r="AE58" i="13"/>
  <c r="BD58" i="13"/>
  <c r="BL58" i="13"/>
  <c r="BS58" i="13"/>
  <c r="A50" i="14"/>
  <c r="C59" i="13"/>
  <c r="CI59" i="13" s="1"/>
  <c r="CK59" i="13" s="1"/>
  <c r="AE59" i="13"/>
  <c r="AF60" i="13" s="1"/>
  <c r="AA59" i="13"/>
  <c r="N60" i="13"/>
  <c r="AB60" i="13"/>
  <c r="AE60" i="13"/>
  <c r="BD60" i="13"/>
  <c r="BL60" i="13"/>
  <c r="BS60" i="13"/>
  <c r="C61" i="13"/>
  <c r="CI61" i="13" s="1"/>
  <c r="CK61" i="13" s="1"/>
  <c r="AA61" i="13"/>
  <c r="N62" i="13"/>
  <c r="AA62" i="13"/>
  <c r="AB62" i="13"/>
  <c r="AE62" i="13"/>
  <c r="BD62" i="13"/>
  <c r="BL62" i="13"/>
  <c r="BS62" i="13"/>
  <c r="E63" i="13"/>
  <c r="N63" i="13"/>
  <c r="AA63" i="13"/>
  <c r="AB63" i="13"/>
  <c r="AE63" i="13"/>
  <c r="AF63" i="13"/>
  <c r="BD63" i="13"/>
  <c r="BL63" i="13"/>
  <c r="BS63" i="13"/>
  <c r="N64" i="13"/>
  <c r="AA64" i="13"/>
  <c r="AB64" i="13"/>
  <c r="AE64" i="13"/>
  <c r="AF64" i="13"/>
  <c r="BD64" i="13"/>
  <c r="BL64" i="13"/>
  <c r="BS64" i="13"/>
  <c r="C65" i="13"/>
  <c r="AA65" i="13"/>
  <c r="AB65" i="13"/>
  <c r="C66" i="13"/>
  <c r="Z66" i="13"/>
  <c r="AA66" i="13" s="1"/>
  <c r="AB66" i="13"/>
  <c r="C67" i="13"/>
  <c r="CI67" i="13" s="1"/>
  <c r="CK67" i="13" s="1"/>
  <c r="AB67" i="13"/>
  <c r="C68" i="13"/>
  <c r="CI68" i="13" s="1"/>
  <c r="CK68" i="13" s="1"/>
  <c r="AB68" i="13"/>
  <c r="C69" i="13"/>
  <c r="CI69" i="13" s="1"/>
  <c r="CK69" i="13" s="1"/>
  <c r="AB69" i="13"/>
  <c r="C70" i="13"/>
  <c r="AB70" i="13"/>
  <c r="N71" i="13"/>
  <c r="AA71" i="13"/>
  <c r="AB71" i="13"/>
  <c r="AE71" i="13"/>
  <c r="BD71" i="13"/>
  <c r="BL71" i="13"/>
  <c r="BS71" i="13"/>
  <c r="C72" i="13"/>
  <c r="AE72" i="13"/>
  <c r="AA72" i="13"/>
  <c r="AB72" i="13"/>
  <c r="C73" i="13"/>
  <c r="CI73" i="13" s="1"/>
  <c r="CK73" i="13" s="1"/>
  <c r="Z73" i="13"/>
  <c r="AA73" i="13" s="1"/>
  <c r="AB73" i="13"/>
  <c r="A65" i="14"/>
  <c r="C74" i="13"/>
  <c r="CI74" i="13" s="1"/>
  <c r="CK74" i="13" s="1"/>
  <c r="AB74" i="13"/>
  <c r="A66" i="14"/>
  <c r="C75" i="13"/>
  <c r="AE75" i="13"/>
  <c r="AB75" i="13"/>
  <c r="C76" i="13"/>
  <c r="CI76" i="13" s="1"/>
  <c r="CK76" i="13" s="1"/>
  <c r="AB76" i="13"/>
  <c r="C77" i="13"/>
  <c r="CI77" i="13" s="1"/>
  <c r="CK77" i="13" s="1"/>
  <c r="AB77" i="13"/>
  <c r="C78" i="13"/>
  <c r="CI78" i="13" s="1"/>
  <c r="CK78" i="13" s="1"/>
  <c r="AB78" i="13"/>
  <c r="C79" i="13"/>
  <c r="CI79" i="13" s="1"/>
  <c r="CK79" i="13" s="1"/>
  <c r="AB79" i="13"/>
  <c r="A71" i="14"/>
  <c r="C80" i="13"/>
  <c r="AB80" i="13"/>
  <c r="A72" i="14"/>
  <c r="C81" i="13"/>
  <c r="AE81" i="13"/>
  <c r="AB81" i="13"/>
  <c r="C82" i="13"/>
  <c r="CI82" i="13" s="1"/>
  <c r="CK82" i="13" s="1"/>
  <c r="AE91" i="13"/>
  <c r="AB82" i="13"/>
  <c r="A74" i="14"/>
  <c r="C83" i="13"/>
  <c r="AB83" i="13"/>
  <c r="A75" i="14"/>
  <c r="C84" i="13"/>
  <c r="CI84" i="13" s="1"/>
  <c r="CK84" i="13" s="1"/>
  <c r="B101" i="13"/>
  <c r="AB84" i="13"/>
  <c r="C85" i="13"/>
  <c r="CI85" i="13" s="1"/>
  <c r="CK85" i="13" s="1"/>
  <c r="AB85" i="13"/>
  <c r="C86" i="13"/>
  <c r="CI86" i="13" s="1"/>
  <c r="CK86" i="13" s="1"/>
  <c r="AB86" i="13"/>
  <c r="C87" i="13"/>
  <c r="CI87" i="13" s="1"/>
  <c r="CK87" i="13" s="1"/>
  <c r="AB87" i="13"/>
  <c r="C88" i="13"/>
  <c r="CI88" i="13" s="1"/>
  <c r="CK88" i="13" s="1"/>
  <c r="AB88" i="13"/>
  <c r="A80" i="14"/>
  <c r="C89" i="13"/>
  <c r="CI89" i="13" s="1"/>
  <c r="CK89" i="13" s="1"/>
  <c r="AB89" i="13"/>
  <c r="A81" i="14"/>
  <c r="C90" i="13"/>
  <c r="CI90" i="13" s="1"/>
  <c r="CK90" i="13" s="1"/>
  <c r="AB90" i="13"/>
  <c r="AB91" i="13"/>
  <c r="AB92" i="13"/>
  <c r="AB93" i="13"/>
  <c r="AB100" i="13"/>
  <c r="AB101" i="13"/>
  <c r="AB102" i="13"/>
  <c r="AB103" i="13"/>
  <c r="AB104" i="13"/>
  <c r="AB105" i="13"/>
  <c r="AB106" i="13"/>
  <c r="AB107" i="13"/>
  <c r="C109" i="13"/>
  <c r="CI109" i="13" s="1"/>
  <c r="CK109" i="13" s="1"/>
  <c r="Q109" i="13"/>
  <c r="R109" i="13" s="1"/>
  <c r="S109" i="13" s="1"/>
  <c r="T109" i="13" s="1"/>
  <c r="U109" i="13" s="1"/>
  <c r="AA109" i="13"/>
  <c r="CN109" i="13"/>
  <c r="CO109" i="13"/>
  <c r="AY110" i="13"/>
  <c r="BE110" i="13"/>
  <c r="BL110" i="13"/>
  <c r="BS110" i="13"/>
  <c r="BX110" i="13"/>
  <c r="BY110" i="13" s="1"/>
  <c r="A102" i="14"/>
  <c r="C111" i="13"/>
  <c r="CI111" i="13" s="1"/>
  <c r="CK111" i="13" s="1"/>
  <c r="Q111" i="13"/>
  <c r="R111" i="13" s="1"/>
  <c r="AA111" i="13"/>
  <c r="AQ111" i="13"/>
  <c r="BV111" i="13" s="1"/>
  <c r="AX111" i="13"/>
  <c r="BD111" i="13"/>
  <c r="BJ111" i="13"/>
  <c r="BK111" i="13"/>
  <c r="BN111" i="13"/>
  <c r="BO111" i="13"/>
  <c r="BQ111" i="13"/>
  <c r="CN111" i="13"/>
  <c r="CO111" i="13"/>
  <c r="AE112" i="13"/>
  <c r="AY112" i="13"/>
  <c r="BE112" i="13"/>
  <c r="BL112" i="13"/>
  <c r="BS112" i="13"/>
  <c r="A104" i="14"/>
  <c r="C113" i="13"/>
  <c r="CI113" i="13" s="1"/>
  <c r="CK113" i="13" s="1"/>
  <c r="Q113" i="13"/>
  <c r="R113" i="13" s="1"/>
  <c r="AA113" i="13"/>
  <c r="AQ113" i="13"/>
  <c r="BR113" i="13" s="1"/>
  <c r="AX113" i="13"/>
  <c r="BD113" i="13"/>
  <c r="BJ113" i="13"/>
  <c r="BK113" i="13"/>
  <c r="BN113" i="13"/>
  <c r="BO113" i="13"/>
  <c r="BQ113" i="13"/>
  <c r="CN113" i="13"/>
  <c r="CO113" i="13"/>
  <c r="AA114" i="13"/>
  <c r="AB114" i="13"/>
  <c r="AE114" i="13"/>
  <c r="AY114" i="13"/>
  <c r="BE114" i="13"/>
  <c r="BL114" i="13"/>
  <c r="BS114" i="13"/>
  <c r="C115" i="13"/>
  <c r="CI115" i="13" s="1"/>
  <c r="CK115" i="13" s="1"/>
  <c r="Q115" i="13"/>
  <c r="R115" i="13" s="1"/>
  <c r="AA115" i="13"/>
  <c r="AQ115" i="13"/>
  <c r="BR115" i="13" s="1"/>
  <c r="AX115" i="13"/>
  <c r="BD115" i="13"/>
  <c r="BJ115" i="13"/>
  <c r="BK115" i="13"/>
  <c r="BN115" i="13"/>
  <c r="BO115" i="13"/>
  <c r="BQ115" i="13"/>
  <c r="CN115" i="13"/>
  <c r="CO115" i="13"/>
  <c r="C118" i="13"/>
  <c r="F118" i="13"/>
  <c r="G118" i="13" s="1"/>
  <c r="H118" i="13" s="1"/>
  <c r="Q118" i="13"/>
  <c r="R118" i="13" s="1"/>
  <c r="AA118" i="13"/>
  <c r="AQ118" i="13"/>
  <c r="AX118" i="13"/>
  <c r="BD118" i="13"/>
  <c r="BJ118" i="13"/>
  <c r="BK118" i="13"/>
  <c r="BN118" i="13"/>
  <c r="BO118" i="13"/>
  <c r="BQ118" i="13"/>
  <c r="CL118" i="13"/>
  <c r="CN118" i="13"/>
  <c r="CO118" i="13"/>
  <c r="A110" i="14"/>
  <c r="C119" i="13"/>
  <c r="AE119" i="13"/>
  <c r="F119" i="13"/>
  <c r="G119" i="13" s="1"/>
  <c r="H119" i="13" s="1"/>
  <c r="Q119" i="13"/>
  <c r="R119" i="13" s="1"/>
  <c r="AA119" i="13"/>
  <c r="AB119" i="13"/>
  <c r="AQ119" i="13"/>
  <c r="AX119" i="13"/>
  <c r="BD119" i="13"/>
  <c r="BJ119" i="13"/>
  <c r="BK119" i="13"/>
  <c r="BN119" i="13"/>
  <c r="BO119" i="13"/>
  <c r="BQ119" i="13"/>
  <c r="CL119" i="13"/>
  <c r="CN119" i="13"/>
  <c r="CO119" i="13"/>
  <c r="A111" i="14"/>
  <c r="C120" i="13"/>
  <c r="CI120" i="13" s="1"/>
  <c r="CK120" i="13" s="1"/>
  <c r="CM120" i="13" s="1"/>
  <c r="AE120" i="13"/>
  <c r="F120" i="13"/>
  <c r="G120" i="13" s="1"/>
  <c r="H120" i="13" s="1"/>
  <c r="Q120" i="13"/>
  <c r="R120" i="13" s="1"/>
  <c r="AA120" i="13"/>
  <c r="AB120" i="13"/>
  <c r="AQ120" i="13"/>
  <c r="AX120" i="13"/>
  <c r="BD120" i="13"/>
  <c r="BJ120" i="13"/>
  <c r="BK120" i="13"/>
  <c r="BN120" i="13"/>
  <c r="BO120" i="13"/>
  <c r="BQ120" i="13"/>
  <c r="CL120" i="13"/>
  <c r="CN120" i="13"/>
  <c r="CO120" i="13"/>
  <c r="A112" i="14"/>
  <c r="C121" i="13"/>
  <c r="CI121" i="13" s="1"/>
  <c r="CK121" i="13" s="1"/>
  <c r="CM121" i="13" s="1"/>
  <c r="AE121" i="13"/>
  <c r="F121" i="13"/>
  <c r="G121" i="13" s="1"/>
  <c r="H121" i="13" s="1"/>
  <c r="Q121" i="13"/>
  <c r="R121" i="13" s="1"/>
  <c r="AA121" i="13"/>
  <c r="AB121" i="13"/>
  <c r="AQ121" i="13"/>
  <c r="AX121" i="13"/>
  <c r="BD121" i="13"/>
  <c r="BJ121" i="13"/>
  <c r="BK121" i="13"/>
  <c r="BN121" i="13"/>
  <c r="BO121" i="13"/>
  <c r="BQ121" i="13"/>
  <c r="CL121" i="13"/>
  <c r="CN121" i="13"/>
  <c r="CO121" i="13"/>
  <c r="A113" i="14"/>
  <c r="C122" i="13"/>
  <c r="AE122" i="13"/>
  <c r="F122" i="13"/>
  <c r="G122" i="13" s="1"/>
  <c r="H122" i="13" s="1"/>
  <c r="Q122" i="13"/>
  <c r="R122" i="13" s="1"/>
  <c r="AA122" i="13"/>
  <c r="AB122" i="13"/>
  <c r="AQ122" i="13"/>
  <c r="AX122" i="13"/>
  <c r="BD122" i="13"/>
  <c r="BJ122" i="13"/>
  <c r="BK122" i="13"/>
  <c r="BN122" i="13"/>
  <c r="BO122" i="13"/>
  <c r="BQ122" i="13"/>
  <c r="CL122" i="13"/>
  <c r="CN122" i="13"/>
  <c r="CO122" i="13"/>
  <c r="AB123" i="13"/>
  <c r="AE123" i="13"/>
  <c r="AF123" i="13"/>
  <c r="A9" i="12"/>
  <c r="A13" i="12"/>
  <c r="A15" i="12"/>
  <c r="B15" i="12" s="1"/>
  <c r="A17" i="12"/>
  <c r="A20" i="12"/>
  <c r="B20" i="12" s="1"/>
  <c r="A22" i="12"/>
  <c r="B22" i="12" s="1"/>
  <c r="A23" i="12"/>
  <c r="B23" i="12" s="1"/>
  <c r="A26" i="12"/>
  <c r="B26" i="12" s="1"/>
  <c r="A37" i="12"/>
  <c r="A40" i="12"/>
  <c r="C40" i="12" s="1"/>
  <c r="A43" i="12"/>
  <c r="B43" i="12" s="1"/>
  <c r="A46" i="12"/>
  <c r="B46" i="12" s="1"/>
  <c r="A47" i="12"/>
  <c r="B47" i="12" s="1"/>
  <c r="A53" i="12"/>
  <c r="A54" i="12"/>
  <c r="A55" i="12"/>
  <c r="E55" i="12" s="1"/>
  <c r="A56" i="12"/>
  <c r="B56" i="12" s="1"/>
  <c r="A57" i="12"/>
  <c r="D4" i="11"/>
  <c r="E4" i="11" s="1"/>
  <c r="F4" i="11" s="1"/>
  <c r="G4" i="11" s="1"/>
  <c r="H4" i="11" s="1"/>
  <c r="I4" i="11" s="1"/>
  <c r="J4" i="11" s="1"/>
  <c r="K4" i="11" s="1"/>
  <c r="L4" i="11" s="1"/>
  <c r="M19" i="11"/>
  <c r="C107" i="11"/>
  <c r="C9" i="11"/>
  <c r="C10" i="11"/>
  <c r="M10" i="11"/>
  <c r="M11" i="11" s="1"/>
  <c r="M12" i="11" s="1"/>
  <c r="M13" i="11" s="1"/>
  <c r="C11" i="11"/>
  <c r="C12" i="11"/>
  <c r="C13" i="11"/>
  <c r="C19" i="11"/>
  <c r="D19" i="11"/>
  <c r="A63" i="11" s="1"/>
  <c r="A5" i="12" s="1"/>
  <c r="E19" i="11"/>
  <c r="A100" i="11" s="1"/>
  <c r="A42" i="12" s="1"/>
  <c r="G19" i="11"/>
  <c r="H19" i="11"/>
  <c r="A86" i="11" s="1"/>
  <c r="A28" i="12" s="1"/>
  <c r="I19" i="11"/>
  <c r="J19" i="11"/>
  <c r="K19" i="11"/>
  <c r="C29" i="11"/>
  <c r="I29" i="11"/>
  <c r="J29" i="11"/>
  <c r="K29" i="11"/>
  <c r="M29" i="11"/>
  <c r="N29" i="11"/>
  <c r="C44" i="11"/>
  <c r="I44" i="11"/>
  <c r="J44" i="11"/>
  <c r="K44" i="11"/>
  <c r="M44" i="11"/>
  <c r="N44" i="11"/>
  <c r="E46" i="11"/>
  <c r="E51" i="11" s="1"/>
  <c r="D108" i="11"/>
  <c r="J48" i="11"/>
  <c r="I50" i="11"/>
  <c r="I51" i="11" s="1"/>
  <c r="A51" i="11"/>
  <c r="D51" i="11"/>
  <c r="G51" i="11"/>
  <c r="H51" i="11"/>
  <c r="K51" i="11"/>
  <c r="M51" i="11"/>
  <c r="N51" i="11"/>
  <c r="R55" i="11"/>
  <c r="E58" i="11"/>
  <c r="F58" i="11"/>
  <c r="G58" i="11"/>
  <c r="H58" i="11"/>
  <c r="I58" i="11"/>
  <c r="P58" i="11"/>
  <c r="Q58" i="11"/>
  <c r="R58" i="11"/>
  <c r="S58" i="11"/>
  <c r="T58" i="11"/>
  <c r="U58" i="11"/>
  <c r="O59" i="11"/>
  <c r="O15" i="13" s="1"/>
  <c r="C63" i="11"/>
  <c r="D63" i="11"/>
  <c r="B63" i="11" s="1"/>
  <c r="C64" i="11"/>
  <c r="D64" i="11"/>
  <c r="AA64" i="11"/>
  <c r="AA65" i="11" s="1"/>
  <c r="C65" i="11"/>
  <c r="D65" i="11"/>
  <c r="C68" i="11"/>
  <c r="D68" i="11"/>
  <c r="C69" i="11"/>
  <c r="D69" i="11"/>
  <c r="C70" i="11"/>
  <c r="D70" i="11"/>
  <c r="C72" i="11"/>
  <c r="D72" i="11"/>
  <c r="A74" i="11"/>
  <c r="A16" i="12" s="1"/>
  <c r="C16" i="12" s="1"/>
  <c r="C74" i="11"/>
  <c r="D74" i="11"/>
  <c r="A76" i="11"/>
  <c r="A18" i="12" s="1"/>
  <c r="D76" i="11"/>
  <c r="C77" i="11"/>
  <c r="C113" i="11" s="1"/>
  <c r="D77" i="11"/>
  <c r="A79" i="11"/>
  <c r="A21" i="12" s="1"/>
  <c r="D79" i="11"/>
  <c r="A82" i="11"/>
  <c r="A24" i="12" s="1"/>
  <c r="C24" i="12" s="1"/>
  <c r="C82" i="11"/>
  <c r="D82" i="11"/>
  <c r="A83" i="11"/>
  <c r="A25" i="12" s="1"/>
  <c r="C83" i="11"/>
  <c r="D83" i="11"/>
  <c r="A85" i="11"/>
  <c r="A27" i="12" s="1"/>
  <c r="C85" i="11"/>
  <c r="C86" i="11"/>
  <c r="A87" i="11"/>
  <c r="A29" i="12" s="1"/>
  <c r="C87" i="11"/>
  <c r="D87" i="11"/>
  <c r="A88" i="11"/>
  <c r="A30" i="12" s="1"/>
  <c r="C88" i="11"/>
  <c r="D88" i="11"/>
  <c r="A89" i="11"/>
  <c r="A31" i="12" s="1"/>
  <c r="D89" i="11"/>
  <c r="A90" i="11"/>
  <c r="A32" i="12" s="1"/>
  <c r="C90" i="11"/>
  <c r="D90" i="11"/>
  <c r="A91" i="11"/>
  <c r="A33" i="12" s="1"/>
  <c r="C91" i="11"/>
  <c r="D91" i="11"/>
  <c r="A92" i="11"/>
  <c r="A34" i="12" s="1"/>
  <c r="C92" i="11"/>
  <c r="D92" i="11"/>
  <c r="A93" i="11"/>
  <c r="A35" i="12" s="1"/>
  <c r="C93" i="11"/>
  <c r="D93" i="11"/>
  <c r="A94" i="11"/>
  <c r="A36" i="12" s="1"/>
  <c r="C94" i="11"/>
  <c r="D94" i="11"/>
  <c r="A96" i="11"/>
  <c r="A38" i="12" s="1"/>
  <c r="C38" i="12" s="1"/>
  <c r="C96" i="11"/>
  <c r="D96" i="11"/>
  <c r="L96" i="11"/>
  <c r="M96" i="11" s="1"/>
  <c r="N96" i="11" s="1"/>
  <c r="A97" i="11"/>
  <c r="A39" i="12" s="1"/>
  <c r="D97" i="11"/>
  <c r="L97" i="11"/>
  <c r="M97" i="11" s="1"/>
  <c r="N97" i="11" s="1"/>
  <c r="A99" i="11"/>
  <c r="C99" i="11"/>
  <c r="D99" i="11"/>
  <c r="L99" i="11"/>
  <c r="M99" i="11" s="1"/>
  <c r="N99" i="11" s="1"/>
  <c r="D100" i="11"/>
  <c r="L100" i="11"/>
  <c r="M100" i="11" s="1"/>
  <c r="N100" i="11" s="1"/>
  <c r="A102" i="11"/>
  <c r="A44" i="12" s="1"/>
  <c r="C102" i="11"/>
  <c r="D102" i="11"/>
  <c r="L102" i="11"/>
  <c r="M102" i="11" s="1"/>
  <c r="N102" i="11" s="1"/>
  <c r="A103" i="11"/>
  <c r="D103" i="11"/>
  <c r="L103" i="11"/>
  <c r="M103" i="11" s="1"/>
  <c r="N103" i="11" s="1"/>
  <c r="A106" i="11"/>
  <c r="C106" i="11"/>
  <c r="D106" i="11"/>
  <c r="F106" i="11"/>
  <c r="G106" i="11" s="1"/>
  <c r="H106" i="11" s="1"/>
  <c r="I106" i="11" s="1"/>
  <c r="L106" i="11"/>
  <c r="M106" i="11" s="1"/>
  <c r="N106" i="11" s="1"/>
  <c r="AD106" i="11"/>
  <c r="A107" i="11"/>
  <c r="A49" i="12" s="1"/>
  <c r="D107" i="11"/>
  <c r="F107" i="11"/>
  <c r="G107" i="11" s="1"/>
  <c r="H107" i="11" s="1"/>
  <c r="I107" i="11" s="1"/>
  <c r="L107" i="11"/>
  <c r="M107" i="11" s="1"/>
  <c r="N107" i="11" s="1"/>
  <c r="A108" i="11"/>
  <c r="F108" i="11"/>
  <c r="G108" i="11" s="1"/>
  <c r="H108" i="11" s="1"/>
  <c r="I108" i="11" s="1"/>
  <c r="L108" i="11"/>
  <c r="M108" i="11" s="1"/>
  <c r="N108" i="11" s="1"/>
  <c r="X108" i="11"/>
  <c r="A109" i="11"/>
  <c r="C109" i="11"/>
  <c r="D109" i="11"/>
  <c r="F109" i="11"/>
  <c r="G109" i="11" s="1"/>
  <c r="H109" i="11" s="1"/>
  <c r="I109" i="11" s="1"/>
  <c r="L109" i="11"/>
  <c r="M109" i="11" s="1"/>
  <c r="N109" i="11" s="1"/>
  <c r="A110" i="11"/>
  <c r="C110" i="11"/>
  <c r="D110" i="11"/>
  <c r="F110" i="11"/>
  <c r="G110" i="11" s="1"/>
  <c r="H110" i="11" s="1"/>
  <c r="I110" i="11" s="1"/>
  <c r="L110" i="11"/>
  <c r="M110" i="11" s="1"/>
  <c r="N110" i="11" s="1"/>
  <c r="X110" i="11"/>
  <c r="P5" i="10"/>
  <c r="AD26" i="10"/>
  <c r="W27" i="10"/>
  <c r="X27" i="10"/>
  <c r="AC27" i="10"/>
  <c r="W28" i="10"/>
  <c r="X28" i="10"/>
  <c r="AC28" i="10"/>
  <c r="W29" i="10"/>
  <c r="X29" i="10"/>
  <c r="AC29" i="10"/>
  <c r="W30" i="10"/>
  <c r="X30" i="10"/>
  <c r="AC30" i="10"/>
  <c r="W31" i="10"/>
  <c r="X31" i="10"/>
  <c r="AC31" i="10"/>
  <c r="W32" i="10"/>
  <c r="X32" i="10"/>
  <c r="AC32" i="10"/>
  <c r="W33" i="10"/>
  <c r="X33" i="10"/>
  <c r="AC33" i="10"/>
  <c r="W34" i="10"/>
  <c r="X34" i="10"/>
  <c r="AC34" i="10"/>
  <c r="W35" i="10"/>
  <c r="X35" i="10"/>
  <c r="AC35" i="10"/>
  <c r="AE35" i="10"/>
  <c r="W36" i="10"/>
  <c r="X36" i="10"/>
  <c r="AC36" i="10"/>
  <c r="W37" i="10"/>
  <c r="X37" i="10"/>
  <c r="S38" i="10"/>
  <c r="S15" i="10" s="1"/>
  <c r="W38" i="10"/>
  <c r="X38" i="10"/>
  <c r="AE38" i="10"/>
  <c r="S41" i="10"/>
  <c r="AD41" i="10"/>
  <c r="AE43" i="10" s="1"/>
  <c r="AD42" i="10"/>
  <c r="AD43" i="10"/>
  <c r="S44" i="10"/>
  <c r="E43" i="11" s="1"/>
  <c r="X103" i="11" s="1"/>
  <c r="AD44" i="10"/>
  <c r="AD46" i="10"/>
  <c r="AG47" i="10"/>
  <c r="L74" i="10"/>
  <c r="H82" i="10"/>
  <c r="I82" i="10"/>
  <c r="H85" i="10"/>
  <c r="I85" i="10"/>
  <c r="I88" i="10" s="1"/>
  <c r="J85" i="10"/>
  <c r="J88" i="10" s="1"/>
  <c r="M86" i="10"/>
  <c r="H87" i="10"/>
  <c r="I87" i="10"/>
  <c r="H88" i="10"/>
  <c r="I90" i="10"/>
  <c r="I92" i="10"/>
  <c r="I94" i="10" s="1"/>
  <c r="J92" i="10"/>
  <c r="J94" i="10" s="1"/>
  <c r="H93" i="10"/>
  <c r="I96" i="10"/>
  <c r="I98" i="10" s="1"/>
  <c r="O96" i="10"/>
  <c r="P96" i="10"/>
  <c r="H98" i="10"/>
  <c r="K98" i="10"/>
  <c r="N98" i="10"/>
  <c r="O98" i="10"/>
  <c r="N99" i="10"/>
  <c r="O99" i="10"/>
  <c r="I100" i="10"/>
  <c r="J100" i="10"/>
  <c r="I101" i="10"/>
  <c r="J101" i="10" s="1"/>
  <c r="I102" i="10"/>
  <c r="J102" i="10"/>
  <c r="K102" i="10" s="1"/>
  <c r="H103" i="10"/>
  <c r="H105" i="10"/>
  <c r="H107" i="10"/>
  <c r="G117" i="10"/>
  <c r="AC94" i="13" l="1"/>
  <c r="AC95" i="13" s="1"/>
  <c r="AC96" i="13" s="1"/>
  <c r="AC97" i="13" s="1"/>
  <c r="AC98" i="13" s="1"/>
  <c r="AC99" i="13" s="1"/>
  <c r="AC100" i="13" s="1"/>
  <c r="AC101" i="13" s="1"/>
  <c r="AC102" i="13" s="1"/>
  <c r="AC103" i="13" s="1"/>
  <c r="AC104" i="13" s="1"/>
  <c r="AC105" i="13" s="1"/>
  <c r="AC106" i="13" s="1"/>
  <c r="AC107" i="13" s="1"/>
  <c r="AC108" i="13" s="1"/>
  <c r="AC109" i="13" s="1"/>
  <c r="AC110" i="13" s="1"/>
  <c r="AC111" i="13" s="1"/>
  <c r="AC112" i="13" s="1"/>
  <c r="AC113" i="13" s="1"/>
  <c r="AC114" i="13" s="1"/>
  <c r="AC115" i="13" s="1"/>
  <c r="AC116" i="13" s="1"/>
  <c r="AC117" i="13" s="1"/>
  <c r="AC118" i="13" s="1"/>
  <c r="AC119" i="13" s="1"/>
  <c r="AC120" i="13" s="1"/>
  <c r="AC121" i="13" s="1"/>
  <c r="AC122" i="13" s="1"/>
  <c r="AC123" i="13" s="1"/>
  <c r="AC124" i="13" s="1"/>
  <c r="J90" i="10"/>
  <c r="A66" i="11"/>
  <c r="A8" i="12" s="1"/>
  <c r="C8" i="12" s="1"/>
  <c r="B69" i="11"/>
  <c r="Y108" i="11"/>
  <c r="Y110" i="11"/>
  <c r="AE106" i="11"/>
  <c r="N52" i="11"/>
  <c r="L7" i="11" s="1"/>
  <c r="X106" i="11"/>
  <c r="B88" i="11"/>
  <c r="B72" i="11"/>
  <c r="B94" i="11"/>
  <c r="C55" i="12"/>
  <c r="I52" i="11"/>
  <c r="H7" i="11" s="1"/>
  <c r="H16" i="11" s="1"/>
  <c r="K52" i="11"/>
  <c r="J7" i="11" s="1"/>
  <c r="J16" i="11" s="1"/>
  <c r="C56" i="12"/>
  <c r="B40" i="12"/>
  <c r="AA67" i="1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B55" i="12"/>
  <c r="C26" i="12"/>
  <c r="B96" i="11"/>
  <c r="B38" i="12" s="1"/>
  <c r="C22" i="12"/>
  <c r="AA66" i="11"/>
  <c r="C46" i="12"/>
  <c r="C20" i="12"/>
  <c r="B83" i="11"/>
  <c r="B70" i="11"/>
  <c r="BL107" i="13"/>
  <c r="BM107" i="13" s="1"/>
  <c r="CP113" i="13"/>
  <c r="BV113" i="13"/>
  <c r="BL101" i="13"/>
  <c r="BM101" i="13" s="1"/>
  <c r="BL87" i="13"/>
  <c r="BM87" i="13" s="1"/>
  <c r="B82" i="11"/>
  <c r="B65" i="11"/>
  <c r="BM57" i="13"/>
  <c r="BL109" i="13"/>
  <c r="BM109" i="13" s="1"/>
  <c r="BL104" i="13"/>
  <c r="BM104" i="13" s="1"/>
  <c r="BL92" i="13"/>
  <c r="BM92" i="13" s="1"/>
  <c r="BL85" i="13"/>
  <c r="BM85" i="13" s="1"/>
  <c r="BL82" i="13"/>
  <c r="BM82" i="13" s="1"/>
  <c r="BL41" i="13"/>
  <c r="BM41" i="13" s="1"/>
  <c r="BL30" i="13"/>
  <c r="BM30" i="13" s="1"/>
  <c r="CP122" i="13"/>
  <c r="BL115" i="13"/>
  <c r="BM115" i="13" s="1"/>
  <c r="BL88" i="13"/>
  <c r="BM88" i="13" s="1"/>
  <c r="BM50" i="13"/>
  <c r="BM33" i="13"/>
  <c r="BL103" i="13"/>
  <c r="BM103" i="13" s="1"/>
  <c r="BL91" i="13"/>
  <c r="BM91" i="13" s="1"/>
  <c r="BL48" i="13"/>
  <c r="BM48" i="13" s="1"/>
  <c r="BL27" i="13"/>
  <c r="BM27" i="13" s="1"/>
  <c r="BL84" i="13"/>
  <c r="BM84" i="13" s="1"/>
  <c r="BL45" i="13"/>
  <c r="BM45" i="13" s="1"/>
  <c r="BL32" i="13"/>
  <c r="BM32" i="13" s="1"/>
  <c r="BZ110" i="13"/>
  <c r="BL102" i="13"/>
  <c r="BM102" i="13" s="1"/>
  <c r="BL90" i="13"/>
  <c r="BM90" i="13" s="1"/>
  <c r="BL56" i="13"/>
  <c r="BM56" i="13" s="1"/>
  <c r="BL54" i="13"/>
  <c r="BM54" i="13" s="1"/>
  <c r="BL40" i="13"/>
  <c r="BM40" i="13" s="1"/>
  <c r="BL29" i="13"/>
  <c r="BM29" i="13" s="1"/>
  <c r="AE25" i="13"/>
  <c r="BM43" i="13"/>
  <c r="BL70" i="13"/>
  <c r="BM70" i="13" s="1"/>
  <c r="BM23" i="13"/>
  <c r="BL106" i="13"/>
  <c r="BM106" i="13" s="1"/>
  <c r="BL100" i="13"/>
  <c r="BM100" i="13" s="1"/>
  <c r="BL83" i="13"/>
  <c r="BM83" i="13" s="1"/>
  <c r="BL31" i="13"/>
  <c r="BM31" i="13" s="1"/>
  <c r="BL28" i="13"/>
  <c r="BM28" i="13" s="1"/>
  <c r="BL89" i="13"/>
  <c r="BM89" i="13" s="1"/>
  <c r="BL86" i="13"/>
  <c r="BM86" i="13" s="1"/>
  <c r="BM51" i="13"/>
  <c r="BM42" i="13"/>
  <c r="BL105" i="13"/>
  <c r="BM105" i="13" s="1"/>
  <c r="BL93" i="13"/>
  <c r="BM93" i="13" s="1"/>
  <c r="BL69" i="13"/>
  <c r="BM69" i="13" s="1"/>
  <c r="BM34" i="13"/>
  <c r="AE22" i="13"/>
  <c r="BU113" i="13"/>
  <c r="BL122" i="13"/>
  <c r="BM122" i="13" s="1"/>
  <c r="BX58" i="13"/>
  <c r="BY58" i="13" s="1"/>
  <c r="BR56" i="13"/>
  <c r="BS56" i="13" s="1"/>
  <c r="BT56" i="13" s="1"/>
  <c r="Z22" i="13"/>
  <c r="Z23" i="13" s="1"/>
  <c r="AA23" i="13" s="1"/>
  <c r="CP119" i="13"/>
  <c r="CP118" i="13"/>
  <c r="BL113" i="13"/>
  <c r="BM113" i="13" s="1"/>
  <c r="CP111" i="13"/>
  <c r="BS30" i="13"/>
  <c r="BT30" i="13" s="1"/>
  <c r="B109" i="13"/>
  <c r="BX109" i="13" s="1"/>
  <c r="BM24" i="13"/>
  <c r="BM25" i="13"/>
  <c r="B103" i="13"/>
  <c r="AE77" i="13"/>
  <c r="A79" i="14"/>
  <c r="A70" i="14"/>
  <c r="AE31" i="13"/>
  <c r="AF35" i="13" s="1"/>
  <c r="BX35" i="13"/>
  <c r="AE78" i="13"/>
  <c r="Z67" i="13"/>
  <c r="B27" i="13"/>
  <c r="AG27" i="13" s="1"/>
  <c r="B31" i="13"/>
  <c r="AG31" i="13" s="1"/>
  <c r="AE21" i="13"/>
  <c r="AF26" i="13" s="1"/>
  <c r="BL118" i="13"/>
  <c r="BM118" i="13" s="1"/>
  <c r="BL111" i="13"/>
  <c r="BM111" i="13" s="1"/>
  <c r="B81" i="13"/>
  <c r="AH81" i="13" s="1"/>
  <c r="CP120" i="13"/>
  <c r="Z20" i="13"/>
  <c r="Z21" i="13" s="1"/>
  <c r="AE32" i="13"/>
  <c r="AE28" i="13"/>
  <c r="AE24" i="13"/>
  <c r="AE20" i="13"/>
  <c r="CP109" i="13"/>
  <c r="AR115" i="13"/>
  <c r="Z41" i="13"/>
  <c r="AA41" i="13" s="1"/>
  <c r="BL49" i="13"/>
  <c r="BM49" i="13" s="1"/>
  <c r="CP121" i="13"/>
  <c r="B36" i="13"/>
  <c r="B89" i="13"/>
  <c r="AE80" i="13"/>
  <c r="AE74" i="13"/>
  <c r="A77" i="14"/>
  <c r="A68" i="14"/>
  <c r="A63" i="14"/>
  <c r="A73" i="14"/>
  <c r="A64" i="14"/>
  <c r="A30" i="14"/>
  <c r="A32" i="14"/>
  <c r="A34" i="14"/>
  <c r="A31" i="14"/>
  <c r="B65" i="13"/>
  <c r="AE68" i="13"/>
  <c r="AE70" i="13"/>
  <c r="AE66" i="13"/>
  <c r="A78" i="14"/>
  <c r="A69" i="14"/>
  <c r="BX26" i="13"/>
  <c r="B122" i="13"/>
  <c r="AF122" i="13" s="1"/>
  <c r="B121" i="13"/>
  <c r="AF121" i="13" s="1"/>
  <c r="B120" i="13"/>
  <c r="AF120" i="13" s="1"/>
  <c r="A56" i="14"/>
  <c r="BS50" i="13"/>
  <c r="BT50" i="13" s="1"/>
  <c r="A28" i="14"/>
  <c r="BT33" i="13"/>
  <c r="BT28" i="13"/>
  <c r="BS21" i="13"/>
  <c r="BT21" i="13" s="1"/>
  <c r="BS19" i="13"/>
  <c r="AR113" i="13"/>
  <c r="B75" i="13"/>
  <c r="AG75" i="13" s="1"/>
  <c r="BX36" i="13"/>
  <c r="BT31" i="13"/>
  <c r="BS25" i="13"/>
  <c r="BT25" i="13" s="1"/>
  <c r="AE86" i="13"/>
  <c r="Z74" i="13"/>
  <c r="AA74" i="13" s="1"/>
  <c r="BS51" i="13"/>
  <c r="BT51" i="13" s="1"/>
  <c r="BS14" i="13"/>
  <c r="A12" i="14"/>
  <c r="B72" i="13"/>
  <c r="AE51" i="13"/>
  <c r="BT49" i="13"/>
  <c r="BS45" i="13"/>
  <c r="BT45" i="13" s="1"/>
  <c r="BS42" i="13"/>
  <c r="BT42" i="13" s="1"/>
  <c r="B39" i="13"/>
  <c r="BS32" i="13"/>
  <c r="BT32" i="13" s="1"/>
  <c r="Z31" i="13"/>
  <c r="BS29" i="13"/>
  <c r="BT29" i="13" s="1"/>
  <c r="B25" i="13"/>
  <c r="A14" i="14"/>
  <c r="BS20" i="13"/>
  <c r="BT20" i="13" s="1"/>
  <c r="A10" i="14"/>
  <c r="BS34" i="13"/>
  <c r="BT34" i="13" s="1"/>
  <c r="A16" i="14"/>
  <c r="BS18" i="13"/>
  <c r="BT18" i="13" s="1"/>
  <c r="BS27" i="13"/>
  <c r="BT27" i="13" s="1"/>
  <c r="BL121" i="13"/>
  <c r="BM121" i="13" s="1"/>
  <c r="BL120" i="13"/>
  <c r="BM120" i="13" s="1"/>
  <c r="BL119" i="13"/>
  <c r="BM119" i="13" s="1"/>
  <c r="B118" i="13"/>
  <c r="B109" i="14" s="1"/>
  <c r="A67" i="14"/>
  <c r="A61" i="14"/>
  <c r="BS24" i="13"/>
  <c r="BT24" i="13" s="1"/>
  <c r="A59" i="14"/>
  <c r="BS57" i="13"/>
  <c r="BT57" i="13" s="1"/>
  <c r="BT41" i="13"/>
  <c r="B119" i="13"/>
  <c r="AF119" i="13" s="1"/>
  <c r="CP115" i="13"/>
  <c r="BS43" i="13"/>
  <c r="BT43" i="13" s="1"/>
  <c r="A13" i="14"/>
  <c r="A11" i="14"/>
  <c r="A70" i="11"/>
  <c r="A12" i="12" s="1"/>
  <c r="C12" i="12" s="1"/>
  <c r="B91" i="11"/>
  <c r="A77" i="11"/>
  <c r="A19" i="12" s="1"/>
  <c r="A64" i="11"/>
  <c r="A6" i="12" s="1"/>
  <c r="C6" i="12" s="1"/>
  <c r="CI36" i="13"/>
  <c r="CK36" i="13" s="1"/>
  <c r="CI122" i="13"/>
  <c r="CK122" i="13" s="1"/>
  <c r="CM122" i="13" s="1"/>
  <c r="CI119" i="13"/>
  <c r="CK119" i="13" s="1"/>
  <c r="CM119" i="13" s="1"/>
  <c r="B86" i="13"/>
  <c r="B82" i="13"/>
  <c r="B61" i="13"/>
  <c r="B52" i="14" s="1"/>
  <c r="CI25" i="13"/>
  <c r="CK25" i="13" s="1"/>
  <c r="CI70" i="13"/>
  <c r="CK70" i="13" s="1"/>
  <c r="CI81" i="13"/>
  <c r="CK81" i="13" s="1"/>
  <c r="C91" i="13"/>
  <c r="A58" i="14"/>
  <c r="CI27" i="13"/>
  <c r="CK27" i="13" s="1"/>
  <c r="AK111" i="13"/>
  <c r="AK115" i="13"/>
  <c r="BF12" i="13"/>
  <c r="BF56" i="13" s="1"/>
  <c r="AT56" i="13" s="1"/>
  <c r="A47" i="14"/>
  <c r="A24" i="14"/>
  <c r="AK113" i="13"/>
  <c r="BA26" i="13"/>
  <c r="C56" i="13"/>
  <c r="CI56" i="13" s="1"/>
  <c r="CK56" i="13" s="1"/>
  <c r="C23" i="13"/>
  <c r="CI23" i="13" s="1"/>
  <c r="CK23" i="13" s="1"/>
  <c r="C33" i="13"/>
  <c r="CI33" i="13" s="1"/>
  <c r="CK33" i="13" s="1"/>
  <c r="A91" i="14"/>
  <c r="C41" i="13"/>
  <c r="C49" i="13"/>
  <c r="C34" i="13"/>
  <c r="CI34" i="13" s="1"/>
  <c r="CK34" i="13" s="1"/>
  <c r="C42" i="13"/>
  <c r="CI42" i="13" s="1"/>
  <c r="CK42" i="13" s="1"/>
  <c r="C50" i="13"/>
  <c r="B50" i="13" s="1"/>
  <c r="C57" i="13"/>
  <c r="CI57" i="13" s="1"/>
  <c r="CK57" i="13" s="1"/>
  <c r="C24" i="13"/>
  <c r="CI24" i="13" s="1"/>
  <c r="CK24" i="13" s="1"/>
  <c r="A96" i="14"/>
  <c r="AK56" i="13"/>
  <c r="N19" i="11"/>
  <c r="C100" i="11"/>
  <c r="B100" i="11" s="1"/>
  <c r="B115" i="13"/>
  <c r="AF115" i="13" s="1"/>
  <c r="B87" i="13"/>
  <c r="BX87" i="13" s="1"/>
  <c r="CI72" i="13"/>
  <c r="CK72" i="13" s="1"/>
  <c r="B48" i="13"/>
  <c r="B102" i="11"/>
  <c r="B111" i="13"/>
  <c r="B102" i="14" s="1"/>
  <c r="A98" i="14"/>
  <c r="A95" i="14"/>
  <c r="A94" i="14"/>
  <c r="CI75" i="13"/>
  <c r="CK75" i="13" s="1"/>
  <c r="CI65" i="13"/>
  <c r="CK65" i="13" s="1"/>
  <c r="C54" i="13"/>
  <c r="CI54" i="13" s="1"/>
  <c r="CK54" i="13" s="1"/>
  <c r="B45" i="13"/>
  <c r="B28" i="13"/>
  <c r="B20" i="13"/>
  <c r="C97" i="11"/>
  <c r="B97" i="11" s="1"/>
  <c r="B39" i="12" s="1"/>
  <c r="A92" i="14"/>
  <c r="C108" i="11"/>
  <c r="CI118" i="13"/>
  <c r="CK118" i="13" s="1"/>
  <c r="CM118" i="13" s="1"/>
  <c r="B110" i="11"/>
  <c r="B99" i="11"/>
  <c r="B90" i="11"/>
  <c r="B77" i="11"/>
  <c r="B74" i="11"/>
  <c r="B53" i="13"/>
  <c r="B44" i="14" s="1"/>
  <c r="A33" i="14"/>
  <c r="B106" i="11"/>
  <c r="C103" i="11"/>
  <c r="B103" i="11" s="1"/>
  <c r="B87" i="11"/>
  <c r="C79" i="11"/>
  <c r="C114" i="11" s="1"/>
  <c r="A97" i="14"/>
  <c r="C40" i="13"/>
  <c r="CI40" i="13" s="1"/>
  <c r="CK40" i="13" s="1"/>
  <c r="A93" i="14"/>
  <c r="C89" i="11"/>
  <c r="B89" i="11" s="1"/>
  <c r="B31" i="12" s="1"/>
  <c r="C76" i="11"/>
  <c r="C112" i="11" s="1"/>
  <c r="B113" i="13"/>
  <c r="B104" i="14" s="1"/>
  <c r="B43" i="13"/>
  <c r="I107" i="10"/>
  <c r="I99" i="10"/>
  <c r="I103" i="10"/>
  <c r="J105" i="10"/>
  <c r="J95" i="10"/>
  <c r="AE42" i="10"/>
  <c r="S43" i="10"/>
  <c r="I95" i="10"/>
  <c r="C49" i="12"/>
  <c r="I105" i="10"/>
  <c r="J96" i="10"/>
  <c r="J98" i="10" s="1"/>
  <c r="J107" i="10" s="1"/>
  <c r="D85" i="11"/>
  <c r="B85" i="11" s="1"/>
  <c r="B27" i="12" s="1"/>
  <c r="D86" i="11"/>
  <c r="B86" i="11" s="1"/>
  <c r="A48" i="12"/>
  <c r="B92" i="11"/>
  <c r="B34" i="12" s="1"/>
  <c r="C32" i="12"/>
  <c r="C5" i="12"/>
  <c r="B5" i="12"/>
  <c r="A50" i="12"/>
  <c r="C21" i="12"/>
  <c r="C34" i="12"/>
  <c r="B30" i="12"/>
  <c r="C30" i="12"/>
  <c r="L85" i="10"/>
  <c r="A41" i="12"/>
  <c r="C29" i="12"/>
  <c r="S122" i="13"/>
  <c r="T122" i="13"/>
  <c r="U122" i="13" s="1"/>
  <c r="S115" i="13"/>
  <c r="T115" i="13"/>
  <c r="U115" i="13" s="1"/>
  <c r="C35" i="12"/>
  <c r="H94" i="10"/>
  <c r="H114" i="10" s="1"/>
  <c r="H90" i="10"/>
  <c r="C31" i="12"/>
  <c r="B28" i="12"/>
  <c r="C28" i="12"/>
  <c r="B108" i="11"/>
  <c r="A51" i="12"/>
  <c r="J93" i="10"/>
  <c r="J116" i="10" s="1"/>
  <c r="I93" i="10"/>
  <c r="I116" i="10" s="1"/>
  <c r="H99" i="10"/>
  <c r="L86" i="10"/>
  <c r="B109" i="11"/>
  <c r="C27" i="12"/>
  <c r="B36" i="12"/>
  <c r="C36" i="12"/>
  <c r="J82" i="10"/>
  <c r="E85" i="10" s="1"/>
  <c r="E86" i="10" s="1"/>
  <c r="A52" i="12"/>
  <c r="B107" i="11"/>
  <c r="B49" i="12" s="1"/>
  <c r="A45" i="12"/>
  <c r="B93" i="11"/>
  <c r="C33" i="12"/>
  <c r="B33" i="12"/>
  <c r="C25" i="12"/>
  <c r="B25" i="12"/>
  <c r="M52" i="11"/>
  <c r="K7" i="11" s="1"/>
  <c r="B42" i="12"/>
  <c r="B68" i="11"/>
  <c r="B64" i="11"/>
  <c r="B4" i="11"/>
  <c r="BR121" i="13"/>
  <c r="BU121" i="13"/>
  <c r="BV121" i="13"/>
  <c r="S113" i="13"/>
  <c r="T113" i="13"/>
  <c r="U113" i="13" s="1"/>
  <c r="B107" i="13"/>
  <c r="AE107" i="13"/>
  <c r="B19" i="12"/>
  <c r="C19" i="12"/>
  <c r="C37" i="12"/>
  <c r="B37" i="12"/>
  <c r="C13" i="12"/>
  <c r="B13" i="12"/>
  <c r="S119" i="13"/>
  <c r="T119" i="13"/>
  <c r="U119" i="13" s="1"/>
  <c r="C39" i="12"/>
  <c r="B16" i="12"/>
  <c r="A65" i="11"/>
  <c r="A7" i="12" s="1"/>
  <c r="A72" i="11"/>
  <c r="A14" i="12" s="1"/>
  <c r="BR118" i="13"/>
  <c r="BU118" i="13"/>
  <c r="BV118" i="13"/>
  <c r="B44" i="12"/>
  <c r="BR122" i="13"/>
  <c r="BU122" i="13"/>
  <c r="BV122" i="13"/>
  <c r="BS113" i="13"/>
  <c r="BT113" i="13" s="1"/>
  <c r="A69" i="11"/>
  <c r="A11" i="12" s="1"/>
  <c r="A68" i="11"/>
  <c r="A10" i="12" s="1"/>
  <c r="C66" i="11"/>
  <c r="C9" i="12"/>
  <c r="B9" i="12"/>
  <c r="BU111" i="13"/>
  <c r="BR111" i="13"/>
  <c r="AE88" i="13"/>
  <c r="B88" i="13"/>
  <c r="C44" i="12"/>
  <c r="S120" i="13"/>
  <c r="T120" i="13"/>
  <c r="U120" i="13" s="1"/>
  <c r="B24" i="12"/>
  <c r="BR119" i="13"/>
  <c r="BU119" i="13"/>
  <c r="BV119" i="13"/>
  <c r="B54" i="12"/>
  <c r="C54" i="12"/>
  <c r="D54" i="12"/>
  <c r="E54" i="12"/>
  <c r="C42" i="12"/>
  <c r="C53" i="12"/>
  <c r="D53" i="12"/>
  <c r="E53" i="12"/>
  <c r="B53" i="12"/>
  <c r="C18" i="12"/>
  <c r="S121" i="13"/>
  <c r="T121" i="13"/>
  <c r="U121" i="13" s="1"/>
  <c r="S118" i="13"/>
  <c r="T118" i="13"/>
  <c r="U118" i="13" s="1"/>
  <c r="B12" i="12"/>
  <c r="C17" i="12"/>
  <c r="B17" i="12"/>
  <c r="BR120" i="13"/>
  <c r="BU120" i="13"/>
  <c r="BV120" i="13"/>
  <c r="S111" i="13"/>
  <c r="T111" i="13"/>
  <c r="U111" i="13" s="1"/>
  <c r="D55" i="12"/>
  <c r="AE113" i="13"/>
  <c r="AF114" i="13" s="1"/>
  <c r="AE109" i="13"/>
  <c r="BV115" i="13"/>
  <c r="D66" i="11"/>
  <c r="C47" i="12"/>
  <c r="C43" i="12"/>
  <c r="C23" i="12"/>
  <c r="C15" i="12"/>
  <c r="BU115" i="13"/>
  <c r="BS115" i="13" s="1"/>
  <c r="BT115" i="13" s="1"/>
  <c r="E56" i="12"/>
  <c r="D56" i="12"/>
  <c r="AH101" i="13"/>
  <c r="BX101" i="13"/>
  <c r="B90" i="13"/>
  <c r="AE90" i="13"/>
  <c r="AG101" i="13"/>
  <c r="AF101" i="13"/>
  <c r="AE84" i="13"/>
  <c r="B84" i="13"/>
  <c r="AE101" i="13"/>
  <c r="B85" i="13"/>
  <c r="AE85" i="13"/>
  <c r="CI80" i="13"/>
  <c r="CK80" i="13" s="1"/>
  <c r="AE79" i="13"/>
  <c r="B79" i="13"/>
  <c r="B77" i="13"/>
  <c r="AE87" i="13"/>
  <c r="CI83" i="13"/>
  <c r="CK83" i="13" s="1"/>
  <c r="B83" i="13"/>
  <c r="AE82" i="13"/>
  <c r="BX71" i="13"/>
  <c r="AE67" i="13"/>
  <c r="AF71" i="13" s="1"/>
  <c r="B67" i="13"/>
  <c r="B74" i="13"/>
  <c r="AE76" i="13"/>
  <c r="B76" i="13"/>
  <c r="AE73" i="13"/>
  <c r="B73" i="13"/>
  <c r="AE55" i="13"/>
  <c r="B55" i="13"/>
  <c r="CI66" i="13"/>
  <c r="CK66" i="13" s="1"/>
  <c r="A57" i="14"/>
  <c r="B66" i="13"/>
  <c r="B59" i="13"/>
  <c r="AH51" i="13"/>
  <c r="BZ58" i="13"/>
  <c r="A60" i="14"/>
  <c r="AG51" i="13"/>
  <c r="CL51" i="13"/>
  <c r="BX51" i="13"/>
  <c r="AF51" i="13"/>
  <c r="B47" i="13"/>
  <c r="BX52" i="13"/>
  <c r="BY52" i="13" s="1"/>
  <c r="B37" i="13"/>
  <c r="CI37" i="13"/>
  <c r="CK37" i="13" s="1"/>
  <c r="B54" i="13"/>
  <c r="B32" i="13"/>
  <c r="CI32" i="13"/>
  <c r="CK32" i="13" s="1"/>
  <c r="AE42" i="13"/>
  <c r="B42" i="14"/>
  <c r="Z42" i="13"/>
  <c r="B46" i="13"/>
  <c r="Z33" i="13"/>
  <c r="AA31" i="13"/>
  <c r="AE46" i="13"/>
  <c r="BX44" i="13"/>
  <c r="BY44" i="13" s="1"/>
  <c r="AE29" i="13"/>
  <c r="B29" i="13"/>
  <c r="AE30" i="13"/>
  <c r="B30" i="13"/>
  <c r="B21" i="13"/>
  <c r="CI21" i="13"/>
  <c r="CK21" i="13" s="1"/>
  <c r="Z24" i="13"/>
  <c r="CI19" i="13"/>
  <c r="CK19" i="13" s="1"/>
  <c r="B19" i="13"/>
  <c r="BT19" i="13"/>
  <c r="Z30" i="13"/>
  <c r="AE23" i="13"/>
  <c r="BT23" i="13"/>
  <c r="BT22" i="13"/>
  <c r="B22" i="13"/>
  <c r="AF20" i="13"/>
  <c r="AF118" i="13" l="1"/>
  <c r="B72" i="14"/>
  <c r="Z75" i="13"/>
  <c r="B23" i="13"/>
  <c r="I106" i="10"/>
  <c r="AF27" i="13"/>
  <c r="BX27" i="13"/>
  <c r="AH27" i="13"/>
  <c r="B18" i="14"/>
  <c r="AB110" i="11"/>
  <c r="AB108" i="11"/>
  <c r="Y106" i="11"/>
  <c r="AH109" i="13"/>
  <c r="AG109" i="13"/>
  <c r="AF109" i="13"/>
  <c r="B100" i="14"/>
  <c r="B6" i="12"/>
  <c r="AF53" i="13"/>
  <c r="B42" i="13"/>
  <c r="AF61" i="13"/>
  <c r="B110" i="14"/>
  <c r="BX82" i="13"/>
  <c r="BX45" i="13"/>
  <c r="B77" i="14"/>
  <c r="AG39" i="13"/>
  <c r="B65" i="14"/>
  <c r="B70" i="14"/>
  <c r="BX53" i="13"/>
  <c r="AH50" i="13"/>
  <c r="AG43" i="13"/>
  <c r="B22" i="14"/>
  <c r="AG25" i="13"/>
  <c r="B64" i="14"/>
  <c r="AA20" i="13"/>
  <c r="B36" i="14"/>
  <c r="AF39" i="13"/>
  <c r="BX39" i="13"/>
  <c r="AG86" i="13"/>
  <c r="AH45" i="13"/>
  <c r="B30" i="14"/>
  <c r="B73" i="14"/>
  <c r="AH82" i="13"/>
  <c r="AH53" i="13"/>
  <c r="C92" i="13"/>
  <c r="C93" i="13" s="1"/>
  <c r="B111" i="14"/>
  <c r="AF87" i="13"/>
  <c r="BZ87" i="13" s="1"/>
  <c r="BY35" i="13"/>
  <c r="B91" i="13"/>
  <c r="AF111" i="13"/>
  <c r="CI91" i="13"/>
  <c r="A25" i="14"/>
  <c r="AF50" i="13"/>
  <c r="AG87" i="13"/>
  <c r="B112" i="14"/>
  <c r="AF113" i="13"/>
  <c r="AF86" i="13"/>
  <c r="BX86" i="13"/>
  <c r="AH86" i="13"/>
  <c r="AH75" i="13"/>
  <c r="AF75" i="13"/>
  <c r="BX31" i="13"/>
  <c r="BZ35" i="13"/>
  <c r="AF25" i="13"/>
  <c r="AH25" i="13"/>
  <c r="BZ26" i="13"/>
  <c r="J34" i="15"/>
  <c r="J36" i="15"/>
  <c r="AF103" i="13"/>
  <c r="AG103" i="13"/>
  <c r="BX103" i="13"/>
  <c r="AH103" i="13"/>
  <c r="BS121" i="13"/>
  <c r="BT121" i="13" s="1"/>
  <c r="B94" i="14"/>
  <c r="AE103" i="13"/>
  <c r="BX50" i="13"/>
  <c r="BX25" i="13"/>
  <c r="AA22" i="13"/>
  <c r="CL36" i="13"/>
  <c r="B27" i="14"/>
  <c r="AF36" i="13"/>
  <c r="BY36" i="13" s="1"/>
  <c r="B23" i="14"/>
  <c r="BZ52" i="13"/>
  <c r="B50" i="14"/>
  <c r="B74" i="14"/>
  <c r="B76" i="14"/>
  <c r="AF82" i="13"/>
  <c r="CL75" i="13"/>
  <c r="BY26" i="13"/>
  <c r="B37" i="14"/>
  <c r="AH72" i="13"/>
  <c r="AG82" i="13"/>
  <c r="B79" i="14"/>
  <c r="AH87" i="13"/>
  <c r="CL25" i="13"/>
  <c r="CL82" i="13"/>
  <c r="CL48" i="13"/>
  <c r="CL86" i="13"/>
  <c r="B14" i="14"/>
  <c r="B46" i="14"/>
  <c r="B75" i="14"/>
  <c r="CL87" i="13"/>
  <c r="AH39" i="13"/>
  <c r="CL39" i="13"/>
  <c r="B38" i="14"/>
  <c r="AG50" i="13"/>
  <c r="AF81" i="13"/>
  <c r="B28" i="14"/>
  <c r="B12" i="14"/>
  <c r="B21" i="14"/>
  <c r="B33" i="14"/>
  <c r="AG53" i="13"/>
  <c r="B45" i="14"/>
  <c r="B20" i="14"/>
  <c r="B81" i="14"/>
  <c r="AF28" i="13"/>
  <c r="CL28" i="13"/>
  <c r="B80" i="14"/>
  <c r="BX81" i="13"/>
  <c r="BS111" i="13"/>
  <c r="BT111" i="13" s="1"/>
  <c r="BX72" i="13"/>
  <c r="B78" i="14"/>
  <c r="Z68" i="13"/>
  <c r="AA67" i="13"/>
  <c r="AF72" i="13"/>
  <c r="AY26" i="13"/>
  <c r="AZ26" i="13" s="1"/>
  <c r="AG72" i="13"/>
  <c r="B70" i="13"/>
  <c r="AE33" i="13"/>
  <c r="BX37" i="13"/>
  <c r="B67" i="14"/>
  <c r="AH31" i="13"/>
  <c r="AF31" i="13"/>
  <c r="B102" i="13"/>
  <c r="AE102" i="13"/>
  <c r="B80" i="13"/>
  <c r="B63" i="14"/>
  <c r="B78" i="13"/>
  <c r="AG78" i="13" s="1"/>
  <c r="B113" i="14"/>
  <c r="B34" i="14"/>
  <c r="AG81" i="13"/>
  <c r="BS122" i="13"/>
  <c r="BT122" i="13" s="1"/>
  <c r="B33" i="13"/>
  <c r="B16" i="14"/>
  <c r="AE36" i="13"/>
  <c r="AF38" i="13" s="1"/>
  <c r="BX38" i="13"/>
  <c r="B56" i="14"/>
  <c r="B10" i="14"/>
  <c r="B82" i="14"/>
  <c r="B66" i="14"/>
  <c r="BX75" i="13"/>
  <c r="B68" i="14"/>
  <c r="B39" i="14"/>
  <c r="AG48" i="13"/>
  <c r="AE83" i="13"/>
  <c r="AE92" i="13"/>
  <c r="BX48" i="13"/>
  <c r="AH43" i="13"/>
  <c r="AF48" i="13"/>
  <c r="AE89" i="13"/>
  <c r="B68" i="13"/>
  <c r="AH48" i="13"/>
  <c r="B69" i="13"/>
  <c r="AE69" i="13"/>
  <c r="AE65" i="13"/>
  <c r="B34" i="13"/>
  <c r="BA64" i="13"/>
  <c r="AY64" i="13" s="1"/>
  <c r="AZ64" i="13" s="1"/>
  <c r="BF26" i="13"/>
  <c r="BA119" i="13"/>
  <c r="AN119" i="13" s="1"/>
  <c r="BA44" i="13"/>
  <c r="AY44" i="13" s="1"/>
  <c r="AZ44" i="13" s="1"/>
  <c r="BA35" i="13"/>
  <c r="AY35" i="13" s="1"/>
  <c r="AZ35" i="13" s="1"/>
  <c r="BA58" i="13"/>
  <c r="AY58" i="13" s="1"/>
  <c r="AZ58" i="13" s="1"/>
  <c r="CM87" i="13"/>
  <c r="B92" i="14"/>
  <c r="A83" i="14"/>
  <c r="B40" i="13"/>
  <c r="AK118" i="13"/>
  <c r="AK119" i="13"/>
  <c r="AK121" i="13"/>
  <c r="AK120" i="13"/>
  <c r="BF35" i="13"/>
  <c r="B56" i="13"/>
  <c r="BF52" i="13"/>
  <c r="CI50" i="13"/>
  <c r="CK50" i="13" s="1"/>
  <c r="AK122" i="13"/>
  <c r="A15" i="14"/>
  <c r="BG12" i="13"/>
  <c r="BA115" i="13"/>
  <c r="AN115" i="13" s="1"/>
  <c r="BA38" i="13"/>
  <c r="AY38" i="13" s="1"/>
  <c r="AZ38" i="13" s="1"/>
  <c r="BA56" i="13"/>
  <c r="BA60" i="13"/>
  <c r="BA118" i="13"/>
  <c r="AY118" i="13" s="1"/>
  <c r="AL118" i="13" s="1"/>
  <c r="BA111" i="13"/>
  <c r="BA120" i="13"/>
  <c r="AY120" i="13" s="1"/>
  <c r="AL120" i="13" s="1"/>
  <c r="BA113" i="13"/>
  <c r="AN113" i="13" s="1"/>
  <c r="BA121" i="13"/>
  <c r="AN121" i="13" s="1"/>
  <c r="BA62" i="13"/>
  <c r="AY62" i="13" s="1"/>
  <c r="BA122" i="13"/>
  <c r="AN122" i="13" s="1"/>
  <c r="BA63" i="13"/>
  <c r="AY63" i="13" s="1"/>
  <c r="AZ63" i="13" s="1"/>
  <c r="BA71" i="13"/>
  <c r="AY71" i="13" s="1"/>
  <c r="BA52" i="13"/>
  <c r="BF38" i="13"/>
  <c r="BF63" i="13"/>
  <c r="BF71" i="13"/>
  <c r="BF44" i="13"/>
  <c r="BF60" i="13"/>
  <c r="BF62" i="13"/>
  <c r="BF58" i="13"/>
  <c r="BF64" i="13"/>
  <c r="CL50" i="13"/>
  <c r="A48" i="14"/>
  <c r="B57" i="13"/>
  <c r="B98" i="14"/>
  <c r="A41" i="14"/>
  <c r="B49" i="13"/>
  <c r="CI49" i="13"/>
  <c r="CK49" i="13" s="1"/>
  <c r="CI41" i="13"/>
  <c r="CK41" i="13" s="1"/>
  <c r="B41" i="13"/>
  <c r="B24" i="13"/>
  <c r="B11" i="14"/>
  <c r="CM39" i="13"/>
  <c r="B106" i="14"/>
  <c r="AF45" i="13"/>
  <c r="AG45" i="13"/>
  <c r="BX20" i="13"/>
  <c r="BY20" i="13" s="1"/>
  <c r="BX28" i="13"/>
  <c r="BX43" i="13"/>
  <c r="AF43" i="13"/>
  <c r="B76" i="11"/>
  <c r="AH28" i="13"/>
  <c r="CM82" i="13"/>
  <c r="B66" i="11"/>
  <c r="B32" i="12"/>
  <c r="CL20" i="13"/>
  <c r="AG20" i="13"/>
  <c r="B29" i="12"/>
  <c r="AG28" i="13"/>
  <c r="CM25" i="13"/>
  <c r="AH20" i="13"/>
  <c r="B19" i="14"/>
  <c r="B79" i="11"/>
  <c r="B115" i="11" s="1"/>
  <c r="CM48" i="13"/>
  <c r="CM28" i="13"/>
  <c r="CM36" i="13"/>
  <c r="J114" i="10"/>
  <c r="J108" i="10"/>
  <c r="AA75" i="13"/>
  <c r="Z76" i="13"/>
  <c r="AA30" i="13"/>
  <c r="Z32" i="13"/>
  <c r="CM51" i="13"/>
  <c r="AF55" i="13"/>
  <c r="AG55" i="13"/>
  <c r="AH55" i="13"/>
  <c r="BX55" i="13"/>
  <c r="AG73" i="13"/>
  <c r="AH73" i="13"/>
  <c r="AF73" i="13"/>
  <c r="BX73" i="13"/>
  <c r="AF67" i="13"/>
  <c r="AG67" i="13"/>
  <c r="AH67" i="13"/>
  <c r="BX67" i="13"/>
  <c r="BS120" i="13"/>
  <c r="BT120" i="13" s="1"/>
  <c r="BS119" i="13"/>
  <c r="BT119" i="13" s="1"/>
  <c r="B11" i="12"/>
  <c r="C11" i="12"/>
  <c r="AF107" i="13"/>
  <c r="BX107" i="13"/>
  <c r="AG107" i="13"/>
  <c r="AH107" i="13"/>
  <c r="E42" i="11"/>
  <c r="X100" i="11" s="1"/>
  <c r="I108" i="10"/>
  <c r="I114" i="10"/>
  <c r="CL72" i="13"/>
  <c r="BY27" i="13"/>
  <c r="BZ27" i="13"/>
  <c r="AG76" i="13"/>
  <c r="AH76" i="13"/>
  <c r="BX76" i="13"/>
  <c r="AF76" i="13"/>
  <c r="Z43" i="13"/>
  <c r="AA42" i="13"/>
  <c r="BY71" i="13"/>
  <c r="BZ71" i="13"/>
  <c r="AH84" i="13"/>
  <c r="AF84" i="13"/>
  <c r="AG84" i="13"/>
  <c r="BX84" i="13"/>
  <c r="AR120" i="13"/>
  <c r="AR119" i="13"/>
  <c r="AE105" i="13"/>
  <c r="B105" i="13"/>
  <c r="BS118" i="13"/>
  <c r="BT118" i="13" s="1"/>
  <c r="C45" i="12"/>
  <c r="B45" i="12"/>
  <c r="S42" i="10"/>
  <c r="B18" i="13"/>
  <c r="AE18" i="13"/>
  <c r="AF21" i="13"/>
  <c r="AG21" i="13"/>
  <c r="BX21" i="13"/>
  <c r="CL21" i="13"/>
  <c r="AH21" i="13"/>
  <c r="AA33" i="13"/>
  <c r="CL81" i="13"/>
  <c r="CM81" i="13"/>
  <c r="AE93" i="13"/>
  <c r="AH88" i="13"/>
  <c r="AF88" i="13"/>
  <c r="BX88" i="13"/>
  <c r="AG88" i="13"/>
  <c r="AR118" i="13"/>
  <c r="C41" i="12"/>
  <c r="B41" i="12"/>
  <c r="CM72" i="13"/>
  <c r="BX30" i="13"/>
  <c r="AG30" i="13"/>
  <c r="AH30" i="13"/>
  <c r="AF30" i="13"/>
  <c r="AF42" i="13"/>
  <c r="AG42" i="13"/>
  <c r="AH42" i="13"/>
  <c r="BX42" i="13"/>
  <c r="AF65" i="13"/>
  <c r="AH65" i="13"/>
  <c r="BX65" i="13"/>
  <c r="AG65" i="13"/>
  <c r="B14" i="12"/>
  <c r="C14" i="12"/>
  <c r="CL27" i="13"/>
  <c r="CM27" i="13"/>
  <c r="AF29" i="13"/>
  <c r="AG29" i="13"/>
  <c r="AH29" i="13"/>
  <c r="BX29" i="13"/>
  <c r="AG46" i="13"/>
  <c r="AH46" i="13"/>
  <c r="BX46" i="13"/>
  <c r="AF46" i="13"/>
  <c r="AG83" i="13"/>
  <c r="CL83" i="13"/>
  <c r="AF83" i="13"/>
  <c r="BX83" i="13"/>
  <c r="AH83" i="13"/>
  <c r="CM86" i="13"/>
  <c r="B7" i="12"/>
  <c r="C7" i="12"/>
  <c r="H116" i="10"/>
  <c r="L92" i="10"/>
  <c r="H108" i="10"/>
  <c r="H95" i="10"/>
  <c r="B50" i="12"/>
  <c r="C50" i="12"/>
  <c r="CM45" i="13"/>
  <c r="CL45" i="13"/>
  <c r="AH47" i="13"/>
  <c r="BX47" i="13"/>
  <c r="AF47" i="13"/>
  <c r="AG47" i="13"/>
  <c r="AG79" i="13"/>
  <c r="BX79" i="13"/>
  <c r="AF79" i="13"/>
  <c r="AH79" i="13"/>
  <c r="AG90" i="13"/>
  <c r="AH90" i="13"/>
  <c r="BX90" i="13"/>
  <c r="AF90" i="13"/>
  <c r="AA109" i="11"/>
  <c r="AA110" i="11" s="1"/>
  <c r="AA111" i="11" s="1"/>
  <c r="AA108" i="11"/>
  <c r="B48" i="12"/>
  <c r="C48" i="12"/>
  <c r="AR122" i="13"/>
  <c r="AR121" i="13"/>
  <c r="BB26" i="13"/>
  <c r="BH12" i="13"/>
  <c r="BB35" i="13"/>
  <c r="BB44" i="13"/>
  <c r="BB38" i="13"/>
  <c r="BB52" i="13"/>
  <c r="BB60" i="13"/>
  <c r="BB58" i="13"/>
  <c r="BB62" i="13"/>
  <c r="BB63" i="13"/>
  <c r="BB71" i="13"/>
  <c r="BB56" i="13"/>
  <c r="AO56" i="13" s="1"/>
  <c r="BB64" i="13"/>
  <c r="BB115" i="13"/>
  <c r="AO115" i="13" s="1"/>
  <c r="BB118" i="13"/>
  <c r="AO118" i="13" s="1"/>
  <c r="BB119" i="13"/>
  <c r="AO119" i="13" s="1"/>
  <c r="BB120" i="13"/>
  <c r="AO120" i="13" s="1"/>
  <c r="BB121" i="13"/>
  <c r="AO121" i="13" s="1"/>
  <c r="BB122" i="13"/>
  <c r="AO122" i="13" s="1"/>
  <c r="BB113" i="13"/>
  <c r="AO113" i="13" s="1"/>
  <c r="BB111" i="13"/>
  <c r="AO111" i="13" s="1"/>
  <c r="AH74" i="13"/>
  <c r="AG74" i="13"/>
  <c r="BX74" i="13"/>
  <c r="AF74" i="13"/>
  <c r="AE104" i="13"/>
  <c r="B104" i="13"/>
  <c r="AF91" i="13"/>
  <c r="AG91" i="13"/>
  <c r="AG85" i="13"/>
  <c r="AF85" i="13"/>
  <c r="BX85" i="13"/>
  <c r="AH85" i="13"/>
  <c r="AR111" i="13"/>
  <c r="B52" i="12"/>
  <c r="C52" i="12"/>
  <c r="B51" i="12"/>
  <c r="C51" i="12"/>
  <c r="BX22" i="13"/>
  <c r="AG22" i="13"/>
  <c r="AF22" i="13"/>
  <c r="AH22" i="13"/>
  <c r="B13" i="14"/>
  <c r="N19" i="13"/>
  <c r="CL19" i="13"/>
  <c r="AF19" i="13"/>
  <c r="AG19" i="13"/>
  <c r="AH19" i="13"/>
  <c r="BX19" i="13"/>
  <c r="BX32" i="13"/>
  <c r="CL32" i="13"/>
  <c r="AH32" i="13"/>
  <c r="AF32" i="13"/>
  <c r="AG32" i="13"/>
  <c r="AH54" i="13"/>
  <c r="BX54" i="13"/>
  <c r="AF54" i="13"/>
  <c r="AG54" i="13"/>
  <c r="BY51" i="13"/>
  <c r="BZ51" i="13"/>
  <c r="AF59" i="13"/>
  <c r="BZ44" i="13"/>
  <c r="CM75" i="13"/>
  <c r="BY101" i="13"/>
  <c r="BZ101" i="13"/>
  <c r="B57" i="14"/>
  <c r="AA24" i="13"/>
  <c r="Z25" i="13"/>
  <c r="B10" i="12"/>
  <c r="C10" i="12"/>
  <c r="J99" i="10"/>
  <c r="L99" i="10" s="1"/>
  <c r="BX23" i="13"/>
  <c r="AF23" i="13"/>
  <c r="AG23" i="13"/>
  <c r="AH23" i="13"/>
  <c r="BZ20" i="13"/>
  <c r="AA21" i="13"/>
  <c r="BX33" i="13"/>
  <c r="AH33" i="13"/>
  <c r="B24" i="14"/>
  <c r="AF37" i="13"/>
  <c r="CL37" i="13"/>
  <c r="BX66" i="13"/>
  <c r="CL66" i="13"/>
  <c r="AF66" i="13"/>
  <c r="AG66" i="13"/>
  <c r="AH66" i="13"/>
  <c r="B58" i="14"/>
  <c r="AF77" i="13"/>
  <c r="AG77" i="13"/>
  <c r="BX77" i="13"/>
  <c r="AH77" i="13"/>
  <c r="AG89" i="13"/>
  <c r="AF89" i="13"/>
  <c r="BX89" i="13"/>
  <c r="AH89" i="13"/>
  <c r="AD114" i="11"/>
  <c r="AD112" i="11"/>
  <c r="AD113" i="11"/>
  <c r="BY109" i="13"/>
  <c r="BZ109" i="13"/>
  <c r="B35" i="12"/>
  <c r="J103" i="10"/>
  <c r="J106" i="10" s="1"/>
  <c r="A84" i="14" l="1"/>
  <c r="C94" i="13"/>
  <c r="BY39" i="13"/>
  <c r="B48" i="14"/>
  <c r="BZ31" i="13"/>
  <c r="BY45" i="13"/>
  <c r="BY48" i="13"/>
  <c r="BY82" i="13"/>
  <c r="B8" i="12"/>
  <c r="BY53" i="13"/>
  <c r="BZ75" i="13"/>
  <c r="BZ82" i="13"/>
  <c r="AA115" i="11"/>
  <c r="BY87" i="13"/>
  <c r="BZ48" i="13"/>
  <c r="BY103" i="13"/>
  <c r="AF78" i="13"/>
  <c r="BZ53" i="13"/>
  <c r="BY28" i="13"/>
  <c r="BZ103" i="13"/>
  <c r="B69" i="14"/>
  <c r="BY75" i="13"/>
  <c r="BX91" i="13"/>
  <c r="AH91" i="13"/>
  <c r="BZ39" i="13"/>
  <c r="BY81" i="13"/>
  <c r="BZ50" i="13"/>
  <c r="BZ81" i="13"/>
  <c r="BY50" i="13"/>
  <c r="BY25" i="13"/>
  <c r="AF40" i="13"/>
  <c r="BX78" i="13"/>
  <c r="BY31" i="13"/>
  <c r="AH78" i="13"/>
  <c r="AG33" i="13"/>
  <c r="B93" i="13"/>
  <c r="BZ25" i="13"/>
  <c r="AF33" i="13"/>
  <c r="BY33" i="13" s="1"/>
  <c r="BZ86" i="13"/>
  <c r="BX34" i="13"/>
  <c r="AG34" i="13"/>
  <c r="BY86" i="13"/>
  <c r="BZ36" i="13"/>
  <c r="AF34" i="13"/>
  <c r="AY119" i="13"/>
  <c r="AL119" i="13" s="1"/>
  <c r="AH34" i="13"/>
  <c r="CL34" i="13"/>
  <c r="BZ72" i="13"/>
  <c r="BX57" i="13"/>
  <c r="B60" i="14"/>
  <c r="B31" i="14"/>
  <c r="B32" i="14"/>
  <c r="CM31" i="13"/>
  <c r="CL31" i="13"/>
  <c r="B40" i="14"/>
  <c r="B47" i="14"/>
  <c r="AH57" i="13"/>
  <c r="AF102" i="13"/>
  <c r="BX102" i="13"/>
  <c r="AH102" i="13"/>
  <c r="AG102" i="13"/>
  <c r="BY38" i="13"/>
  <c r="BZ38" i="13"/>
  <c r="AA68" i="13"/>
  <c r="Z69" i="13"/>
  <c r="AF80" i="13"/>
  <c r="AG80" i="13"/>
  <c r="AH80" i="13"/>
  <c r="B71" i="14"/>
  <c r="BX80" i="13"/>
  <c r="BX40" i="13"/>
  <c r="BZ28" i="13"/>
  <c r="AG40" i="13"/>
  <c r="B93" i="14"/>
  <c r="AH40" i="13"/>
  <c r="BX70" i="13"/>
  <c r="AG70" i="13"/>
  <c r="AH70" i="13"/>
  <c r="AF70" i="13"/>
  <c r="BY72" i="13"/>
  <c r="B25" i="14"/>
  <c r="B61" i="14"/>
  <c r="AE100" i="13"/>
  <c r="B100" i="13"/>
  <c r="BX68" i="13"/>
  <c r="AG68" i="13"/>
  <c r="AH68" i="13"/>
  <c r="AF68" i="13"/>
  <c r="AE106" i="13"/>
  <c r="B106" i="13"/>
  <c r="B15" i="14"/>
  <c r="B92" i="13"/>
  <c r="BX92" i="13" s="1"/>
  <c r="AG69" i="13"/>
  <c r="AH69" i="13"/>
  <c r="BX69" i="13"/>
  <c r="AF69" i="13"/>
  <c r="B59" i="14"/>
  <c r="AY113" i="13"/>
  <c r="AY52" i="13"/>
  <c r="AZ52" i="13" s="1"/>
  <c r="AZ71" i="13"/>
  <c r="AY115" i="13"/>
  <c r="AL115" i="13" s="1"/>
  <c r="AZ62" i="13"/>
  <c r="AY122" i="13"/>
  <c r="AL122" i="13" s="1"/>
  <c r="AN111" i="13"/>
  <c r="AY111" i="13"/>
  <c r="AY121" i="13"/>
  <c r="AY60" i="13"/>
  <c r="AZ60" i="13" s="1"/>
  <c r="AN56" i="13"/>
  <c r="AY56" i="13"/>
  <c r="AL56" i="13" s="1"/>
  <c r="AG57" i="13"/>
  <c r="AF57" i="13"/>
  <c r="AH56" i="13"/>
  <c r="BX56" i="13"/>
  <c r="AF56" i="13"/>
  <c r="AG56" i="13"/>
  <c r="BG38" i="13"/>
  <c r="BE38" i="13" s="1"/>
  <c r="BG35" i="13"/>
  <c r="BE35" i="13" s="1"/>
  <c r="BG58" i="13"/>
  <c r="BE58" i="13" s="1"/>
  <c r="BG71" i="13"/>
  <c r="BE71" i="13" s="1"/>
  <c r="BG44" i="13"/>
  <c r="BE44" i="13" s="1"/>
  <c r="BG52" i="13"/>
  <c r="BE52" i="13" s="1"/>
  <c r="BG56" i="13"/>
  <c r="BG62" i="13"/>
  <c r="BE62" i="13" s="1"/>
  <c r="BG113" i="13"/>
  <c r="BG64" i="13"/>
  <c r="BE64" i="13" s="1"/>
  <c r="BG120" i="13"/>
  <c r="BG119" i="13"/>
  <c r="BG115" i="13"/>
  <c r="BG26" i="13"/>
  <c r="BE26" i="13" s="1"/>
  <c r="BG121" i="13"/>
  <c r="BG122" i="13"/>
  <c r="BG63" i="13"/>
  <c r="BE63" i="13" s="1"/>
  <c r="BG118" i="13"/>
  <c r="BG111" i="13"/>
  <c r="BG60" i="13"/>
  <c r="BE60" i="13" s="1"/>
  <c r="CM50" i="13"/>
  <c r="AN120" i="13"/>
  <c r="AZ120" i="13"/>
  <c r="AM120" i="13" s="1"/>
  <c r="CM34" i="13"/>
  <c r="AN118" i="13"/>
  <c r="AZ118" i="13"/>
  <c r="AM118" i="13" s="1"/>
  <c r="AF41" i="13"/>
  <c r="AG41" i="13"/>
  <c r="BX41" i="13"/>
  <c r="CL41" i="13"/>
  <c r="AH41" i="13"/>
  <c r="AH49" i="13"/>
  <c r="AG49" i="13"/>
  <c r="BX49" i="13"/>
  <c r="AF49" i="13"/>
  <c r="B41" i="14"/>
  <c r="BX24" i="13"/>
  <c r="AF24" i="13"/>
  <c r="AH24" i="13"/>
  <c r="AG24" i="13"/>
  <c r="BZ45" i="13"/>
  <c r="B21" i="12"/>
  <c r="CL43" i="13"/>
  <c r="CM43" i="13"/>
  <c r="CM20" i="13"/>
  <c r="B18" i="12"/>
  <c r="BY43" i="13"/>
  <c r="BZ43" i="13"/>
  <c r="CM19" i="13"/>
  <c r="CM32" i="13"/>
  <c r="CL84" i="13"/>
  <c r="CM84" i="13"/>
  <c r="CM37" i="13"/>
  <c r="BY74" i="13"/>
  <c r="BZ74" i="13"/>
  <c r="BY84" i="13"/>
  <c r="BZ84" i="13"/>
  <c r="CL78" i="13"/>
  <c r="CM78" i="13"/>
  <c r="AA43" i="13"/>
  <c r="Z45" i="13"/>
  <c r="BY91" i="13"/>
  <c r="BZ91" i="13"/>
  <c r="CL65" i="13"/>
  <c r="CM65" i="13"/>
  <c r="CL74" i="13"/>
  <c r="CM74" i="13"/>
  <c r="AG105" i="13"/>
  <c r="AH105" i="13"/>
  <c r="AF105" i="13"/>
  <c r="BX105" i="13"/>
  <c r="B96" i="14"/>
  <c r="BY77" i="13"/>
  <c r="BZ77" i="13"/>
  <c r="Z34" i="13"/>
  <c r="AA32" i="13"/>
  <c r="BY79" i="13"/>
  <c r="BZ79" i="13"/>
  <c r="CL33" i="13"/>
  <c r="CM33" i="13"/>
  <c r="BY23" i="13"/>
  <c r="BZ23" i="13"/>
  <c r="BZ47" i="13"/>
  <c r="BY47" i="13"/>
  <c r="BZ65" i="13"/>
  <c r="BY65" i="13"/>
  <c r="CL76" i="13"/>
  <c r="CM76" i="13"/>
  <c r="I112" i="10"/>
  <c r="I115" i="10" s="1"/>
  <c r="I122" i="10" s="1"/>
  <c r="I109" i="10"/>
  <c r="I111" i="10" s="1"/>
  <c r="I117" i="10" s="1"/>
  <c r="CL67" i="13"/>
  <c r="CM67" i="13"/>
  <c r="BZ29" i="13"/>
  <c r="BY29" i="13"/>
  <c r="CL30" i="13"/>
  <c r="CM30" i="13"/>
  <c r="BY85" i="13"/>
  <c r="BZ85" i="13"/>
  <c r="BZ30" i="13"/>
  <c r="BY30" i="13"/>
  <c r="CM21" i="13"/>
  <c r="BZ67" i="13"/>
  <c r="BY67" i="13"/>
  <c r="J109" i="10"/>
  <c r="J111" i="10" s="1"/>
  <c r="J117" i="10" s="1"/>
  <c r="CL90" i="13"/>
  <c r="CM90" i="13"/>
  <c r="N20" i="13"/>
  <c r="BY22" i="13"/>
  <c r="BZ22" i="13"/>
  <c r="CM83" i="13"/>
  <c r="CL47" i="13"/>
  <c r="CM47" i="13"/>
  <c r="CL42" i="13"/>
  <c r="CM42" i="13"/>
  <c r="AF18" i="13"/>
  <c r="AG18" i="13"/>
  <c r="AH18" i="13"/>
  <c r="CS18" i="13"/>
  <c r="BX18" i="13"/>
  <c r="B9" i="14"/>
  <c r="CL40" i="13"/>
  <c r="CM40" i="13"/>
  <c r="BZ73" i="13"/>
  <c r="BY73" i="13"/>
  <c r="BY55" i="13"/>
  <c r="BZ55" i="13"/>
  <c r="L108" i="10"/>
  <c r="CL79" i="13"/>
  <c r="CM79" i="13"/>
  <c r="BZ83" i="13"/>
  <c r="BY83" i="13"/>
  <c r="CL29" i="13"/>
  <c r="CM29" i="13"/>
  <c r="CL88" i="13"/>
  <c r="CM88" i="13"/>
  <c r="BY40" i="13"/>
  <c r="BZ40" i="13"/>
  <c r="CL73" i="13"/>
  <c r="CM73" i="13"/>
  <c r="BY66" i="13"/>
  <c r="BZ66" i="13"/>
  <c r="BZ32" i="13"/>
  <c r="BY32" i="13"/>
  <c r="BZ89" i="13"/>
  <c r="BY89" i="13"/>
  <c r="BZ54" i="13"/>
  <c r="BY54" i="13"/>
  <c r="CL89" i="13"/>
  <c r="CM89" i="13"/>
  <c r="AA25" i="13"/>
  <c r="BY90" i="13"/>
  <c r="BZ90" i="13"/>
  <c r="CM66" i="13"/>
  <c r="AA76" i="13"/>
  <c r="Z77" i="13"/>
  <c r="BY46" i="13"/>
  <c r="BZ46" i="13"/>
  <c r="BZ42" i="13"/>
  <c r="BY42" i="13"/>
  <c r="CL46" i="13"/>
  <c r="CM46" i="13"/>
  <c r="CL77" i="13"/>
  <c r="CM77" i="13"/>
  <c r="BY19" i="13"/>
  <c r="BZ19" i="13"/>
  <c r="AH104" i="13"/>
  <c r="AF104" i="13"/>
  <c r="BX104" i="13"/>
  <c r="AG104" i="13"/>
  <c r="B95" i="14"/>
  <c r="H109" i="10"/>
  <c r="BZ88" i="13"/>
  <c r="BY88" i="13"/>
  <c r="BY76" i="13"/>
  <c r="BZ76" i="13"/>
  <c r="BY107" i="13"/>
  <c r="BZ107" i="13"/>
  <c r="BZ37" i="13"/>
  <c r="BY37" i="13"/>
  <c r="CL23" i="13"/>
  <c r="CM23" i="13"/>
  <c r="CL85" i="13"/>
  <c r="CM85" i="13"/>
  <c r="BH26" i="13"/>
  <c r="BH35" i="13"/>
  <c r="BH38" i="13"/>
  <c r="BH58" i="13"/>
  <c r="BH44" i="13"/>
  <c r="BH52" i="13"/>
  <c r="BH63" i="13"/>
  <c r="BH56" i="13"/>
  <c r="AV56" i="13" s="1"/>
  <c r="BH60" i="13"/>
  <c r="BH62" i="13"/>
  <c r="BH64" i="13"/>
  <c r="BH71" i="13"/>
  <c r="BH113" i="13"/>
  <c r="AV113" i="13" s="1"/>
  <c r="BH111" i="13"/>
  <c r="AV111" i="13" s="1"/>
  <c r="BH118" i="13"/>
  <c r="AV118" i="13" s="1"/>
  <c r="BH120" i="13"/>
  <c r="AV120" i="13" s="1"/>
  <c r="BH121" i="13"/>
  <c r="AV121" i="13" s="1"/>
  <c r="BH122" i="13"/>
  <c r="AV122" i="13" s="1"/>
  <c r="BH115" i="13"/>
  <c r="AV115" i="13" s="1"/>
  <c r="BH119" i="13"/>
  <c r="AV119" i="13" s="1"/>
  <c r="L94" i="10"/>
  <c r="H106" i="10"/>
  <c r="L106" i="10" s="1"/>
  <c r="AG93" i="13"/>
  <c r="AH93" i="13"/>
  <c r="AF93" i="13"/>
  <c r="BX93" i="13"/>
  <c r="B84" i="14"/>
  <c r="BY21" i="13"/>
  <c r="BZ21" i="13"/>
  <c r="E41" i="11"/>
  <c r="C95" i="13" l="1"/>
  <c r="B94" i="13"/>
  <c r="BZ78" i="13"/>
  <c r="J112" i="10"/>
  <c r="J115" i="10" s="1"/>
  <c r="J122" i="10" s="1"/>
  <c r="I120" i="10"/>
  <c r="AF106" i="11"/>
  <c r="AB106" i="11"/>
  <c r="J32" i="15"/>
  <c r="AZ119" i="13"/>
  <c r="AM119" i="13" s="1"/>
  <c r="BY34" i="13"/>
  <c r="AZ122" i="13"/>
  <c r="AM122" i="13" s="1"/>
  <c r="BY78" i="13"/>
  <c r="BZ34" i="13"/>
  <c r="BZ33" i="13"/>
  <c r="B83" i="14"/>
  <c r="AZ56" i="13"/>
  <c r="AM56" i="13" s="1"/>
  <c r="BY102" i="13"/>
  <c r="AH92" i="13"/>
  <c r="BZ102" i="13"/>
  <c r="BY41" i="13"/>
  <c r="CL80" i="13"/>
  <c r="CM80" i="13"/>
  <c r="CL70" i="13"/>
  <c r="CM70" i="13"/>
  <c r="BY80" i="13"/>
  <c r="BZ80" i="13"/>
  <c r="AA69" i="13"/>
  <c r="Z70" i="13"/>
  <c r="AA70" i="13" s="1"/>
  <c r="BZ70" i="13"/>
  <c r="BY70" i="13"/>
  <c r="BY68" i="13"/>
  <c r="BZ68" i="13"/>
  <c r="BY69" i="13"/>
  <c r="BZ69" i="13"/>
  <c r="CL69" i="13"/>
  <c r="CM69" i="13"/>
  <c r="BX106" i="13"/>
  <c r="AF106" i="13"/>
  <c r="AH106" i="13"/>
  <c r="AG106" i="13"/>
  <c r="B97" i="14"/>
  <c r="CL68" i="13"/>
  <c r="CM68" i="13"/>
  <c r="AF92" i="13"/>
  <c r="AG92" i="13"/>
  <c r="AG100" i="13"/>
  <c r="AH100" i="13"/>
  <c r="BX100" i="13"/>
  <c r="B91" i="14"/>
  <c r="AF100" i="13"/>
  <c r="AZ115" i="13"/>
  <c r="AM115" i="13" s="1"/>
  <c r="AL113" i="13"/>
  <c r="AZ113" i="13"/>
  <c r="AM113" i="13" s="1"/>
  <c r="AZ121" i="13"/>
  <c r="AM121" i="13" s="1"/>
  <c r="AL121" i="13"/>
  <c r="AZ111" i="13"/>
  <c r="AM111" i="13" s="1"/>
  <c r="AL111" i="13"/>
  <c r="BZ57" i="13"/>
  <c r="BY57" i="13"/>
  <c r="BZ41" i="13"/>
  <c r="AU111" i="13"/>
  <c r="BE111" i="13"/>
  <c r="AU56" i="13"/>
  <c r="BE56" i="13"/>
  <c r="AS56" i="13" s="1"/>
  <c r="AU118" i="13"/>
  <c r="BE118" i="13"/>
  <c r="AU122" i="13"/>
  <c r="BE122" i="13"/>
  <c r="AU121" i="13"/>
  <c r="BE121" i="13"/>
  <c r="AU115" i="13"/>
  <c r="BE115" i="13"/>
  <c r="AU119" i="13"/>
  <c r="BE119" i="13"/>
  <c r="AU120" i="13"/>
  <c r="BE120" i="13"/>
  <c r="BZ56" i="13"/>
  <c r="BY56" i="13"/>
  <c r="AU113" i="13"/>
  <c r="BE113" i="13"/>
  <c r="CL49" i="13"/>
  <c r="CM49" i="13"/>
  <c r="BZ24" i="13"/>
  <c r="BY24" i="13"/>
  <c r="CL24" i="13"/>
  <c r="CM24" i="13"/>
  <c r="BY49" i="13"/>
  <c r="BZ49" i="13"/>
  <c r="CM41" i="13"/>
  <c r="N21" i="13"/>
  <c r="CL18" i="13"/>
  <c r="CM18" i="13"/>
  <c r="AA34" i="13"/>
  <c r="BY105" i="13"/>
  <c r="BZ105" i="13"/>
  <c r="H112" i="10"/>
  <c r="K110" i="10"/>
  <c r="H111" i="10"/>
  <c r="BY18" i="13"/>
  <c r="BZ18" i="13"/>
  <c r="AA77" i="13"/>
  <c r="Z78" i="13"/>
  <c r="AA45" i="13"/>
  <c r="Z46" i="13"/>
  <c r="X97" i="11"/>
  <c r="BY93" i="13"/>
  <c r="BZ93" i="13"/>
  <c r="BY104" i="13"/>
  <c r="BZ104" i="13"/>
  <c r="AH94" i="13" l="1"/>
  <c r="AG94" i="13"/>
  <c r="AF94" i="13"/>
  <c r="O94" i="13" a="1"/>
  <c r="O94" i="13" s="1"/>
  <c r="B85" i="14"/>
  <c r="AJ94" i="13"/>
  <c r="U94" i="13" a="1"/>
  <c r="U94" i="13" s="1"/>
  <c r="P94" i="13" a="1"/>
  <c r="P94" i="13" s="1"/>
  <c r="Y94" i="13" a="1"/>
  <c r="Y94" i="13" s="1"/>
  <c r="Q94" i="13" a="1"/>
  <c r="Q94" i="13" s="1"/>
  <c r="S94" i="13" a="1"/>
  <c r="S94" i="13" s="1"/>
  <c r="V94" i="13" a="1"/>
  <c r="V94" i="13" s="1"/>
  <c r="T94" i="13" a="1"/>
  <c r="T94" i="13" s="1"/>
  <c r="R94" i="13" a="1"/>
  <c r="R94" i="13" s="1"/>
  <c r="W94" i="13" a="1"/>
  <c r="W94" i="13" s="1"/>
  <c r="X94" i="13" a="1"/>
  <c r="X94" i="13" s="1"/>
  <c r="C96" i="13"/>
  <c r="B95" i="13"/>
  <c r="J120" i="10"/>
  <c r="BY106" i="13"/>
  <c r="BZ106" i="13"/>
  <c r="BZ92" i="13"/>
  <c r="BY92" i="13"/>
  <c r="BZ100" i="13"/>
  <c r="BY100" i="13"/>
  <c r="AS120" i="13"/>
  <c r="BF120" i="13"/>
  <c r="AT120" i="13" s="1"/>
  <c r="BF111" i="13"/>
  <c r="AT111" i="13" s="1"/>
  <c r="AS111" i="13"/>
  <c r="AS113" i="13"/>
  <c r="BF113" i="13"/>
  <c r="AT113" i="13" s="1"/>
  <c r="BF122" i="13"/>
  <c r="AT122" i="13" s="1"/>
  <c r="AS122" i="13"/>
  <c r="AS121" i="13"/>
  <c r="BF121" i="13"/>
  <c r="AT121" i="13" s="1"/>
  <c r="BF118" i="13"/>
  <c r="AT118" i="13" s="1"/>
  <c r="AS118" i="13"/>
  <c r="AS119" i="13"/>
  <c r="BF119" i="13"/>
  <c r="AT119" i="13" s="1"/>
  <c r="AS115" i="13"/>
  <c r="BF115" i="13"/>
  <c r="AT115" i="13" s="1"/>
  <c r="N22" i="13"/>
  <c r="N23" i="13" s="1"/>
  <c r="G79" i="11"/>
  <c r="H79" i="11" s="1"/>
  <c r="I79" i="11" s="1"/>
  <c r="H115" i="10"/>
  <c r="Z79" i="13"/>
  <c r="AA78" i="13"/>
  <c r="Z47" i="13"/>
  <c r="AA46" i="13"/>
  <c r="H117" i="10"/>
  <c r="AG95" i="13" l="1"/>
  <c r="AF95" i="13"/>
  <c r="O95" i="13" a="1"/>
  <c r="O95" i="13" s="1"/>
  <c r="B86" i="14"/>
  <c r="AJ95" i="13"/>
  <c r="AH95" i="13"/>
  <c r="U95" i="13" a="1"/>
  <c r="U95" i="13" s="1"/>
  <c r="Y95" i="13" a="1"/>
  <c r="Y95" i="13" s="1"/>
  <c r="P95" i="13" a="1"/>
  <c r="P95" i="13" s="1"/>
  <c r="S95" i="13" a="1"/>
  <c r="S95" i="13" s="1"/>
  <c r="Q95" i="13" a="1"/>
  <c r="Q95" i="13" s="1"/>
  <c r="V95" i="13" a="1"/>
  <c r="V95" i="13" s="1"/>
  <c r="R95" i="13" a="1"/>
  <c r="R95" i="13" s="1"/>
  <c r="T95" i="13" a="1"/>
  <c r="T95" i="13" s="1"/>
  <c r="W95" i="13" a="1"/>
  <c r="W95" i="13" s="1"/>
  <c r="X95" i="13" a="1"/>
  <c r="X95" i="13" s="1"/>
  <c r="C97" i="13"/>
  <c r="B96" i="13"/>
  <c r="N24" i="13"/>
  <c r="N25" i="13"/>
  <c r="N27" i="13" s="1"/>
  <c r="H122" i="10"/>
  <c r="AA79" i="13"/>
  <c r="Z80" i="13"/>
  <c r="Z48" i="13"/>
  <c r="AA47" i="13"/>
  <c r="B87" i="14" l="1"/>
  <c r="O96" i="13" a="1"/>
  <c r="O96" i="13" s="1"/>
  <c r="AJ96" i="13"/>
  <c r="AH96" i="13"/>
  <c r="AG96" i="13"/>
  <c r="AF96" i="13"/>
  <c r="U96" i="13" a="1"/>
  <c r="U96" i="13" s="1"/>
  <c r="P96" i="13" a="1"/>
  <c r="P96" i="13" s="1"/>
  <c r="Y96" i="13" a="1"/>
  <c r="Y96" i="13" s="1"/>
  <c r="R96" i="13" a="1"/>
  <c r="R96" i="13" s="1"/>
  <c r="Q96" i="13" a="1"/>
  <c r="Q96" i="13" s="1"/>
  <c r="V96" i="13" a="1"/>
  <c r="V96" i="13" s="1"/>
  <c r="S96" i="13" a="1"/>
  <c r="S96" i="13" s="1"/>
  <c r="T96" i="13" a="1"/>
  <c r="T96" i="13" s="1"/>
  <c r="X96" i="13" a="1"/>
  <c r="X96" i="13" s="1"/>
  <c r="W96" i="13" a="1"/>
  <c r="W96" i="13" s="1"/>
  <c r="C98" i="13"/>
  <c r="B97" i="13"/>
  <c r="AA80" i="13"/>
  <c r="Z81" i="13"/>
  <c r="Z49" i="13"/>
  <c r="AA48" i="13"/>
  <c r="H120" i="10"/>
  <c r="N28" i="13"/>
  <c r="O97" i="13" l="1" a="1"/>
  <c r="O97" i="13" s="1"/>
  <c r="AH97" i="13"/>
  <c r="B88" i="14"/>
  <c r="AG97" i="13"/>
  <c r="AJ97" i="13"/>
  <c r="AF97" i="13"/>
  <c r="U97" i="13" a="1"/>
  <c r="U97" i="13" s="1"/>
  <c r="Y97" i="13" a="1"/>
  <c r="Y97" i="13" s="1"/>
  <c r="P97" i="13" a="1"/>
  <c r="P97" i="13" s="1"/>
  <c r="Q97" i="13" a="1"/>
  <c r="Q97" i="13" s="1"/>
  <c r="S97" i="13" a="1"/>
  <c r="S97" i="13" s="1"/>
  <c r="V97" i="13" a="1"/>
  <c r="V97" i="13" s="1"/>
  <c r="T97" i="13" a="1"/>
  <c r="T97" i="13" s="1"/>
  <c r="R97" i="13" a="1"/>
  <c r="R97" i="13" s="1"/>
  <c r="X97" i="13" a="1"/>
  <c r="X97" i="13" s="1"/>
  <c r="W97" i="13" a="1"/>
  <c r="W97" i="13" s="1"/>
  <c r="C99" i="13"/>
  <c r="B99" i="13" s="1"/>
  <c r="B98" i="13"/>
  <c r="Z50" i="13"/>
  <c r="AA49" i="13"/>
  <c r="N29" i="13"/>
  <c r="AA81" i="13"/>
  <c r="Z82" i="13"/>
  <c r="O98" i="13" l="1" a="1"/>
  <c r="O98" i="13" s="1"/>
  <c r="AH98" i="13"/>
  <c r="AF98" i="13"/>
  <c r="B89" i="14"/>
  <c r="AJ98" i="13"/>
  <c r="AG98" i="13"/>
  <c r="U98" i="13" a="1"/>
  <c r="U98" i="13" s="1"/>
  <c r="Y98" i="13" a="1"/>
  <c r="Y98" i="13" s="1"/>
  <c r="S98" i="13" a="1"/>
  <c r="S98" i="13" s="1"/>
  <c r="Q98" i="13" a="1"/>
  <c r="Q98" i="13" s="1"/>
  <c r="P98" i="13" a="1"/>
  <c r="P98" i="13" s="1"/>
  <c r="V98" i="13" a="1"/>
  <c r="V98" i="13" s="1"/>
  <c r="T98" i="13" a="1"/>
  <c r="T98" i="13" s="1"/>
  <c r="R98" i="13" a="1"/>
  <c r="R98" i="13" s="1"/>
  <c r="X98" i="13" a="1"/>
  <c r="X98" i="13" s="1"/>
  <c r="W98" i="13" a="1"/>
  <c r="W98" i="13" s="1"/>
  <c r="AH99" i="13"/>
  <c r="AG99" i="13"/>
  <c r="O99" i="13" a="1"/>
  <c r="O99" i="13" s="1"/>
  <c r="AF99" i="13"/>
  <c r="AJ99" i="13"/>
  <c r="B90" i="14"/>
  <c r="U99" i="13" a="1"/>
  <c r="U99" i="13" s="1"/>
  <c r="Y99" i="13" a="1"/>
  <c r="Y99" i="13" s="1"/>
  <c r="S99" i="13" a="1"/>
  <c r="S99" i="13" s="1"/>
  <c r="Q99" i="13" a="1"/>
  <c r="Q99" i="13" s="1"/>
  <c r="P99" i="13" a="1"/>
  <c r="P99" i="13" s="1"/>
  <c r="R99" i="13" a="1"/>
  <c r="R99" i="13" s="1"/>
  <c r="T99" i="13" a="1"/>
  <c r="T99" i="13" s="1"/>
  <c r="V99" i="13" a="1"/>
  <c r="V99" i="13" s="1"/>
  <c r="W99" i="13" a="1"/>
  <c r="W99" i="13" s="1"/>
  <c r="X99" i="13" a="1"/>
  <c r="X99" i="13" s="1"/>
  <c r="N30" i="13"/>
  <c r="N31" i="13" s="1"/>
  <c r="N32" i="13" s="1"/>
  <c r="N33" i="13" s="1"/>
  <c r="N34" i="13" s="1"/>
  <c r="N36" i="13" s="1"/>
  <c r="N37" i="13" s="1"/>
  <c r="N39" i="13" s="1"/>
  <c r="N40" i="13" s="1"/>
  <c r="N41" i="13" s="1"/>
  <c r="N42" i="13" s="1"/>
  <c r="N43" i="13" s="1"/>
  <c r="N45" i="13" s="1"/>
  <c r="N46" i="13" s="1"/>
  <c r="N47" i="13" s="1"/>
  <c r="N48" i="13" s="1"/>
  <c r="N49" i="13" s="1"/>
  <c r="N50" i="13" s="1"/>
  <c r="N51" i="13" s="1"/>
  <c r="N53" i="13" s="1"/>
  <c r="N54" i="13" s="1"/>
  <c r="N55" i="13" s="1"/>
  <c r="N56" i="13" s="1"/>
  <c r="N57" i="13" s="1"/>
  <c r="N59" i="13" s="1"/>
  <c r="N61" i="13" s="1"/>
  <c r="N65" i="13" s="1"/>
  <c r="N66" i="13" s="1"/>
  <c r="N67" i="13" s="1"/>
  <c r="N68" i="13" s="1"/>
  <c r="N69" i="13" s="1"/>
  <c r="N70" i="13" s="1"/>
  <c r="N72" i="13" s="1"/>
  <c r="N73" i="13" s="1"/>
  <c r="N74" i="13" s="1"/>
  <c r="N75" i="13" s="1"/>
  <c r="N76" i="13" s="1"/>
  <c r="N77" i="13" s="1"/>
  <c r="N78" i="13" s="1"/>
  <c r="N79" i="13" s="1"/>
  <c r="N80" i="13" s="1"/>
  <c r="N81" i="13" s="1"/>
  <c r="N82" i="13" s="1"/>
  <c r="N83" i="13" s="1"/>
  <c r="N84" i="13" s="1"/>
  <c r="N85" i="13" s="1"/>
  <c r="N86" i="13" s="1"/>
  <c r="N87" i="13" s="1"/>
  <c r="N88" i="13" s="1"/>
  <c r="N89" i="13" s="1"/>
  <c r="N90" i="13" s="1"/>
  <c r="N91" i="13" s="1"/>
  <c r="N92" i="13" s="1"/>
  <c r="N93" i="13" s="1"/>
  <c r="N94" i="13" s="1"/>
  <c r="N95" i="13" s="1"/>
  <c r="AA50" i="13"/>
  <c r="Z51" i="13"/>
  <c r="Z83" i="13"/>
  <c r="AA82" i="13"/>
  <c r="N96" i="13" l="1"/>
  <c r="Z84" i="13"/>
  <c r="AA83" i="13"/>
  <c r="Z53" i="13"/>
  <c r="AA51" i="13"/>
  <c r="N97" i="13" l="1"/>
  <c r="N98" i="13" s="1"/>
  <c r="N99" i="13" s="1"/>
  <c r="N100" i="13" s="1"/>
  <c r="N101" i="13" s="1"/>
  <c r="N102" i="13" s="1"/>
  <c r="N103" i="13" s="1"/>
  <c r="N104" i="13" s="1"/>
  <c r="N105" i="13" s="1"/>
  <c r="N106" i="13" s="1"/>
  <c r="N107" i="13" s="1"/>
  <c r="AA53" i="13"/>
  <c r="Z54" i="13"/>
  <c r="Z85" i="13"/>
  <c r="AA84" i="13"/>
  <c r="AA85" i="13" l="1"/>
  <c r="Z86" i="13"/>
  <c r="Z55" i="13"/>
  <c r="AA54" i="13"/>
  <c r="Z87" i="13" l="1"/>
  <c r="AA86" i="13"/>
  <c r="Z56" i="13"/>
  <c r="AA55" i="13"/>
  <c r="AA87" i="13" l="1"/>
  <c r="Z88" i="13"/>
  <c r="Z57" i="13"/>
  <c r="AA56" i="13"/>
  <c r="AA57" i="13" l="1"/>
  <c r="AA88" i="13"/>
  <c r="Z89" i="13"/>
  <c r="AA89" i="13" l="1"/>
  <c r="Z90" i="13"/>
  <c r="AA90" i="13" l="1"/>
  <c r="Z91" i="13"/>
  <c r="AA91" i="13" l="1"/>
  <c r="Z92" i="13"/>
  <c r="Z93" i="13" l="1"/>
  <c r="Z94" i="13" s="1"/>
  <c r="AA92" i="13"/>
  <c r="Z95" i="13" l="1"/>
  <c r="AA94" i="13"/>
  <c r="AA93" i="13"/>
  <c r="Z100" i="13"/>
  <c r="Z96" i="13" l="1"/>
  <c r="AA95" i="13"/>
  <c r="AA100" i="13"/>
  <c r="Z101" i="13"/>
  <c r="Z97" i="13" l="1"/>
  <c r="AA96" i="13"/>
  <c r="Z102" i="13"/>
  <c r="AA101" i="13"/>
  <c r="AA97" i="13" l="1"/>
  <c r="Z98" i="13"/>
  <c r="Z103" i="13"/>
  <c r="AA102" i="13"/>
  <c r="Z99" i="13" l="1"/>
  <c r="AA99" i="13" s="1"/>
  <c r="AA98" i="13"/>
  <c r="Z104" i="13"/>
  <c r="AA103" i="13"/>
  <c r="AA104" i="13" l="1"/>
  <c r="Z105" i="13"/>
  <c r="AA105" i="13" l="1"/>
  <c r="Z106" i="13"/>
  <c r="AA106" i="13" l="1"/>
  <c r="Z107" i="13"/>
  <c r="AA107" i="13" s="1"/>
  <c r="CN61" i="13" l="1"/>
  <c r="CN59" i="13"/>
  <c r="CL56" i="13" l="1"/>
  <c r="CM56" i="13"/>
  <c r="CL59" i="13"/>
  <c r="CM59" i="13"/>
  <c r="CL109" i="13"/>
  <c r="CM109" i="13"/>
  <c r="CL53" i="13"/>
  <c r="CM53" i="13"/>
  <c r="CL54" i="13"/>
  <c r="CM54" i="13"/>
  <c r="CL55" i="13"/>
  <c r="CM55" i="13"/>
  <c r="CL61" i="13"/>
  <c r="CM61" i="13"/>
  <c r="CL57" i="13"/>
  <c r="CM57" i="13"/>
  <c r="AK22" i="13" l="1"/>
  <c r="AY22" i="13"/>
  <c r="AY18" i="13"/>
  <c r="AY39" i="13"/>
  <c r="AK39" i="13"/>
  <c r="AY103" i="13"/>
  <c r="AK103" i="13"/>
  <c r="AY77" i="13"/>
  <c r="AK77" i="13"/>
  <c r="AY67" i="13"/>
  <c r="AK67" i="13"/>
  <c r="AY36" i="13"/>
  <c r="AK36" i="13"/>
  <c r="AY69" i="13"/>
  <c r="AK69" i="13"/>
  <c r="AY100" i="13"/>
  <c r="AK100" i="13"/>
  <c r="AK24" i="13"/>
  <c r="AY24" i="13"/>
  <c r="AY85" i="13"/>
  <c r="AK85" i="13"/>
  <c r="AY90" i="13"/>
  <c r="AK90" i="13"/>
  <c r="AY78" i="13"/>
  <c r="AK78" i="13"/>
  <c r="AK93" i="13"/>
  <c r="AY93" i="13"/>
  <c r="AY41" i="13"/>
  <c r="AK41" i="13"/>
  <c r="AK102" i="13"/>
  <c r="AY102" i="13"/>
  <c r="AK81" i="13"/>
  <c r="AY81" i="13"/>
  <c r="AK48" i="13"/>
  <c r="AY48" i="13"/>
  <c r="AY51" i="13"/>
  <c r="AK51" i="13"/>
  <c r="AK76" i="13"/>
  <c r="AY76" i="13"/>
  <c r="AY104" i="13"/>
  <c r="AK104" i="13"/>
  <c r="AY57" i="13"/>
  <c r="AK57" i="13"/>
  <c r="AK50" i="13"/>
  <c r="AY50" i="13"/>
  <c r="AY105" i="13"/>
  <c r="AK105" i="13"/>
  <c r="AY45" i="13"/>
  <c r="AK45" i="13"/>
  <c r="AK59" i="13"/>
  <c r="AY59" i="13"/>
  <c r="AY72" i="13"/>
  <c r="AK72" i="13"/>
  <c r="AY87" i="13"/>
  <c r="AK87" i="13"/>
  <c r="AK101" i="13"/>
  <c r="AY101" i="13"/>
  <c r="AY31" i="13"/>
  <c r="AK31" i="13"/>
  <c r="AY46" i="13"/>
  <c r="AK46" i="13"/>
  <c r="AY23" i="13"/>
  <c r="AK23" i="13"/>
  <c r="AK61" i="13"/>
  <c r="AY61" i="13"/>
  <c r="AY27" i="13"/>
  <c r="AY20" i="13"/>
  <c r="AK20" i="13"/>
  <c r="AK89" i="13"/>
  <c r="AY89" i="13"/>
  <c r="AK42" i="13"/>
  <c r="AY42" i="13"/>
  <c r="AK80" i="13"/>
  <c r="AY80" i="13"/>
  <c r="AY84" i="13"/>
  <c r="AK84" i="13"/>
  <c r="AK37" i="13"/>
  <c r="AY37" i="13"/>
  <c r="AK109" i="13"/>
  <c r="AY109" i="13"/>
  <c r="AY30" i="13"/>
  <c r="AK30" i="13"/>
  <c r="AK82" i="13"/>
  <c r="AY82" i="13"/>
  <c r="AK65" i="13"/>
  <c r="AY65" i="13"/>
  <c r="AK106" i="13"/>
  <c r="AY106" i="13"/>
  <c r="AK43" i="13"/>
  <c r="AY43" i="13"/>
  <c r="AK79" i="13"/>
  <c r="AY79" i="13"/>
  <c r="AK33" i="13"/>
  <c r="AY33" i="13"/>
  <c r="AK19" i="13"/>
  <c r="AY19" i="13"/>
  <c r="AK107" i="13"/>
  <c r="AY107" i="13"/>
  <c r="AK47" i="13"/>
  <c r="AY47" i="13"/>
  <c r="AK91" i="13"/>
  <c r="AY91" i="13"/>
  <c r="AY86" i="13"/>
  <c r="AK86" i="13"/>
  <c r="AY49" i="13"/>
  <c r="AK49" i="13"/>
  <c r="AK40" i="13"/>
  <c r="AY40" i="13"/>
  <c r="AK32" i="13"/>
  <c r="AY32" i="13"/>
  <c r="AY75" i="13"/>
  <c r="AK75" i="13"/>
  <c r="AY21" i="13"/>
  <c r="AK21" i="13"/>
  <c r="AY70" i="13"/>
  <c r="AK70" i="13"/>
  <c r="AY34" i="13"/>
  <c r="AK34" i="13"/>
  <c r="AK92" i="13"/>
  <c r="AY92" i="13"/>
  <c r="AK54" i="13"/>
  <c r="AY54" i="13"/>
  <c r="AK83" i="13"/>
  <c r="AY83" i="13"/>
  <c r="AY28" i="13"/>
  <c r="AK28" i="13"/>
  <c r="AK66" i="13"/>
  <c r="AY66" i="13"/>
  <c r="AK74" i="13"/>
  <c r="AY74" i="13"/>
  <c r="AY29" i="13"/>
  <c r="AK29" i="13"/>
  <c r="AK88" i="13"/>
  <c r="AY88" i="13"/>
  <c r="AK53" i="13"/>
  <c r="AY53" i="13"/>
  <c r="AY73" i="13"/>
  <c r="AK73" i="13"/>
  <c r="AK68" i="13"/>
  <c r="AY68" i="13"/>
  <c r="AK25" i="13"/>
  <c r="AY25" i="13"/>
  <c r="AY55" i="13"/>
  <c r="AK55" i="13"/>
  <c r="BE28" i="13" l="1"/>
  <c r="AS28" i="13" s="1"/>
  <c r="AR28" i="13"/>
  <c r="AL93" i="13"/>
  <c r="AL68" i="13"/>
  <c r="BE27" i="13"/>
  <c r="AS27" i="13" s="1"/>
  <c r="AR27" i="13"/>
  <c r="AL45" i="13"/>
  <c r="AL76" i="13"/>
  <c r="BE89" i="13"/>
  <c r="AS89" i="13" s="1"/>
  <c r="AR89" i="13"/>
  <c r="AL29" i="13"/>
  <c r="AL83" i="13"/>
  <c r="AR43" i="13"/>
  <c r="BE43" i="13"/>
  <c r="AS43" i="13" s="1"/>
  <c r="AR23" i="13"/>
  <c r="BE23" i="13"/>
  <c r="AS23" i="13" s="1"/>
  <c r="BE66" i="13"/>
  <c r="AS66" i="13" s="1"/>
  <c r="AR66" i="13"/>
  <c r="AR104" i="13"/>
  <c r="BE104" i="13"/>
  <c r="AS104" i="13" s="1"/>
  <c r="AR41" i="13"/>
  <c r="BE41" i="13"/>
  <c r="AS41" i="13" s="1"/>
  <c r="AR102" i="13"/>
  <c r="BE102" i="13"/>
  <c r="AS102" i="13" s="1"/>
  <c r="AR73" i="13"/>
  <c r="BE73" i="13"/>
  <c r="AS73" i="13" s="1"/>
  <c r="BE19" i="13"/>
  <c r="AS19" i="13" s="1"/>
  <c r="AR19" i="13"/>
  <c r="AL59" i="13"/>
  <c r="AR21" i="13"/>
  <c r="BE21" i="13"/>
  <c r="AS21" i="13" s="1"/>
  <c r="BE29" i="13"/>
  <c r="AS29" i="13" s="1"/>
  <c r="AR29" i="13"/>
  <c r="BE30" i="13"/>
  <c r="AS30" i="13" s="1"/>
  <c r="AR30" i="13"/>
  <c r="AL73" i="13"/>
  <c r="AL107" i="13"/>
  <c r="AL65" i="13"/>
  <c r="AL82" i="13"/>
  <c r="BE32" i="13"/>
  <c r="AS32" i="13" s="1"/>
  <c r="AR32" i="13"/>
  <c r="BE34" i="13"/>
  <c r="AS34" i="13" s="1"/>
  <c r="AR34" i="13"/>
  <c r="AL20" i="13"/>
  <c r="AL101" i="13"/>
  <c r="AL105" i="13"/>
  <c r="AL57" i="13"/>
  <c r="BE69" i="13"/>
  <c r="AS69" i="13" s="1"/>
  <c r="AR69" i="13"/>
  <c r="BE109" i="13"/>
  <c r="AR109" i="13"/>
  <c r="AR54" i="13"/>
  <c r="BE54" i="13"/>
  <c r="AS54" i="13" s="1"/>
  <c r="BE65" i="13"/>
  <c r="AS65" i="13" s="1"/>
  <c r="AR65" i="13"/>
  <c r="AL50" i="13"/>
  <c r="BE42" i="13"/>
  <c r="AS42" i="13" s="1"/>
  <c r="AR42" i="13"/>
  <c r="AL49" i="13"/>
  <c r="AL37" i="13"/>
  <c r="AL61" i="13"/>
  <c r="BE33" i="13"/>
  <c r="AS33" i="13" s="1"/>
  <c r="AR33" i="13"/>
  <c r="AR74" i="13"/>
  <c r="BE74" i="13"/>
  <c r="AS74" i="13" s="1"/>
  <c r="AL103" i="13"/>
  <c r="AL53" i="13"/>
  <c r="AR39" i="13"/>
  <c r="BE39" i="13"/>
  <c r="AS39" i="13" s="1"/>
  <c r="AL54" i="13"/>
  <c r="AL32" i="13"/>
  <c r="BE84" i="13"/>
  <c r="AS84" i="13" s="1"/>
  <c r="AR84" i="13"/>
  <c r="AL109" i="13"/>
  <c r="AL84" i="13"/>
  <c r="AL80" i="13"/>
  <c r="AL46" i="13"/>
  <c r="AR107" i="13"/>
  <c r="BE107" i="13"/>
  <c r="AS107" i="13" s="1"/>
  <c r="AR77" i="13"/>
  <c r="BE77" i="13"/>
  <c r="AS77" i="13" s="1"/>
  <c r="AL24" i="13"/>
  <c r="AL69" i="13"/>
  <c r="AL39" i="13"/>
  <c r="BE50" i="13"/>
  <c r="AS50" i="13" s="1"/>
  <c r="AR50" i="13"/>
  <c r="AL21" i="13"/>
  <c r="AL106" i="13"/>
  <c r="BE48" i="13"/>
  <c r="AS48" i="13" s="1"/>
  <c r="AR48" i="13"/>
  <c r="BE68" i="13"/>
  <c r="AS68" i="13" s="1"/>
  <c r="AR68" i="13"/>
  <c r="AL19" i="13"/>
  <c r="AL72" i="13"/>
  <c r="AL104" i="13"/>
  <c r="AR87" i="13"/>
  <c r="BE87" i="13"/>
  <c r="AS87" i="13" s="1"/>
  <c r="AR31" i="13"/>
  <c r="BE31" i="13"/>
  <c r="AS31" i="13" s="1"/>
  <c r="AR57" i="13"/>
  <c r="BE57" i="13"/>
  <c r="AS57" i="13" s="1"/>
  <c r="AL88" i="13"/>
  <c r="AR70" i="13"/>
  <c r="BE70" i="13"/>
  <c r="AS70" i="13" s="1"/>
  <c r="AL28" i="13"/>
  <c r="AL92" i="13"/>
  <c r="BE82" i="13"/>
  <c r="AS82" i="13" s="1"/>
  <c r="AR82" i="13"/>
  <c r="AL47" i="13"/>
  <c r="BE78" i="13"/>
  <c r="AS78" i="13" s="1"/>
  <c r="AR78" i="13"/>
  <c r="AL30" i="13"/>
  <c r="AL42" i="13"/>
  <c r="AR36" i="13"/>
  <c r="BE36" i="13"/>
  <c r="AS36" i="13" s="1"/>
  <c r="BE18" i="13"/>
  <c r="AS18" i="13" s="1"/>
  <c r="AR18" i="13"/>
  <c r="AR45" i="13"/>
  <c r="BE45" i="13"/>
  <c r="AS45" i="13" s="1"/>
  <c r="AR22" i="13"/>
  <c r="BE22" i="13"/>
  <c r="AS22" i="13" s="1"/>
  <c r="AL81" i="13"/>
  <c r="AL90" i="13"/>
  <c r="BE37" i="13"/>
  <c r="AS37" i="13" s="1"/>
  <c r="AR37" i="13"/>
  <c r="AL22" i="13"/>
  <c r="AL85" i="13"/>
  <c r="BE72" i="13"/>
  <c r="AS72" i="13" s="1"/>
  <c r="AR72" i="13"/>
  <c r="BE20" i="13"/>
  <c r="AS20" i="13" s="1"/>
  <c r="AR20" i="13"/>
  <c r="AL33" i="13"/>
  <c r="BE105" i="13"/>
  <c r="AS105" i="13" s="1"/>
  <c r="AR105" i="13"/>
  <c r="BE76" i="13"/>
  <c r="AS76" i="13" s="1"/>
  <c r="AR76" i="13"/>
  <c r="BE100" i="13"/>
  <c r="AS100" i="13" s="1"/>
  <c r="AR100" i="13"/>
  <c r="AR51" i="13"/>
  <c r="BE51" i="13"/>
  <c r="AS51" i="13" s="1"/>
  <c r="AL100" i="13"/>
  <c r="AL36" i="13"/>
  <c r="AL66" i="13"/>
  <c r="AR88" i="13"/>
  <c r="BE88" i="13"/>
  <c r="AS88" i="13" s="1"/>
  <c r="BE49" i="13"/>
  <c r="AS49" i="13" s="1"/>
  <c r="AR49" i="13"/>
  <c r="AL89" i="13"/>
  <c r="AL23" i="13"/>
  <c r="BE85" i="13"/>
  <c r="AS85" i="13" s="1"/>
  <c r="AR85" i="13"/>
  <c r="AL87" i="13"/>
  <c r="AR81" i="13"/>
  <c r="BE81" i="13"/>
  <c r="AS81" i="13" s="1"/>
  <c r="AR86" i="13"/>
  <c r="BE86" i="13"/>
  <c r="AS86" i="13" s="1"/>
  <c r="AL102" i="13"/>
  <c r="BE80" i="13"/>
  <c r="AS80" i="13" s="1"/>
  <c r="AR80" i="13"/>
  <c r="AR61" i="13"/>
  <c r="BE61" i="13"/>
  <c r="AS61" i="13" s="1"/>
  <c r="BE53" i="13"/>
  <c r="AS53" i="13" s="1"/>
  <c r="AR53" i="13"/>
  <c r="AL34" i="13"/>
  <c r="AL86" i="13"/>
  <c r="AR103" i="13"/>
  <c r="BE103" i="13"/>
  <c r="AS103" i="13" s="1"/>
  <c r="AL79" i="13"/>
  <c r="AR67" i="13"/>
  <c r="BE67" i="13"/>
  <c r="AS67" i="13" s="1"/>
  <c r="AL78" i="13"/>
  <c r="AL67" i="13"/>
  <c r="AR90" i="13"/>
  <c r="BE90" i="13"/>
  <c r="AS90" i="13" s="1"/>
  <c r="AR79" i="13"/>
  <c r="BE79" i="13"/>
  <c r="AS79" i="13" s="1"/>
  <c r="AR59" i="13"/>
  <c r="BE59" i="13"/>
  <c r="AS59" i="13" s="1"/>
  <c r="BE93" i="13"/>
  <c r="AS93" i="13" s="1"/>
  <c r="AR93" i="13"/>
  <c r="AL74" i="13"/>
  <c r="AL75" i="13"/>
  <c r="AL40" i="13"/>
  <c r="AR83" i="13"/>
  <c r="BE83" i="13"/>
  <c r="AS83" i="13" s="1"/>
  <c r="AL91" i="13"/>
  <c r="AR75" i="13"/>
  <c r="BE75" i="13"/>
  <c r="AS75" i="13" s="1"/>
  <c r="AL31" i="13"/>
  <c r="AL51" i="13"/>
  <c r="BE46" i="13"/>
  <c r="AS46" i="13" s="1"/>
  <c r="AR46" i="13"/>
  <c r="AR55" i="13"/>
  <c r="BE55" i="13"/>
  <c r="AS55" i="13" s="1"/>
  <c r="AL55" i="13"/>
  <c r="AL25" i="13"/>
  <c r="AL70" i="13"/>
  <c r="AL43" i="13"/>
  <c r="AR47" i="13"/>
  <c r="BE47" i="13"/>
  <c r="AS47" i="13" s="1"/>
  <c r="AR91" i="13"/>
  <c r="BE91" i="13"/>
  <c r="AS91" i="13" s="1"/>
  <c r="AR106" i="13"/>
  <c r="BE106" i="13"/>
  <c r="AS106" i="13" s="1"/>
  <c r="BE92" i="13"/>
  <c r="AS92" i="13" s="1"/>
  <c r="AR92" i="13"/>
  <c r="BE40" i="13"/>
  <c r="AS40" i="13" s="1"/>
  <c r="AR40" i="13"/>
  <c r="AR25" i="13"/>
  <c r="BE25" i="13"/>
  <c r="AS25" i="13" s="1"/>
  <c r="BE101" i="13"/>
  <c r="AS101" i="13" s="1"/>
  <c r="AR101" i="13"/>
  <c r="AR24" i="13"/>
  <c r="BE24" i="13"/>
  <c r="AS24" i="13" s="1"/>
  <c r="AL48" i="13"/>
  <c r="AL41" i="13"/>
  <c r="AL77" i="13"/>
  <c r="AS109" i="13" l="1"/>
  <c r="F7" i="9" l="1"/>
  <c r="N23" i="9"/>
  <c r="N24" i="9" s="1"/>
  <c r="O23" i="9"/>
  <c r="O24" i="9" s="1"/>
  <c r="P23" i="9"/>
  <c r="Q23" i="9"/>
  <c r="R23" i="9"/>
  <c r="R24" i="9" s="1"/>
  <c r="S23" i="9"/>
  <c r="T23" i="9"/>
  <c r="U23" i="9"/>
  <c r="U24" i="9" s="1"/>
  <c r="V23" i="9"/>
  <c r="V24" i="9" s="1"/>
  <c r="W23" i="9"/>
  <c r="W24" i="9" s="1"/>
  <c r="P24" i="9"/>
  <c r="Q24" i="9"/>
  <c r="S24" i="9"/>
  <c r="T24" i="9"/>
  <c r="G30" i="9"/>
  <c r="I31" i="9" s="1"/>
  <c r="G31" i="9"/>
  <c r="G32" i="9"/>
  <c r="I32" i="9"/>
  <c r="B39" i="9"/>
  <c r="B40" i="9"/>
  <c r="N42" i="9"/>
  <c r="O42" i="9"/>
  <c r="O43" i="9" s="1"/>
  <c r="P42" i="9"/>
  <c r="Q42" i="9"/>
  <c r="R42" i="9"/>
  <c r="R43" i="9" s="1"/>
  <c r="S42" i="9"/>
  <c r="S43" i="9" s="1"/>
  <c r="T42" i="9"/>
  <c r="T43" i="9" s="1"/>
  <c r="U42" i="9"/>
  <c r="V42" i="9"/>
  <c r="W42" i="9"/>
  <c r="W43" i="9" s="1"/>
  <c r="N43" i="9"/>
  <c r="P43" i="9"/>
  <c r="Q43" i="9"/>
  <c r="U43" i="9"/>
  <c r="V43" i="9"/>
  <c r="B49" i="9"/>
  <c r="C50" i="9"/>
  <c r="D50" i="9"/>
  <c r="D51" i="9" s="1"/>
  <c r="E50" i="9"/>
  <c r="E51" i="9" s="1"/>
  <c r="F50" i="9"/>
  <c r="F51" i="9" s="1"/>
  <c r="G50" i="9"/>
  <c r="G51" i="9" s="1"/>
  <c r="C80" i="9"/>
  <c r="D80" i="9"/>
  <c r="E80" i="9"/>
  <c r="F80" i="9"/>
  <c r="G80" i="9"/>
  <c r="C84" i="9"/>
  <c r="D84" i="9"/>
  <c r="B84" i="9" s="1"/>
  <c r="E84" i="9"/>
  <c r="F84" i="9"/>
  <c r="G84" i="9"/>
  <c r="B88" i="9"/>
  <c r="C89" i="9"/>
  <c r="D89" i="9"/>
  <c r="E89" i="9"/>
  <c r="F89" i="9"/>
  <c r="G89" i="9"/>
  <c r="C90" i="9"/>
  <c r="C98" i="9"/>
  <c r="D98" i="9"/>
  <c r="E98" i="9"/>
  <c r="F98" i="9"/>
  <c r="G98" i="9"/>
  <c r="C102" i="9"/>
  <c r="D102" i="9"/>
  <c r="E102" i="9"/>
  <c r="F102" i="9"/>
  <c r="G102" i="9"/>
  <c r="C106" i="9"/>
  <c r="D106" i="9"/>
  <c r="E106" i="9"/>
  <c r="F106" i="9"/>
  <c r="G106" i="9"/>
  <c r="AE278" i="8"/>
  <c r="AX27" i="8" s="1"/>
  <c r="AD278" i="8"/>
  <c r="AW27" i="8" s="1"/>
  <c r="U278" i="8"/>
  <c r="T278" i="8"/>
  <c r="AV27" i="8" s="1"/>
  <c r="S278" i="8"/>
  <c r="R278" i="8"/>
  <c r="AU27" i="8" s="1"/>
  <c r="Q278" i="8"/>
  <c r="P278" i="8"/>
  <c r="N278" i="8"/>
  <c r="AE277" i="8"/>
  <c r="AD277" i="8"/>
  <c r="U277" i="8"/>
  <c r="T277" i="8"/>
  <c r="S277" i="8"/>
  <c r="R277" i="8"/>
  <c r="Q277" i="8"/>
  <c r="P277" i="8"/>
  <c r="N277" i="8"/>
  <c r="H277" i="8"/>
  <c r="F277" i="8"/>
  <c r="E277" i="8"/>
  <c r="D277" i="8"/>
  <c r="G276" i="8"/>
  <c r="G277" i="8" s="1"/>
  <c r="H272" i="8"/>
  <c r="AJ149" i="8"/>
  <c r="K278" i="8" s="1"/>
  <c r="AI149" i="8"/>
  <c r="J278" i="8" s="1"/>
  <c r="AG149" i="8"/>
  <c r="H278" i="8" s="1"/>
  <c r="AE149" i="8"/>
  <c r="F278" i="8" s="1"/>
  <c r="AD149" i="8"/>
  <c r="C278" i="8" s="1"/>
  <c r="H132" i="8"/>
  <c r="G132" i="8"/>
  <c r="H131" i="8"/>
  <c r="G131" i="8"/>
  <c r="H130" i="8"/>
  <c r="G130" i="8"/>
  <c r="H129" i="8"/>
  <c r="G129" i="8"/>
  <c r="H128" i="8"/>
  <c r="G128" i="8"/>
  <c r="H127" i="8"/>
  <c r="G127" i="8"/>
  <c r="H126" i="8"/>
  <c r="G126" i="8"/>
  <c r="H125" i="8"/>
  <c r="G125" i="8"/>
  <c r="H124" i="8"/>
  <c r="G124" i="8"/>
  <c r="H123" i="8"/>
  <c r="G123" i="8"/>
  <c r="AE122" i="8"/>
  <c r="H122" i="8"/>
  <c r="G122" i="8"/>
  <c r="H121" i="8"/>
  <c r="G121" i="8"/>
  <c r="H120" i="8"/>
  <c r="G120" i="8"/>
  <c r="H119" i="8"/>
  <c r="G119" i="8"/>
  <c r="H118" i="8"/>
  <c r="G118" i="8"/>
  <c r="AR117" i="8"/>
  <c r="H117" i="8"/>
  <c r="G117" i="8"/>
  <c r="AY116" i="8"/>
  <c r="Q116" i="8"/>
  <c r="AK116" i="8" s="1"/>
  <c r="H116" i="8"/>
  <c r="G116" i="8"/>
  <c r="AY115" i="8"/>
  <c r="Q115" i="8"/>
  <c r="AK115" i="8" s="1"/>
  <c r="H115" i="8"/>
  <c r="G115" i="8"/>
  <c r="AY113" i="8"/>
  <c r="Q113" i="8"/>
  <c r="AK113" i="8" s="1"/>
  <c r="AY112" i="8"/>
  <c r="Q112" i="8"/>
  <c r="AK112" i="8" s="1"/>
  <c r="AY111" i="8"/>
  <c r="Q111" i="8"/>
  <c r="AK111" i="8" s="1"/>
  <c r="AY110" i="8"/>
  <c r="Q110" i="8"/>
  <c r="AK110" i="8" s="1"/>
  <c r="AY108" i="8"/>
  <c r="Q108" i="8"/>
  <c r="AK108" i="8" s="1"/>
  <c r="AY107" i="8"/>
  <c r="Q107" i="8"/>
  <c r="AK107" i="8" s="1"/>
  <c r="AY106" i="8"/>
  <c r="Q106" i="8"/>
  <c r="AK106" i="8" s="1"/>
  <c r="AY105" i="8"/>
  <c r="Q105" i="8"/>
  <c r="AK105" i="8" s="1"/>
  <c r="H105" i="8"/>
  <c r="G105" i="8"/>
  <c r="AY103" i="8"/>
  <c r="Q103" i="8"/>
  <c r="AK103" i="8" s="1"/>
  <c r="H103" i="8"/>
  <c r="G103" i="8"/>
  <c r="AY102" i="8"/>
  <c r="Q102" i="8"/>
  <c r="AK102" i="8" s="1"/>
  <c r="H102" i="8"/>
  <c r="G102" i="8"/>
  <c r="AY101" i="8"/>
  <c r="Q101" i="8"/>
  <c r="AK101" i="8" s="1"/>
  <c r="H101" i="8"/>
  <c r="H106" i="8" s="1"/>
  <c r="G101" i="8"/>
  <c r="G106" i="8" s="1"/>
  <c r="AY100" i="8"/>
  <c r="Q100" i="8"/>
  <c r="AK100" i="8" s="1"/>
  <c r="AY98" i="8"/>
  <c r="Q98" i="8"/>
  <c r="AK98" i="8" s="1"/>
  <c r="AY97" i="8"/>
  <c r="Q97" i="8"/>
  <c r="AK97" i="8" s="1"/>
  <c r="AY96" i="8"/>
  <c r="Q96" i="8"/>
  <c r="AK96" i="8" s="1"/>
  <c r="AY95" i="8"/>
  <c r="Q95" i="8"/>
  <c r="AK95" i="8" s="1"/>
  <c r="AY93" i="8"/>
  <c r="Q93" i="8"/>
  <c r="AK93" i="8" s="1"/>
  <c r="AY92" i="8"/>
  <c r="Q92" i="8"/>
  <c r="AK92" i="8" s="1"/>
  <c r="AY91" i="8"/>
  <c r="Q91" i="8"/>
  <c r="AK91" i="8" s="1"/>
  <c r="AY90" i="8"/>
  <c r="Q90" i="8"/>
  <c r="AK90" i="8" s="1"/>
  <c r="AY88" i="8"/>
  <c r="Q88" i="8"/>
  <c r="AK88" i="8" s="1"/>
  <c r="AY87" i="8"/>
  <c r="Q87" i="8"/>
  <c r="AK87" i="8" s="1"/>
  <c r="AY86" i="8"/>
  <c r="Q86" i="8"/>
  <c r="AK86" i="8" s="1"/>
  <c r="AY85" i="8"/>
  <c r="Q85" i="8"/>
  <c r="AK85" i="8" s="1"/>
  <c r="AY84" i="8"/>
  <c r="Q84" i="8"/>
  <c r="AK84" i="8" s="1"/>
  <c r="AY83" i="8"/>
  <c r="Q83" i="8"/>
  <c r="AK83" i="8" s="1"/>
  <c r="AY82" i="8"/>
  <c r="Q82" i="8"/>
  <c r="AK82" i="8" s="1"/>
  <c r="AY81" i="8"/>
  <c r="Q81" i="8"/>
  <c r="AK81" i="8" s="1"/>
  <c r="AY80" i="8"/>
  <c r="Q80" i="8"/>
  <c r="AK80" i="8" s="1"/>
  <c r="AY79" i="8"/>
  <c r="Q79" i="8"/>
  <c r="AK79" i="8" s="1"/>
  <c r="AY78" i="8"/>
  <c r="Q78" i="8"/>
  <c r="AK78" i="8" s="1"/>
  <c r="AY77" i="8"/>
  <c r="Q77" i="8"/>
  <c r="AK77" i="8" s="1"/>
  <c r="AY76" i="8"/>
  <c r="Q76" i="8"/>
  <c r="AK76" i="8" s="1"/>
  <c r="B76" i="8"/>
  <c r="AY75" i="8"/>
  <c r="Q75" i="8"/>
  <c r="AK75" i="8" s="1"/>
  <c r="AY74" i="8"/>
  <c r="Q74" i="8"/>
  <c r="AK74" i="8" s="1"/>
  <c r="AY73" i="8"/>
  <c r="Q73" i="8"/>
  <c r="AK73" i="8" s="1"/>
  <c r="AY72" i="8"/>
  <c r="Q72" i="8"/>
  <c r="AK72" i="8" s="1"/>
  <c r="AY71" i="8"/>
  <c r="Q71" i="8"/>
  <c r="AK71" i="8" s="1"/>
  <c r="AY70" i="8"/>
  <c r="Q70" i="8"/>
  <c r="AK70" i="8" s="1"/>
  <c r="C70" i="8"/>
  <c r="AY69" i="8"/>
  <c r="Q69" i="8"/>
  <c r="AK69" i="8" s="1"/>
  <c r="AY68" i="8"/>
  <c r="Q68" i="8"/>
  <c r="AK68" i="8" s="1"/>
  <c r="AY67" i="8"/>
  <c r="Q67" i="8"/>
  <c r="AK67" i="8" s="1"/>
  <c r="AY66" i="8"/>
  <c r="Q66" i="8"/>
  <c r="AK66" i="8" s="1"/>
  <c r="BH65" i="8"/>
  <c r="AY65" i="8"/>
  <c r="Q65" i="8"/>
  <c r="AK65" i="8" s="1"/>
  <c r="BH64" i="8"/>
  <c r="AY64" i="8"/>
  <c r="Q64" i="8"/>
  <c r="AK64" i="8" s="1"/>
  <c r="C64" i="8"/>
  <c r="AY63" i="8"/>
  <c r="Q63" i="8"/>
  <c r="AK63" i="8" s="1"/>
  <c r="AY62" i="8"/>
  <c r="Q62" i="8"/>
  <c r="AK62" i="8" s="1"/>
  <c r="AY61" i="8"/>
  <c r="Q61" i="8"/>
  <c r="AK61" i="8" s="1"/>
  <c r="AY60" i="8"/>
  <c r="Q60" i="8"/>
  <c r="AK60" i="8" s="1"/>
  <c r="AY59" i="8"/>
  <c r="Q59" i="8"/>
  <c r="AK59" i="8" s="1"/>
  <c r="AY58" i="8"/>
  <c r="Q58" i="8"/>
  <c r="AK58" i="8" s="1"/>
  <c r="L58" i="8"/>
  <c r="D58" i="8"/>
  <c r="AY57" i="8"/>
  <c r="Q57" i="8"/>
  <c r="AK57" i="8" s="1"/>
  <c r="AY56" i="8"/>
  <c r="Q56" i="8"/>
  <c r="AK56" i="8" s="1"/>
  <c r="AY55" i="8"/>
  <c r="Q55" i="8"/>
  <c r="AK55" i="8" s="1"/>
  <c r="AY54" i="8"/>
  <c r="Q54" i="8"/>
  <c r="AK54" i="8" s="1"/>
  <c r="AY53" i="8"/>
  <c r="Q53" i="8"/>
  <c r="AK53" i="8" s="1"/>
  <c r="AY52" i="8"/>
  <c r="Q52" i="8"/>
  <c r="AK52" i="8" s="1"/>
  <c r="AY51" i="8"/>
  <c r="Q51" i="8"/>
  <c r="AK51" i="8" s="1"/>
  <c r="AY50" i="8"/>
  <c r="Q50" i="8"/>
  <c r="AK50" i="8" s="1"/>
  <c r="AY49" i="8"/>
  <c r="Q49" i="8"/>
  <c r="AK49" i="8" s="1"/>
  <c r="AY48" i="8"/>
  <c r="Q48" i="8"/>
  <c r="AK48" i="8" s="1"/>
  <c r="AY47" i="8"/>
  <c r="Q47" i="8"/>
  <c r="AK47" i="8" s="1"/>
  <c r="AY46" i="8"/>
  <c r="Q46" i="8"/>
  <c r="AK46" i="8" s="1"/>
  <c r="AY45" i="8"/>
  <c r="Q45" i="8"/>
  <c r="AK45" i="8" s="1"/>
  <c r="AY44" i="8"/>
  <c r="Q44" i="8"/>
  <c r="AK44" i="8" s="1"/>
  <c r="AY43" i="8"/>
  <c r="Q43" i="8"/>
  <c r="AK43" i="8" s="1"/>
  <c r="AY42" i="8"/>
  <c r="Q42" i="8"/>
  <c r="AK42" i="8" s="1"/>
  <c r="AY41" i="8"/>
  <c r="Q41" i="8"/>
  <c r="AK41" i="8" s="1"/>
  <c r="AY40" i="8"/>
  <c r="Q40" i="8"/>
  <c r="AK40" i="8" s="1"/>
  <c r="AY39" i="8"/>
  <c r="Q39" i="8"/>
  <c r="AK39" i="8" s="1"/>
  <c r="AY38" i="8"/>
  <c r="Q38" i="8"/>
  <c r="AK38" i="8" s="1"/>
  <c r="AY37" i="8"/>
  <c r="Q37" i="8"/>
  <c r="AK37" i="8" s="1"/>
  <c r="AY36" i="8"/>
  <c r="Q36" i="8"/>
  <c r="AK36" i="8" s="1"/>
  <c r="AY35" i="8"/>
  <c r="Q35" i="8"/>
  <c r="AK35" i="8" s="1"/>
  <c r="AY34" i="8"/>
  <c r="Q34" i="8"/>
  <c r="AK34" i="8" s="1"/>
  <c r="AY33" i="8"/>
  <c r="Q33" i="8"/>
  <c r="AK33" i="8" s="1"/>
  <c r="AY32" i="8"/>
  <c r="Q32" i="8"/>
  <c r="AK32" i="8" s="1"/>
  <c r="AY31" i="8"/>
  <c r="Q31" i="8"/>
  <c r="AK31" i="8" s="1"/>
  <c r="AY30" i="8"/>
  <c r="Q30" i="8"/>
  <c r="AK30" i="8" s="1"/>
  <c r="AY29" i="8"/>
  <c r="Q29" i="8"/>
  <c r="AK29" i="8" s="1"/>
  <c r="AY28" i="8"/>
  <c r="Q28" i="8"/>
  <c r="AK28" i="8" s="1"/>
  <c r="AY27" i="8"/>
  <c r="AT27" i="8"/>
  <c r="AK27" i="8"/>
  <c r="AL27" i="8" s="1"/>
  <c r="Q27" i="8"/>
  <c r="AA69" i="4" s="1"/>
  <c r="AY26" i="8"/>
  <c r="Q26" i="8"/>
  <c r="AK26" i="8" s="1"/>
  <c r="AY25" i="8"/>
  <c r="Q25" i="8"/>
  <c r="AK25" i="8" s="1"/>
  <c r="AY24" i="8"/>
  <c r="Q24" i="8"/>
  <c r="AK24" i="8" s="1"/>
  <c r="AY23" i="8"/>
  <c r="Q23" i="8"/>
  <c r="AK23" i="8" s="1"/>
  <c r="AY22" i="8"/>
  <c r="Q22" i="8"/>
  <c r="AK22" i="8" s="1"/>
  <c r="AY21" i="8"/>
  <c r="Q21" i="8"/>
  <c r="AK21" i="8" s="1"/>
  <c r="AY20" i="8"/>
  <c r="Q20" i="8"/>
  <c r="J20" i="8"/>
  <c r="I20" i="8"/>
  <c r="BD19" i="8"/>
  <c r="BC19" i="8"/>
  <c r="BB19" i="8"/>
  <c r="BA19" i="8"/>
  <c r="AZ19" i="8"/>
  <c r="AD18" i="8"/>
  <c r="AG15" i="8"/>
  <c r="AP12" i="8"/>
  <c r="AO12" i="8"/>
  <c r="AM11" i="8"/>
  <c r="AL11" i="8"/>
  <c r="AL12" i="8" s="1"/>
  <c r="AM10" i="8"/>
  <c r="AN10" i="8" s="1"/>
  <c r="AO10" i="8" s="1"/>
  <c r="AP10" i="8" s="1"/>
  <c r="AP7" i="8"/>
  <c r="AO7" i="8"/>
  <c r="AM7" i="8"/>
  <c r="AL7" i="8"/>
  <c r="AN6" i="8"/>
  <c r="AK2" i="8"/>
  <c r="AK1" i="8"/>
  <c r="AE1" i="8"/>
  <c r="W272" i="7"/>
  <c r="AP27" i="7" s="1"/>
  <c r="V272" i="7"/>
  <c r="AO27" i="7" s="1"/>
  <c r="U272" i="7"/>
  <c r="T272" i="7"/>
  <c r="AN27" i="7" s="1"/>
  <c r="S272" i="7"/>
  <c r="R272" i="7"/>
  <c r="AM27" i="7" s="1"/>
  <c r="Q272" i="7"/>
  <c r="P272" i="7"/>
  <c r="N272" i="7"/>
  <c r="K272" i="7"/>
  <c r="J272" i="7"/>
  <c r="W271" i="7"/>
  <c r="V271" i="7"/>
  <c r="U271" i="7"/>
  <c r="T271" i="7"/>
  <c r="S271" i="7"/>
  <c r="R271" i="7"/>
  <c r="Q271" i="7"/>
  <c r="P271" i="7"/>
  <c r="N271" i="7"/>
  <c r="I271" i="7"/>
  <c r="H271" i="7"/>
  <c r="F271" i="7"/>
  <c r="E271" i="7"/>
  <c r="D271" i="7"/>
  <c r="G270" i="7"/>
  <c r="G271" i="7" s="1"/>
  <c r="H266" i="7"/>
  <c r="J271" i="7" s="1"/>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G211" i="7"/>
  <c r="H210" i="7"/>
  <c r="G210" i="7"/>
  <c r="H209" i="7"/>
  <c r="G209" i="7"/>
  <c r="H208" i="7"/>
  <c r="G208" i="7"/>
  <c r="H207" i="7"/>
  <c r="H211" i="7" s="1"/>
  <c r="G207" i="7"/>
  <c r="B185" i="7"/>
  <c r="C184" i="7"/>
  <c r="C180" i="7"/>
  <c r="C179" i="7"/>
  <c r="C176" i="7"/>
  <c r="C175" i="7"/>
  <c r="C174" i="7"/>
  <c r="C173" i="7"/>
  <c r="D167" i="7"/>
  <c r="AB143" i="7"/>
  <c r="AA143" i="7"/>
  <c r="Y143" i="7"/>
  <c r="H272" i="7" s="1"/>
  <c r="W143" i="7"/>
  <c r="F272" i="7" s="1"/>
  <c r="V143" i="7"/>
  <c r="C272" i="7" s="1"/>
  <c r="W116" i="7"/>
  <c r="AJ111" i="7"/>
  <c r="AQ110" i="7"/>
  <c r="AD110" i="7" a="1"/>
  <c r="AD110" i="7" s="1"/>
  <c r="AC110" i="7"/>
  <c r="Q110" i="7"/>
  <c r="AQ109" i="7"/>
  <c r="AD109" i="7" a="1"/>
  <c r="AD109" i="7" s="1"/>
  <c r="Q109" i="7"/>
  <c r="AC109" i="7" s="1"/>
  <c r="AQ108" i="7"/>
  <c r="AD108" i="7" a="1"/>
  <c r="AD108" i="7" s="1"/>
  <c r="Q108" i="7"/>
  <c r="AC108" i="7" s="1"/>
  <c r="AQ107" i="7"/>
  <c r="Q107" i="7"/>
  <c r="AC107" i="7" s="1"/>
  <c r="AQ106" i="7"/>
  <c r="AD106" i="7" a="1"/>
  <c r="AD106" i="7" s="1"/>
  <c r="AC106" i="7"/>
  <c r="Q106" i="7"/>
  <c r="AQ105" i="7"/>
  <c r="AD105" i="7" a="1"/>
  <c r="AD105" i="7" s="1"/>
  <c r="Q105" i="7"/>
  <c r="AC105" i="7" s="1"/>
  <c r="AQ104" i="7"/>
  <c r="AD104" i="7" a="1"/>
  <c r="AD104" i="7" s="1"/>
  <c r="AC104" i="7"/>
  <c r="Q104" i="7"/>
  <c r="AQ103" i="7"/>
  <c r="AD103" i="7" a="1"/>
  <c r="AD103" i="7" s="1"/>
  <c r="Q103" i="7"/>
  <c r="AC103" i="7" s="1"/>
  <c r="AQ102" i="7"/>
  <c r="AD102" i="7" a="1"/>
  <c r="AD102" i="7" s="1"/>
  <c r="AC102" i="7"/>
  <c r="Q102" i="7"/>
  <c r="AQ101" i="7"/>
  <c r="AD101" i="7" a="1"/>
  <c r="AD101" i="7" s="1"/>
  <c r="Q101" i="7"/>
  <c r="AC101" i="7" s="1"/>
  <c r="AQ100" i="7"/>
  <c r="AD100" i="7" a="1"/>
  <c r="AD100" i="7" s="1"/>
  <c r="AC100" i="7"/>
  <c r="Q100" i="7"/>
  <c r="AQ99" i="7"/>
  <c r="AD99" i="7" a="1"/>
  <c r="AD99" i="7" s="1"/>
  <c r="Q99" i="7"/>
  <c r="AC99" i="7" s="1"/>
  <c r="AQ98" i="7"/>
  <c r="AD98" i="7" a="1"/>
  <c r="AD98" i="7" s="1"/>
  <c r="Q98" i="7"/>
  <c r="AC98" i="7" s="1"/>
  <c r="AQ97" i="7"/>
  <c r="AD97" i="7" a="1"/>
  <c r="AD97" i="7" s="1"/>
  <c r="Q97" i="7"/>
  <c r="AC97" i="7" s="1"/>
  <c r="AQ96" i="7"/>
  <c r="AD96" i="7" a="1"/>
  <c r="AD96" i="7" s="1"/>
  <c r="AC96" i="7"/>
  <c r="Q96" i="7"/>
  <c r="AQ95" i="7"/>
  <c r="AD95" i="7" a="1"/>
  <c r="AD95" i="7" s="1"/>
  <c r="Q95" i="7"/>
  <c r="AC95" i="7" s="1"/>
  <c r="AQ94" i="7"/>
  <c r="AD94" i="7" a="1"/>
  <c r="AD94" i="7" s="1"/>
  <c r="Q94" i="7"/>
  <c r="AC94" i="7" s="1"/>
  <c r="AQ93" i="7"/>
  <c r="AD93" i="7" a="1"/>
  <c r="AD93" i="7" s="1"/>
  <c r="Q93" i="7"/>
  <c r="AC93" i="7" s="1"/>
  <c r="AQ92" i="7"/>
  <c r="AD92" i="7" a="1"/>
  <c r="AD92" i="7" s="1"/>
  <c r="AC92" i="7"/>
  <c r="Q92" i="7"/>
  <c r="AQ91" i="7"/>
  <c r="AC91" i="7"/>
  <c r="Q91" i="7"/>
  <c r="AQ90" i="7"/>
  <c r="AD90" i="7" a="1"/>
  <c r="AD90" i="7" s="1"/>
  <c r="Q90" i="7"/>
  <c r="AC90" i="7" s="1"/>
  <c r="AQ89" i="7"/>
  <c r="AD89" i="7" a="1"/>
  <c r="AD89" i="7" s="1"/>
  <c r="AC89" i="7"/>
  <c r="Q89" i="7"/>
  <c r="AQ88" i="7"/>
  <c r="AD88" i="7" a="1"/>
  <c r="AD88" i="7" s="1"/>
  <c r="Q88" i="7"/>
  <c r="AC88" i="7" s="1"/>
  <c r="AQ87" i="7"/>
  <c r="AC87" i="7"/>
  <c r="Q87" i="7"/>
  <c r="AQ86" i="7"/>
  <c r="AD86" i="7" a="1"/>
  <c r="AD86" i="7" s="1"/>
  <c r="AC86" i="7"/>
  <c r="Q86" i="7"/>
  <c r="AQ85" i="7"/>
  <c r="AD85" i="7" a="1"/>
  <c r="AD85" i="7" s="1"/>
  <c r="Q85" i="7"/>
  <c r="AC85" i="7" s="1"/>
  <c r="AQ84" i="7"/>
  <c r="AD84" i="7" a="1"/>
  <c r="AD84" i="7" s="1"/>
  <c r="Q84" i="7"/>
  <c r="AC84" i="7" s="1"/>
  <c r="AQ83" i="7"/>
  <c r="AD83" i="7" a="1"/>
  <c r="AD83" i="7" s="1"/>
  <c r="AC83" i="7"/>
  <c r="Q83" i="7"/>
  <c r="AQ82" i="7"/>
  <c r="AD82" i="7" a="1"/>
  <c r="AD82" i="7" s="1"/>
  <c r="Q82" i="7"/>
  <c r="AC82" i="7" s="1"/>
  <c r="AQ81" i="7"/>
  <c r="AD81" i="7" a="1"/>
  <c r="AD81" i="7" s="1"/>
  <c r="AC81" i="7"/>
  <c r="Q81" i="7"/>
  <c r="AQ80" i="7"/>
  <c r="AD80" i="7" a="1"/>
  <c r="AD80" i="7" s="1"/>
  <c r="Q80" i="7"/>
  <c r="AC80" i="7" s="1"/>
  <c r="AQ79" i="7"/>
  <c r="AD79" i="7" a="1"/>
  <c r="AD79" i="7" s="1"/>
  <c r="AC79" i="7"/>
  <c r="Q79" i="7"/>
  <c r="AQ78" i="7"/>
  <c r="AD78" i="7" a="1"/>
  <c r="AD78" i="7" s="1"/>
  <c r="Q78" i="7"/>
  <c r="AC78" i="7" s="1"/>
  <c r="AQ77" i="7"/>
  <c r="Q77" i="7"/>
  <c r="AC77" i="7" s="1"/>
  <c r="AW76" i="7"/>
  <c r="AQ76" i="7"/>
  <c r="AD76" i="7" a="1"/>
  <c r="AD76" i="7" s="1"/>
  <c r="Q76" i="7"/>
  <c r="AC76" i="7" s="1"/>
  <c r="AW75" i="7"/>
  <c r="AQ75" i="7"/>
  <c r="AD75" i="7" a="1"/>
  <c r="AD75" i="7" s="1"/>
  <c r="AC75" i="7"/>
  <c r="Q75" i="7"/>
  <c r="AW74" i="7"/>
  <c r="AQ74" i="7"/>
  <c r="AD74" i="7" a="1"/>
  <c r="AD74" i="7" s="1"/>
  <c r="AC74" i="7"/>
  <c r="Q74" i="7"/>
  <c r="AW73" i="7"/>
  <c r="AQ73" i="7"/>
  <c r="Q73" i="7"/>
  <c r="AC73" i="7" s="1"/>
  <c r="AW72" i="7"/>
  <c r="AQ72" i="7"/>
  <c r="AD72" i="7" a="1"/>
  <c r="AD72" i="7" s="1"/>
  <c r="Q72" i="7"/>
  <c r="AC72" i="7" s="1"/>
  <c r="AW71" i="7"/>
  <c r="AQ71" i="7"/>
  <c r="AC71" i="7"/>
  <c r="Q71" i="7"/>
  <c r="AW70" i="7"/>
  <c r="AQ70" i="7"/>
  <c r="AD70" i="7" a="1"/>
  <c r="AD70" i="7" s="1"/>
  <c r="AC70" i="7"/>
  <c r="Q70" i="7"/>
  <c r="AW69" i="7"/>
  <c r="AQ69" i="7"/>
  <c r="AD69" i="7" a="1"/>
  <c r="AD69" i="7" s="1"/>
  <c r="AC69" i="7"/>
  <c r="Q69" i="7"/>
  <c r="AW68" i="7"/>
  <c r="AQ68" i="7"/>
  <c r="AD68" i="7" a="1"/>
  <c r="AD68" i="7" s="1"/>
  <c r="AC68" i="7"/>
  <c r="Q68" i="7"/>
  <c r="AW67" i="7"/>
  <c r="AQ67" i="7"/>
  <c r="AD67" i="7" a="1"/>
  <c r="AD67" i="7" s="1"/>
  <c r="Q67" i="7"/>
  <c r="AC67" i="7" s="1"/>
  <c r="AW66" i="7"/>
  <c r="AQ66" i="7"/>
  <c r="AD66" i="7" a="1"/>
  <c r="AD66" i="7" s="1"/>
  <c r="AC66" i="7"/>
  <c r="Q66" i="7"/>
  <c r="AW65" i="7"/>
  <c r="AQ65" i="7"/>
  <c r="AD65" i="7" a="1"/>
  <c r="AD65" i="7" s="1"/>
  <c r="AC65" i="7"/>
  <c r="Q65" i="7"/>
  <c r="AW64" i="7"/>
  <c r="AQ64" i="7"/>
  <c r="AD64" i="7" a="1"/>
  <c r="AD64" i="7" s="1"/>
  <c r="Q64" i="7"/>
  <c r="AC64" i="7" s="1"/>
  <c r="AQ63" i="7"/>
  <c r="AD63" i="7" a="1"/>
  <c r="AD63" i="7" s="1"/>
  <c r="Q63" i="7"/>
  <c r="AC63" i="7" s="1"/>
  <c r="AQ62" i="7"/>
  <c r="AD62" i="7" a="1"/>
  <c r="AD62" i="7" s="1"/>
  <c r="AC62" i="7"/>
  <c r="Q62" i="7"/>
  <c r="AQ61" i="7"/>
  <c r="AD61" i="7" a="1"/>
  <c r="AD61" i="7" s="1"/>
  <c r="AC61" i="7"/>
  <c r="Q61" i="7"/>
  <c r="AQ60" i="7"/>
  <c r="AD60" i="7" a="1"/>
  <c r="AD60" i="7" s="1"/>
  <c r="Q60" i="7"/>
  <c r="AC60" i="7" s="1"/>
  <c r="AQ59" i="7"/>
  <c r="AD59" i="7" a="1"/>
  <c r="AD59" i="7" s="1"/>
  <c r="Q59" i="7"/>
  <c r="AC59" i="7" s="1"/>
  <c r="AQ58" i="7"/>
  <c r="AD58" i="7" a="1"/>
  <c r="AD58" i="7" s="1"/>
  <c r="AC58" i="7"/>
  <c r="Q58" i="7"/>
  <c r="L58" i="7"/>
  <c r="AQ57" i="7"/>
  <c r="AC57" i="7"/>
  <c r="Q57" i="7"/>
  <c r="AQ56" i="7"/>
  <c r="AD56" i="7" a="1"/>
  <c r="AD56" i="7" s="1"/>
  <c r="AC56" i="7"/>
  <c r="Q56" i="7"/>
  <c r="AQ55" i="7"/>
  <c r="AD55" i="7" a="1"/>
  <c r="AD55" i="7" s="1"/>
  <c r="Q55" i="7"/>
  <c r="AC55" i="7" s="1"/>
  <c r="AQ54" i="7"/>
  <c r="AD54" i="7" a="1"/>
  <c r="AD54" i="7" s="1"/>
  <c r="AC54" i="7"/>
  <c r="Q54" i="7"/>
  <c r="AQ53" i="7"/>
  <c r="AD53" i="7" a="1"/>
  <c r="AD53" i="7" s="1"/>
  <c r="Q53" i="7"/>
  <c r="AC53" i="7" s="1"/>
  <c r="AQ52" i="7"/>
  <c r="AD52" i="7" a="1"/>
  <c r="AD52" i="7" s="1"/>
  <c r="Q52" i="7"/>
  <c r="AC52" i="7" s="1"/>
  <c r="AQ51" i="7"/>
  <c r="AD51" i="7" a="1"/>
  <c r="AD51" i="7" s="1"/>
  <c r="Q51" i="7"/>
  <c r="AC51" i="7" s="1"/>
  <c r="AQ50" i="7"/>
  <c r="AD50" i="7" a="1"/>
  <c r="AD50" i="7" s="1"/>
  <c r="Q50" i="7"/>
  <c r="AC50" i="7" s="1"/>
  <c r="AQ49" i="7"/>
  <c r="AD49" i="7" a="1"/>
  <c r="AD49" i="7" s="1"/>
  <c r="Q49" i="7"/>
  <c r="AC49" i="7" s="1"/>
  <c r="AQ48" i="7"/>
  <c r="AD48" i="7" a="1"/>
  <c r="AD48" i="7" s="1"/>
  <c r="Q48" i="7"/>
  <c r="AC48" i="7" s="1"/>
  <c r="AQ47" i="7"/>
  <c r="AD47" i="7" a="1"/>
  <c r="AD47" i="7" s="1"/>
  <c r="AC47" i="7"/>
  <c r="Q47" i="7"/>
  <c r="AQ46" i="7"/>
  <c r="AD46" i="7" a="1"/>
  <c r="AD46" i="7" s="1"/>
  <c r="AC46" i="7"/>
  <c r="Q46" i="7"/>
  <c r="AQ45" i="7"/>
  <c r="AD45" i="7" a="1"/>
  <c r="AD45" i="7" s="1"/>
  <c r="Q45" i="7"/>
  <c r="AC45" i="7" s="1"/>
  <c r="AQ44" i="7"/>
  <c r="AD44" i="7" a="1"/>
  <c r="AD44" i="7" s="1"/>
  <c r="Q44" i="7"/>
  <c r="AC44" i="7" s="1"/>
  <c r="AQ43" i="7"/>
  <c r="AD43" i="7" a="1"/>
  <c r="AD43" i="7" s="1"/>
  <c r="AC43" i="7"/>
  <c r="Q43" i="7"/>
  <c r="AQ42" i="7"/>
  <c r="AD42" i="7" a="1"/>
  <c r="AD42" i="7" s="1"/>
  <c r="AC42" i="7"/>
  <c r="Q42" i="7"/>
  <c r="AQ41" i="7"/>
  <c r="AD41" i="7" a="1"/>
  <c r="AD41" i="7" s="1"/>
  <c r="Q41" i="7"/>
  <c r="AC41" i="7" s="1"/>
  <c r="AQ40" i="7"/>
  <c r="AD40" i="7" a="1"/>
  <c r="AD40" i="7" s="1"/>
  <c r="Q40" i="7"/>
  <c r="AC40" i="7" s="1"/>
  <c r="AQ39" i="7"/>
  <c r="AC39" i="7"/>
  <c r="Q39" i="7"/>
  <c r="AQ38" i="7"/>
  <c r="AD38" i="7" a="1"/>
  <c r="AD38" i="7" s="1"/>
  <c r="AC38" i="7"/>
  <c r="Q38" i="7"/>
  <c r="AQ37" i="7"/>
  <c r="AD37" i="7" a="1"/>
  <c r="AD37" i="7" s="1"/>
  <c r="AC37" i="7"/>
  <c r="Q37" i="7"/>
  <c r="AQ36" i="7"/>
  <c r="AD36" i="7" a="1"/>
  <c r="AD36" i="7" s="1"/>
  <c r="Q36" i="7"/>
  <c r="AC36" i="7" s="1"/>
  <c r="AQ35" i="7"/>
  <c r="AD35" i="7" a="1"/>
  <c r="AD35" i="7" s="1"/>
  <c r="Q35" i="7"/>
  <c r="AC35" i="7" s="1"/>
  <c r="AQ34" i="7"/>
  <c r="AD34" i="7" a="1"/>
  <c r="AD34" i="7" s="1"/>
  <c r="AC34" i="7"/>
  <c r="Q34" i="7"/>
  <c r="AQ33" i="7"/>
  <c r="AD33" i="7" a="1"/>
  <c r="AD33" i="7" s="1"/>
  <c r="AC33" i="7"/>
  <c r="Q33" i="7"/>
  <c r="AQ32" i="7"/>
  <c r="AD32" i="7" a="1"/>
  <c r="AD32" i="7" s="1"/>
  <c r="Q32" i="7"/>
  <c r="AC32" i="7" s="1"/>
  <c r="AQ31" i="7"/>
  <c r="AD31" i="7" a="1"/>
  <c r="AD31" i="7" s="1"/>
  <c r="Q31" i="7"/>
  <c r="AC31" i="7" s="1"/>
  <c r="AQ30" i="7"/>
  <c r="AD30" i="7" a="1"/>
  <c r="AD30" i="7" s="1"/>
  <c r="AC30" i="7"/>
  <c r="Q30" i="7"/>
  <c r="AQ29" i="7"/>
  <c r="AD29" i="7" a="1"/>
  <c r="AD29" i="7" s="1"/>
  <c r="Q29" i="7"/>
  <c r="AC29" i="7" s="1"/>
  <c r="AQ28" i="7"/>
  <c r="AD28" i="7" a="1"/>
  <c r="AD28" i="7" s="1"/>
  <c r="AC28" i="7"/>
  <c r="Q28" i="7"/>
  <c r="AQ27" i="7"/>
  <c r="AL27" i="7"/>
  <c r="AD27" i="7" a="1"/>
  <c r="AD27" i="7" s="1"/>
  <c r="AC27" i="7"/>
  <c r="Q27" i="7"/>
  <c r="AQ26" i="7"/>
  <c r="AD26" i="7" a="1"/>
  <c r="AD26" i="7" s="1"/>
  <c r="AC26" i="7"/>
  <c r="Q26" i="7"/>
  <c r="AQ25" i="7"/>
  <c r="AD25" i="7" a="1"/>
  <c r="AD25" i="7" s="1"/>
  <c r="Q25" i="7"/>
  <c r="AC25" i="7" s="1"/>
  <c r="AQ24" i="7"/>
  <c r="AD24" i="7" a="1"/>
  <c r="AD24" i="7" s="1"/>
  <c r="AC24" i="7"/>
  <c r="Q24" i="7"/>
  <c r="AQ23" i="7"/>
  <c r="AD23" i="7" a="1"/>
  <c r="AD23" i="7" s="1"/>
  <c r="AC23" i="7"/>
  <c r="Q23" i="7"/>
  <c r="AQ22" i="7"/>
  <c r="AD22" i="7" a="1"/>
  <c r="AD22" i="7" s="1"/>
  <c r="AC22" i="7"/>
  <c r="Q22" i="7"/>
  <c r="AQ21" i="7"/>
  <c r="AD21" i="7" a="1"/>
  <c r="AD21" i="7" s="1"/>
  <c r="Q21" i="7"/>
  <c r="AC21" i="7" s="1"/>
  <c r="AQ20" i="7"/>
  <c r="AD20" i="7" a="1"/>
  <c r="AD20" i="7" s="1"/>
  <c r="Q20" i="7"/>
  <c r="AC20" i="7" s="1"/>
  <c r="J20" i="7"/>
  <c r="I20" i="7"/>
  <c r="AV19" i="7"/>
  <c r="AU19" i="7"/>
  <c r="AT19" i="7"/>
  <c r="AS19" i="7"/>
  <c r="AR19" i="7"/>
  <c r="V18" i="7"/>
  <c r="Y15" i="7"/>
  <c r="AD11" i="7"/>
  <c r="AD12" i="7" s="1"/>
  <c r="AE12" i="7" s="1"/>
  <c r="AG10" i="7"/>
  <c r="AH10" i="7" s="1"/>
  <c r="AE10" i="7"/>
  <c r="AF10" i="7" s="1"/>
  <c r="AD7" i="7"/>
  <c r="AE7" i="7" s="1"/>
  <c r="AC2" i="7"/>
  <c r="AH1" i="7"/>
  <c r="AG1" i="7"/>
  <c r="AD1" i="7"/>
  <c r="AC1" i="7"/>
  <c r="W1" i="7"/>
  <c r="AR87" i="7" a="1"/>
  <c r="AR92" i="7" a="1"/>
  <c r="AR45" i="7" a="1"/>
  <c r="AX21" i="7" a="1"/>
  <c r="AR66" i="7" a="1"/>
  <c r="AR83" i="7" a="1"/>
  <c r="AR47" i="7" a="1"/>
  <c r="AR102" i="7" a="1"/>
  <c r="AR44" i="7" a="1"/>
  <c r="AR95" i="7" a="1"/>
  <c r="AR24" i="7" a="1"/>
  <c r="AX25" i="7" a="1"/>
  <c r="AR27" i="7" a="1"/>
  <c r="AR57" i="7" a="1"/>
  <c r="AR82" i="7" a="1"/>
  <c r="AR48" i="7" a="1"/>
  <c r="AR98" i="7" a="1"/>
  <c r="AR81" i="7" a="1"/>
  <c r="AR20" i="7" a="1"/>
  <c r="AR104" i="7" a="1"/>
  <c r="AR88" i="7" a="1"/>
  <c r="AR75" i="7" a="1"/>
  <c r="AR68" i="7" a="1"/>
  <c r="AR89" i="7" a="1"/>
  <c r="AR86" i="7" a="1"/>
  <c r="AR74" i="7" a="1"/>
  <c r="AX23" i="7" a="1"/>
  <c r="AR49" i="7" a="1"/>
  <c r="AR62" i="7" a="1"/>
  <c r="AR36" i="7" a="1"/>
  <c r="AR41" i="7" a="1"/>
  <c r="AR59" i="7" a="1"/>
  <c r="AR33" i="7" a="1"/>
  <c r="AR26" i="7" a="1"/>
  <c r="BI65" i="8" a="1"/>
  <c r="AR58" i="7" a="1"/>
  <c r="AR38" i="7" a="1"/>
  <c r="AR107" i="7" a="1"/>
  <c r="AR31" i="7" a="1"/>
  <c r="AR23" i="7" a="1"/>
  <c r="AR34" i="7" a="1"/>
  <c r="AR78" i="7" a="1"/>
  <c r="AR43" i="7" a="1"/>
  <c r="AX22" i="7" a="1"/>
  <c r="AR71" i="7" a="1"/>
  <c r="AR46" i="7" a="1"/>
  <c r="AX24" i="7" a="1"/>
  <c r="AR77" i="7" a="1"/>
  <c r="AR40" i="7" a="1"/>
  <c r="BI64" i="8" a="1"/>
  <c r="AR39" i="7" a="1"/>
  <c r="AR35" i="7" a="1"/>
  <c r="AR109" i="7" a="1"/>
  <c r="AR63" i="7" a="1"/>
  <c r="AR37" i="7" a="1"/>
  <c r="AR70" i="7" a="1"/>
  <c r="AR42" i="7" a="1"/>
  <c r="AR65" i="7" a="1"/>
  <c r="AX20" i="7" a="1"/>
  <c r="AX26" i="7" a="1"/>
  <c r="AR91" i="7" a="1"/>
  <c r="AR96" i="7" a="1"/>
  <c r="AR84" i="7" a="1"/>
  <c r="AM99" i="8" l="1" a="1"/>
  <c r="AM99" i="8" s="1"/>
  <c r="AM114" i="8" a="1"/>
  <c r="AM114" i="8" s="1"/>
  <c r="AM109" i="8" a="1"/>
  <c r="AM109" i="8" s="1"/>
  <c r="AM104" i="8" a="1"/>
  <c r="AM104" i="8" s="1"/>
  <c r="AR30" i="7"/>
  <c r="AP2" i="8"/>
  <c r="AO2" i="8"/>
  <c r="AN8" i="8"/>
  <c r="AN7" i="8"/>
  <c r="AM12" i="8"/>
  <c r="AN11" i="8"/>
  <c r="AN12" i="8" s="1"/>
  <c r="AG49" i="17"/>
  <c r="AF49" i="17"/>
  <c r="AE49" i="17"/>
  <c r="AD49" i="17"/>
  <c r="AC49" i="17"/>
  <c r="AG49" i="6"/>
  <c r="AF49" i="6"/>
  <c r="AE49" i="6"/>
  <c r="AD49" i="6"/>
  <c r="AC49" i="6"/>
  <c r="AD54" i="4"/>
  <c r="J49" i="17"/>
  <c r="H49" i="17"/>
  <c r="F49" i="17"/>
  <c r="D49" i="17"/>
  <c r="C49" i="17"/>
  <c r="E49" i="17"/>
  <c r="G49" i="17"/>
  <c r="I49" i="17"/>
  <c r="J49" i="6"/>
  <c r="I49" i="6"/>
  <c r="H49" i="6"/>
  <c r="G49" i="6"/>
  <c r="F49" i="6"/>
  <c r="E49" i="6"/>
  <c r="C49" i="6"/>
  <c r="D49" i="6"/>
  <c r="W18" i="7"/>
  <c r="AR47" i="7"/>
  <c r="AR26" i="7"/>
  <c r="AR24" i="7"/>
  <c r="AR27" i="7"/>
  <c r="AR23" i="7"/>
  <c r="AR33" i="7"/>
  <c r="AR20" i="7"/>
  <c r="AX20" i="7"/>
  <c r="AX21" i="7"/>
  <c r="AR66" i="7"/>
  <c r="AR37" i="7"/>
  <c r="AX26" i="7"/>
  <c r="AR49" i="7"/>
  <c r="AR38" i="7"/>
  <c r="AR41" i="7"/>
  <c r="AR39" i="7"/>
  <c r="AR44" i="7"/>
  <c r="AR68" i="7"/>
  <c r="AR45" i="7"/>
  <c r="AR48" i="7"/>
  <c r="AR42" i="7"/>
  <c r="AR65" i="7"/>
  <c r="AR40" i="7"/>
  <c r="AX22" i="7"/>
  <c r="AR31" i="7"/>
  <c r="AR34" i="7"/>
  <c r="AR43" i="7"/>
  <c r="AR57" i="7"/>
  <c r="AR36" i="7"/>
  <c r="AR46" i="7"/>
  <c r="AX23" i="7"/>
  <c r="AR71" i="7"/>
  <c r="AR35" i="7"/>
  <c r="AX24" i="7"/>
  <c r="AX25" i="7"/>
  <c r="AR58" i="7"/>
  <c r="AR62" i="7"/>
  <c r="AR95" i="7"/>
  <c r="AR70" i="7"/>
  <c r="AR75" i="7"/>
  <c r="AR59" i="7"/>
  <c r="AR63" i="7"/>
  <c r="AR81" i="7"/>
  <c r="AR92" i="7"/>
  <c r="AR77" i="7"/>
  <c r="AR82" i="7"/>
  <c r="AR83" i="7"/>
  <c r="AR84" i="7"/>
  <c r="AR86" i="7"/>
  <c r="AR74" i="7"/>
  <c r="AR78" i="7"/>
  <c r="AR87" i="7"/>
  <c r="AR89" i="7"/>
  <c r="AR91" i="7"/>
  <c r="AR96" i="7"/>
  <c r="AR88" i="7"/>
  <c r="AR98" i="7"/>
  <c r="AR104" i="7"/>
  <c r="AR102" i="7"/>
  <c r="AR109" i="7"/>
  <c r="AR107" i="7"/>
  <c r="BI65" i="8"/>
  <c r="BI64" i="8"/>
  <c r="AE60" i="7" a="1"/>
  <c r="AE60" i="7" s="1"/>
  <c r="AJ60" i="7" s="1"/>
  <c r="AE63" i="7" a="1"/>
  <c r="AE63" i="7" s="1"/>
  <c r="AF63" i="7" s="1" a="1"/>
  <c r="AF63" i="7" s="1"/>
  <c r="AE61" i="7" a="1"/>
  <c r="AE61" i="7" s="1"/>
  <c r="AJ61" i="7" s="1"/>
  <c r="AE46" i="7" a="1"/>
  <c r="AE46" i="7" s="1"/>
  <c r="AJ46" i="7" s="1"/>
  <c r="AE42" i="7" a="1"/>
  <c r="AE42" i="7" s="1"/>
  <c r="AJ42" i="7" s="1"/>
  <c r="AE53" i="7" a="1"/>
  <c r="AE53" i="7" s="1"/>
  <c r="AF53" i="7" s="1" a="1"/>
  <c r="AF53" i="7" s="1"/>
  <c r="AE57" i="7" a="1"/>
  <c r="AE57" i="7" s="1"/>
  <c r="AE40" i="7" a="1"/>
  <c r="AE40" i="7" s="1"/>
  <c r="AE49" i="7" a="1"/>
  <c r="AE49" i="7" s="1"/>
  <c r="AE51" i="7" a="1"/>
  <c r="AE51" i="7" s="1"/>
  <c r="AE43" i="7" a="1"/>
  <c r="AE43" i="7" s="1"/>
  <c r="AE58" i="7" a="1"/>
  <c r="AE58" i="7" s="1"/>
  <c r="AF58" i="7" s="1" a="1"/>
  <c r="AF58" i="7" s="1"/>
  <c r="AE28" i="7" a="1"/>
  <c r="AE28" i="7" s="1"/>
  <c r="AF1" i="7"/>
  <c r="AE1" i="7"/>
  <c r="AE25" i="7" s="1" a="1"/>
  <c r="AE25" i="7" s="1"/>
  <c r="AE38" i="7" a="1"/>
  <c r="AE38" i="7" s="1"/>
  <c r="AE11" i="7"/>
  <c r="AF11" i="7" s="1"/>
  <c r="AD2" i="7"/>
  <c r="V91" i="7" a="1"/>
  <c r="V91" i="7" s="1"/>
  <c r="V99" i="7" a="1"/>
  <c r="V99" i="7" s="1"/>
  <c r="V95" i="7" a="1"/>
  <c r="V95" i="7" s="1"/>
  <c r="V103" i="7" a="1"/>
  <c r="V103" i="7" s="1"/>
  <c r="V82" i="7" a="1"/>
  <c r="V82" i="7" s="1"/>
  <c r="V107" i="7" a="1"/>
  <c r="V107" i="7" s="1"/>
  <c r="V57" i="7" a="1"/>
  <c r="V57" i="7" s="1"/>
  <c r="V77" i="7" a="1"/>
  <c r="V77" i="7" s="1"/>
  <c r="V63" i="7" a="1"/>
  <c r="V63" i="7" s="1"/>
  <c r="V51" i="7" a="1"/>
  <c r="V51" i="7" s="1"/>
  <c r="V39" i="7" a="1"/>
  <c r="V39" i="7" s="1"/>
  <c r="V71" i="7" a="1"/>
  <c r="V71" i="7" s="1"/>
  <c r="V46" i="7" a="1"/>
  <c r="V46" i="7" s="1"/>
  <c r="V30" i="7" a="1"/>
  <c r="V30" i="7" s="1"/>
  <c r="V87" i="7" a="1"/>
  <c r="V87" i="7" s="1"/>
  <c r="AE22" i="7" a="1"/>
  <c r="AE22" i="7" s="1"/>
  <c r="W107" i="7" a="1"/>
  <c r="W107" i="7" s="1"/>
  <c r="W103" i="7" a="1"/>
  <c r="W103" i="7" s="1"/>
  <c r="W99" i="7" a="1"/>
  <c r="W99" i="7" s="1"/>
  <c r="W95" i="7" a="1"/>
  <c r="W95" i="7" s="1"/>
  <c r="W82" i="7" a="1"/>
  <c r="W82" i="7" s="1"/>
  <c r="W91" i="7" a="1"/>
  <c r="W91" i="7" s="1"/>
  <c r="W77" i="7" a="1"/>
  <c r="W77" i="7" s="1"/>
  <c r="W87" i="7" a="1"/>
  <c r="W87" i="7" s="1"/>
  <c r="W46" i="7" a="1"/>
  <c r="W46" i="7" s="1"/>
  <c r="W71" i="7" a="1"/>
  <c r="W71" i="7" s="1"/>
  <c r="W57" i="7" a="1"/>
  <c r="W57" i="7" s="1"/>
  <c r="W30" i="7" a="1"/>
  <c r="W30" i="7" s="1"/>
  <c r="W63" i="7" a="1"/>
  <c r="W63" i="7" s="1"/>
  <c r="X18" i="7"/>
  <c r="Y18" i="7" s="1"/>
  <c r="AE20" i="7" a="1"/>
  <c r="AE20" i="7" s="1"/>
  <c r="AJ20" i="7" s="1"/>
  <c r="W51" i="7" a="1"/>
  <c r="W51" i="7" s="1"/>
  <c r="AE30" i="7" a="1"/>
  <c r="AE30" i="7" s="1"/>
  <c r="AF30" i="7" s="1" a="1"/>
  <c r="AF30" i="7" s="1"/>
  <c r="AG30" i="7" s="1" a="1"/>
  <c r="AG30" i="7" s="1"/>
  <c r="AH30" i="7" s="1" a="1"/>
  <c r="AH30" i="7" s="1"/>
  <c r="AE33" i="7" a="1"/>
  <c r="AE33" i="7" s="1"/>
  <c r="W39" i="7" a="1"/>
  <c r="W39" i="7" s="1"/>
  <c r="AE23" i="7" a="1"/>
  <c r="AE23" i="7" s="1"/>
  <c r="C185" i="7"/>
  <c r="AN2" i="8"/>
  <c r="C177" i="7"/>
  <c r="C183" i="7"/>
  <c r="C182" i="7"/>
  <c r="C181" i="7"/>
  <c r="C178" i="7"/>
  <c r="AP1" i="8"/>
  <c r="AO1" i="8"/>
  <c r="AN1" i="8"/>
  <c r="AM1" i="8"/>
  <c r="AL1" i="8"/>
  <c r="AL2" i="8"/>
  <c r="AM2" i="8"/>
  <c r="AE18" i="8"/>
  <c r="K271" i="7"/>
  <c r="AM27" i="8" a="1"/>
  <c r="AM27" i="8" s="1"/>
  <c r="AB69" i="4" s="1"/>
  <c r="C271" i="7"/>
  <c r="C73" i="8"/>
  <c r="C69" i="8"/>
  <c r="C75" i="8"/>
  <c r="C68" i="8"/>
  <c r="C65" i="8"/>
  <c r="C71" i="8"/>
  <c r="C67" i="8"/>
  <c r="C74" i="8"/>
  <c r="C72" i="8"/>
  <c r="C66" i="8"/>
  <c r="J277" i="8"/>
  <c r="I277" i="8"/>
  <c r="C277" i="8"/>
  <c r="K277" i="8"/>
  <c r="K4" i="6"/>
  <c r="L4" i="6"/>
  <c r="M4" i="6"/>
  <c r="N4" i="6"/>
  <c r="O4" i="6"/>
  <c r="P4" i="6"/>
  <c r="Q4" i="6"/>
  <c r="R4" i="6"/>
  <c r="S4" i="6"/>
  <c r="T4" i="6"/>
  <c r="U4" i="6"/>
  <c r="V4" i="6"/>
  <c r="W4" i="6"/>
  <c r="X4" i="6"/>
  <c r="Y4" i="6"/>
  <c r="Z4" i="6"/>
  <c r="AI4" i="6"/>
  <c r="AO4" i="6" s="1"/>
  <c r="AJ4" i="6"/>
  <c r="AK4" i="6"/>
  <c r="AL4" i="6"/>
  <c r="AR4" i="6" s="1"/>
  <c r="AM4" i="6"/>
  <c r="AP4" i="6"/>
  <c r="AQ4" i="6"/>
  <c r="AS4" i="6"/>
  <c r="A6" i="6"/>
  <c r="E6" i="6"/>
  <c r="G6" i="6"/>
  <c r="W13" i="6" s="1"/>
  <c r="I6" i="6"/>
  <c r="AK67" i="4"/>
  <c r="CN28" i="13" s="1"/>
  <c r="W20" i="7" a="1"/>
  <c r="W20" i="7" s="1"/>
  <c r="S20" i="7" s="1"/>
  <c r="S6" i="6"/>
  <c r="T6" i="6"/>
  <c r="U6" i="6"/>
  <c r="V6" i="6"/>
  <c r="X6" i="6"/>
  <c r="Z6" i="6"/>
  <c r="AO6" i="6"/>
  <c r="AP6" i="6"/>
  <c r="AQ6" i="6"/>
  <c r="AR6" i="6"/>
  <c r="AS6" i="6"/>
  <c r="A7" i="6"/>
  <c r="A8" i="6" s="1"/>
  <c r="E7" i="6"/>
  <c r="G7" i="6"/>
  <c r="W7" i="6" s="1"/>
  <c r="I7" i="6"/>
  <c r="AK65" i="4"/>
  <c r="CN27" i="13" s="1"/>
  <c r="W22" i="7" a="1"/>
  <c r="W22" i="7" s="1"/>
  <c r="S7" i="6"/>
  <c r="T7" i="6"/>
  <c r="U7" i="6"/>
  <c r="V7" i="6"/>
  <c r="X7" i="6"/>
  <c r="Z7" i="6"/>
  <c r="AO7" i="6"/>
  <c r="AP7" i="6"/>
  <c r="AQ7" i="6"/>
  <c r="AR7" i="6"/>
  <c r="AS7" i="6"/>
  <c r="E8" i="6"/>
  <c r="U8" i="6" s="1"/>
  <c r="G8" i="6"/>
  <c r="I8" i="6"/>
  <c r="V23" i="7" a="1"/>
  <c r="V23" i="7" s="1"/>
  <c r="W23" i="7" a="1"/>
  <c r="W23" i="7" s="1"/>
  <c r="S8" i="6"/>
  <c r="T8" i="6"/>
  <c r="V8" i="6"/>
  <c r="X8" i="6"/>
  <c r="Y8" i="6"/>
  <c r="Z8" i="6"/>
  <c r="AO8" i="6"/>
  <c r="AP8" i="6"/>
  <c r="AQ8" i="6"/>
  <c r="AR8" i="6"/>
  <c r="AS8" i="6"/>
  <c r="E9" i="6"/>
  <c r="U9" i="6" s="1"/>
  <c r="G9" i="6"/>
  <c r="I9" i="6"/>
  <c r="Y9" i="6" s="1"/>
  <c r="V24" i="7" a="1"/>
  <c r="V24" i="7" s="1"/>
  <c r="S9" i="6"/>
  <c r="T9" i="6"/>
  <c r="V9" i="6"/>
  <c r="W9" i="6"/>
  <c r="X9" i="6"/>
  <c r="Z9" i="6"/>
  <c r="AO9" i="6"/>
  <c r="AP9" i="6"/>
  <c r="AQ9" i="6"/>
  <c r="AR9" i="6"/>
  <c r="AS9" i="6"/>
  <c r="E10" i="6"/>
  <c r="G10" i="6"/>
  <c r="I10" i="6"/>
  <c r="Y10" i="6" s="1"/>
  <c r="V25" i="7" a="1"/>
  <c r="V25" i="7" s="1"/>
  <c r="W25" i="7" a="1"/>
  <c r="W25" i="7" s="1"/>
  <c r="S10" i="6"/>
  <c r="T10" i="6"/>
  <c r="V10" i="6"/>
  <c r="W10" i="6"/>
  <c r="X10" i="6"/>
  <c r="Z10" i="6"/>
  <c r="AO10" i="6"/>
  <c r="AP10" i="6"/>
  <c r="AQ10" i="6"/>
  <c r="AR10" i="6"/>
  <c r="AS10" i="6"/>
  <c r="E11" i="6"/>
  <c r="G11" i="6"/>
  <c r="W11" i="6" s="1"/>
  <c r="I11" i="6"/>
  <c r="V26" i="7" a="1"/>
  <c r="V26" i="7" s="1"/>
  <c r="S11" i="6"/>
  <c r="T11" i="6"/>
  <c r="U11" i="6"/>
  <c r="V11" i="6"/>
  <c r="X11" i="6"/>
  <c r="Z11" i="6"/>
  <c r="AO11" i="6"/>
  <c r="AP11" i="6"/>
  <c r="AQ11" i="6"/>
  <c r="AR11" i="6"/>
  <c r="AS11" i="6"/>
  <c r="E12" i="6"/>
  <c r="G12" i="6"/>
  <c r="I12" i="6"/>
  <c r="S12" i="6"/>
  <c r="T12" i="6"/>
  <c r="U12" i="6"/>
  <c r="V12" i="6"/>
  <c r="X12" i="6"/>
  <c r="Z12" i="6"/>
  <c r="AO12" i="6"/>
  <c r="AP12" i="6"/>
  <c r="AQ12" i="6"/>
  <c r="AR12" i="6"/>
  <c r="AS12" i="6"/>
  <c r="E13" i="6"/>
  <c r="G13" i="6"/>
  <c r="I13" i="6"/>
  <c r="S13" i="6"/>
  <c r="T13" i="6"/>
  <c r="V13" i="6"/>
  <c r="X13" i="6"/>
  <c r="Z13" i="6"/>
  <c r="AO13" i="6"/>
  <c r="AP13" i="6"/>
  <c r="AQ13" i="6"/>
  <c r="AR13" i="6"/>
  <c r="AS13" i="6"/>
  <c r="E14" i="6"/>
  <c r="U14" i="6" s="1"/>
  <c r="G14" i="6"/>
  <c r="I14" i="6"/>
  <c r="V27" i="7" a="1"/>
  <c r="V27" i="7" s="1"/>
  <c r="S14" i="6"/>
  <c r="T14" i="6"/>
  <c r="V14" i="6"/>
  <c r="W14" i="6"/>
  <c r="X14" i="6"/>
  <c r="Z14" i="6"/>
  <c r="AJ14" i="6"/>
  <c r="AK14" i="6" s="1"/>
  <c r="AO14" i="6"/>
  <c r="AP14" i="6"/>
  <c r="AZ14" i="6"/>
  <c r="E15" i="6"/>
  <c r="U15" i="6" s="1"/>
  <c r="G15" i="6"/>
  <c r="I15" i="6"/>
  <c r="V28" i="7" a="1"/>
  <c r="V28" i="7" s="1"/>
  <c r="W28" i="7" a="1"/>
  <c r="W28" i="7" s="1"/>
  <c r="S15" i="6"/>
  <c r="T15" i="6"/>
  <c r="V15" i="6"/>
  <c r="X15" i="6"/>
  <c r="Y15" i="6"/>
  <c r="Z15" i="6"/>
  <c r="AO15" i="6"/>
  <c r="AP15" i="6"/>
  <c r="AQ15" i="6"/>
  <c r="AR15" i="6"/>
  <c r="AS15" i="6"/>
  <c r="E16" i="6"/>
  <c r="U16" i="6" s="1"/>
  <c r="G16" i="6"/>
  <c r="I16" i="6"/>
  <c r="Y16" i="6" s="1"/>
  <c r="S16" i="6"/>
  <c r="T16" i="6"/>
  <c r="V16" i="6"/>
  <c r="W16" i="6"/>
  <c r="X16" i="6"/>
  <c r="Z16" i="6"/>
  <c r="AO16" i="6"/>
  <c r="AP16" i="6"/>
  <c r="AQ16" i="6"/>
  <c r="AR16" i="6"/>
  <c r="AS16" i="6"/>
  <c r="E17" i="6"/>
  <c r="G17" i="6"/>
  <c r="I17" i="6"/>
  <c r="Y17" i="6" s="1"/>
  <c r="S17" i="6"/>
  <c r="T17" i="6"/>
  <c r="V17" i="6"/>
  <c r="W17" i="6"/>
  <c r="X17" i="6"/>
  <c r="Z17" i="6"/>
  <c r="AO17" i="6"/>
  <c r="AP17" i="6"/>
  <c r="AQ17" i="6"/>
  <c r="AR17" i="6"/>
  <c r="AS17" i="6"/>
  <c r="E18" i="6"/>
  <c r="G18" i="6"/>
  <c r="W18" i="6" s="1"/>
  <c r="I18" i="6"/>
  <c r="AK70" i="4"/>
  <c r="CN32" i="13" s="1"/>
  <c r="W29" i="7" a="1"/>
  <c r="W29" i="7" s="1"/>
  <c r="S18" i="6"/>
  <c r="T18" i="6"/>
  <c r="U18" i="6"/>
  <c r="V18" i="6"/>
  <c r="X18" i="6"/>
  <c r="Z18" i="6"/>
  <c r="AO18" i="6"/>
  <c r="AP18" i="6"/>
  <c r="AQ18" i="6"/>
  <c r="AR18" i="6"/>
  <c r="AS18" i="6"/>
  <c r="A21" i="6"/>
  <c r="A22" i="6" s="1"/>
  <c r="A23" i="6" s="1"/>
  <c r="A24" i="6" s="1"/>
  <c r="A25" i="6" s="1"/>
  <c r="A26" i="6" s="1"/>
  <c r="A27" i="6" s="1"/>
  <c r="A28" i="6" s="1"/>
  <c r="E23" i="6"/>
  <c r="U23" i="6" s="1"/>
  <c r="G23" i="6"/>
  <c r="I23" i="6"/>
  <c r="V47" i="7" a="1"/>
  <c r="V47" i="7" s="1"/>
  <c r="W47" i="7" a="1"/>
  <c r="W47" i="7" s="1"/>
  <c r="S23" i="6"/>
  <c r="T23" i="6"/>
  <c r="V23" i="6"/>
  <c r="W23" i="6"/>
  <c r="X23" i="6"/>
  <c r="Y23" i="6"/>
  <c r="Z23" i="6"/>
  <c r="E24" i="6"/>
  <c r="G24" i="6"/>
  <c r="I24" i="6"/>
  <c r="Y24" i="6" s="1"/>
  <c r="S24" i="6"/>
  <c r="T24" i="6"/>
  <c r="U24" i="6"/>
  <c r="V24" i="6"/>
  <c r="W24" i="6"/>
  <c r="X24" i="6"/>
  <c r="Z24" i="6"/>
  <c r="E25" i="6"/>
  <c r="G25" i="6"/>
  <c r="W25" i="6" s="1"/>
  <c r="I25" i="6"/>
  <c r="V49" i="7" a="1"/>
  <c r="V49" i="7" s="1"/>
  <c r="W49" i="7" a="1"/>
  <c r="W49" i="7" s="1"/>
  <c r="S25" i="6"/>
  <c r="T25" i="6"/>
  <c r="U25" i="6"/>
  <c r="V25" i="6"/>
  <c r="X25" i="6"/>
  <c r="Z25" i="6"/>
  <c r="E26" i="6"/>
  <c r="U26" i="6" s="1"/>
  <c r="G26" i="6"/>
  <c r="I26" i="6"/>
  <c r="V50" i="7" a="1"/>
  <c r="V50" i="7" s="1"/>
  <c r="W50" i="7" a="1"/>
  <c r="W50" i="7" s="1"/>
  <c r="S26" i="6"/>
  <c r="T26" i="6"/>
  <c r="V26" i="6"/>
  <c r="W26" i="6"/>
  <c r="X26" i="6"/>
  <c r="Y26" i="6"/>
  <c r="Z26" i="6"/>
  <c r="A29" i="6"/>
  <c r="A30" i="6" s="1"/>
  <c r="A31" i="6" s="1"/>
  <c r="A32" i="6" s="1"/>
  <c r="A33" i="6" s="1"/>
  <c r="A34" i="6" s="1"/>
  <c r="A35" i="6" s="1"/>
  <c r="A36" i="6" s="1"/>
  <c r="A37" i="6" s="1"/>
  <c r="A38" i="6" s="1"/>
  <c r="A39" i="6" s="1"/>
  <c r="A40" i="6" s="1"/>
  <c r="A41" i="6" s="1"/>
  <c r="A42" i="6" s="1"/>
  <c r="A43" i="6" s="1"/>
  <c r="A44" i="6" s="1"/>
  <c r="A45" i="6" s="1"/>
  <c r="S29" i="6"/>
  <c r="S46" i="6" s="1"/>
  <c r="T29" i="6"/>
  <c r="T46" i="6" s="1"/>
  <c r="V29" i="6"/>
  <c r="X29" i="6"/>
  <c r="Z29" i="6"/>
  <c r="E31" i="6"/>
  <c r="U41" i="6" s="1"/>
  <c r="G31" i="6"/>
  <c r="W32" i="6" s="1"/>
  <c r="I31" i="6"/>
  <c r="Y31" i="6" s="1"/>
  <c r="V40" i="7" a="1"/>
  <c r="V40" i="7" s="1"/>
  <c r="W40" i="7" a="1"/>
  <c r="W40" i="7" s="1"/>
  <c r="S31" i="6"/>
  <c r="T31" i="6"/>
  <c r="V31" i="6"/>
  <c r="W31" i="6"/>
  <c r="X31" i="6"/>
  <c r="Z31" i="6"/>
  <c r="E32" i="6"/>
  <c r="G32" i="6"/>
  <c r="I32" i="6"/>
  <c r="V34" i="7" a="1"/>
  <c r="V34" i="7" s="1"/>
  <c r="W42" i="7" a="1"/>
  <c r="W42" i="7" s="1"/>
  <c r="S32" i="6"/>
  <c r="T32" i="6"/>
  <c r="V32" i="6"/>
  <c r="X32" i="6"/>
  <c r="Y32" i="6"/>
  <c r="Z32" i="6"/>
  <c r="E33" i="6"/>
  <c r="G33" i="6"/>
  <c r="I33" i="6"/>
  <c r="Y33" i="6" s="1"/>
  <c r="V65" i="7" a="1"/>
  <c r="V65" i="7" s="1"/>
  <c r="W32" i="7" a="1"/>
  <c r="W32" i="7" s="1"/>
  <c r="S33" i="6"/>
  <c r="T33" i="6"/>
  <c r="V33" i="6"/>
  <c r="W33" i="6"/>
  <c r="X33" i="6"/>
  <c r="Z33" i="6"/>
  <c r="E34" i="6"/>
  <c r="U34" i="6" s="1"/>
  <c r="G34" i="6"/>
  <c r="I34" i="6"/>
  <c r="Y34" i="6" s="1"/>
  <c r="V67" i="7" a="1"/>
  <c r="V67" i="7" s="1"/>
  <c r="W67" i="7" a="1"/>
  <c r="W67" i="7" s="1"/>
  <c r="S34" i="6"/>
  <c r="T34" i="6"/>
  <c r="V34" i="6"/>
  <c r="W34" i="6"/>
  <c r="X34" i="6"/>
  <c r="Z34" i="6"/>
  <c r="E35" i="6"/>
  <c r="G35" i="6"/>
  <c r="I35" i="6"/>
  <c r="S35" i="6"/>
  <c r="T35" i="6"/>
  <c r="V35" i="6"/>
  <c r="X35" i="6"/>
  <c r="Y35" i="6"/>
  <c r="Z35" i="6"/>
  <c r="E36" i="6"/>
  <c r="U36" i="6" s="1"/>
  <c r="G36" i="6"/>
  <c r="I36" i="6"/>
  <c r="Y36" i="6" s="1"/>
  <c r="S36" i="6"/>
  <c r="T36" i="6"/>
  <c r="V36" i="6"/>
  <c r="W36" i="6"/>
  <c r="X36" i="6"/>
  <c r="Z36" i="6"/>
  <c r="E37" i="6"/>
  <c r="U37" i="6" s="1"/>
  <c r="G37" i="6"/>
  <c r="I37" i="6"/>
  <c r="Y37" i="6" s="1"/>
  <c r="S37" i="6"/>
  <c r="T37" i="6"/>
  <c r="V37" i="6"/>
  <c r="W37" i="6"/>
  <c r="X37" i="6"/>
  <c r="Z37" i="6"/>
  <c r="E38" i="6"/>
  <c r="G38" i="6"/>
  <c r="I38" i="6"/>
  <c r="S38" i="6"/>
  <c r="T38" i="6"/>
  <c r="V38" i="6"/>
  <c r="X38" i="6"/>
  <c r="Y38" i="6"/>
  <c r="Z38" i="6"/>
  <c r="AK38" i="6"/>
  <c r="E39" i="6"/>
  <c r="G39" i="6"/>
  <c r="I39" i="6"/>
  <c r="Y39" i="6" s="1"/>
  <c r="V68" i="7" a="1"/>
  <c r="V68" i="7" s="1"/>
  <c r="W68" i="7" a="1"/>
  <c r="W68" i="7" s="1"/>
  <c r="S39" i="6"/>
  <c r="T39" i="6"/>
  <c r="V39" i="6"/>
  <c r="W39" i="6"/>
  <c r="X39" i="6"/>
  <c r="Z39" i="6"/>
  <c r="AK39" i="6"/>
  <c r="E40" i="6"/>
  <c r="G40" i="6"/>
  <c r="W40" i="6" s="1"/>
  <c r="I40" i="6"/>
  <c r="V44" i="7" a="1"/>
  <c r="V44" i="7" s="1"/>
  <c r="W69" i="7" a="1"/>
  <c r="W69" i="7" s="1"/>
  <c r="S40" i="6"/>
  <c r="T40" i="6"/>
  <c r="U40" i="6"/>
  <c r="V40" i="6"/>
  <c r="X40" i="6"/>
  <c r="Y40" i="6"/>
  <c r="Z40" i="6"/>
  <c r="E41" i="6"/>
  <c r="G41" i="6"/>
  <c r="I41" i="6"/>
  <c r="S41" i="6"/>
  <c r="T41" i="6"/>
  <c r="V41" i="6"/>
  <c r="W41" i="6"/>
  <c r="X41" i="6"/>
  <c r="Y41" i="6"/>
  <c r="Z41" i="6"/>
  <c r="E42" i="6"/>
  <c r="G42" i="6"/>
  <c r="I42" i="6"/>
  <c r="S42" i="6"/>
  <c r="T42" i="6"/>
  <c r="U42" i="6"/>
  <c r="V42" i="6"/>
  <c r="X42" i="6"/>
  <c r="Z42" i="6"/>
  <c r="E43" i="6"/>
  <c r="G43" i="6"/>
  <c r="W43" i="6" s="1"/>
  <c r="I43" i="6"/>
  <c r="V45" i="7" a="1"/>
  <c r="V45" i="7" s="1"/>
  <c r="W38" i="7" a="1"/>
  <c r="W38" i="7" s="1"/>
  <c r="S43" i="6"/>
  <c r="T43" i="6"/>
  <c r="U43" i="6"/>
  <c r="V43" i="6"/>
  <c r="X43" i="6"/>
  <c r="Y43" i="6"/>
  <c r="Z43" i="6"/>
  <c r="A46" i="6"/>
  <c r="A47" i="6" s="1"/>
  <c r="A48" i="6" s="1"/>
  <c r="V46" i="6"/>
  <c r="X46" i="6"/>
  <c r="Z46" i="6"/>
  <c r="E48" i="6"/>
  <c r="G48" i="6"/>
  <c r="I48" i="6"/>
  <c r="Y48" i="6" s="1"/>
  <c r="AK72" i="4"/>
  <c r="CN72" i="13" s="1"/>
  <c r="W78" i="7" a="1"/>
  <c r="W78" i="7" s="1"/>
  <c r="S48" i="6"/>
  <c r="T48" i="6"/>
  <c r="U48" i="6"/>
  <c r="V48" i="6"/>
  <c r="W48" i="6"/>
  <c r="X48" i="6"/>
  <c r="Z48" i="6"/>
  <c r="S49" i="6"/>
  <c r="W73" i="7" a="1"/>
  <c r="W73" i="7" s="1"/>
  <c r="X49" i="6"/>
  <c r="Y49" i="6"/>
  <c r="V49" i="6"/>
  <c r="AD73" i="7" a="1"/>
  <c r="AD73" i="7" s="1"/>
  <c r="E50" i="6"/>
  <c r="G50" i="6"/>
  <c r="I50" i="6"/>
  <c r="S50" i="6"/>
  <c r="T50" i="6"/>
  <c r="U50" i="6"/>
  <c r="V50" i="6"/>
  <c r="X50" i="6"/>
  <c r="Y50" i="6"/>
  <c r="Z50" i="6"/>
  <c r="E51" i="6"/>
  <c r="U51" i="6" s="1"/>
  <c r="G51" i="6"/>
  <c r="I51" i="6"/>
  <c r="S51" i="6"/>
  <c r="T51" i="6"/>
  <c r="V51" i="6"/>
  <c r="W51" i="6"/>
  <c r="X51" i="6"/>
  <c r="Y51" i="6"/>
  <c r="Z51" i="6"/>
  <c r="E52" i="6"/>
  <c r="G52" i="6"/>
  <c r="W52" i="6" s="1"/>
  <c r="I52" i="6"/>
  <c r="Y52" i="6" s="1"/>
  <c r="S52" i="6"/>
  <c r="T52" i="6"/>
  <c r="U52" i="6"/>
  <c r="V52" i="6"/>
  <c r="X52" i="6"/>
  <c r="Z52" i="6"/>
  <c r="E53" i="6"/>
  <c r="G53" i="6"/>
  <c r="I53" i="6"/>
  <c r="W79" i="7" a="1"/>
  <c r="W79" i="7" s="1"/>
  <c r="S53" i="6"/>
  <c r="T53" i="6"/>
  <c r="U53" i="6"/>
  <c r="V53" i="6"/>
  <c r="X53" i="6"/>
  <c r="Y53" i="6"/>
  <c r="Z53" i="6"/>
  <c r="E54" i="6"/>
  <c r="U54" i="6" s="1"/>
  <c r="G54" i="6"/>
  <c r="I54" i="6"/>
  <c r="W75" i="7" a="1"/>
  <c r="W75" i="7" s="1"/>
  <c r="S54" i="6"/>
  <c r="T54" i="6"/>
  <c r="V54" i="6"/>
  <c r="W54" i="6"/>
  <c r="X54" i="6"/>
  <c r="Y54" i="6"/>
  <c r="Z54" i="6"/>
  <c r="E55" i="6"/>
  <c r="G55" i="6"/>
  <c r="W55" i="6" s="1"/>
  <c r="I55" i="6"/>
  <c r="Y55" i="6" s="1"/>
  <c r="S55" i="6"/>
  <c r="T55" i="6"/>
  <c r="U55" i="6"/>
  <c r="V55" i="6"/>
  <c r="X55" i="6"/>
  <c r="Z55" i="6"/>
  <c r="E56" i="6"/>
  <c r="G56" i="6"/>
  <c r="I56" i="6"/>
  <c r="AK84" i="4"/>
  <c r="CN84" i="13" s="1"/>
  <c r="W81" i="7" a="1"/>
  <c r="W81" i="7" s="1"/>
  <c r="S56" i="6"/>
  <c r="T56" i="6"/>
  <c r="U56" i="6"/>
  <c r="V56" i="6"/>
  <c r="X56" i="6"/>
  <c r="Y56" i="6"/>
  <c r="Z56" i="6"/>
  <c r="A59" i="6"/>
  <c r="S59" i="6"/>
  <c r="T59" i="6"/>
  <c r="V59" i="6"/>
  <c r="X59" i="6"/>
  <c r="Z59" i="6"/>
  <c r="A60" i="6"/>
  <c r="A61" i="6" s="1"/>
  <c r="A62" i="6" s="1"/>
  <c r="A63" i="6" s="1"/>
  <c r="A64" i="6" s="1"/>
  <c r="A65" i="6" s="1"/>
  <c r="A66" i="6" s="1"/>
  <c r="A67" i="6" s="1"/>
  <c r="A68" i="6" s="1"/>
  <c r="A69" i="6" s="1"/>
  <c r="A70" i="6" s="1"/>
  <c r="E61" i="6"/>
  <c r="G61" i="6"/>
  <c r="I61" i="6"/>
  <c r="V96" i="7" a="1"/>
  <c r="V96" i="7" s="1"/>
  <c r="W96" i="7" a="1"/>
  <c r="W96" i="7" s="1"/>
  <c r="S61" i="6"/>
  <c r="T61" i="6"/>
  <c r="U61" i="6"/>
  <c r="V61" i="6"/>
  <c r="W61" i="6"/>
  <c r="X61" i="6"/>
  <c r="Y61" i="6"/>
  <c r="Z61" i="6"/>
  <c r="E62" i="6"/>
  <c r="G62" i="6"/>
  <c r="I62" i="6"/>
  <c r="S62" i="6"/>
  <c r="T62" i="6"/>
  <c r="U62" i="6"/>
  <c r="V62" i="6"/>
  <c r="X62" i="6"/>
  <c r="Z62" i="6"/>
  <c r="E63" i="6"/>
  <c r="G63" i="6"/>
  <c r="W63" i="6" s="1"/>
  <c r="I63" i="6"/>
  <c r="S63" i="6"/>
  <c r="T63" i="6"/>
  <c r="U63" i="6"/>
  <c r="V63" i="6"/>
  <c r="X63" i="6"/>
  <c r="Y63" i="6"/>
  <c r="Z63" i="6"/>
  <c r="E64" i="6"/>
  <c r="G64" i="6"/>
  <c r="I64" i="6"/>
  <c r="S64" i="6"/>
  <c r="T64" i="6"/>
  <c r="U64" i="6"/>
  <c r="V64" i="6"/>
  <c r="W64" i="6"/>
  <c r="X64" i="6"/>
  <c r="Y64" i="6"/>
  <c r="Z64" i="6"/>
  <c r="S65" i="6"/>
  <c r="T65" i="6"/>
  <c r="U65" i="6"/>
  <c r="V65" i="6"/>
  <c r="W65" i="6"/>
  <c r="X65" i="6"/>
  <c r="Y65" i="6"/>
  <c r="Z65" i="6"/>
  <c r="E66" i="6"/>
  <c r="G66" i="6"/>
  <c r="W66" i="6" s="1"/>
  <c r="I66" i="6"/>
  <c r="Y66" i="6" s="1"/>
  <c r="W97" i="7" a="1"/>
  <c r="W97" i="7" s="1"/>
  <c r="S66" i="6"/>
  <c r="T66" i="6"/>
  <c r="U66" i="6"/>
  <c r="V66" i="6"/>
  <c r="X66" i="6"/>
  <c r="Z66" i="6"/>
  <c r="E67" i="6"/>
  <c r="G67" i="6"/>
  <c r="I67" i="6"/>
  <c r="S67" i="6"/>
  <c r="T67" i="6"/>
  <c r="U67" i="6"/>
  <c r="V67" i="6"/>
  <c r="X67" i="6"/>
  <c r="Y67" i="6"/>
  <c r="Z67" i="6"/>
  <c r="E68" i="6"/>
  <c r="U68" i="6" s="1"/>
  <c r="G68" i="6"/>
  <c r="I68" i="6"/>
  <c r="AK87" i="4"/>
  <c r="CN87" i="13" s="1"/>
  <c r="W98" i="7" a="1"/>
  <c r="W98" i="7" s="1"/>
  <c r="S68" i="6"/>
  <c r="T68" i="6"/>
  <c r="V68" i="6"/>
  <c r="W68" i="6"/>
  <c r="X68" i="6"/>
  <c r="Y68" i="6"/>
  <c r="Z68" i="6"/>
  <c r="A71" i="6"/>
  <c r="A72" i="6" s="1"/>
  <c r="A73" i="6" s="1"/>
  <c r="A74" i="6" s="1"/>
  <c r="A75" i="6" s="1"/>
  <c r="A76" i="6" s="1"/>
  <c r="A77" i="6" s="1"/>
  <c r="A78" i="6" s="1"/>
  <c r="A79" i="6" s="1"/>
  <c r="A80" i="6" s="1"/>
  <c r="A81" i="6" s="1"/>
  <c r="A82" i="6" s="1"/>
  <c r="S71" i="6"/>
  <c r="T71" i="6"/>
  <c r="V71" i="6"/>
  <c r="X71" i="6"/>
  <c r="Z71" i="6"/>
  <c r="E73" i="6"/>
  <c r="G73" i="6"/>
  <c r="I73" i="6"/>
  <c r="V100" i="7" a="1"/>
  <c r="V100" i="7" s="1"/>
  <c r="W104" i="7" a="1"/>
  <c r="W104" i="7" s="1"/>
  <c r="S73" i="6"/>
  <c r="T73" i="6"/>
  <c r="U73" i="6"/>
  <c r="V73" i="6"/>
  <c r="X73" i="6"/>
  <c r="Z73" i="6"/>
  <c r="E74" i="6"/>
  <c r="G74" i="6"/>
  <c r="W74" i="6" s="1"/>
  <c r="I74" i="6"/>
  <c r="S74" i="6"/>
  <c r="T74" i="6"/>
  <c r="U74" i="6"/>
  <c r="V74" i="6"/>
  <c r="X74" i="6"/>
  <c r="Z74" i="6"/>
  <c r="E75" i="6"/>
  <c r="G75" i="6"/>
  <c r="I75" i="6"/>
  <c r="S75" i="6"/>
  <c r="T75" i="6"/>
  <c r="V75" i="6"/>
  <c r="X75" i="6"/>
  <c r="Z75" i="6"/>
  <c r="E76" i="6"/>
  <c r="G76" i="6"/>
  <c r="I76" i="6"/>
  <c r="S76" i="6"/>
  <c r="T76" i="6"/>
  <c r="U76" i="6"/>
  <c r="V76" i="6"/>
  <c r="X76" i="6"/>
  <c r="Z76" i="6"/>
  <c r="S77" i="6"/>
  <c r="T77" i="6"/>
  <c r="U77" i="6"/>
  <c r="V77" i="6"/>
  <c r="X77" i="6"/>
  <c r="Z77" i="6"/>
  <c r="E78" i="6"/>
  <c r="G78" i="6"/>
  <c r="I78" i="6"/>
  <c r="W105" i="7" a="1"/>
  <c r="W105" i="7" s="1"/>
  <c r="S78" i="6"/>
  <c r="T78" i="6"/>
  <c r="U78" i="6"/>
  <c r="V78" i="6"/>
  <c r="X78" i="6"/>
  <c r="Z78" i="6"/>
  <c r="E79" i="6"/>
  <c r="U79" i="6" s="1"/>
  <c r="G79" i="6"/>
  <c r="I79" i="6"/>
  <c r="S79" i="6"/>
  <c r="T79" i="6"/>
  <c r="V79" i="6"/>
  <c r="X79" i="6"/>
  <c r="Z79" i="6"/>
  <c r="E80" i="6"/>
  <c r="G80" i="6"/>
  <c r="W80" i="6" s="1"/>
  <c r="I80" i="6"/>
  <c r="V106" i="7" a="1"/>
  <c r="V106" i="7" s="1"/>
  <c r="W102" i="7" a="1"/>
  <c r="W102" i="7" s="1"/>
  <c r="S80" i="6"/>
  <c r="T80" i="6"/>
  <c r="U80" i="6"/>
  <c r="V80" i="6"/>
  <c r="X80" i="6"/>
  <c r="Z80" i="6"/>
  <c r="A83" i="6"/>
  <c r="A84" i="6" s="1"/>
  <c r="A85" i="6" s="1"/>
  <c r="A86" i="6" s="1"/>
  <c r="A87" i="6" s="1"/>
  <c r="A88" i="6" s="1"/>
  <c r="A89" i="6" s="1"/>
  <c r="A90" i="6" s="1"/>
  <c r="A91" i="6" s="1"/>
  <c r="A92" i="6" s="1"/>
  <c r="A93" i="6" s="1"/>
  <c r="A94" i="6" s="1"/>
  <c r="S83" i="6"/>
  <c r="T83" i="6"/>
  <c r="V83" i="6"/>
  <c r="X83" i="6"/>
  <c r="Z83" i="6"/>
  <c r="E85" i="6"/>
  <c r="U86" i="6" s="1"/>
  <c r="G85" i="6"/>
  <c r="W89" i="6" s="1"/>
  <c r="I85" i="6"/>
  <c r="V88" i="7" a="1"/>
  <c r="V88" i="7" s="1"/>
  <c r="W88" i="7" a="1"/>
  <c r="W88" i="7" s="1"/>
  <c r="S85" i="6"/>
  <c r="T85" i="6"/>
  <c r="U85" i="6"/>
  <c r="V85" i="6"/>
  <c r="X85" i="6"/>
  <c r="Y85" i="6"/>
  <c r="Z85" i="6"/>
  <c r="E86" i="6"/>
  <c r="G86" i="6"/>
  <c r="I86" i="6"/>
  <c r="S86" i="6"/>
  <c r="T86" i="6"/>
  <c r="V86" i="6"/>
  <c r="X86" i="6"/>
  <c r="Y86" i="6"/>
  <c r="Z86" i="6"/>
  <c r="E87" i="6"/>
  <c r="G87" i="6"/>
  <c r="I87" i="6"/>
  <c r="S87" i="6"/>
  <c r="T87" i="6"/>
  <c r="U87" i="6"/>
  <c r="V87" i="6"/>
  <c r="X87" i="6"/>
  <c r="Z87" i="6"/>
  <c r="E88" i="6"/>
  <c r="G88" i="6"/>
  <c r="W88" i="6" s="1"/>
  <c r="I88" i="6"/>
  <c r="S88" i="6"/>
  <c r="T88" i="6"/>
  <c r="U88" i="6"/>
  <c r="V88" i="6"/>
  <c r="X88" i="6"/>
  <c r="Y88" i="6"/>
  <c r="Z88" i="6"/>
  <c r="S89" i="6"/>
  <c r="T89" i="6"/>
  <c r="U89" i="6"/>
  <c r="V89" i="6"/>
  <c r="X89" i="6"/>
  <c r="Y89" i="6"/>
  <c r="Z89" i="6"/>
  <c r="E90" i="6"/>
  <c r="U90" i="6" s="1"/>
  <c r="G90" i="6"/>
  <c r="I90" i="6"/>
  <c r="W89" i="7" a="1"/>
  <c r="W89" i="7" s="1"/>
  <c r="S90" i="6"/>
  <c r="T90" i="6"/>
  <c r="V90" i="6"/>
  <c r="X90" i="6"/>
  <c r="Y90" i="6"/>
  <c r="Z90" i="6"/>
  <c r="E91" i="6"/>
  <c r="G91" i="6"/>
  <c r="W91" i="6" s="1"/>
  <c r="I91" i="6"/>
  <c r="Y91" i="6" s="1"/>
  <c r="S91" i="6"/>
  <c r="T91" i="6"/>
  <c r="U91" i="6"/>
  <c r="V91" i="6"/>
  <c r="X91" i="6"/>
  <c r="Z91" i="6"/>
  <c r="E92" i="6"/>
  <c r="G92" i="6"/>
  <c r="I92" i="6"/>
  <c r="V90" i="7" a="1"/>
  <c r="V90" i="7" s="1"/>
  <c r="W90" i="7" a="1"/>
  <c r="W90" i="7" s="1"/>
  <c r="S92" i="6"/>
  <c r="T92" i="6"/>
  <c r="U92" i="6"/>
  <c r="V92" i="6"/>
  <c r="X92" i="6"/>
  <c r="Y92" i="6"/>
  <c r="Z92" i="6"/>
  <c r="A95" i="6"/>
  <c r="S95" i="6"/>
  <c r="T95" i="6"/>
  <c r="V95" i="6"/>
  <c r="X95" i="6"/>
  <c r="Z95" i="6"/>
  <c r="A96" i="6"/>
  <c r="A97" i="6" s="1"/>
  <c r="A98" i="6" s="1"/>
  <c r="A99" i="6" s="1"/>
  <c r="A100" i="6" s="1"/>
  <c r="A101" i="6" s="1"/>
  <c r="A102" i="6" s="1"/>
  <c r="A103" i="6" s="1"/>
  <c r="A104" i="6" s="1"/>
  <c r="E97" i="6"/>
  <c r="G97" i="6"/>
  <c r="I97" i="6"/>
  <c r="AK134" i="4"/>
  <c r="CN57" i="13" s="1"/>
  <c r="W53" i="7" a="1"/>
  <c r="W53" i="7" s="1"/>
  <c r="S97" i="6"/>
  <c r="T97" i="6"/>
  <c r="U97" i="6"/>
  <c r="V97" i="6"/>
  <c r="W97" i="6"/>
  <c r="X97" i="6"/>
  <c r="Y97" i="6"/>
  <c r="Z97" i="6"/>
  <c r="E98" i="6"/>
  <c r="G98" i="6"/>
  <c r="I98" i="6"/>
  <c r="S98" i="6"/>
  <c r="T98" i="6"/>
  <c r="U98" i="6"/>
  <c r="V98" i="6"/>
  <c r="X98" i="6"/>
  <c r="Z98" i="6"/>
  <c r="E99" i="6"/>
  <c r="G99" i="6"/>
  <c r="W99" i="6" s="1"/>
  <c r="I99" i="6"/>
  <c r="S99" i="6"/>
  <c r="T99" i="6"/>
  <c r="U99" i="6"/>
  <c r="V99" i="6"/>
  <c r="X99" i="6"/>
  <c r="Y99" i="6"/>
  <c r="Z99" i="6"/>
  <c r="E100" i="6"/>
  <c r="G100" i="6"/>
  <c r="I100" i="6"/>
  <c r="S100" i="6"/>
  <c r="T100" i="6"/>
  <c r="U100" i="6"/>
  <c r="V100" i="6"/>
  <c r="W100" i="6"/>
  <c r="X100" i="6"/>
  <c r="Y100" i="6"/>
  <c r="Z100" i="6"/>
  <c r="E101" i="6"/>
  <c r="G101" i="6"/>
  <c r="I101" i="6"/>
  <c r="V60" i="7" a="1"/>
  <c r="V60" i="7" s="1"/>
  <c r="W54" i="7" a="1"/>
  <c r="W54" i="7" s="1"/>
  <c r="S101" i="6"/>
  <c r="T101" i="6"/>
  <c r="U101" i="6"/>
  <c r="V101" i="6"/>
  <c r="X101" i="6"/>
  <c r="Z101" i="6"/>
  <c r="E102" i="6"/>
  <c r="G102" i="6"/>
  <c r="W102" i="6" s="1"/>
  <c r="I102" i="6"/>
  <c r="AK135" i="4"/>
  <c r="CN56" i="13" s="1"/>
  <c r="W55" i="7" a="1"/>
  <c r="W55" i="7" s="1"/>
  <c r="S102" i="6"/>
  <c r="T102" i="6"/>
  <c r="U102" i="6"/>
  <c r="V102" i="6"/>
  <c r="X102" i="6"/>
  <c r="Y102" i="6"/>
  <c r="Z102" i="6"/>
  <c r="E103" i="6"/>
  <c r="G103" i="6"/>
  <c r="I103" i="6"/>
  <c r="S103" i="6"/>
  <c r="T103" i="6"/>
  <c r="U103" i="6"/>
  <c r="V103" i="6"/>
  <c r="W103" i="6"/>
  <c r="X103" i="6"/>
  <c r="Y103" i="6"/>
  <c r="Z103" i="6"/>
  <c r="E104" i="6"/>
  <c r="G104" i="6"/>
  <c r="I104" i="6"/>
  <c r="AK132" i="4"/>
  <c r="CN54" i="13" s="1"/>
  <c r="W56" i="7" a="1"/>
  <c r="W56" i="7" s="1"/>
  <c r="S104" i="6"/>
  <c r="T104" i="6"/>
  <c r="U104" i="6"/>
  <c r="V104" i="6"/>
  <c r="X104" i="6"/>
  <c r="Z104" i="6"/>
  <c r="L73" i="3"/>
  <c r="AT1" i="4"/>
  <c r="AV12" i="4"/>
  <c r="S55" i="11" s="1"/>
  <c r="AW12" i="4"/>
  <c r="H16" i="4"/>
  <c r="X16" i="4"/>
  <c r="AT16" i="4"/>
  <c r="AU16" i="4"/>
  <c r="AV16" i="4"/>
  <c r="AW16" i="4"/>
  <c r="A17" i="4"/>
  <c r="F17" i="4"/>
  <c r="G17" i="4"/>
  <c r="P17" i="4"/>
  <c r="O17" i="4" s="1"/>
  <c r="P15" i="4" s="1"/>
  <c r="Q17" i="4"/>
  <c r="R17" i="4"/>
  <c r="S17" i="4"/>
  <c r="T17" i="4"/>
  <c r="U17" i="4"/>
  <c r="V17" i="4"/>
  <c r="X17" i="4"/>
  <c r="Y17" i="4"/>
  <c r="AL17" i="4"/>
  <c r="AO17" i="4"/>
  <c r="AP17" i="4"/>
  <c r="AS17" i="4"/>
  <c r="AZ17" i="4" s="1"/>
  <c r="AT17" i="4"/>
  <c r="BI17" i="4" a="1"/>
  <c r="BI17" i="4" s="1"/>
  <c r="A18" i="4"/>
  <c r="F18" i="4"/>
  <c r="G18" i="4"/>
  <c r="P18" i="4"/>
  <c r="O18" i="4" s="1"/>
  <c r="Q18" i="4"/>
  <c r="R18" i="4"/>
  <c r="S18" i="4"/>
  <c r="T18" i="4"/>
  <c r="U18" i="4"/>
  <c r="V18" i="4"/>
  <c r="X18" i="4"/>
  <c r="Y18" i="4"/>
  <c r="AL18" i="4"/>
  <c r="AO18" i="4"/>
  <c r="AP18" i="4"/>
  <c r="AS18" i="4"/>
  <c r="AZ18" i="4" s="1"/>
  <c r="AT18" i="4"/>
  <c r="BI18" i="4" a="1"/>
  <c r="BI18" i="4" s="1"/>
  <c r="A19" i="4"/>
  <c r="B19" i="4"/>
  <c r="F19" i="4"/>
  <c r="G19" i="4"/>
  <c r="P19" i="4"/>
  <c r="O19" i="4" s="1"/>
  <c r="Q19" i="4"/>
  <c r="R19" i="4"/>
  <c r="S19" i="4"/>
  <c r="T19" i="4"/>
  <c r="U19" i="4"/>
  <c r="V19" i="4"/>
  <c r="X19" i="4"/>
  <c r="Y19" i="4"/>
  <c r="AL19" i="4"/>
  <c r="AO19" i="4"/>
  <c r="AP19" i="4"/>
  <c r="AS19" i="4"/>
  <c r="AT19" i="4"/>
  <c r="AZ19" i="4"/>
  <c r="BA19" i="4"/>
  <c r="BI19" i="4" a="1"/>
  <c r="BI19" i="4" s="1"/>
  <c r="B20" i="4"/>
  <c r="F20" i="4"/>
  <c r="G20" i="4"/>
  <c r="P20" i="4"/>
  <c r="O20" i="4" s="1"/>
  <c r="Q20" i="4"/>
  <c r="R20" i="4"/>
  <c r="S20" i="4"/>
  <c r="T20" i="4"/>
  <c r="U20" i="4"/>
  <c r="V20" i="4"/>
  <c r="X20" i="4"/>
  <c r="Y20" i="4"/>
  <c r="AL20" i="4"/>
  <c r="AM20" i="4"/>
  <c r="AO20" i="4"/>
  <c r="AP20" i="4"/>
  <c r="AS20" i="4"/>
  <c r="AZ20" i="4" s="1"/>
  <c r="BI20" i="4" a="1"/>
  <c r="BI20" i="4"/>
  <c r="A21" i="4"/>
  <c r="B21" i="4"/>
  <c r="F21" i="4"/>
  <c r="G21" i="4"/>
  <c r="P21" i="4"/>
  <c r="O21" i="4" s="1"/>
  <c r="Q21" i="4"/>
  <c r="R21" i="4"/>
  <c r="S21" i="4"/>
  <c r="T21" i="4"/>
  <c r="U21" i="4"/>
  <c r="V21" i="4"/>
  <c r="X21" i="4"/>
  <c r="Y21" i="4"/>
  <c r="AL21" i="4"/>
  <c r="AO21" i="4"/>
  <c r="AP21" i="4"/>
  <c r="AS21" i="4"/>
  <c r="AZ21" i="4"/>
  <c r="BA21" i="4"/>
  <c r="BI21" i="4" a="1"/>
  <c r="BI21" i="4"/>
  <c r="A22" i="4"/>
  <c r="B22" i="4"/>
  <c r="F22" i="4"/>
  <c r="I22" i="4" a="1"/>
  <c r="I22" i="4" s="1"/>
  <c r="I40" i="4" s="1"/>
  <c r="Q22" i="4"/>
  <c r="R22" i="4"/>
  <c r="S22" i="4"/>
  <c r="T22" i="4"/>
  <c r="U22" i="4"/>
  <c r="V22" i="4"/>
  <c r="X22" i="4"/>
  <c r="Y22" i="4"/>
  <c r="AL22" i="4"/>
  <c r="AO22" i="4"/>
  <c r="AP22" i="4"/>
  <c r="AS22" i="4"/>
  <c r="AZ22" i="4" s="1"/>
  <c r="BA22" i="4"/>
  <c r="BI22" i="4" a="1"/>
  <c r="BI22" i="4" s="1"/>
  <c r="A23" i="4"/>
  <c r="F23" i="4"/>
  <c r="G23" i="4"/>
  <c r="P23" i="4"/>
  <c r="O23" i="4" s="1"/>
  <c r="Q23" i="4"/>
  <c r="R23" i="4"/>
  <c r="S23" i="4"/>
  <c r="T23" i="4"/>
  <c r="U23" i="4"/>
  <c r="V23" i="4"/>
  <c r="X23" i="4"/>
  <c r="Y23" i="4"/>
  <c r="AL23" i="4"/>
  <c r="AM23" i="4"/>
  <c r="AO23" i="4"/>
  <c r="AP23" i="4"/>
  <c r="AS23" i="4"/>
  <c r="AZ23" i="4" s="1"/>
  <c r="BA23" i="4"/>
  <c r="BI23" i="4" a="1"/>
  <c r="BI23" i="4"/>
  <c r="B24" i="4"/>
  <c r="A24" i="4"/>
  <c r="F24" i="4"/>
  <c r="G24" i="4"/>
  <c r="P24" i="4"/>
  <c r="O24" i="4" s="1"/>
  <c r="Q24" i="4"/>
  <c r="R24" i="4"/>
  <c r="S24" i="4"/>
  <c r="T24" i="4"/>
  <c r="U24" i="4"/>
  <c r="V24" i="4"/>
  <c r="X24" i="4"/>
  <c r="Y24" i="4"/>
  <c r="Z48" i="4" s="1"/>
  <c r="AL24" i="4"/>
  <c r="AO24" i="4"/>
  <c r="AP24" i="4"/>
  <c r="AS24" i="4"/>
  <c r="BA24" i="4" s="1"/>
  <c r="AZ24" i="4"/>
  <c r="BI24" i="4" a="1"/>
  <c r="BI24" i="4" s="1"/>
  <c r="A25" i="4"/>
  <c r="F25" i="4"/>
  <c r="G25" i="4"/>
  <c r="P25" i="4"/>
  <c r="O25" i="4" s="1"/>
  <c r="Q25" i="4"/>
  <c r="R25" i="4"/>
  <c r="S25" i="4"/>
  <c r="T25" i="4"/>
  <c r="U25" i="4"/>
  <c r="V25" i="4"/>
  <c r="X25" i="4"/>
  <c r="Y25" i="4"/>
  <c r="AL25" i="4"/>
  <c r="AO25" i="4"/>
  <c r="AP25" i="4"/>
  <c r="AS25" i="4"/>
  <c r="BI25" i="4" a="1"/>
  <c r="BI25" i="4"/>
  <c r="A26" i="4"/>
  <c r="F26" i="4"/>
  <c r="G26" i="4"/>
  <c r="P26" i="4"/>
  <c r="O26" i="4" s="1"/>
  <c r="Q26" i="4"/>
  <c r="R26" i="4"/>
  <c r="S26" i="4"/>
  <c r="T26" i="4"/>
  <c r="U26" i="4"/>
  <c r="V26" i="4"/>
  <c r="X26" i="4"/>
  <c r="Y26" i="4"/>
  <c r="AL26" i="4"/>
  <c r="AM26" i="4"/>
  <c r="AO26" i="4"/>
  <c r="AP26" i="4"/>
  <c r="AS26" i="4"/>
  <c r="BA26" i="4" s="1"/>
  <c r="AZ26" i="4"/>
  <c r="AQ26" i="4" s="1"/>
  <c r="BI26" i="4" a="1"/>
  <c r="BI26" i="4"/>
  <c r="A27" i="4"/>
  <c r="F27" i="4"/>
  <c r="G27" i="4"/>
  <c r="G76" i="4" s="1"/>
  <c r="P27" i="4"/>
  <c r="O27" i="4" s="1"/>
  <c r="Q27" i="4"/>
  <c r="R27" i="4"/>
  <c r="S27" i="4"/>
  <c r="T27" i="4"/>
  <c r="U27" i="4"/>
  <c r="V27" i="4"/>
  <c r="X27" i="4"/>
  <c r="Y27" i="4"/>
  <c r="AL27" i="4"/>
  <c r="AM27" i="4"/>
  <c r="AO27" i="4"/>
  <c r="AP27" i="4"/>
  <c r="AS27" i="4"/>
  <c r="AZ27" i="4"/>
  <c r="BA27" i="4"/>
  <c r="BI27" i="4" a="1"/>
  <c r="BI27" i="4"/>
  <c r="B28" i="4"/>
  <c r="A28" i="4"/>
  <c r="F28" i="4"/>
  <c r="G28" i="4"/>
  <c r="P28" i="4"/>
  <c r="O28" i="4" s="1"/>
  <c r="Q28" i="4"/>
  <c r="R28" i="4"/>
  <c r="S28" i="4"/>
  <c r="T28" i="4"/>
  <c r="U28" i="4"/>
  <c r="V28" i="4"/>
  <c r="X28" i="4"/>
  <c r="Y28" i="4"/>
  <c r="AL28" i="4"/>
  <c r="AM28" i="4"/>
  <c r="AO28" i="4"/>
  <c r="AP28" i="4"/>
  <c r="AS28" i="4"/>
  <c r="BA28" i="4" s="1"/>
  <c r="AZ28" i="4"/>
  <c r="AQ28" i="4" s="1"/>
  <c r="BI28" i="4" a="1"/>
  <c r="BI28" i="4" s="1"/>
  <c r="A29" i="4"/>
  <c r="F29" i="4"/>
  <c r="G29" i="4"/>
  <c r="P29" i="4"/>
  <c r="O29" i="4" s="1"/>
  <c r="Q29" i="4"/>
  <c r="R29" i="4"/>
  <c r="S29" i="4"/>
  <c r="T29" i="4"/>
  <c r="U29" i="4"/>
  <c r="V29" i="4"/>
  <c r="X29" i="4"/>
  <c r="Y29" i="4"/>
  <c r="AL29" i="4"/>
  <c r="AM29" i="4"/>
  <c r="AO29" i="4"/>
  <c r="AP29" i="4"/>
  <c r="AS29" i="4"/>
  <c r="BI29" i="4" a="1"/>
  <c r="BI29" i="4"/>
  <c r="A30" i="4"/>
  <c r="F30" i="4"/>
  <c r="G30" i="4"/>
  <c r="P30" i="4"/>
  <c r="O30" i="4" s="1"/>
  <c r="Q30" i="4"/>
  <c r="R30" i="4"/>
  <c r="S30" i="4"/>
  <c r="T30" i="4"/>
  <c r="U30" i="4"/>
  <c r="V30" i="4"/>
  <c r="X30" i="4"/>
  <c r="Y30" i="4"/>
  <c r="AL30" i="4"/>
  <c r="AM30" i="4"/>
  <c r="AO30" i="4"/>
  <c r="AP30" i="4"/>
  <c r="AS30" i="4"/>
  <c r="BA30" i="4" s="1"/>
  <c r="AZ30" i="4"/>
  <c r="AQ30" i="4" s="1"/>
  <c r="BI30" i="4" a="1"/>
  <c r="BI30" i="4"/>
  <c r="A31" i="4"/>
  <c r="F31" i="4"/>
  <c r="G31" i="4"/>
  <c r="P31" i="4"/>
  <c r="O31" i="4" s="1"/>
  <c r="Q31" i="4"/>
  <c r="R31" i="4"/>
  <c r="S31" i="4"/>
  <c r="T31" i="4"/>
  <c r="U31" i="4"/>
  <c r="V31" i="4"/>
  <c r="X31" i="4"/>
  <c r="Y31" i="4"/>
  <c r="AL31" i="4"/>
  <c r="AM31" i="4"/>
  <c r="AO31" i="4"/>
  <c r="AP31" i="4"/>
  <c r="AS31" i="4"/>
  <c r="AZ31" i="4"/>
  <c r="AQ31" i="4" s="1"/>
  <c r="BA31" i="4"/>
  <c r="BI31" i="4" a="1"/>
  <c r="BI31" i="4"/>
  <c r="B32" i="4"/>
  <c r="A32" i="4"/>
  <c r="F32" i="4"/>
  <c r="G32" i="4"/>
  <c r="P32" i="4"/>
  <c r="O32" i="4" s="1"/>
  <c r="Q32" i="4"/>
  <c r="R32" i="4"/>
  <c r="S32" i="4"/>
  <c r="T32" i="4"/>
  <c r="U32" i="4"/>
  <c r="V32" i="4"/>
  <c r="X32" i="4"/>
  <c r="Y32" i="4"/>
  <c r="AL32" i="4"/>
  <c r="AM32" i="4"/>
  <c r="AO32" i="4"/>
  <c r="AP32" i="4"/>
  <c r="AS32" i="4"/>
  <c r="BA32" i="4" s="1"/>
  <c r="AZ32" i="4"/>
  <c r="BI32" i="4" a="1"/>
  <c r="BI32" i="4" s="1"/>
  <c r="A33" i="4"/>
  <c r="F33" i="4"/>
  <c r="G33" i="4"/>
  <c r="P33" i="4"/>
  <c r="O33" i="4" s="1"/>
  <c r="Q33" i="4"/>
  <c r="R33" i="4"/>
  <c r="S33" i="4"/>
  <c r="T33" i="4"/>
  <c r="U33" i="4"/>
  <c r="V33" i="4"/>
  <c r="X33" i="4"/>
  <c r="Y33" i="4"/>
  <c r="AL33" i="4"/>
  <c r="AM33" i="4"/>
  <c r="AO33" i="4"/>
  <c r="AP33" i="4"/>
  <c r="AS33" i="4"/>
  <c r="BI33" i="4" a="1"/>
  <c r="BI33" i="4"/>
  <c r="A34" i="4"/>
  <c r="F34" i="4"/>
  <c r="G34" i="4"/>
  <c r="P34" i="4"/>
  <c r="O34" i="4" s="1"/>
  <c r="Q34" i="4"/>
  <c r="R34" i="4"/>
  <c r="S34" i="4"/>
  <c r="T34" i="4"/>
  <c r="U34" i="4"/>
  <c r="V34" i="4"/>
  <c r="X34" i="4"/>
  <c r="Y34" i="4"/>
  <c r="Z47" i="4" s="1"/>
  <c r="AJ15" i="4"/>
  <c r="AL34" i="4"/>
  <c r="AM34" i="4"/>
  <c r="AM47" i="4" s="1"/>
  <c r="AO34" i="4"/>
  <c r="AP34" i="4"/>
  <c r="AS34" i="4"/>
  <c r="BA34" i="4" s="1"/>
  <c r="AZ34" i="4"/>
  <c r="BI34" i="4" a="1"/>
  <c r="BI34" i="4"/>
  <c r="A35" i="4"/>
  <c r="F35" i="4"/>
  <c r="G35" i="4"/>
  <c r="G115" i="4" s="1"/>
  <c r="G114" i="4" s="1"/>
  <c r="P35" i="4"/>
  <c r="O35" i="4" s="1"/>
  <c r="Q35" i="4"/>
  <c r="R35" i="4"/>
  <c r="S35" i="4"/>
  <c r="T35" i="4"/>
  <c r="U35" i="4"/>
  <c r="V35" i="4"/>
  <c r="X35" i="4"/>
  <c r="Y35" i="4"/>
  <c r="AL35" i="4"/>
  <c r="AM35" i="4"/>
  <c r="AO35" i="4"/>
  <c r="AP35" i="4"/>
  <c r="AS35" i="4"/>
  <c r="AZ35" i="4"/>
  <c r="BA35" i="4"/>
  <c r="BI35" i="4" a="1"/>
  <c r="BI35" i="4"/>
  <c r="B36" i="4"/>
  <c r="A36" i="4"/>
  <c r="F36" i="4"/>
  <c r="G36" i="4"/>
  <c r="P36" i="4"/>
  <c r="O36" i="4" s="1"/>
  <c r="Q36" i="4"/>
  <c r="R36" i="4"/>
  <c r="S36" i="4"/>
  <c r="T36" i="4"/>
  <c r="U36" i="4"/>
  <c r="V36" i="4"/>
  <c r="X36" i="4"/>
  <c r="Y36" i="4"/>
  <c r="AJ14" i="4"/>
  <c r="AL36" i="4"/>
  <c r="AL45" i="4" s="1"/>
  <c r="AM36" i="4"/>
  <c r="AO36" i="4"/>
  <c r="AP36" i="4"/>
  <c r="AS36" i="4"/>
  <c r="BA36" i="4" s="1"/>
  <c r="AZ36" i="4"/>
  <c r="AQ36" i="4" s="1"/>
  <c r="BI36" i="4" a="1"/>
  <c r="BI36" i="4" s="1"/>
  <c r="A37" i="4"/>
  <c r="F37" i="4"/>
  <c r="G37" i="4"/>
  <c r="P37" i="4"/>
  <c r="O37" i="4" s="1"/>
  <c r="Q37" i="4"/>
  <c r="R37" i="4"/>
  <c r="S37" i="4"/>
  <c r="T37" i="4"/>
  <c r="U37" i="4"/>
  <c r="V37" i="4"/>
  <c r="X37" i="4"/>
  <c r="Y37" i="4"/>
  <c r="AL37" i="4"/>
  <c r="AM37" i="4"/>
  <c r="AO37" i="4"/>
  <c r="AP37" i="4"/>
  <c r="AS37" i="4"/>
  <c r="BI37" i="4" a="1"/>
  <c r="BI37" i="4"/>
  <c r="A38" i="4"/>
  <c r="F38" i="4"/>
  <c r="G38" i="4"/>
  <c r="P38" i="4"/>
  <c r="O38" i="4" s="1"/>
  <c r="Q38" i="4"/>
  <c r="R38" i="4"/>
  <c r="S38" i="4"/>
  <c r="T38" i="4"/>
  <c r="U38" i="4"/>
  <c r="V38" i="4"/>
  <c r="X38" i="4"/>
  <c r="Y38" i="4"/>
  <c r="AL38" i="4"/>
  <c r="AM38" i="4"/>
  <c r="AO38" i="4"/>
  <c r="AP38" i="4"/>
  <c r="AS38" i="4"/>
  <c r="BA38" i="4" s="1"/>
  <c r="AZ38" i="4"/>
  <c r="BI38" i="4" a="1"/>
  <c r="BI38" i="4"/>
  <c r="A39" i="4"/>
  <c r="F39" i="4"/>
  <c r="G39" i="4"/>
  <c r="P39" i="4"/>
  <c r="O39" i="4" s="1"/>
  <c r="Q39" i="4"/>
  <c r="R39" i="4"/>
  <c r="S39" i="4"/>
  <c r="T39" i="4"/>
  <c r="U39" i="4"/>
  <c r="V39" i="4"/>
  <c r="X39" i="4"/>
  <c r="Y39" i="4"/>
  <c r="AL39" i="4"/>
  <c r="AL43" i="4" s="1"/>
  <c r="AM39" i="4"/>
  <c r="AO39" i="4"/>
  <c r="AP39" i="4"/>
  <c r="AS39" i="4"/>
  <c r="AZ39" i="4"/>
  <c r="BA39" i="4"/>
  <c r="BI39" i="4" a="1"/>
  <c r="BI39" i="4"/>
  <c r="A40" i="4"/>
  <c r="B40" i="4"/>
  <c r="F40" i="4"/>
  <c r="R40" i="4"/>
  <c r="S40" i="4"/>
  <c r="T40" i="4"/>
  <c r="U40" i="4"/>
  <c r="V40" i="4"/>
  <c r="AA40" i="4"/>
  <c r="Z40" i="4" s="1"/>
  <c r="AL40" i="4"/>
  <c r="AM40" i="4"/>
  <c r="AO40" i="4"/>
  <c r="AP40" i="4"/>
  <c r="AS40" i="4"/>
  <c r="AZ40" i="4"/>
  <c r="BA40" i="4"/>
  <c r="BI40" i="4" a="1"/>
  <c r="BI40" i="4" s="1"/>
  <c r="A41" i="4"/>
  <c r="F41" i="4"/>
  <c r="G41" i="4"/>
  <c r="P41" i="4"/>
  <c r="O41" i="4" s="1"/>
  <c r="Q41" i="4"/>
  <c r="R41" i="4"/>
  <c r="S41" i="4"/>
  <c r="T41" i="4"/>
  <c r="U41" i="4"/>
  <c r="V41" i="4"/>
  <c r="X41" i="4"/>
  <c r="Y41" i="4"/>
  <c r="AL41" i="4"/>
  <c r="AM41" i="4"/>
  <c r="AO41" i="4"/>
  <c r="AP41" i="4"/>
  <c r="AS41" i="4"/>
  <c r="AZ41" i="4" s="1"/>
  <c r="AQ41" i="4" s="1"/>
  <c r="D42" i="4"/>
  <c r="A42" i="4" s="1"/>
  <c r="F42" i="4"/>
  <c r="G42" i="4"/>
  <c r="P42" i="4"/>
  <c r="R42" i="4"/>
  <c r="S42" i="4" s="1"/>
  <c r="T42" i="4" s="1"/>
  <c r="U42" i="4" s="1"/>
  <c r="V42" i="4"/>
  <c r="D43" i="4"/>
  <c r="A43" i="4" s="1"/>
  <c r="I43" i="4"/>
  <c r="K43" i="4"/>
  <c r="L43" i="4"/>
  <c r="M43" i="4"/>
  <c r="N43" i="4"/>
  <c r="P43" i="4"/>
  <c r="O43" i="4" s="1"/>
  <c r="R43" i="4"/>
  <c r="S43" i="4"/>
  <c r="W43" i="4"/>
  <c r="V43" i="4" s="1"/>
  <c r="Z43" i="4"/>
  <c r="X43" i="4" s="1"/>
  <c r="AF43" i="4"/>
  <c r="AG43" i="4"/>
  <c r="AJ43" i="4"/>
  <c r="AK43" i="4"/>
  <c r="AM43" i="4"/>
  <c r="D44" i="4"/>
  <c r="A44" i="4" s="1"/>
  <c r="I44" i="4"/>
  <c r="K44" i="4"/>
  <c r="L44" i="4"/>
  <c r="M44" i="4"/>
  <c r="N44" i="4"/>
  <c r="R44" i="4"/>
  <c r="S44" i="4"/>
  <c r="T44" i="4"/>
  <c r="U44" i="4"/>
  <c r="W44" i="4"/>
  <c r="V44" i="4" s="1"/>
  <c r="Z44" i="4"/>
  <c r="X44" i="4" s="1"/>
  <c r="AB44" i="4"/>
  <c r="AC44" i="4" s="1"/>
  <c r="AD44" i="4" s="1"/>
  <c r="AE44" i="4" s="1"/>
  <c r="AF44" i="4"/>
  <c r="AG44" i="4"/>
  <c r="AJ44" i="4"/>
  <c r="AK44" i="4"/>
  <c r="AL44" i="4"/>
  <c r="D45" i="4"/>
  <c r="A45" i="4" s="1"/>
  <c r="I45" i="4"/>
  <c r="G45" i="4" s="1"/>
  <c r="K45" i="4"/>
  <c r="L45" i="4"/>
  <c r="M45" i="4"/>
  <c r="N45" i="4"/>
  <c r="P45" i="4"/>
  <c r="O45" i="4" s="1"/>
  <c r="S45" i="4"/>
  <c r="W45" i="4"/>
  <c r="V45" i="4" s="1"/>
  <c r="Z45" i="4"/>
  <c r="X45" i="4" s="1"/>
  <c r="AB45" i="4"/>
  <c r="AC45" i="4" s="1"/>
  <c r="AD45" i="4"/>
  <c r="AE45" i="4" s="1"/>
  <c r="AF45" i="4"/>
  <c r="AG45" i="4"/>
  <c r="AJ45" i="4"/>
  <c r="AK45" i="4"/>
  <c r="AM45" i="4"/>
  <c r="D46" i="4"/>
  <c r="A46" i="4" s="1"/>
  <c r="I46" i="4"/>
  <c r="K46" i="4"/>
  <c r="L46" i="4"/>
  <c r="M46" i="4"/>
  <c r="N46" i="4"/>
  <c r="P46" i="4"/>
  <c r="O46" i="4" s="1"/>
  <c r="R46" i="4"/>
  <c r="S46" i="4"/>
  <c r="T46" i="4"/>
  <c r="U46" i="4"/>
  <c r="W46" i="4"/>
  <c r="V46" i="4" s="1"/>
  <c r="Z46" i="4"/>
  <c r="AF46" i="4"/>
  <c r="AG46" i="4"/>
  <c r="AJ46" i="4"/>
  <c r="AK46" i="4"/>
  <c r="AL46" i="4"/>
  <c r="D47" i="4"/>
  <c r="A47" i="4" s="1"/>
  <c r="I47" i="4"/>
  <c r="K47" i="4"/>
  <c r="L47" i="4"/>
  <c r="M47" i="4"/>
  <c r="N47" i="4"/>
  <c r="P47" i="4"/>
  <c r="O47" i="4" s="1"/>
  <c r="R47" i="4"/>
  <c r="S47" i="4"/>
  <c r="U47" i="4"/>
  <c r="W47" i="4"/>
  <c r="V47" i="4" s="1"/>
  <c r="AF47" i="4"/>
  <c r="AG47" i="4"/>
  <c r="AJ47" i="4"/>
  <c r="AK47" i="4"/>
  <c r="AL47" i="4"/>
  <c r="D48" i="4"/>
  <c r="A48" i="4" s="1"/>
  <c r="I48" i="4"/>
  <c r="G48" i="4" s="1"/>
  <c r="K48" i="4"/>
  <c r="L48" i="4"/>
  <c r="M48" i="4"/>
  <c r="N48" i="4"/>
  <c r="P48" i="4"/>
  <c r="O48" i="4" s="1"/>
  <c r="R48" i="4"/>
  <c r="S48" i="4"/>
  <c r="T48" i="4"/>
  <c r="W48" i="4"/>
  <c r="V48" i="4" s="1"/>
  <c r="AF48" i="4"/>
  <c r="AG48" i="4"/>
  <c r="AJ48" i="4"/>
  <c r="AK48" i="4"/>
  <c r="AL48" i="4"/>
  <c r="O49" i="4"/>
  <c r="T53" i="4"/>
  <c r="AX55" i="4"/>
  <c r="F56" i="4"/>
  <c r="M56" i="4"/>
  <c r="S56" i="4"/>
  <c r="AD56" i="4"/>
  <c r="Z78" i="4" s="1"/>
  <c r="F57" i="4"/>
  <c r="Y57" i="4"/>
  <c r="Z57" i="4"/>
  <c r="T57" i="4" s="1"/>
  <c r="S71" i="4" s="1"/>
  <c r="AD57" i="4"/>
  <c r="F58" i="4"/>
  <c r="G58" i="4"/>
  <c r="Z58" i="4"/>
  <c r="AB58" i="4"/>
  <c r="AC58" i="4"/>
  <c r="AD58" i="4"/>
  <c r="AE58" i="4"/>
  <c r="B59" i="4"/>
  <c r="F59" i="4"/>
  <c r="F131" i="4" s="1"/>
  <c r="G59" i="4"/>
  <c r="G60" i="4" s="1"/>
  <c r="G61" i="4" s="1"/>
  <c r="G62" i="4" s="1"/>
  <c r="G63" i="4" s="1"/>
  <c r="T59" i="4"/>
  <c r="Z59" i="4"/>
  <c r="AT59" i="4"/>
  <c r="BC59" i="4"/>
  <c r="A60" i="4"/>
  <c r="B60" i="4"/>
  <c r="AH60" i="4"/>
  <c r="AI60" i="4"/>
  <c r="AT60" i="4"/>
  <c r="BC60" i="4"/>
  <c r="A61" i="4"/>
  <c r="B61" i="4"/>
  <c r="AT61" i="4"/>
  <c r="BC61" i="4"/>
  <c r="A62" i="4"/>
  <c r="B62" i="4"/>
  <c r="S62" i="4"/>
  <c r="Z62" i="4" s="1"/>
  <c r="AT62" i="4"/>
  <c r="A63" i="4"/>
  <c r="B63" i="4"/>
  <c r="AG63" i="4"/>
  <c r="AT63" i="4"/>
  <c r="A64" i="4"/>
  <c r="B64" i="4"/>
  <c r="F64" i="4"/>
  <c r="T64" i="4"/>
  <c r="AH64" i="4"/>
  <c r="AT64" i="4"/>
  <c r="F65" i="4"/>
  <c r="G65" i="4"/>
  <c r="G64" i="4" s="1"/>
  <c r="T65" i="4"/>
  <c r="A66" i="4"/>
  <c r="B66" i="4"/>
  <c r="F66" i="4"/>
  <c r="G66" i="4"/>
  <c r="S66" i="4"/>
  <c r="T66" i="4"/>
  <c r="AT66" i="4"/>
  <c r="F67" i="4"/>
  <c r="F68" i="4" s="1"/>
  <c r="T67" i="4"/>
  <c r="Z67" i="4"/>
  <c r="AT67" i="4"/>
  <c r="BC67" i="4"/>
  <c r="A68" i="4"/>
  <c r="B68" i="4"/>
  <c r="T68" i="4"/>
  <c r="Z68" i="4"/>
  <c r="AT68" i="4"/>
  <c r="BC68" i="4"/>
  <c r="A69" i="4"/>
  <c r="B69" i="4"/>
  <c r="AH69" i="4"/>
  <c r="AT69" i="4"/>
  <c r="A70" i="4"/>
  <c r="B70" i="4"/>
  <c r="AH70" i="4"/>
  <c r="AI70" i="4"/>
  <c r="AT70" i="4"/>
  <c r="BC70" i="4"/>
  <c r="BD69" i="4" s="1"/>
  <c r="A71" i="4"/>
  <c r="B71" i="4"/>
  <c r="AT71" i="4"/>
  <c r="B72" i="4"/>
  <c r="F72" i="4"/>
  <c r="G72" i="4"/>
  <c r="Z72" i="4"/>
  <c r="BA72" i="4"/>
  <c r="BC72" i="4"/>
  <c r="F73" i="4"/>
  <c r="G73" i="4"/>
  <c r="S73" i="4"/>
  <c r="T73" i="4"/>
  <c r="F74" i="4"/>
  <c r="G74" i="4"/>
  <c r="G84" i="4" s="1"/>
  <c r="Z74" i="4"/>
  <c r="F75" i="4"/>
  <c r="G75" i="4"/>
  <c r="BA75" i="4"/>
  <c r="A76" i="4"/>
  <c r="B76" i="4"/>
  <c r="F76" i="4"/>
  <c r="Z76" i="4"/>
  <c r="A77" i="4"/>
  <c r="B77" i="4"/>
  <c r="F77" i="4"/>
  <c r="G77" i="4"/>
  <c r="Z77" i="4"/>
  <c r="BA77" i="4"/>
  <c r="A78" i="4"/>
  <c r="F78" i="4"/>
  <c r="G78" i="4"/>
  <c r="A79" i="4"/>
  <c r="B79" i="4"/>
  <c r="F79" i="4"/>
  <c r="G79" i="4"/>
  <c r="Z79" i="4"/>
  <c r="BA79" i="4"/>
  <c r="B80" i="4"/>
  <c r="F80" i="4"/>
  <c r="G80" i="4"/>
  <c r="Z80" i="4"/>
  <c r="AI80" i="4"/>
  <c r="AT80" i="4"/>
  <c r="BA80" i="4"/>
  <c r="F81" i="4"/>
  <c r="G81" i="4"/>
  <c r="Z81" i="4"/>
  <c r="AI81" i="4"/>
  <c r="AT81" i="4"/>
  <c r="A82" i="4"/>
  <c r="B82" i="4"/>
  <c r="G82" i="4"/>
  <c r="S82" i="4"/>
  <c r="AH82" i="4"/>
  <c r="AI82" i="4"/>
  <c r="AT82" i="4"/>
  <c r="BA82" i="4"/>
  <c r="BC82" i="4"/>
  <c r="BD82" i="4"/>
  <c r="A83" i="4"/>
  <c r="B83" i="4"/>
  <c r="G83" i="4"/>
  <c r="S83" i="4"/>
  <c r="AI83" i="4"/>
  <c r="AT83" i="4"/>
  <c r="A84" i="4"/>
  <c r="B84" i="4"/>
  <c r="S84" i="4"/>
  <c r="AI84" i="4"/>
  <c r="AT84" i="4"/>
  <c r="BA84" i="4"/>
  <c r="A85" i="4"/>
  <c r="B85" i="4"/>
  <c r="F85" i="4"/>
  <c r="G85" i="4"/>
  <c r="S85" i="4"/>
  <c r="AI85" i="4"/>
  <c r="AT85" i="4"/>
  <c r="BA85" i="4"/>
  <c r="A86" i="4"/>
  <c r="B86" i="4"/>
  <c r="G86" i="4"/>
  <c r="G103" i="4" s="1"/>
  <c r="S86" i="4"/>
  <c r="AI86" i="4"/>
  <c r="AT86" i="4"/>
  <c r="BA86" i="4"/>
  <c r="A87" i="4"/>
  <c r="B87" i="4"/>
  <c r="G87" i="4"/>
  <c r="S87" i="4"/>
  <c r="AI87" i="4"/>
  <c r="AT87" i="4"/>
  <c r="A88" i="4"/>
  <c r="B88" i="4"/>
  <c r="G88" i="4"/>
  <c r="G105" i="4" s="1"/>
  <c r="S88" i="4"/>
  <c r="AI88" i="4"/>
  <c r="AT88" i="4"/>
  <c r="BA88" i="4"/>
  <c r="A89" i="4"/>
  <c r="B89" i="4"/>
  <c r="G89" i="4"/>
  <c r="S89" i="4"/>
  <c r="AI89" i="4"/>
  <c r="AT89" i="4"/>
  <c r="BA89" i="4"/>
  <c r="A90" i="4"/>
  <c r="B90" i="4"/>
  <c r="G90" i="4"/>
  <c r="S90" i="4"/>
  <c r="AI90" i="4"/>
  <c r="AT90" i="4"/>
  <c r="BA90" i="4"/>
  <c r="D91" i="4"/>
  <c r="A91" i="4" s="1"/>
  <c r="F91" i="4"/>
  <c r="G91" i="4"/>
  <c r="AT91" i="4"/>
  <c r="F92" i="4"/>
  <c r="G92" i="4"/>
  <c r="AT92" i="4"/>
  <c r="G93" i="4"/>
  <c r="AT93" i="4"/>
  <c r="D100" i="4"/>
  <c r="AK100" i="4" s="1"/>
  <c r="G100" i="4"/>
  <c r="AT100" i="4"/>
  <c r="D101" i="4"/>
  <c r="BA101" i="4"/>
  <c r="G101" i="4"/>
  <c r="AT101" i="4"/>
  <c r="D102" i="4"/>
  <c r="G102" i="4"/>
  <c r="AT102" i="4"/>
  <c r="D103" i="4"/>
  <c r="BA103" i="4"/>
  <c r="F103" i="4"/>
  <c r="AT103" i="4"/>
  <c r="D104" i="4"/>
  <c r="B104" i="4" s="1"/>
  <c r="G104" i="4"/>
  <c r="AT104" i="4"/>
  <c r="D105" i="4"/>
  <c r="AT105" i="4"/>
  <c r="D106" i="4"/>
  <c r="BA106" i="4"/>
  <c r="G106" i="4"/>
  <c r="AT106" i="4"/>
  <c r="D107" i="4"/>
  <c r="A107" i="4" s="1"/>
  <c r="G107" i="4"/>
  <c r="AT107" i="4"/>
  <c r="A108" i="4"/>
  <c r="B108" i="4"/>
  <c r="F108" i="4"/>
  <c r="G108" i="4"/>
  <c r="T108" i="4"/>
  <c r="AH108" i="4"/>
  <c r="AT108" i="4"/>
  <c r="B109" i="4"/>
  <c r="G109" i="4"/>
  <c r="T109" i="4"/>
  <c r="B110" i="4"/>
  <c r="F110" i="4"/>
  <c r="G110" i="4"/>
  <c r="T110" i="4"/>
  <c r="T112" i="4" s="1"/>
  <c r="T113" i="4" s="1"/>
  <c r="Z110" i="4"/>
  <c r="AT110" i="4"/>
  <c r="BC110" i="4"/>
  <c r="G111" i="4"/>
  <c r="T111" i="4"/>
  <c r="BC111" i="4"/>
  <c r="A112" i="4"/>
  <c r="B112" i="4"/>
  <c r="G112" i="4"/>
  <c r="S112" i="4"/>
  <c r="AH112" i="4"/>
  <c r="AH113" i="4" s="1"/>
  <c r="AI112" i="4"/>
  <c r="AT112" i="4"/>
  <c r="BC112" i="4"/>
  <c r="A113" i="4"/>
  <c r="B113" i="4"/>
  <c r="G113" i="4"/>
  <c r="AI113" i="4"/>
  <c r="AT113" i="4"/>
  <c r="BB113" i="4"/>
  <c r="BC113" i="4"/>
  <c r="A114" i="4"/>
  <c r="B114" i="4"/>
  <c r="S114" i="4"/>
  <c r="AH114" i="4"/>
  <c r="AI114" i="4"/>
  <c r="AT114" i="4"/>
  <c r="BA114" i="4"/>
  <c r="BC114" i="4"/>
  <c r="BD114" i="4" s="1"/>
  <c r="F115" i="4"/>
  <c r="T115" i="4"/>
  <c r="BA115" i="4"/>
  <c r="F116" i="4"/>
  <c r="G116" i="4"/>
  <c r="T116" i="4"/>
  <c r="AT116" i="4"/>
  <c r="BA116" i="4"/>
  <c r="BC116" i="4"/>
  <c r="A117" i="4"/>
  <c r="B117" i="4"/>
  <c r="G117" i="4"/>
  <c r="S117" i="4"/>
  <c r="AH117" i="4"/>
  <c r="AI117" i="4"/>
  <c r="AT117" i="4"/>
  <c r="BA117" i="4"/>
  <c r="BC117" i="4"/>
  <c r="A118" i="4"/>
  <c r="B118" i="4"/>
  <c r="AT118" i="4"/>
  <c r="A119" i="4"/>
  <c r="B119" i="4"/>
  <c r="T119" i="4"/>
  <c r="AT119" i="4"/>
  <c r="A120" i="4"/>
  <c r="B120" i="4"/>
  <c r="T120" i="4"/>
  <c r="AT120" i="4"/>
  <c r="A121" i="4"/>
  <c r="B121" i="4"/>
  <c r="AH121" i="4"/>
  <c r="AH123" i="4" s="1"/>
  <c r="AH109" i="4" s="1"/>
  <c r="AI121" i="4"/>
  <c r="AT121" i="4"/>
  <c r="BC121" i="4"/>
  <c r="BD121" i="4" s="1"/>
  <c r="B122" i="4"/>
  <c r="F122" i="4"/>
  <c r="G122" i="4"/>
  <c r="S122" i="4"/>
  <c r="T122" i="4"/>
  <c r="T121" i="4" s="1"/>
  <c r="AT122" i="4"/>
  <c r="A123" i="4"/>
  <c r="B123" i="4"/>
  <c r="F123" i="4"/>
  <c r="G123" i="4"/>
  <c r="G121" i="4" s="1"/>
  <c r="S123" i="4"/>
  <c r="T123" i="4"/>
  <c r="AT123" i="4"/>
  <c r="B124" i="4"/>
  <c r="F124" i="4"/>
  <c r="G124" i="4"/>
  <c r="T124" i="4"/>
  <c r="AT124" i="4"/>
  <c r="BC124" i="4"/>
  <c r="A125" i="4"/>
  <c r="B125" i="4"/>
  <c r="G125" i="4"/>
  <c r="S125" i="4"/>
  <c r="AT125" i="4"/>
  <c r="BC125" i="4"/>
  <c r="BC127" i="4" s="1"/>
  <c r="B126" i="4"/>
  <c r="G126" i="4"/>
  <c r="AT126" i="4"/>
  <c r="BC126" i="4"/>
  <c r="A127" i="4"/>
  <c r="B127" i="4"/>
  <c r="G127" i="4"/>
  <c r="T127" i="4"/>
  <c r="AT127" i="4"/>
  <c r="A128" i="4"/>
  <c r="B128" i="4"/>
  <c r="G128" i="4"/>
  <c r="T128" i="4"/>
  <c r="AT128" i="4"/>
  <c r="BC128" i="4"/>
  <c r="F129" i="4"/>
  <c r="G129" i="4"/>
  <c r="S129" i="4"/>
  <c r="BA129" i="4"/>
  <c r="A130" i="4"/>
  <c r="B130" i="4"/>
  <c r="BA130" i="4"/>
  <c r="F130" i="4"/>
  <c r="G130" i="4"/>
  <c r="S130" i="4"/>
  <c r="AT130" i="4"/>
  <c r="D131" i="4"/>
  <c r="G131" i="4"/>
  <c r="S131" i="4"/>
  <c r="T131" i="4"/>
  <c r="AH131" i="4"/>
  <c r="AI131" i="4"/>
  <c r="AI132" i="4" s="1"/>
  <c r="AI134" i="4" s="1"/>
  <c r="AT131" i="4"/>
  <c r="A132" i="4"/>
  <c r="B132" i="4"/>
  <c r="G132" i="4"/>
  <c r="G133" i="4" s="1"/>
  <c r="G134" i="4" s="1"/>
  <c r="M132" i="4"/>
  <c r="AH132" i="4"/>
  <c r="AT132" i="4"/>
  <c r="A133" i="4"/>
  <c r="B133" i="4"/>
  <c r="M133" i="4"/>
  <c r="M135" i="4" s="1"/>
  <c r="M136" i="4" s="1"/>
  <c r="M137" i="4" s="1"/>
  <c r="AH133" i="4"/>
  <c r="AI133" i="4"/>
  <c r="AT133" i="4"/>
  <c r="A134" i="4"/>
  <c r="B134" i="4"/>
  <c r="M134" i="4"/>
  <c r="AH134" i="4"/>
  <c r="AT134" i="4"/>
  <c r="A135" i="4"/>
  <c r="B135" i="4"/>
  <c r="S135" i="4"/>
  <c r="AT135" i="4"/>
  <c r="D136" i="4"/>
  <c r="P136" i="4"/>
  <c r="Q136" i="4"/>
  <c r="R136" i="4"/>
  <c r="S136" i="4" s="1"/>
  <c r="AT136" i="4"/>
  <c r="AX136" i="4" s="1"/>
  <c r="D137" i="4"/>
  <c r="P137" i="4"/>
  <c r="Q137" i="4" s="1"/>
  <c r="R137" i="4" s="1"/>
  <c r="S137" i="4"/>
  <c r="AT137" i="4"/>
  <c r="AW137" i="4" s="1"/>
  <c r="AV137" i="4"/>
  <c r="AY137" i="4"/>
  <c r="P5" i="3"/>
  <c r="AD26" i="3"/>
  <c r="W27" i="3"/>
  <c r="X27" i="3"/>
  <c r="AC27" i="3"/>
  <c r="W28" i="3"/>
  <c r="X28" i="3"/>
  <c r="AC28" i="3"/>
  <c r="W29" i="3"/>
  <c r="X29" i="3"/>
  <c r="AC29" i="3"/>
  <c r="W30" i="3"/>
  <c r="X30" i="3"/>
  <c r="AC30" i="3"/>
  <c r="W31" i="3"/>
  <c r="X31" i="3"/>
  <c r="AC31" i="3"/>
  <c r="W32" i="3"/>
  <c r="X32" i="3"/>
  <c r="AC32" i="3"/>
  <c r="W33" i="3"/>
  <c r="X33" i="3"/>
  <c r="AC33" i="3"/>
  <c r="W34" i="3"/>
  <c r="X34" i="3"/>
  <c r="AC34" i="3"/>
  <c r="W35" i="3"/>
  <c r="X35" i="3"/>
  <c r="AC35" i="3"/>
  <c r="W36" i="3"/>
  <c r="X36" i="3"/>
  <c r="AC36" i="3"/>
  <c r="W37" i="3"/>
  <c r="X37" i="3"/>
  <c r="W38" i="3"/>
  <c r="X38" i="3"/>
  <c r="AG47" i="3"/>
  <c r="L74" i="3"/>
  <c r="J82" i="3"/>
  <c r="H85" i="3"/>
  <c r="L85" i="3" s="1"/>
  <c r="I85" i="3"/>
  <c r="I82" i="3" s="1"/>
  <c r="J85" i="3"/>
  <c r="J88" i="3" s="1"/>
  <c r="M86" i="3"/>
  <c r="H87" i="3"/>
  <c r="I87" i="3"/>
  <c r="I88" i="3"/>
  <c r="H89" i="3"/>
  <c r="H90" i="3" s="1"/>
  <c r="I89" i="3"/>
  <c r="J89" i="3"/>
  <c r="J90" i="3" s="1"/>
  <c r="I90" i="3"/>
  <c r="I92" i="3"/>
  <c r="I94" i="3" s="1"/>
  <c r="I95" i="3" s="1"/>
  <c r="J92" i="3"/>
  <c r="J94" i="3" s="1"/>
  <c r="H93" i="3"/>
  <c r="J95" i="3"/>
  <c r="I96" i="3"/>
  <c r="O96" i="3"/>
  <c r="P96" i="3"/>
  <c r="H98" i="3"/>
  <c r="K98" i="3"/>
  <c r="N98" i="3"/>
  <c r="O98" i="3"/>
  <c r="H99" i="3"/>
  <c r="N99" i="3"/>
  <c r="O99" i="3"/>
  <c r="I100" i="3"/>
  <c r="J100" i="3"/>
  <c r="I101" i="3"/>
  <c r="J101" i="3"/>
  <c r="I102" i="3"/>
  <c r="J102" i="3"/>
  <c r="K102" i="3" s="1"/>
  <c r="H103" i="3"/>
  <c r="H105" i="3"/>
  <c r="H107" i="3"/>
  <c r="G117" i="3"/>
  <c r="N8" i="2"/>
  <c r="O8" i="2"/>
  <c r="P8" i="2"/>
  <c r="R8" i="2"/>
  <c r="S8" i="2"/>
  <c r="T8" i="2"/>
  <c r="L18" i="2" s="1"/>
  <c r="U8" i="2"/>
  <c r="O9" i="2"/>
  <c r="P9" i="2"/>
  <c r="I19" i="2" s="1"/>
  <c r="R9" i="2"/>
  <c r="J19" i="2" s="1"/>
  <c r="J27" i="2" s="1"/>
  <c r="S9" i="2"/>
  <c r="K19" i="2" s="1"/>
  <c r="T9" i="2"/>
  <c r="L19" i="2" s="1"/>
  <c r="L80" i="2" s="1"/>
  <c r="L81" i="2" s="1"/>
  <c r="L82" i="2" s="1"/>
  <c r="U9" i="2"/>
  <c r="H16" i="2"/>
  <c r="H33" i="2" s="1"/>
  <c r="I16" i="2"/>
  <c r="J16" i="2"/>
  <c r="K16" i="2"/>
  <c r="L16" i="2"/>
  <c r="H17" i="2"/>
  <c r="I17" i="2"/>
  <c r="J17" i="2"/>
  <c r="J34" i="2" s="1"/>
  <c r="K17" i="2"/>
  <c r="L17" i="2"/>
  <c r="AE35" i="3" s="1"/>
  <c r="H18" i="2"/>
  <c r="H23" i="2" s="1"/>
  <c r="I18" i="2"/>
  <c r="J18" i="2"/>
  <c r="K18" i="2"/>
  <c r="H19" i="2"/>
  <c r="H20" i="2"/>
  <c r="I20" i="2"/>
  <c r="I37" i="2" s="1"/>
  <c r="J20" i="2"/>
  <c r="J37" i="2" s="1"/>
  <c r="K20" i="2"/>
  <c r="L20" i="2"/>
  <c r="H21" i="2"/>
  <c r="I21" i="2"/>
  <c r="J21" i="2"/>
  <c r="K21" i="2"/>
  <c r="L21" i="2"/>
  <c r="H22" i="2"/>
  <c r="H39" i="2" s="1"/>
  <c r="I22" i="2"/>
  <c r="I39" i="2" s="1"/>
  <c r="J22" i="2"/>
  <c r="K22" i="2"/>
  <c r="K39" i="2" s="1"/>
  <c r="L22" i="2"/>
  <c r="AD44" i="3" s="1"/>
  <c r="C23" i="2"/>
  <c r="C43" i="2" s="1"/>
  <c r="D23" i="2"/>
  <c r="E23" i="2"/>
  <c r="F23" i="2"/>
  <c r="G23" i="2"/>
  <c r="C25" i="2"/>
  <c r="C27" i="2" s="1"/>
  <c r="D25" i="2"/>
  <c r="D27" i="2" s="1"/>
  <c r="E25" i="2"/>
  <c r="E26" i="2" s="1"/>
  <c r="F25" i="2"/>
  <c r="F26" i="2" s="1"/>
  <c r="G25" i="2"/>
  <c r="J25" i="2"/>
  <c r="C26" i="2"/>
  <c r="D26" i="2"/>
  <c r="E27" i="2"/>
  <c r="F27" i="2"/>
  <c r="C29" i="2"/>
  <c r="D29" i="2"/>
  <c r="E29" i="2"/>
  <c r="F29" i="2"/>
  <c r="G29" i="2"/>
  <c r="H29" i="2"/>
  <c r="I29" i="2"/>
  <c r="J29" i="2"/>
  <c r="K29" i="2"/>
  <c r="L29" i="2"/>
  <c r="C30" i="2"/>
  <c r="D30" i="2"/>
  <c r="E30" i="2"/>
  <c r="F30" i="2"/>
  <c r="G30" i="2"/>
  <c r="J30" i="2"/>
  <c r="C31" i="2"/>
  <c r="D31" i="2"/>
  <c r="E31" i="2"/>
  <c r="F31" i="2"/>
  <c r="G31" i="2"/>
  <c r="J31" i="2"/>
  <c r="B33" i="2"/>
  <c r="D33" i="2"/>
  <c r="E33" i="2"/>
  <c r="F33" i="2"/>
  <c r="G33" i="2"/>
  <c r="K33" i="2"/>
  <c r="L33" i="2"/>
  <c r="B34" i="2"/>
  <c r="D34" i="2"/>
  <c r="E34" i="2"/>
  <c r="F34" i="2"/>
  <c r="G34" i="2"/>
  <c r="H34" i="2"/>
  <c r="I34" i="2"/>
  <c r="L34" i="2"/>
  <c r="B35" i="2"/>
  <c r="D35" i="2"/>
  <c r="E35" i="2"/>
  <c r="F35" i="2"/>
  <c r="G35" i="2"/>
  <c r="K35" i="2"/>
  <c r="B36" i="2"/>
  <c r="D36" i="2"/>
  <c r="E36" i="2"/>
  <c r="F36" i="2"/>
  <c r="G36" i="2"/>
  <c r="H36" i="2"/>
  <c r="B37" i="2"/>
  <c r="D37" i="2"/>
  <c r="E37" i="2"/>
  <c r="F37" i="2"/>
  <c r="G37" i="2"/>
  <c r="H37" i="2"/>
  <c r="B38" i="2"/>
  <c r="B69" i="2" s="1"/>
  <c r="D38" i="2"/>
  <c r="E38" i="2"/>
  <c r="F38" i="2"/>
  <c r="G38" i="2"/>
  <c r="J38" i="2"/>
  <c r="K38" i="2"/>
  <c r="B39" i="2"/>
  <c r="D39" i="2"/>
  <c r="E39" i="2"/>
  <c r="F39" i="2"/>
  <c r="G39" i="2"/>
  <c r="L39" i="2"/>
  <c r="B40" i="2"/>
  <c r="F40" i="2"/>
  <c r="G40" i="2"/>
  <c r="B42" i="2"/>
  <c r="C42" i="2"/>
  <c r="E42" i="2"/>
  <c r="F42" i="2"/>
  <c r="F52" i="2" s="1"/>
  <c r="G42" i="2"/>
  <c r="B43" i="2"/>
  <c r="F43" i="2"/>
  <c r="G43" i="2"/>
  <c r="G53" i="2" s="1"/>
  <c r="B44" i="2"/>
  <c r="C44" i="2"/>
  <c r="F44" i="2"/>
  <c r="G44" i="2"/>
  <c r="G54" i="2" s="1"/>
  <c r="B45" i="2"/>
  <c r="F45" i="2"/>
  <c r="G45" i="2"/>
  <c r="B46" i="2"/>
  <c r="C46" i="2"/>
  <c r="C53" i="2" s="1"/>
  <c r="F46" i="2"/>
  <c r="G46" i="2"/>
  <c r="B47" i="2"/>
  <c r="C47" i="2"/>
  <c r="D47" i="2"/>
  <c r="F47" i="2"/>
  <c r="G47" i="2"/>
  <c r="G52" i="2" s="1"/>
  <c r="B48" i="2"/>
  <c r="C48" i="2"/>
  <c r="E48" i="2"/>
  <c r="E55" i="2" s="1"/>
  <c r="F48" i="2"/>
  <c r="G48" i="2"/>
  <c r="B49" i="2"/>
  <c r="C49" i="2"/>
  <c r="E49" i="2"/>
  <c r="F49" i="2"/>
  <c r="G49" i="2"/>
  <c r="C51" i="2"/>
  <c r="D51" i="2"/>
  <c r="E51" i="2"/>
  <c r="F51" i="2"/>
  <c r="G51" i="2"/>
  <c r="H51" i="2"/>
  <c r="I51" i="2"/>
  <c r="J51" i="2"/>
  <c r="K51" i="2"/>
  <c r="L51" i="2"/>
  <c r="F54" i="2"/>
  <c r="C55" i="2"/>
  <c r="F55" i="2"/>
  <c r="G55" i="2"/>
  <c r="C58" i="2"/>
  <c r="F58" i="2"/>
  <c r="G59" i="2"/>
  <c r="C61" i="2"/>
  <c r="D61" i="2"/>
  <c r="D62" i="2" s="1"/>
  <c r="E61" i="2"/>
  <c r="E62" i="2" s="1"/>
  <c r="F61" i="2"/>
  <c r="F63" i="2" s="1"/>
  <c r="G61" i="2"/>
  <c r="G63" i="2" s="1"/>
  <c r="I61" i="2"/>
  <c r="J61" i="2"/>
  <c r="L61" i="2"/>
  <c r="C62" i="2"/>
  <c r="L62" i="2"/>
  <c r="C63" i="2"/>
  <c r="D63" i="2"/>
  <c r="E63" i="2"/>
  <c r="C64" i="2"/>
  <c r="D64" i="2"/>
  <c r="E64" i="2"/>
  <c r="G64" i="2"/>
  <c r="L64" i="2"/>
  <c r="C66" i="2"/>
  <c r="C70" i="2" s="1"/>
  <c r="D66" i="2"/>
  <c r="D69" i="2" s="1"/>
  <c r="E66" i="2"/>
  <c r="F66" i="2"/>
  <c r="F70" i="2" s="1"/>
  <c r="G66" i="2"/>
  <c r="I66" i="2"/>
  <c r="B67" i="2"/>
  <c r="C67" i="2"/>
  <c r="D67" i="2"/>
  <c r="F67" i="2"/>
  <c r="G67" i="2"/>
  <c r="B68" i="2"/>
  <c r="D68" i="2"/>
  <c r="G68" i="2"/>
  <c r="E69" i="2"/>
  <c r="G69" i="2"/>
  <c r="I69" i="2"/>
  <c r="B70" i="2"/>
  <c r="D70" i="2"/>
  <c r="G70" i="2"/>
  <c r="C72" i="2"/>
  <c r="C73" i="2" s="1"/>
  <c r="D72" i="2"/>
  <c r="E72" i="2"/>
  <c r="F72" i="2"/>
  <c r="G72" i="2"/>
  <c r="G73" i="2" s="1"/>
  <c r="H72" i="2"/>
  <c r="H73" i="2" s="1"/>
  <c r="I72" i="2"/>
  <c r="I74" i="2" s="1"/>
  <c r="J72" i="2"/>
  <c r="L72" i="2"/>
  <c r="L73" i="2" s="1"/>
  <c r="D73" i="2"/>
  <c r="E73" i="2"/>
  <c r="F73" i="2"/>
  <c r="J73" i="2"/>
  <c r="C74" i="2"/>
  <c r="D74" i="2"/>
  <c r="E74" i="2"/>
  <c r="F74" i="2"/>
  <c r="G74" i="2"/>
  <c r="J74" i="2"/>
  <c r="C76" i="2"/>
  <c r="C78" i="2" s="1"/>
  <c r="D76" i="2"/>
  <c r="E76" i="2"/>
  <c r="F76" i="2"/>
  <c r="F77" i="2" s="1"/>
  <c r="G76" i="2"/>
  <c r="H76" i="2"/>
  <c r="H78" i="2" s="1"/>
  <c r="I76" i="2"/>
  <c r="I77" i="2" s="1"/>
  <c r="D77" i="2"/>
  <c r="G77" i="2"/>
  <c r="H77" i="2"/>
  <c r="D78" i="2"/>
  <c r="G78" i="2"/>
  <c r="I78" i="2"/>
  <c r="C80" i="2"/>
  <c r="C81" i="2" s="1"/>
  <c r="C82" i="2" s="1"/>
  <c r="D80" i="2"/>
  <c r="E80" i="2"/>
  <c r="F80" i="2"/>
  <c r="G80" i="2"/>
  <c r="G81" i="2" s="1"/>
  <c r="G82" i="2" s="1"/>
  <c r="D81" i="2"/>
  <c r="E81" i="2"/>
  <c r="E82" i="2" s="1"/>
  <c r="F81" i="2"/>
  <c r="D82" i="2"/>
  <c r="F82" i="2"/>
  <c r="F98" i="2"/>
  <c r="F99" i="2"/>
  <c r="AF68" i="1"/>
  <c r="H53" i="11" s="1"/>
  <c r="AG68" i="1"/>
  <c r="C49" i="11" s="1"/>
  <c r="AH68" i="1"/>
  <c r="AM68" i="1"/>
  <c r="AN68" i="1"/>
  <c r="AO68" i="1"/>
  <c r="AP68" i="1"/>
  <c r="AQ68" i="1"/>
  <c r="AR68" i="1"/>
  <c r="AS68" i="1"/>
  <c r="AT68" i="1"/>
  <c r="AU68" i="1"/>
  <c r="AV68" i="1"/>
  <c r="AW68" i="1"/>
  <c r="AX68" i="1"/>
  <c r="AY68" i="1"/>
  <c r="AZ68" i="1"/>
  <c r="BA68" i="1"/>
  <c r="BB68" i="1"/>
  <c r="BC68" i="1"/>
  <c r="BE68" i="1"/>
  <c r="AN123" i="1"/>
  <c r="AL124" i="1"/>
  <c r="AN124" i="1"/>
  <c r="AL125" i="1"/>
  <c r="AN125" i="1"/>
  <c r="BH128" i="1"/>
  <c r="BI128" i="1"/>
  <c r="BI136" i="1" s="1"/>
  <c r="BJ128" i="1"/>
  <c r="BJ137" i="1" s="1"/>
  <c r="BK128" i="1"/>
  <c r="BL128" i="1"/>
  <c r="BL137" i="1" s="1"/>
  <c r="S41" i="3" s="1"/>
  <c r="BM128" i="1"/>
  <c r="BF129" i="1"/>
  <c r="BJ130" i="1" s="1"/>
  <c r="BJ138" i="1" s="1"/>
  <c r="BI129" i="1"/>
  <c r="BJ129" i="1"/>
  <c r="BM129" i="1"/>
  <c r="BJ132" i="1"/>
  <c r="BJ136" i="1" s="1"/>
  <c r="BJ133" i="1"/>
  <c r="BK133" i="1" s="1"/>
  <c r="BK137" i="1" s="1"/>
  <c r="BJ134" i="1"/>
  <c r="BK134" i="1" s="1"/>
  <c r="BH136" i="1"/>
  <c r="BD86" i="1" s="1"/>
  <c r="BL136" i="1"/>
  <c r="BH137" i="1"/>
  <c r="BI137" i="1"/>
  <c r="BF147" i="1"/>
  <c r="AR53" i="7" a="1"/>
  <c r="AR67" i="7" a="1"/>
  <c r="AR94" i="7" a="1"/>
  <c r="AR80" i="7" a="1"/>
  <c r="AR76" i="7" a="1"/>
  <c r="AR56" i="7" a="1"/>
  <c r="AR60" i="7" a="1"/>
  <c r="AR61" i="7" a="1"/>
  <c r="AR103" i="7" a="1"/>
  <c r="AR54" i="7" a="1"/>
  <c r="AR99" i="7" a="1"/>
  <c r="AR97" i="7" a="1"/>
  <c r="AR22" i="7" a="1"/>
  <c r="AR110" i="7" a="1"/>
  <c r="AR51" i="7" a="1"/>
  <c r="AR73" i="7" a="1"/>
  <c r="AR101" i="7" a="1"/>
  <c r="AR90" i="7" a="1"/>
  <c r="AR69" i="7" a="1"/>
  <c r="AR106" i="7" a="1"/>
  <c r="AR72" i="7" a="1"/>
  <c r="AR21" i="7" a="1"/>
  <c r="AR32" i="7" a="1"/>
  <c r="AR100" i="7" a="1"/>
  <c r="AR105" i="7" a="1"/>
  <c r="AR93" i="7" a="1"/>
  <c r="AR64" i="7" a="1"/>
  <c r="AR85" i="7" a="1"/>
  <c r="AR79" i="7" a="1"/>
  <c r="AR55" i="7" a="1"/>
  <c r="AR25" i="7" a="1"/>
  <c r="AZ27" i="8" a="1"/>
  <c r="AR52" i="7" a="1"/>
  <c r="AR50" i="7" a="1"/>
  <c r="AR108" i="7" a="1"/>
  <c r="AN104" i="8" l="1" a="1"/>
  <c r="AN104" i="8" s="1"/>
  <c r="AB97" i="4"/>
  <c r="AN109" i="8" a="1"/>
  <c r="AN109" i="8" s="1"/>
  <c r="AB98" i="4"/>
  <c r="AN114" i="8" a="1"/>
  <c r="AN114" i="8" s="1"/>
  <c r="AB99" i="4"/>
  <c r="AN99" i="8" a="1"/>
  <c r="AN99" i="8" s="1"/>
  <c r="AB96" i="4"/>
  <c r="BC118" i="4"/>
  <c r="H116" i="4"/>
  <c r="M116" i="4" s="1"/>
  <c r="R116" i="4" s="1"/>
  <c r="S109" i="4"/>
  <c r="A106" i="4"/>
  <c r="B106" i="4"/>
  <c r="AK105" i="4"/>
  <c r="A105" i="4"/>
  <c r="AK103" i="4"/>
  <c r="A103" i="4"/>
  <c r="B103" i="4"/>
  <c r="BA102" i="4"/>
  <c r="AK102" i="4"/>
  <c r="D93" i="4"/>
  <c r="BA93" i="4" s="1"/>
  <c r="B101" i="4"/>
  <c r="Z89" i="4"/>
  <c r="Z85" i="4"/>
  <c r="Z87" i="4"/>
  <c r="T83" i="4"/>
  <c r="H47" i="4"/>
  <c r="F47" i="4" s="1"/>
  <c r="G47" i="4"/>
  <c r="AB46" i="4"/>
  <c r="AC46" i="4" s="1"/>
  <c r="AD46" i="4" s="1"/>
  <c r="AE46" i="4" s="1"/>
  <c r="X46" i="4"/>
  <c r="G46" i="4"/>
  <c r="H46" i="4"/>
  <c r="F46" i="4" s="1"/>
  <c r="G43" i="4"/>
  <c r="H43" i="4"/>
  <c r="F43" i="4" s="1"/>
  <c r="X40" i="4"/>
  <c r="Y40" i="4"/>
  <c r="AD20" i="20"/>
  <c r="AD22" i="20"/>
  <c r="AD52" i="20"/>
  <c r="AL22" i="8"/>
  <c r="AM19" i="4"/>
  <c r="T55" i="11"/>
  <c r="C76" i="8"/>
  <c r="Y49" i="17"/>
  <c r="Q49" i="17"/>
  <c r="W49" i="17"/>
  <c r="O49" i="17"/>
  <c r="U49" i="17"/>
  <c r="M49" i="17"/>
  <c r="S49" i="17"/>
  <c r="K49" i="17"/>
  <c r="T49" i="17"/>
  <c r="L49" i="17"/>
  <c r="V49" i="17"/>
  <c r="N49" i="17"/>
  <c r="X49" i="17"/>
  <c r="P49" i="17"/>
  <c r="Z49" i="17"/>
  <c r="R49" i="17"/>
  <c r="AK66" i="4"/>
  <c r="CN30" i="13" s="1"/>
  <c r="AK127" i="4"/>
  <c r="CN24" i="13" s="1"/>
  <c r="AK86" i="4"/>
  <c r="CN86" i="13" s="1"/>
  <c r="W21" i="7" a="1"/>
  <c r="W21" i="7" s="1"/>
  <c r="AK89" i="4"/>
  <c r="CN89" i="13" s="1"/>
  <c r="AK85" i="4"/>
  <c r="CN85" i="13" s="1"/>
  <c r="V109" i="7" a="1"/>
  <c r="V109" i="7" s="1"/>
  <c r="W93" i="7" a="1"/>
  <c r="W93" i="7" s="1"/>
  <c r="AK68" i="4"/>
  <c r="CN34" i="13" s="1"/>
  <c r="AK107" i="4"/>
  <c r="AK71" i="4"/>
  <c r="CN33" i="13" s="1"/>
  <c r="W43" i="7" a="1"/>
  <c r="W43" i="7" s="1"/>
  <c r="V48" i="7" a="1"/>
  <c r="V48" i="7" s="1"/>
  <c r="AK62" i="4"/>
  <c r="CN42" i="13" s="1"/>
  <c r="W61" i="7" a="1"/>
  <c r="W61" i="7" s="1"/>
  <c r="V21" i="7" a="1"/>
  <c r="V21" i="7" s="1"/>
  <c r="V92" i="7" a="1"/>
  <c r="V92" i="7" s="1"/>
  <c r="V20" i="7" a="1"/>
  <c r="V20" i="7" s="1"/>
  <c r="V116" i="7" s="1"/>
  <c r="AK129" i="4"/>
  <c r="CN36" i="13" s="1"/>
  <c r="W44" i="7" a="1"/>
  <c r="W44" i="7" s="1"/>
  <c r="AK61" i="4"/>
  <c r="CN41" i="13" s="1"/>
  <c r="AK64" i="4"/>
  <c r="CN29" i="13" s="1"/>
  <c r="AK133" i="4"/>
  <c r="CN55" i="13" s="1"/>
  <c r="AK83" i="4"/>
  <c r="CN83" i="13" s="1"/>
  <c r="AK79" i="4"/>
  <c r="CN79" i="13" s="1"/>
  <c r="AK90" i="4"/>
  <c r="CN90" i="13" s="1"/>
  <c r="V55" i="7" a="1"/>
  <c r="V55" i="7" s="1"/>
  <c r="V22" i="7" a="1"/>
  <c r="V22" i="7" s="1"/>
  <c r="V69" i="7" a="1"/>
  <c r="V69" i="7" s="1"/>
  <c r="V72" i="7" a="1"/>
  <c r="V72" i="7" s="1"/>
  <c r="V80" i="7" a="1"/>
  <c r="V80" i="7" s="1"/>
  <c r="V84" i="7" a="1"/>
  <c r="V84" i="7" s="1"/>
  <c r="V89" i="7" a="1"/>
  <c r="V89" i="7" s="1"/>
  <c r="AK75" i="4"/>
  <c r="CN75" i="13" s="1"/>
  <c r="AK120" i="4"/>
  <c r="CN51" i="13" s="1"/>
  <c r="AK122" i="4"/>
  <c r="CN18" i="13" s="1"/>
  <c r="AK60" i="4"/>
  <c r="CN40" i="13" s="1"/>
  <c r="AK109" i="4"/>
  <c r="CN66" i="13" s="1"/>
  <c r="AK93" i="4"/>
  <c r="AK91" i="4"/>
  <c r="AK78" i="4"/>
  <c r="CN78" i="13" s="1"/>
  <c r="W62" i="7" a="1"/>
  <c r="W62" i="7" s="1"/>
  <c r="W33" i="7" a="1"/>
  <c r="W33" i="7" s="1"/>
  <c r="W52" i="7" a="1"/>
  <c r="W52" i="7" s="1"/>
  <c r="W74" i="7" a="1"/>
  <c r="W74" i="7" s="1"/>
  <c r="W106" i="7" a="1"/>
  <c r="W106" i="7" s="1"/>
  <c r="W101" i="7" a="1"/>
  <c r="W101" i="7" s="1"/>
  <c r="V61" i="7" a="1"/>
  <c r="V61" i="7" s="1"/>
  <c r="V76" i="7" a="1"/>
  <c r="V76" i="7" s="1"/>
  <c r="V78" i="7" a="1"/>
  <c r="V78" i="7" s="1"/>
  <c r="V98" i="7" a="1"/>
  <c r="V98" i="7" s="1"/>
  <c r="V102" i="7" a="1"/>
  <c r="V102" i="7" s="1"/>
  <c r="AK74" i="4"/>
  <c r="CN74" i="13" s="1"/>
  <c r="V74" i="7" a="1"/>
  <c r="V74" i="7" s="1"/>
  <c r="AK121" i="4"/>
  <c r="CN20" i="13" s="1"/>
  <c r="AK123" i="4"/>
  <c r="CN21" i="13" s="1"/>
  <c r="AK76" i="4"/>
  <c r="CN76" i="13" s="1"/>
  <c r="AK88" i="4"/>
  <c r="CN88" i="13" s="1"/>
  <c r="AK101" i="4"/>
  <c r="V94" i="7" a="1"/>
  <c r="V94" i="7" s="1"/>
  <c r="W59" i="7" a="1"/>
  <c r="W59" i="7" s="1"/>
  <c r="W37" i="7" a="1"/>
  <c r="W37" i="7" s="1"/>
  <c r="W80" i="7" a="1"/>
  <c r="W80" i="7" s="1"/>
  <c r="W110" i="7" a="1"/>
  <c r="W110" i="7" s="1"/>
  <c r="W109" i="7" a="1"/>
  <c r="W109" i="7" s="1"/>
  <c r="V62" i="7" a="1"/>
  <c r="V62" i="7" s="1"/>
  <c r="V33" i="7" a="1"/>
  <c r="V33" i="7" s="1"/>
  <c r="V31" i="7" a="1"/>
  <c r="V31" i="7" s="1"/>
  <c r="V101" i="7" a="1"/>
  <c r="V101" i="7" s="1"/>
  <c r="V83" i="7" a="1"/>
  <c r="V83" i="7" s="1"/>
  <c r="V105" i="7" a="1"/>
  <c r="V105" i="7" s="1"/>
  <c r="AK118" i="4"/>
  <c r="CN49" i="13" s="1"/>
  <c r="V70" i="7" a="1"/>
  <c r="V70" i="7" s="1"/>
  <c r="AK116" i="4"/>
  <c r="CN46" i="13" s="1"/>
  <c r="AK119" i="4"/>
  <c r="CN50" i="13" s="1"/>
  <c r="AK125" i="4"/>
  <c r="AK77" i="4"/>
  <c r="CN77" i="13" s="1"/>
  <c r="AK82" i="4"/>
  <c r="CN82" i="13" s="1"/>
  <c r="W83" i="7" a="1"/>
  <c r="W83" i="7" s="1"/>
  <c r="W84" i="7" a="1"/>
  <c r="W84" i="7" s="1"/>
  <c r="W92" i="7" a="1"/>
  <c r="W92" i="7" s="1"/>
  <c r="V66" i="7" a="1"/>
  <c r="V66" i="7" s="1"/>
  <c r="V37" i="7" a="1"/>
  <c r="V37" i="7" s="1"/>
  <c r="V35" i="7" a="1"/>
  <c r="V35" i="7" s="1"/>
  <c r="V52" i="7" a="1"/>
  <c r="V52" i="7" s="1"/>
  <c r="V85" i="7" a="1"/>
  <c r="V85" i="7" s="1"/>
  <c r="V110" i="7" a="1"/>
  <c r="V110" i="7" s="1"/>
  <c r="V38" i="7" a="1"/>
  <c r="V38" i="7" s="1"/>
  <c r="AK63" i="4"/>
  <c r="CN43" i="13" s="1"/>
  <c r="AK115" i="4"/>
  <c r="CN45" i="13" s="1"/>
  <c r="AK117" i="4"/>
  <c r="CN48" i="13" s="1"/>
  <c r="AK111" i="4"/>
  <c r="CN68" i="13" s="1"/>
  <c r="AK81" i="4"/>
  <c r="CN81" i="13" s="1"/>
  <c r="W76" i="7" a="1"/>
  <c r="W76" i="7" s="1"/>
  <c r="W94" i="7" a="1"/>
  <c r="W94" i="7" s="1"/>
  <c r="V81" i="7" a="1"/>
  <c r="V81" i="7" s="1"/>
  <c r="V56" i="7" a="1"/>
  <c r="V56" i="7" s="1"/>
  <c r="V97" i="7" a="1"/>
  <c r="V97" i="7" s="1"/>
  <c r="AK130" i="4"/>
  <c r="CN37" i="13" s="1"/>
  <c r="AK112" i="4"/>
  <c r="CN69" i="13" s="1"/>
  <c r="AK113" i="4"/>
  <c r="CN70" i="13" s="1"/>
  <c r="AK104" i="4"/>
  <c r="AK106" i="4"/>
  <c r="W36" i="7" a="1"/>
  <c r="W36" i="7" s="1"/>
  <c r="W60" i="7" a="1"/>
  <c r="W60" i="7" s="1"/>
  <c r="W85" i="7" a="1"/>
  <c r="W85" i="7" s="1"/>
  <c r="V79" i="7" a="1"/>
  <c r="V79" i="7" s="1"/>
  <c r="V93" i="7" a="1"/>
  <c r="V93" i="7" s="1"/>
  <c r="V86" i="7" a="1"/>
  <c r="V86" i="7" s="1"/>
  <c r="W70" i="7" a="1"/>
  <c r="W70" i="7" s="1"/>
  <c r="W64" i="7" a="1"/>
  <c r="W64" i="7" s="1"/>
  <c r="W86" i="7" a="1"/>
  <c r="W86" i="7" s="1"/>
  <c r="V32" i="7" a="1"/>
  <c r="V32" i="7" s="1"/>
  <c r="V42" i="7" a="1"/>
  <c r="V42" i="7" s="1"/>
  <c r="V75" i="7" a="1"/>
  <c r="V75" i="7" s="1"/>
  <c r="V43" i="7" a="1"/>
  <c r="V43" i="7" s="1"/>
  <c r="V36" i="7" a="1"/>
  <c r="V36" i="7" s="1"/>
  <c r="V104" i="7" a="1"/>
  <c r="V104" i="7" s="1"/>
  <c r="AK128" i="4"/>
  <c r="CN25" i="13" s="1"/>
  <c r="AK124" i="4"/>
  <c r="CN19" i="13" s="1"/>
  <c r="AK59" i="4"/>
  <c r="CN39" i="13" s="1"/>
  <c r="AK80" i="4"/>
  <c r="CN80" i="13" s="1"/>
  <c r="W41" i="7" a="1"/>
  <c r="W41" i="7" s="1"/>
  <c r="V29" i="7" a="1"/>
  <c r="V29" i="7" s="1"/>
  <c r="V41" i="7" a="1"/>
  <c r="V41" i="7" s="1"/>
  <c r="V53" i="7" a="1"/>
  <c r="V53" i="7" s="1"/>
  <c r="V58" i="7" a="1"/>
  <c r="V58" i="7" s="1"/>
  <c r="V108" i="7" a="1"/>
  <c r="V108" i="7" s="1"/>
  <c r="W66" i="7" a="1"/>
  <c r="W66" i="7" s="1"/>
  <c r="AK126" i="4"/>
  <c r="CN23" i="13" s="1"/>
  <c r="AK110" i="4"/>
  <c r="CN67" i="13" s="1"/>
  <c r="V64" i="7" a="1"/>
  <c r="V64" i="7" s="1"/>
  <c r="W45" i="7" a="1"/>
  <c r="W45" i="7" s="1"/>
  <c r="W72" i="7" a="1"/>
  <c r="W72" i="7" s="1"/>
  <c r="W100" i="7" a="1"/>
  <c r="W100" i="7" s="1"/>
  <c r="W108" i="7" a="1"/>
  <c r="W108" i="7" s="1"/>
  <c r="V59" i="7" a="1"/>
  <c r="V59" i="7" s="1"/>
  <c r="AK131" i="4"/>
  <c r="CN53" i="13" s="1"/>
  <c r="AK108" i="4"/>
  <c r="CN65" i="13" s="1"/>
  <c r="V54" i="7" a="1"/>
  <c r="V54" i="7" s="1"/>
  <c r="AJ53" i="7"/>
  <c r="F101" i="4"/>
  <c r="F89" i="4"/>
  <c r="F106" i="4"/>
  <c r="F86" i="4"/>
  <c r="H81" i="4"/>
  <c r="M81" i="4" s="1"/>
  <c r="R81" i="4" s="1"/>
  <c r="F84" i="4"/>
  <c r="F93" i="4"/>
  <c r="F87" i="4"/>
  <c r="F104" i="4"/>
  <c r="AD55" i="4"/>
  <c r="S65" i="4" s="1"/>
  <c r="Z73" i="4"/>
  <c r="S133" i="4"/>
  <c r="AI68" i="1"/>
  <c r="J47" i="11"/>
  <c r="C51" i="11"/>
  <c r="C52" i="11" s="1"/>
  <c r="C7" i="11" s="1"/>
  <c r="C16" i="11" s="1"/>
  <c r="X109" i="11"/>
  <c r="H64" i="4"/>
  <c r="M64" i="4" s="1"/>
  <c r="R64" i="4" s="1"/>
  <c r="O29" i="13" a="1"/>
  <c r="O29" i="13" s="1"/>
  <c r="CO29" i="13" s="1"/>
  <c r="CP29" i="13" s="1"/>
  <c r="CQ29" i="13" s="1"/>
  <c r="F82" i="4"/>
  <c r="H129" i="4"/>
  <c r="M129" i="4" s="1"/>
  <c r="R129" i="4" s="1"/>
  <c r="H59" i="4"/>
  <c r="M59" i="4" s="1"/>
  <c r="R59" i="4" s="1"/>
  <c r="R131" i="4" s="1"/>
  <c r="R132" i="4" s="1"/>
  <c r="R133" i="4" s="1"/>
  <c r="O39" i="13" a="1"/>
  <c r="O39" i="13" s="1"/>
  <c r="CO39" i="13" s="1"/>
  <c r="CP39" i="13" s="1"/>
  <c r="CQ39" i="13" s="1"/>
  <c r="H131" i="4"/>
  <c r="F100" i="4"/>
  <c r="F88" i="4"/>
  <c r="H65" i="4"/>
  <c r="F118" i="4"/>
  <c r="H108" i="4"/>
  <c r="M108" i="4" s="1"/>
  <c r="R108" i="4" s="1"/>
  <c r="F102" i="4"/>
  <c r="H85" i="4"/>
  <c r="I85" i="4" s="1"/>
  <c r="J85" i="4" s="1"/>
  <c r="T45" i="4"/>
  <c r="U43" i="4"/>
  <c r="T47" i="4"/>
  <c r="U48" i="4"/>
  <c r="F119" i="4"/>
  <c r="H110" i="4"/>
  <c r="M110" i="4" s="1"/>
  <c r="R110" i="4" s="1"/>
  <c r="I81" i="4"/>
  <c r="T43" i="4"/>
  <c r="H79" i="4"/>
  <c r="I79" i="4" s="1"/>
  <c r="F69" i="4"/>
  <c r="U45" i="4"/>
  <c r="H130" i="4"/>
  <c r="M130" i="4" s="1"/>
  <c r="R130" i="4" s="1"/>
  <c r="F117" i="4"/>
  <c r="H87" i="4"/>
  <c r="F105" i="4"/>
  <c r="H123" i="4"/>
  <c r="I123" i="4" s="1"/>
  <c r="N123" i="4" s="1"/>
  <c r="F107" i="4"/>
  <c r="F90" i="4"/>
  <c r="H76" i="4"/>
  <c r="R45" i="4"/>
  <c r="AM22" i="8" a="1"/>
  <c r="AM22" i="8" s="1"/>
  <c r="AR22" i="8" s="1"/>
  <c r="AA65" i="4"/>
  <c r="Z70" i="4"/>
  <c r="W35" i="7" a="1"/>
  <c r="W35" i="7" s="1"/>
  <c r="W34" i="7" a="1"/>
  <c r="W34" i="7" s="1"/>
  <c r="W24" i="7" a="1"/>
  <c r="W24" i="7" s="1"/>
  <c r="W26" i="7" a="1"/>
  <c r="W26" i="7" s="1"/>
  <c r="W65" i="7" a="1"/>
  <c r="W65" i="7" s="1"/>
  <c r="AF22" i="7" a="1"/>
  <c r="AF22" i="7" s="1"/>
  <c r="AT22" i="7" s="1"/>
  <c r="F113" i="4"/>
  <c r="F109" i="4"/>
  <c r="I116" i="4"/>
  <c r="N116" i="4" s="1"/>
  <c r="AJ58" i="7"/>
  <c r="AD122" i="8"/>
  <c r="AK69" i="4"/>
  <c r="CN31" i="13" s="1"/>
  <c r="U68" i="4"/>
  <c r="Z82" i="4"/>
  <c r="Z83" i="4"/>
  <c r="AL52" i="8"/>
  <c r="AL20" i="8"/>
  <c r="AA67" i="4" s="1"/>
  <c r="W27" i="7" a="1"/>
  <c r="W27" i="7" s="1"/>
  <c r="S27" i="7" s="1"/>
  <c r="W48" i="7" a="1"/>
  <c r="W48" i="7" s="1"/>
  <c r="W31" i="7" a="1"/>
  <c r="W31" i="7" s="1"/>
  <c r="W58" i="7" a="1"/>
  <c r="W58" i="7" s="1"/>
  <c r="AR90" i="7"/>
  <c r="AR79" i="7"/>
  <c r="AR53" i="7"/>
  <c r="AR22" i="7"/>
  <c r="AR80" i="7"/>
  <c r="AR110" i="7"/>
  <c r="AR106" i="7"/>
  <c r="AR61" i="7"/>
  <c r="AR72" i="7"/>
  <c r="AR51" i="7"/>
  <c r="AR97" i="7"/>
  <c r="AR64" i="7"/>
  <c r="AR76" i="7"/>
  <c r="AR100" i="7"/>
  <c r="AR73" i="7"/>
  <c r="AR105" i="7"/>
  <c r="AR103" i="7"/>
  <c r="AR60" i="7"/>
  <c r="AR94" i="7"/>
  <c r="AR50" i="7"/>
  <c r="AR56" i="7"/>
  <c r="AR25" i="7"/>
  <c r="AR67" i="7"/>
  <c r="AZ27" i="8"/>
  <c r="AR108" i="7"/>
  <c r="AR85" i="7"/>
  <c r="AR21" i="7"/>
  <c r="AR101" i="7"/>
  <c r="AR93" i="7"/>
  <c r="AR52" i="7"/>
  <c r="AR54" i="7"/>
  <c r="AR99" i="7"/>
  <c r="AR69" i="7"/>
  <c r="AR55" i="7"/>
  <c r="AR32" i="7"/>
  <c r="AG53" i="7" a="1"/>
  <c r="AG53" i="7" s="1"/>
  <c r="AS25" i="7"/>
  <c r="AJ25" i="7"/>
  <c r="AF25" i="7" a="1"/>
  <c r="AF25" i="7" s="1"/>
  <c r="AG58" i="7" a="1"/>
  <c r="AG58" i="7" s="1"/>
  <c r="AF46" i="7" a="1"/>
  <c r="AF46" i="7" s="1"/>
  <c r="AJ38" i="7"/>
  <c r="AF51" i="7" a="1"/>
  <c r="AF51" i="7" s="1"/>
  <c r="T129" i="4"/>
  <c r="U53" i="4"/>
  <c r="U112" i="4" s="1"/>
  <c r="X109" i="7" a="1"/>
  <c r="X109" i="7" s="1"/>
  <c r="X106" i="7" a="1"/>
  <c r="X106" i="7" s="1"/>
  <c r="X103" i="7" a="1"/>
  <c r="X103" i="7" s="1"/>
  <c r="X100" i="7" a="1"/>
  <c r="X100" i="7" s="1"/>
  <c r="X96" i="7" a="1"/>
  <c r="X96" i="7" s="1"/>
  <c r="X92" i="7" a="1"/>
  <c r="X92" i="7" s="1"/>
  <c r="X108" i="7" a="1"/>
  <c r="X108" i="7" s="1"/>
  <c r="X107" i="7" a="1"/>
  <c r="X107" i="7" s="1"/>
  <c r="X105" i="7" a="1"/>
  <c r="X105" i="7" s="1"/>
  <c r="X98" i="7" a="1"/>
  <c r="X98" i="7" s="1"/>
  <c r="X94" i="7" a="1"/>
  <c r="X94" i="7" s="1"/>
  <c r="X110" i="7" a="1"/>
  <c r="X110" i="7" s="1"/>
  <c r="X102" i="7" a="1"/>
  <c r="X102" i="7" s="1"/>
  <c r="X89" i="7" a="1"/>
  <c r="X89" i="7" s="1"/>
  <c r="X99" i="7" a="1"/>
  <c r="X99" i="7" s="1"/>
  <c r="X88" i="7" a="1"/>
  <c r="X88" i="7" s="1"/>
  <c r="X82" i="7" a="1"/>
  <c r="X82" i="7" s="1"/>
  <c r="X78" i="7" a="1"/>
  <c r="X78" i="7" s="1"/>
  <c r="X93" i="7" a="1"/>
  <c r="X93" i="7" s="1"/>
  <c r="X97" i="7" a="1"/>
  <c r="X97" i="7" s="1"/>
  <c r="X86" i="7" a="1"/>
  <c r="X86" i="7" s="1"/>
  <c r="X104" i="7" a="1"/>
  <c r="X104" i="7" s="1"/>
  <c r="X91" i="7" a="1"/>
  <c r="X91" i="7" s="1"/>
  <c r="X90" i="7" a="1"/>
  <c r="X90" i="7" s="1"/>
  <c r="X84" i="7" a="1"/>
  <c r="X84" i="7" s="1"/>
  <c r="X87" i="7" a="1"/>
  <c r="X87" i="7" s="1"/>
  <c r="X77" i="7" a="1"/>
  <c r="X77" i="7" s="1"/>
  <c r="X75" i="7" a="1"/>
  <c r="X75" i="7" s="1"/>
  <c r="X95" i="7" a="1"/>
  <c r="X95" i="7" s="1"/>
  <c r="X85" i="7" a="1"/>
  <c r="X85" i="7" s="1"/>
  <c r="X81" i="7" a="1"/>
  <c r="X81" i="7" s="1"/>
  <c r="X79" i="7" a="1"/>
  <c r="X79" i="7" s="1"/>
  <c r="X60" i="7" a="1"/>
  <c r="X60" i="7" s="1"/>
  <c r="X55" i="7" a="1"/>
  <c r="X55" i="7" s="1"/>
  <c r="X51" i="7" a="1"/>
  <c r="X51" i="7" s="1"/>
  <c r="X71" i="7" a="1"/>
  <c r="X71" i="7" s="1"/>
  <c r="X70" i="7" a="1"/>
  <c r="X70" i="7" s="1"/>
  <c r="X63" i="7" a="1"/>
  <c r="X63" i="7" s="1"/>
  <c r="X59" i="7" a="1"/>
  <c r="X59" i="7" s="1"/>
  <c r="X83" i="7" a="1"/>
  <c r="X83" i="7" s="1"/>
  <c r="X73" i="7" a="1"/>
  <c r="X73" i="7" s="1"/>
  <c r="X80" i="7" a="1"/>
  <c r="X80" i="7" s="1"/>
  <c r="X74" i="7" a="1"/>
  <c r="X74" i="7" s="1"/>
  <c r="X69" i="7" a="1"/>
  <c r="X69" i="7" s="1"/>
  <c r="X72" i="7" a="1"/>
  <c r="X72" i="7" s="1"/>
  <c r="X53" i="7" a="1"/>
  <c r="X53" i="7" s="1"/>
  <c r="X57" i="7" a="1"/>
  <c r="X57" i="7" s="1"/>
  <c r="X101" i="7" a="1"/>
  <c r="X101" i="7" s="1"/>
  <c r="X54" i="7" a="1"/>
  <c r="X54" i="7" s="1"/>
  <c r="X45" i="7" a="1"/>
  <c r="X45" i="7" s="1"/>
  <c r="X36" i="7" a="1"/>
  <c r="X36" i="7" s="1"/>
  <c r="X32" i="7" a="1"/>
  <c r="X32" i="7" s="1"/>
  <c r="X27" i="7" a="1"/>
  <c r="X27" i="7" s="1"/>
  <c r="X44" i="7" a="1"/>
  <c r="X44" i="7" s="1"/>
  <c r="X29" i="7" a="1"/>
  <c r="X29" i="7" s="1"/>
  <c r="X39" i="7" a="1"/>
  <c r="X39" i="7" s="1"/>
  <c r="X65" i="7" a="1"/>
  <c r="X65" i="7" s="1"/>
  <c r="X62" i="7" a="1"/>
  <c r="X62" i="7" s="1"/>
  <c r="X58" i="7" a="1"/>
  <c r="X58" i="7" s="1"/>
  <c r="X50" i="7" a="1"/>
  <c r="X50" i="7" s="1"/>
  <c r="X49" i="7" a="1"/>
  <c r="X49" i="7" s="1"/>
  <c r="X48" i="7" a="1"/>
  <c r="X48" i="7" s="1"/>
  <c r="X76" i="7" a="1"/>
  <c r="X76" i="7" s="1"/>
  <c r="X68" i="7" a="1"/>
  <c r="X68" i="7" s="1"/>
  <c r="X61" i="7" a="1"/>
  <c r="X61" i="7" s="1"/>
  <c r="X38" i="7" a="1"/>
  <c r="X38" i="7" s="1"/>
  <c r="X52" i="7" a="1"/>
  <c r="X52" i="7" s="1"/>
  <c r="X20" i="7" a="1"/>
  <c r="X20" i="7" s="1"/>
  <c r="X37" i="7" a="1"/>
  <c r="X37" i="7" s="1"/>
  <c r="X30" i="7" a="1"/>
  <c r="X30" i="7" s="1"/>
  <c r="X22" i="7" a="1"/>
  <c r="X22" i="7" s="1"/>
  <c r="X28" i="7" a="1"/>
  <c r="X28" i="7" s="1"/>
  <c r="X26" i="7" a="1"/>
  <c r="X26" i="7" s="1"/>
  <c r="X25" i="7" a="1"/>
  <c r="X25" i="7" s="1"/>
  <c r="X24" i="7" a="1"/>
  <c r="X24" i="7" s="1"/>
  <c r="X46" i="7" a="1"/>
  <c r="X46" i="7" s="1"/>
  <c r="X47" i="7" a="1"/>
  <c r="X47" i="7" s="1"/>
  <c r="X21" i="7" a="1"/>
  <c r="X21" i="7" s="1"/>
  <c r="X56" i="7" a="1"/>
  <c r="X56" i="7" s="1"/>
  <c r="X43" i="7" a="1"/>
  <c r="X43" i="7" s="1"/>
  <c r="X23" i="7" a="1"/>
  <c r="X23" i="7" s="1"/>
  <c r="AE55" i="7" a="1"/>
  <c r="AE55" i="7" s="1"/>
  <c r="AE48" i="7" a="1"/>
  <c r="AE48" i="7" s="1"/>
  <c r="AE27" i="7" a="1"/>
  <c r="AE27" i="7" s="1"/>
  <c r="AE44" i="7" a="1"/>
  <c r="AE44" i="7" s="1"/>
  <c r="AE32" i="7" a="1"/>
  <c r="AE32" i="7" s="1"/>
  <c r="AE41" i="7" a="1"/>
  <c r="AE41" i="7" s="1"/>
  <c r="AF60" i="7" a="1"/>
  <c r="AF60" i="7" s="1"/>
  <c r="AS22" i="7"/>
  <c r="AF33" i="7" a="1"/>
  <c r="AF33" i="7" s="1"/>
  <c r="AF28" i="7" a="1"/>
  <c r="AF28" i="7" s="1"/>
  <c r="AG28" i="7" s="1" a="1"/>
  <c r="AG28" i="7" s="1"/>
  <c r="AH28" i="7" s="1" a="1"/>
  <c r="AH28" i="7" s="1"/>
  <c r="AK28" i="7" s="1"/>
  <c r="AJ22" i="7"/>
  <c r="AS23" i="7"/>
  <c r="AF23" i="7" a="1"/>
  <c r="AF23" i="7" s="1"/>
  <c r="AE50" i="7" a="1"/>
  <c r="AE50" i="7" s="1"/>
  <c r="AE36" i="7" a="1"/>
  <c r="AE36" i="7" s="1"/>
  <c r="AE45" i="7" a="1"/>
  <c r="AE45" i="7" s="1"/>
  <c r="AJ40" i="7"/>
  <c r="AS20" i="7"/>
  <c r="AF20" i="7" a="1"/>
  <c r="AF20" i="7" s="1"/>
  <c r="T89" i="4"/>
  <c r="AE31" i="7" a="1"/>
  <c r="AE31" i="7" s="1"/>
  <c r="AF49" i="7" a="1"/>
  <c r="AF49" i="7" s="1"/>
  <c r="AK30" i="7"/>
  <c r="AF38" i="7" a="1"/>
  <c r="AF38" i="7" s="1"/>
  <c r="AJ57" i="7"/>
  <c r="AF40" i="7" a="1"/>
  <c r="AF40" i="7" s="1"/>
  <c r="AG63" i="7" a="1"/>
  <c r="AG63" i="7" s="1"/>
  <c r="Y107" i="7" a="1"/>
  <c r="Y107" i="7" s="1"/>
  <c r="Y91" i="7" a="1"/>
  <c r="Y91" i="7" s="1"/>
  <c r="Y104" i="7" a="1"/>
  <c r="Y104" i="7" s="1"/>
  <c r="Y108" i="7" a="1"/>
  <c r="Y108" i="7" s="1"/>
  <c r="Y105" i="7" a="1"/>
  <c r="Y105" i="7" s="1"/>
  <c r="Y110" i="7" a="1"/>
  <c r="Y110" i="7" s="1"/>
  <c r="Y102" i="7" a="1"/>
  <c r="Y102" i="7" s="1"/>
  <c r="Y101" i="7" a="1"/>
  <c r="Y101" i="7" s="1"/>
  <c r="Y97" i="7" a="1"/>
  <c r="Y97" i="7" s="1"/>
  <c r="Y93" i="7" a="1"/>
  <c r="Y93" i="7" s="1"/>
  <c r="Y109" i="7" a="1"/>
  <c r="Y109" i="7" s="1"/>
  <c r="Y106" i="7" a="1"/>
  <c r="Y106" i="7" s="1"/>
  <c r="Y92" i="7" a="1"/>
  <c r="Y92" i="7" s="1"/>
  <c r="Y88" i="7" a="1"/>
  <c r="Y88" i="7" s="1"/>
  <c r="Y100" i="7" a="1"/>
  <c r="Y100" i="7" s="1"/>
  <c r="Y103" i="7" a="1"/>
  <c r="Y103" i="7" s="1"/>
  <c r="Y86" i="7" a="1"/>
  <c r="Y86" i="7" s="1"/>
  <c r="Y90" i="7" a="1"/>
  <c r="Y90" i="7" s="1"/>
  <c r="Y89" i="7" a="1"/>
  <c r="Y89" i="7" s="1"/>
  <c r="Y84" i="7" a="1"/>
  <c r="Y84" i="7" s="1"/>
  <c r="Y95" i="7" a="1"/>
  <c r="Y95" i="7" s="1"/>
  <c r="Y94" i="7" a="1"/>
  <c r="Y94" i="7" s="1"/>
  <c r="Y99" i="7" a="1"/>
  <c r="Y99" i="7" s="1"/>
  <c r="Y98" i="7" a="1"/>
  <c r="Y98" i="7" s="1"/>
  <c r="Y77" i="7" a="1"/>
  <c r="Y77" i="7" s="1"/>
  <c r="Y75" i="7" a="1"/>
  <c r="Y75" i="7" s="1"/>
  <c r="Y85" i="7" a="1"/>
  <c r="Y85" i="7" s="1"/>
  <c r="Y81" i="7" a="1"/>
  <c r="Y81" i="7" s="1"/>
  <c r="Y79" i="7" a="1"/>
  <c r="Y79" i="7" s="1"/>
  <c r="Y71" i="7" a="1"/>
  <c r="Y71" i="7" s="1"/>
  <c r="Y70" i="7" a="1"/>
  <c r="Y70" i="7" s="1"/>
  <c r="Y87" i="7" a="1"/>
  <c r="Y87" i="7" s="1"/>
  <c r="Y76" i="7" a="1"/>
  <c r="Y76" i="7" s="1"/>
  <c r="Y72" i="7" a="1"/>
  <c r="Y72" i="7" s="1"/>
  <c r="Y69" i="7" a="1"/>
  <c r="Y69" i="7" s="1"/>
  <c r="Y66" i="7" a="1"/>
  <c r="Y66" i="7" s="1"/>
  <c r="Y96" i="7" a="1"/>
  <c r="Y96" i="7" s="1"/>
  <c r="Y73" i="7" a="1"/>
  <c r="Y73" i="7" s="1"/>
  <c r="Y54" i="7" a="1"/>
  <c r="Y54" i="7" s="1"/>
  <c r="Y80" i="7" a="1"/>
  <c r="Y80" i="7" s="1"/>
  <c r="Y78" i="7" a="1"/>
  <c r="Y78" i="7" s="1"/>
  <c r="Y82" i="7" a="1"/>
  <c r="Y82" i="7" s="1"/>
  <c r="Y61" i="7" a="1"/>
  <c r="Y61" i="7" s="1"/>
  <c r="Y74" i="7" a="1"/>
  <c r="Y74" i="7" s="1"/>
  <c r="Y57" i="7" a="1"/>
  <c r="Y57" i="7" s="1"/>
  <c r="Y37" i="7" a="1"/>
  <c r="Y37" i="7" s="1"/>
  <c r="Y33" i="7" a="1"/>
  <c r="Y33" i="7" s="1"/>
  <c r="Y83" i="7" a="1"/>
  <c r="Y83" i="7" s="1"/>
  <c r="Y36" i="7" a="1"/>
  <c r="Y36" i="7" s="1"/>
  <c r="Y32" i="7" a="1"/>
  <c r="Y32" i="7" s="1"/>
  <c r="Y44" i="7" a="1"/>
  <c r="Y44" i="7" s="1"/>
  <c r="Y40" i="7" a="1"/>
  <c r="Y40" i="7" s="1"/>
  <c r="Y29" i="7" a="1"/>
  <c r="Y29" i="7" s="1"/>
  <c r="Y63" i="7" a="1"/>
  <c r="Y63" i="7" s="1"/>
  <c r="Y62" i="7" a="1"/>
  <c r="Y62" i="7" s="1"/>
  <c r="Y59" i="7" a="1"/>
  <c r="Y59" i="7" s="1"/>
  <c r="Y58" i="7" a="1"/>
  <c r="Y58" i="7" s="1"/>
  <c r="Y50" i="7" a="1"/>
  <c r="Y50" i="7" s="1"/>
  <c r="Y49" i="7" a="1"/>
  <c r="Y49" i="7" s="1"/>
  <c r="Y48" i="7" a="1"/>
  <c r="Y48" i="7" s="1"/>
  <c r="Y39" i="7" a="1"/>
  <c r="Y39" i="7" s="1"/>
  <c r="Y35" i="7" a="1"/>
  <c r="Y35" i="7" s="1"/>
  <c r="Y31" i="7" a="1"/>
  <c r="Y31" i="7" s="1"/>
  <c r="Y27" i="7" a="1"/>
  <c r="Y27" i="7" s="1"/>
  <c r="Y26" i="7" a="1"/>
  <c r="Y26" i="7" s="1"/>
  <c r="Y65" i="7" a="1"/>
  <c r="Y65" i="7" s="1"/>
  <c r="Y55" i="7" a="1"/>
  <c r="Y55" i="7" s="1"/>
  <c r="Y51" i="7" a="1"/>
  <c r="Y51" i="7" s="1"/>
  <c r="Y68" i="7" a="1"/>
  <c r="Y68" i="7" s="1"/>
  <c r="Y64" i="7" a="1"/>
  <c r="Y64" i="7" s="1"/>
  <c r="Y60" i="7" a="1"/>
  <c r="Y60" i="7" s="1"/>
  <c r="Y56" i="7" a="1"/>
  <c r="Y56" i="7" s="1"/>
  <c r="Y52" i="7" a="1"/>
  <c r="Y52" i="7" s="1"/>
  <c r="Y47" i="7" a="1"/>
  <c r="Y47" i="7" s="1"/>
  <c r="Y43" i="7" a="1"/>
  <c r="Y43" i="7" s="1"/>
  <c r="Y67" i="7" a="1"/>
  <c r="Y67" i="7" s="1"/>
  <c r="Y38" i="7" a="1"/>
  <c r="Y38" i="7" s="1"/>
  <c r="Y34" i="7" a="1"/>
  <c r="Y34" i="7" s="1"/>
  <c r="Y53" i="7" a="1"/>
  <c r="Y53" i="7" s="1"/>
  <c r="Y46" i="7" a="1"/>
  <c r="Y46" i="7" s="1"/>
  <c r="Y42" i="7" a="1"/>
  <c r="Y42" i="7" s="1"/>
  <c r="Y41" i="7" a="1"/>
  <c r="Y41" i="7" s="1"/>
  <c r="Y22" i="7" a="1"/>
  <c r="Y22" i="7" s="1"/>
  <c r="Z18" i="7"/>
  <c r="Y28" i="7" a="1"/>
  <c r="Y28" i="7" s="1"/>
  <c r="Y24" i="7" a="1"/>
  <c r="Y24" i="7" s="1"/>
  <c r="Y25" i="7" a="1"/>
  <c r="Y25" i="7" s="1"/>
  <c r="Y21" i="7" a="1"/>
  <c r="Y21" i="7" s="1"/>
  <c r="Y30" i="7" a="1"/>
  <c r="Y30" i="7" s="1"/>
  <c r="Y45" i="7" a="1"/>
  <c r="Y45" i="7" s="1"/>
  <c r="Y23" i="7" a="1"/>
  <c r="Y23" i="7" s="1"/>
  <c r="Y20" i="7" a="1"/>
  <c r="Y20" i="7" s="1"/>
  <c r="AJ33" i="7"/>
  <c r="AF2" i="7"/>
  <c r="AG11" i="7"/>
  <c r="AE52" i="7" a="1"/>
  <c r="AE52" i="7" s="1"/>
  <c r="AE39" i="7" a="1"/>
  <c r="AE39" i="7" s="1"/>
  <c r="AE35" i="7" a="1"/>
  <c r="AE35" i="7" s="1"/>
  <c r="AE59" i="7" a="1"/>
  <c r="AE59" i="7" s="1"/>
  <c r="AE24" i="7" a="1"/>
  <c r="AE24" i="7" s="1"/>
  <c r="AJ28" i="7"/>
  <c r="AN27" i="8" a="1"/>
  <c r="AN27" i="8" s="1"/>
  <c r="AC69" i="4" s="1"/>
  <c r="AR27" i="8"/>
  <c r="AJ30" i="7"/>
  <c r="AE2" i="7"/>
  <c r="AJ23" i="7"/>
  <c r="AE56" i="7" a="1"/>
  <c r="AE56" i="7" s="1"/>
  <c r="AE21" i="7" a="1"/>
  <c r="AE21" i="7" s="1"/>
  <c r="AL81" i="4"/>
  <c r="AL88" i="4"/>
  <c r="AL85" i="4"/>
  <c r="AL106" i="4"/>
  <c r="AL77" i="4"/>
  <c r="AL107" i="4"/>
  <c r="AL80" i="4"/>
  <c r="AL105" i="4"/>
  <c r="AL104" i="4"/>
  <c r="AL78" i="4"/>
  <c r="AL87" i="4"/>
  <c r="AL93" i="4"/>
  <c r="AL83" i="4"/>
  <c r="AL90" i="4"/>
  <c r="AL100" i="4"/>
  <c r="AL89" i="4"/>
  <c r="AL103" i="4"/>
  <c r="AL73" i="4"/>
  <c r="AL132" i="4"/>
  <c r="AL86" i="4"/>
  <c r="AL109" i="4"/>
  <c r="AL133" i="4"/>
  <c r="AL72" i="4"/>
  <c r="AL134" i="4"/>
  <c r="AL76" i="4"/>
  <c r="AL131" i="4"/>
  <c r="AL84" i="4"/>
  <c r="AL60" i="4"/>
  <c r="P40" i="13" s="1" a="1"/>
  <c r="P40" i="13" s="1"/>
  <c r="AL118" i="4"/>
  <c r="AL75" i="4"/>
  <c r="AL108" i="4"/>
  <c r="AL135" i="4"/>
  <c r="AL61" i="4"/>
  <c r="P41" i="13" s="1" a="1"/>
  <c r="P41" i="13" s="1"/>
  <c r="AL130" i="4"/>
  <c r="AL102" i="4"/>
  <c r="AL82" i="4"/>
  <c r="AL113" i="4"/>
  <c r="AL112" i="4"/>
  <c r="AL101" i="4"/>
  <c r="AL91" i="4"/>
  <c r="AL110" i="4"/>
  <c r="AL62" i="4"/>
  <c r="P42" i="13" s="1" a="1"/>
  <c r="P42" i="13" s="1"/>
  <c r="AL117" i="4"/>
  <c r="AL126" i="4"/>
  <c r="AL124" i="4"/>
  <c r="AL74" i="4"/>
  <c r="AL71" i="4"/>
  <c r="AL128" i="4"/>
  <c r="AL64" i="4"/>
  <c r="P29" i="13" s="1" a="1"/>
  <c r="P29" i="13" s="1"/>
  <c r="AL79" i="4"/>
  <c r="AL59" i="4"/>
  <c r="P39" i="13" s="1" a="1"/>
  <c r="P39" i="13" s="1"/>
  <c r="AL116" i="4"/>
  <c r="AL122" i="4"/>
  <c r="AL119" i="4"/>
  <c r="AL125" i="4"/>
  <c r="AL70" i="4"/>
  <c r="AL127" i="4"/>
  <c r="AL66" i="4"/>
  <c r="AL111" i="4"/>
  <c r="AL129" i="4"/>
  <c r="AL120" i="4"/>
  <c r="AL69" i="4"/>
  <c r="AL68" i="4"/>
  <c r="AL121" i="4"/>
  <c r="AL63" i="4"/>
  <c r="P43" i="13" s="1" a="1"/>
  <c r="P43" i="13" s="1"/>
  <c r="AL123" i="4"/>
  <c r="AL65" i="4"/>
  <c r="T82" i="4"/>
  <c r="AF18" i="8"/>
  <c r="AJ43" i="7"/>
  <c r="AE29" i="7" a="1"/>
  <c r="AE29" i="7" s="1"/>
  <c r="AE54" i="7" a="1"/>
  <c r="AE54" i="7" s="1"/>
  <c r="AJ63" i="7"/>
  <c r="C191" i="7"/>
  <c r="C192" i="7" s="1"/>
  <c r="AF42" i="7" a="1"/>
  <c r="AF42" i="7" s="1"/>
  <c r="AF61" i="7" a="1"/>
  <c r="AF61" i="7" s="1"/>
  <c r="AF43" i="7" a="1"/>
  <c r="AF43" i="7" s="1"/>
  <c r="AF57" i="7" a="1"/>
  <c r="AF57" i="7" s="1"/>
  <c r="T114" i="4"/>
  <c r="T87" i="4"/>
  <c r="C82" i="8"/>
  <c r="AJ51" i="7"/>
  <c r="AE34" i="7" a="1"/>
  <c r="AE34" i="7" s="1"/>
  <c r="AE37" i="7" a="1"/>
  <c r="AE37" i="7" s="1"/>
  <c r="AE26" i="7" a="1"/>
  <c r="AE26" i="7" s="1"/>
  <c r="AE62" i="7" a="1"/>
  <c r="AE62" i="7" s="1"/>
  <c r="AE47" i="7" a="1"/>
  <c r="AE47" i="7" s="1"/>
  <c r="AJ49" i="7"/>
  <c r="T70" i="4"/>
  <c r="T125" i="4" s="1"/>
  <c r="T130" i="4"/>
  <c r="T133" i="4"/>
  <c r="U62" i="4"/>
  <c r="Y73" i="6"/>
  <c r="Y78" i="6"/>
  <c r="Y75" i="6"/>
  <c r="Y77" i="6"/>
  <c r="Y74" i="6"/>
  <c r="A49" i="6"/>
  <c r="A50" i="6"/>
  <c r="A51" i="6" s="1"/>
  <c r="A52" i="6" s="1"/>
  <c r="A53" i="6" s="1"/>
  <c r="A54" i="6" s="1"/>
  <c r="A55" i="6" s="1"/>
  <c r="A56" i="6" s="1"/>
  <c r="A57" i="6" s="1"/>
  <c r="A58" i="6" s="1"/>
  <c r="Y87" i="6"/>
  <c r="W50" i="6"/>
  <c r="U35" i="6"/>
  <c r="W67" i="6"/>
  <c r="U38" i="6"/>
  <c r="A9" i="6"/>
  <c r="A10" i="6" s="1"/>
  <c r="A11" i="6" s="1"/>
  <c r="A12" i="6" s="1"/>
  <c r="A13" i="6" s="1"/>
  <c r="A14" i="6" s="1"/>
  <c r="A15" i="6" s="1"/>
  <c r="A16" i="6" s="1"/>
  <c r="A17" i="6" s="1"/>
  <c r="A18" i="6" s="1"/>
  <c r="A19" i="6" s="1"/>
  <c r="A20" i="6" s="1"/>
  <c r="W78" i="6"/>
  <c r="X34" i="7" a="1"/>
  <c r="X34" i="7" s="1"/>
  <c r="U32" i="6"/>
  <c r="Y76" i="6"/>
  <c r="Z49" i="6"/>
  <c r="W53" i="6"/>
  <c r="Y80" i="6"/>
  <c r="W12" i="6"/>
  <c r="W56" i="6"/>
  <c r="Y104" i="6"/>
  <c r="Y101" i="6"/>
  <c r="Y98" i="6"/>
  <c r="Y42" i="6"/>
  <c r="AQ14" i="6"/>
  <c r="AL14" i="6"/>
  <c r="Y79" i="6"/>
  <c r="W92" i="6"/>
  <c r="Y62" i="6"/>
  <c r="W49" i="6"/>
  <c r="Y18" i="6"/>
  <c r="U13" i="6"/>
  <c r="Y11" i="6"/>
  <c r="W104" i="6"/>
  <c r="W101" i="6"/>
  <c r="W98" i="6"/>
  <c r="W87" i="6"/>
  <c r="W76" i="6"/>
  <c r="W73" i="6"/>
  <c r="W62" i="6"/>
  <c r="W42" i="6"/>
  <c r="U49" i="6"/>
  <c r="Y7" i="6"/>
  <c r="W90" i="6"/>
  <c r="W79" i="6"/>
  <c r="T49" i="6"/>
  <c r="U39" i="6"/>
  <c r="Y25" i="6"/>
  <c r="U17" i="6"/>
  <c r="W15" i="6"/>
  <c r="U10" i="6"/>
  <c r="W8" i="6"/>
  <c r="Y6" i="6"/>
  <c r="W85" i="6"/>
  <c r="X35" i="7" a="1"/>
  <c r="X35" i="7" s="1"/>
  <c r="U33" i="6"/>
  <c r="X40" i="7" a="1"/>
  <c r="X40" i="7" s="1"/>
  <c r="W6" i="6"/>
  <c r="W77" i="6"/>
  <c r="Y14" i="6"/>
  <c r="W86" i="6"/>
  <c r="W75" i="6"/>
  <c r="U31" i="6"/>
  <c r="Y13" i="6"/>
  <c r="Y12" i="6"/>
  <c r="U75" i="6"/>
  <c r="W38" i="6"/>
  <c r="W35" i="6"/>
  <c r="T84" i="4"/>
  <c r="T85" i="4"/>
  <c r="U57" i="4"/>
  <c r="U120" i="4" s="1"/>
  <c r="T69" i="4"/>
  <c r="U67" i="4"/>
  <c r="BJ140" i="1"/>
  <c r="BJ141" i="1"/>
  <c r="BL130" i="1"/>
  <c r="BL138" i="1" s="1"/>
  <c r="BK130" i="1"/>
  <c r="BK138" i="1" s="1"/>
  <c r="BK146" i="1" s="1"/>
  <c r="BI130" i="1"/>
  <c r="BI138" i="1" s="1"/>
  <c r="BI140" i="1" s="1"/>
  <c r="BH130" i="1"/>
  <c r="BH138" i="1" s="1"/>
  <c r="BH142" i="1" s="1"/>
  <c r="T88" i="4"/>
  <c r="A131" i="4"/>
  <c r="H40" i="2"/>
  <c r="H45" i="2"/>
  <c r="H43" i="2"/>
  <c r="H42" i="2"/>
  <c r="H49" i="2"/>
  <c r="H48" i="2"/>
  <c r="H55" i="2" s="1"/>
  <c r="C52" i="2"/>
  <c r="AD42" i="3"/>
  <c r="G135" i="4"/>
  <c r="L38" i="2"/>
  <c r="I25" i="2"/>
  <c r="I27" i="2" s="1"/>
  <c r="I64" i="2"/>
  <c r="I26" i="2"/>
  <c r="I35" i="2"/>
  <c r="J35" i="2"/>
  <c r="H25" i="2"/>
  <c r="H27" i="2" s="1"/>
  <c r="H64" i="2"/>
  <c r="H35" i="2"/>
  <c r="H31" i="2"/>
  <c r="H44" i="2"/>
  <c r="H61" i="2"/>
  <c r="K27" i="2"/>
  <c r="K66" i="2"/>
  <c r="K36" i="2"/>
  <c r="K31" i="2"/>
  <c r="I98" i="3"/>
  <c r="J96" i="3"/>
  <c r="J98" i="3" s="1"/>
  <c r="E44" i="2"/>
  <c r="E43" i="2"/>
  <c r="E47" i="2"/>
  <c r="E52" i="2" s="1"/>
  <c r="E40" i="2"/>
  <c r="E46" i="2"/>
  <c r="I38" i="2"/>
  <c r="H47" i="2"/>
  <c r="H74" i="2"/>
  <c r="H30" i="2"/>
  <c r="H38" i="2"/>
  <c r="H66" i="2"/>
  <c r="D44" i="2"/>
  <c r="D54" i="2" s="1"/>
  <c r="D43" i="2"/>
  <c r="D53" i="2" s="1"/>
  <c r="D59" i="2"/>
  <c r="D42" i="2"/>
  <c r="D52" i="2" s="1"/>
  <c r="D49" i="2"/>
  <c r="D40" i="2"/>
  <c r="D46" i="2"/>
  <c r="D45" i="2"/>
  <c r="AD43" i="3"/>
  <c r="L76" i="2"/>
  <c r="L77" i="2" s="1"/>
  <c r="L37" i="2"/>
  <c r="I70" i="2"/>
  <c r="E70" i="2"/>
  <c r="E59" i="2"/>
  <c r="E68" i="2"/>
  <c r="E67" i="2"/>
  <c r="D48" i="2"/>
  <c r="D55" i="2" s="1"/>
  <c r="F53" i="2"/>
  <c r="BJ142" i="1"/>
  <c r="BD85" i="1"/>
  <c r="BD82" i="1" s="1"/>
  <c r="F78" i="2"/>
  <c r="AQ18" i="4"/>
  <c r="BA68" i="4"/>
  <c r="BA70" i="4"/>
  <c r="BA71" i="4"/>
  <c r="BA67" i="4"/>
  <c r="BA65" i="4"/>
  <c r="E78" i="2"/>
  <c r="E77" i="2"/>
  <c r="I31" i="2"/>
  <c r="I36" i="2"/>
  <c r="I30" i="2"/>
  <c r="I67" i="2"/>
  <c r="BM137" i="1"/>
  <c r="BM136" i="1"/>
  <c r="K80" i="2"/>
  <c r="K81" i="2" s="1"/>
  <c r="K82" i="2" s="1"/>
  <c r="L74" i="2"/>
  <c r="K72" i="2"/>
  <c r="K73" i="2" s="1"/>
  <c r="E45" i="2"/>
  <c r="G26" i="2"/>
  <c r="G27" i="2"/>
  <c r="L23" i="2"/>
  <c r="L66" i="2"/>
  <c r="L36" i="2"/>
  <c r="L31" i="2"/>
  <c r="L45" i="2"/>
  <c r="L25" i="2"/>
  <c r="L26" i="2" s="1"/>
  <c r="L30" i="2"/>
  <c r="F69" i="2"/>
  <c r="F59" i="2"/>
  <c r="F68" i="2"/>
  <c r="BJ146" i="1"/>
  <c r="I80" i="2"/>
  <c r="I81" i="2" s="1"/>
  <c r="I82" i="2" s="1"/>
  <c r="J58" i="2"/>
  <c r="J63" i="2"/>
  <c r="J64" i="2"/>
  <c r="J62" i="2"/>
  <c r="E58" i="2"/>
  <c r="K30" i="2"/>
  <c r="H46" i="2"/>
  <c r="H124" i="4"/>
  <c r="M124" i="4" s="1"/>
  <c r="R124" i="4" s="1"/>
  <c r="F125" i="4"/>
  <c r="F127" i="4"/>
  <c r="S38" i="3"/>
  <c r="S15" i="3" s="1"/>
  <c r="S44" i="3"/>
  <c r="BK132" i="1"/>
  <c r="BK136" i="1" s="1"/>
  <c r="H80" i="2"/>
  <c r="H81" i="2" s="1"/>
  <c r="H82" i="2" s="1"/>
  <c r="I63" i="2"/>
  <c r="I62" i="2"/>
  <c r="K25" i="2"/>
  <c r="K26" i="2" s="1"/>
  <c r="X47" i="4"/>
  <c r="AB47" i="4"/>
  <c r="AC47" i="4" s="1"/>
  <c r="AD47" i="4" s="1"/>
  <c r="AE47" i="4" s="1"/>
  <c r="AQ22" i="4"/>
  <c r="BA69" i="4"/>
  <c r="F64" i="2"/>
  <c r="I33" i="2"/>
  <c r="I23" i="2"/>
  <c r="I45" i="2" s="1"/>
  <c r="BM130" i="1"/>
  <c r="BM138" i="1" s="1"/>
  <c r="BM146" i="1" s="1"/>
  <c r="I68" i="2"/>
  <c r="K61" i="2"/>
  <c r="G58" i="2"/>
  <c r="C45" i="2"/>
  <c r="C54" i="2" s="1"/>
  <c r="J26" i="2"/>
  <c r="H92" i="3"/>
  <c r="H94" i="3" s="1"/>
  <c r="H82" i="3"/>
  <c r="E85" i="3" s="1"/>
  <c r="E86" i="3" s="1"/>
  <c r="AU137" i="4"/>
  <c r="AX137" i="4"/>
  <c r="I129" i="4"/>
  <c r="N129" i="4" s="1"/>
  <c r="J80" i="2"/>
  <c r="J81" i="2" s="1"/>
  <c r="J82" i="2" s="1"/>
  <c r="L63" i="2"/>
  <c r="D58" i="2"/>
  <c r="J39" i="2"/>
  <c r="L43" i="2"/>
  <c r="H88" i="3"/>
  <c r="H109" i="3" s="1"/>
  <c r="K34" i="2"/>
  <c r="J107" i="3"/>
  <c r="I93" i="3"/>
  <c r="I116" i="3" s="1"/>
  <c r="G118" i="4"/>
  <c r="H117" i="4"/>
  <c r="M117" i="4" s="1"/>
  <c r="R117" i="4" s="1"/>
  <c r="J93" i="3"/>
  <c r="J116" i="3" s="1"/>
  <c r="C77" i="2"/>
  <c r="I73" i="2"/>
  <c r="C68" i="2"/>
  <c r="K64" i="2"/>
  <c r="G62" i="2"/>
  <c r="C59" i="2"/>
  <c r="L48" i="2"/>
  <c r="L55" i="2" s="1"/>
  <c r="J46" i="2"/>
  <c r="J36" i="2"/>
  <c r="H108" i="3"/>
  <c r="S132" i="4"/>
  <c r="AT115" i="4"/>
  <c r="B115" i="4"/>
  <c r="A115" i="4"/>
  <c r="C69" i="2"/>
  <c r="F62" i="2"/>
  <c r="I46" i="2"/>
  <c r="K37" i="2"/>
  <c r="J105" i="3"/>
  <c r="K76" i="2"/>
  <c r="K23" i="2"/>
  <c r="K44" i="2" s="1"/>
  <c r="AE38" i="3"/>
  <c r="L42" i="2"/>
  <c r="L35" i="2"/>
  <c r="AV136" i="4"/>
  <c r="AW136" i="4"/>
  <c r="AY136" i="4"/>
  <c r="AU136" i="4"/>
  <c r="S134" i="4"/>
  <c r="T134" i="4" s="1"/>
  <c r="J76" i="2"/>
  <c r="J66" i="2"/>
  <c r="J33" i="2"/>
  <c r="J23" i="2"/>
  <c r="L86" i="3"/>
  <c r="F132" i="4"/>
  <c r="I131" i="4"/>
  <c r="J131" i="4" s="1"/>
  <c r="K131" i="4" s="1"/>
  <c r="L131" i="4" s="1"/>
  <c r="BC119" i="4"/>
  <c r="BD118" i="4"/>
  <c r="A126" i="4"/>
  <c r="F114" i="4"/>
  <c r="H115" i="4"/>
  <c r="M115" i="4" s="1"/>
  <c r="R115" i="4" s="1"/>
  <c r="H104" i="4"/>
  <c r="M87" i="4"/>
  <c r="I87" i="4"/>
  <c r="A124" i="4"/>
  <c r="M123" i="4"/>
  <c r="R123" i="4" s="1"/>
  <c r="S121" i="4"/>
  <c r="S108" i="4"/>
  <c r="Z108" i="4" s="1"/>
  <c r="A129" i="4"/>
  <c r="AT129" i="4"/>
  <c r="J123" i="4"/>
  <c r="BA105" i="4"/>
  <c r="B105" i="4"/>
  <c r="F121" i="4"/>
  <c r="H122" i="4"/>
  <c r="M122" i="4" s="1"/>
  <c r="R122" i="4" s="1"/>
  <c r="H109" i="4"/>
  <c r="M109" i="4" s="1"/>
  <c r="R109" i="4" s="1"/>
  <c r="D92" i="4"/>
  <c r="A100" i="4"/>
  <c r="B100" i="4"/>
  <c r="B91" i="4"/>
  <c r="BA91" i="4"/>
  <c r="T86" i="4"/>
  <c r="Z86" i="4"/>
  <c r="AT111" i="4"/>
  <c r="I108" i="4"/>
  <c r="B107" i="4"/>
  <c r="BA107" i="4"/>
  <c r="H88" i="4"/>
  <c r="I88" i="4" s="1"/>
  <c r="J88" i="4" s="1"/>
  <c r="A122" i="4"/>
  <c r="F120" i="4"/>
  <c r="F112" i="4"/>
  <c r="A109" i="4"/>
  <c r="H84" i="4"/>
  <c r="I84" i="4" s="1"/>
  <c r="BD61" i="4"/>
  <c r="BC62" i="4"/>
  <c r="B93" i="4"/>
  <c r="H86" i="4"/>
  <c r="I86" i="4" s="1"/>
  <c r="J86" i="4" s="1"/>
  <c r="B102" i="4"/>
  <c r="A93" i="4"/>
  <c r="AA53" i="4"/>
  <c r="Z65" i="4"/>
  <c r="S60" i="4"/>
  <c r="U65" i="4"/>
  <c r="S64" i="4"/>
  <c r="F111" i="4"/>
  <c r="AT109" i="4"/>
  <c r="A102" i="4"/>
  <c r="H90" i="4"/>
  <c r="I90" i="4" s="1"/>
  <c r="Z88" i="4"/>
  <c r="B116" i="4"/>
  <c r="B111" i="4"/>
  <c r="A104" i="4"/>
  <c r="N81" i="4"/>
  <c r="J81" i="4"/>
  <c r="A116" i="4"/>
  <c r="A111" i="4"/>
  <c r="H89" i="4"/>
  <c r="I89" i="4" s="1"/>
  <c r="A110" i="4"/>
  <c r="A101" i="4"/>
  <c r="T90" i="4"/>
  <c r="Z90" i="4"/>
  <c r="M79" i="4"/>
  <c r="R79" i="4" s="1"/>
  <c r="M76" i="4"/>
  <c r="R76" i="4" s="1"/>
  <c r="I76" i="4"/>
  <c r="H75" i="4"/>
  <c r="M75" i="4" s="1"/>
  <c r="R75" i="4" s="1"/>
  <c r="AQ38" i="4"/>
  <c r="AZ37" i="4"/>
  <c r="AQ40" i="4" s="1"/>
  <c r="BA37" i="4"/>
  <c r="BA81" i="4"/>
  <c r="AQ32" i="4"/>
  <c r="AZ25" i="4"/>
  <c r="BA25" i="4"/>
  <c r="X48" i="4"/>
  <c r="AB48" i="4"/>
  <c r="AC48" i="4" s="1"/>
  <c r="AD48" i="4" s="1"/>
  <c r="AE48" i="4" s="1"/>
  <c r="P22" i="4"/>
  <c r="G22" i="4"/>
  <c r="G67" i="4" s="1"/>
  <c r="Z75" i="4"/>
  <c r="Z84" i="4" s="1"/>
  <c r="B75" i="4"/>
  <c r="F83" i="4"/>
  <c r="H74" i="4"/>
  <c r="M74" i="4" s="1"/>
  <c r="R74" i="4" s="1"/>
  <c r="AQ39" i="4"/>
  <c r="AZ33" i="4"/>
  <c r="BA113" i="4" s="1"/>
  <c r="BA33" i="4"/>
  <c r="BA76" i="4"/>
  <c r="AQ27" i="4"/>
  <c r="AQ23" i="4"/>
  <c r="H80" i="4"/>
  <c r="H78" i="4"/>
  <c r="M78" i="4" s="1"/>
  <c r="R78" i="4" s="1"/>
  <c r="A75" i="4"/>
  <c r="AT74" i="4"/>
  <c r="A74" i="4"/>
  <c r="H72" i="4"/>
  <c r="U66" i="4"/>
  <c r="Z66" i="4"/>
  <c r="B78" i="4"/>
  <c r="B74" i="4"/>
  <c r="AQ34" i="4"/>
  <c r="BA73" i="4"/>
  <c r="AQ24" i="4"/>
  <c r="BA64" i="4"/>
  <c r="AQ20" i="4"/>
  <c r="AQ19" i="4"/>
  <c r="A81" i="4"/>
  <c r="H73" i="4"/>
  <c r="I73" i="4" s="1"/>
  <c r="J73" i="4" s="1"/>
  <c r="B81" i="4"/>
  <c r="A80" i="4"/>
  <c r="A73" i="4"/>
  <c r="AT73" i="4"/>
  <c r="AS73" i="4" s="1"/>
  <c r="H66" i="4"/>
  <c r="M66" i="4" s="1"/>
  <c r="R66" i="4" s="1"/>
  <c r="M65" i="4"/>
  <c r="R65" i="4" s="1"/>
  <c r="I65" i="4"/>
  <c r="AQ35" i="4"/>
  <c r="AZ29" i="4"/>
  <c r="BA104" i="4" s="1"/>
  <c r="BA29" i="4"/>
  <c r="AT78" i="4"/>
  <c r="H77" i="4"/>
  <c r="B73" i="4"/>
  <c r="G40" i="4"/>
  <c r="P40" i="4"/>
  <c r="BA66" i="4"/>
  <c r="AQ21" i="4"/>
  <c r="AT77" i="4"/>
  <c r="AT75" i="4"/>
  <c r="H44" i="4"/>
  <c r="F44" i="4" s="1"/>
  <c r="G44" i="4"/>
  <c r="BA60" i="4"/>
  <c r="AQ17" i="4"/>
  <c r="BA59" i="4"/>
  <c r="AM22" i="4"/>
  <c r="AM44" i="4" s="1"/>
  <c r="BA20" i="4"/>
  <c r="A20" i="4"/>
  <c r="AT79" i="4"/>
  <c r="AT76" i="4"/>
  <c r="B39" i="4"/>
  <c r="B35" i="4"/>
  <c r="B31" i="4"/>
  <c r="B27" i="4"/>
  <c r="B23" i="4"/>
  <c r="AB43" i="4"/>
  <c r="AC43" i="4" s="1"/>
  <c r="AD43" i="4" s="1"/>
  <c r="AE43" i="4" s="1"/>
  <c r="AM18" i="4"/>
  <c r="AM25" i="4"/>
  <c r="T62" i="4"/>
  <c r="A59" i="4"/>
  <c r="H45" i="4"/>
  <c r="F45" i="4" s="1"/>
  <c r="BA41" i="4"/>
  <c r="B38" i="4"/>
  <c r="B34" i="4"/>
  <c r="B30" i="4"/>
  <c r="B26" i="4"/>
  <c r="AM21" i="4"/>
  <c r="A72" i="4"/>
  <c r="B65" i="4"/>
  <c r="AM24" i="4"/>
  <c r="AM48" i="4" s="1"/>
  <c r="BA18" i="4"/>
  <c r="B18" i="4"/>
  <c r="AM17" i="4"/>
  <c r="AM46" i="4" s="1"/>
  <c r="B67" i="4"/>
  <c r="A65" i="4"/>
  <c r="H48" i="4"/>
  <c r="F48" i="4" s="1"/>
  <c r="B37" i="4"/>
  <c r="B33" i="4"/>
  <c r="B29" i="4"/>
  <c r="B25" i="4"/>
  <c r="A67" i="4"/>
  <c r="AT65" i="4"/>
  <c r="I64" i="4"/>
  <c r="N64" i="4" s="1"/>
  <c r="F60" i="4"/>
  <c r="O40" i="13" s="1" a="1"/>
  <c r="O40" i="13" s="1"/>
  <c r="CO40" i="13" s="1"/>
  <c r="CP40" i="13" s="1"/>
  <c r="CQ40" i="13" s="1"/>
  <c r="AT72" i="4"/>
  <c r="BA17" i="4"/>
  <c r="B17" i="4"/>
  <c r="AA49" i="4"/>
  <c r="AT53" i="7" a="1"/>
  <c r="AS33" i="7" a="1"/>
  <c r="BA27" i="8" a="1"/>
  <c r="AT63" i="7" a="1"/>
  <c r="AS43" i="7" a="1"/>
  <c r="AS60" i="7" a="1"/>
  <c r="AS53" i="7" a="1"/>
  <c r="AZ22" i="8" a="1"/>
  <c r="AT58" i="7" a="1"/>
  <c r="AS57" i="7" a="1"/>
  <c r="AS40" i="7" a="1"/>
  <c r="AS51" i="7" a="1"/>
  <c r="AS58" i="7" a="1"/>
  <c r="AS42" i="7" a="1"/>
  <c r="AS46" i="7" a="1"/>
  <c r="AS38" i="7" a="1"/>
  <c r="AZ20" i="8" a="1"/>
  <c r="AS61" i="7" a="1"/>
  <c r="AZ52" i="8" a="1"/>
  <c r="AS49" i="7" a="1"/>
  <c r="AS63" i="7" a="1"/>
  <c r="AZ22" i="8" l="1"/>
  <c r="E96" i="13" a="1"/>
  <c r="E96" i="13" s="1"/>
  <c r="Z96" i="4"/>
  <c r="AO99" i="8" a="1"/>
  <c r="AO99" i="8" s="1"/>
  <c r="AC96" i="4"/>
  <c r="F96" i="13" s="1" a="1"/>
  <c r="F96" i="13" s="1"/>
  <c r="E99" i="13" a="1"/>
  <c r="E99" i="13" s="1"/>
  <c r="Z99" i="4"/>
  <c r="AO114" i="8" a="1"/>
  <c r="AO114" i="8" s="1"/>
  <c r="AC99" i="4"/>
  <c r="F99" i="13" s="1" a="1"/>
  <c r="F99" i="13" s="1"/>
  <c r="E98" i="13" a="1"/>
  <c r="E98" i="13" s="1"/>
  <c r="Z98" i="4"/>
  <c r="AO109" i="8" a="1"/>
  <c r="AO109" i="8" s="1"/>
  <c r="AC98" i="4"/>
  <c r="F98" i="13" s="1" a="1"/>
  <c r="F98" i="13" s="1"/>
  <c r="Z97" i="4"/>
  <c r="E97" i="13" a="1"/>
  <c r="E97" i="13" s="1"/>
  <c r="AO104" i="8" a="1"/>
  <c r="AO104" i="8" s="1"/>
  <c r="AC97" i="4"/>
  <c r="F97" i="13" s="1" a="1"/>
  <c r="F97" i="13" s="1"/>
  <c r="P74" i="11" a="1"/>
  <c r="P74" i="11" s="1"/>
  <c r="J36" i="10"/>
  <c r="J35" i="10"/>
  <c r="J34" i="10"/>
  <c r="J33" i="10"/>
  <c r="J32" i="10"/>
  <c r="J31" i="10"/>
  <c r="J30" i="10"/>
  <c r="J29" i="10"/>
  <c r="J28" i="10"/>
  <c r="J27" i="10"/>
  <c r="J24" i="10"/>
  <c r="J23" i="10"/>
  <c r="J20" i="10"/>
  <c r="J18" i="10"/>
  <c r="N19" i="10"/>
  <c r="N20" i="10"/>
  <c r="O20" i="10" s="1"/>
  <c r="N21" i="10"/>
  <c r="N22" i="10"/>
  <c r="N23" i="10"/>
  <c r="O23" i="10" s="1"/>
  <c r="N24" i="10"/>
  <c r="N25" i="10"/>
  <c r="N26" i="10"/>
  <c r="N27" i="10"/>
  <c r="O27" i="10" s="1"/>
  <c r="AD27" i="10" s="1"/>
  <c r="N28" i="10"/>
  <c r="O28" i="10" s="1"/>
  <c r="AD28" i="10" s="1"/>
  <c r="N29" i="10"/>
  <c r="O29" i="10" s="1"/>
  <c r="AD29" i="10" s="1"/>
  <c r="N30" i="10"/>
  <c r="O30" i="10" s="1"/>
  <c r="AD30" i="10" s="1"/>
  <c r="N31" i="10"/>
  <c r="O31" i="10" s="1"/>
  <c r="AD31" i="10" s="1"/>
  <c r="N32" i="10"/>
  <c r="O32" i="10" s="1"/>
  <c r="AD32" i="10" s="1"/>
  <c r="N33" i="10"/>
  <c r="O33" i="10" s="1"/>
  <c r="AD33" i="10" s="1"/>
  <c r="N34" i="10"/>
  <c r="O34" i="10" s="1"/>
  <c r="AD34" i="10" s="1"/>
  <c r="N35" i="10"/>
  <c r="O35" i="10" s="1"/>
  <c r="AD35" i="10" s="1"/>
  <c r="N36" i="10"/>
  <c r="O36" i="10" s="1"/>
  <c r="AD36" i="10" s="1"/>
  <c r="N18" i="10"/>
  <c r="F36" i="10"/>
  <c r="F35" i="10"/>
  <c r="C36" i="10"/>
  <c r="C35" i="10"/>
  <c r="F19" i="10"/>
  <c r="F20" i="10"/>
  <c r="F21" i="10"/>
  <c r="F22" i="10"/>
  <c r="F23" i="10"/>
  <c r="F18" i="10"/>
  <c r="C19" i="10"/>
  <c r="C20" i="10"/>
  <c r="C21" i="10"/>
  <c r="C22" i="10"/>
  <c r="C23" i="10"/>
  <c r="C18" i="10"/>
  <c r="D40" i="11"/>
  <c r="E25" i="11"/>
  <c r="G39" i="11"/>
  <c r="H39" i="11"/>
  <c r="H21" i="11"/>
  <c r="D21" i="11"/>
  <c r="G22" i="11"/>
  <c r="D22" i="11"/>
  <c r="D24" i="11"/>
  <c r="H25" i="11"/>
  <c r="D25" i="11"/>
  <c r="G26" i="11"/>
  <c r="D26" i="11"/>
  <c r="H27" i="11"/>
  <c r="D27" i="11"/>
  <c r="G28" i="11"/>
  <c r="H31" i="11"/>
  <c r="D31" i="11"/>
  <c r="G31" i="11"/>
  <c r="D33" i="11"/>
  <c r="D35" i="11"/>
  <c r="D36" i="11"/>
  <c r="H37" i="11"/>
  <c r="D38" i="11"/>
  <c r="D39" i="11"/>
  <c r="G40" i="11"/>
  <c r="H40" i="11"/>
  <c r="E67" i="11" a="1"/>
  <c r="E67" i="11" s="1"/>
  <c r="F67" i="11" a="1"/>
  <c r="F67" i="11" s="1"/>
  <c r="G67" i="11" a="1"/>
  <c r="G67" i="11" s="1"/>
  <c r="H67" i="11" a="1"/>
  <c r="H67" i="11" s="1"/>
  <c r="I67" i="11" a="1"/>
  <c r="I67" i="11" s="1"/>
  <c r="J67" i="11" a="1"/>
  <c r="J67" i="11" s="1"/>
  <c r="K67" i="11" a="1"/>
  <c r="K67" i="11" s="1"/>
  <c r="L67" i="11" a="1"/>
  <c r="L67" i="11" s="1"/>
  <c r="M67" i="11" a="1"/>
  <c r="M67" i="11" s="1"/>
  <c r="N67" i="11" a="1"/>
  <c r="N67" i="11" s="1"/>
  <c r="P67" i="11" a="1"/>
  <c r="P67" i="11" s="1"/>
  <c r="Q67" i="11" a="1"/>
  <c r="Q67" i="11" s="1"/>
  <c r="R67" i="11" a="1"/>
  <c r="R67" i="11" s="1"/>
  <c r="S67" i="11" a="1"/>
  <c r="S67" i="11" s="1"/>
  <c r="T67" i="11" a="1"/>
  <c r="T67" i="11" s="1"/>
  <c r="W67" i="11" a="1"/>
  <c r="W67" i="11" s="1"/>
  <c r="E71" i="11" a="1"/>
  <c r="E71" i="11" s="1"/>
  <c r="F71" i="11" a="1"/>
  <c r="F71" i="11" s="1"/>
  <c r="G71" i="11" a="1"/>
  <c r="G71" i="11" s="1"/>
  <c r="H71" i="11" a="1"/>
  <c r="H71" i="11" s="1"/>
  <c r="I71" i="11" a="1"/>
  <c r="I71" i="11" s="1"/>
  <c r="J71" i="11" a="1"/>
  <c r="J71" i="11" s="1"/>
  <c r="K71" i="11" a="1"/>
  <c r="K71" i="11" s="1"/>
  <c r="L71" i="11" a="1"/>
  <c r="L71" i="11" s="1"/>
  <c r="M71" i="11" a="1"/>
  <c r="M71" i="11" s="1"/>
  <c r="N71" i="11" a="1"/>
  <c r="N71" i="11" s="1"/>
  <c r="P71" i="11" a="1"/>
  <c r="P71" i="11" s="1"/>
  <c r="Q71" i="11" a="1"/>
  <c r="Q71" i="11" s="1"/>
  <c r="R71" i="11" a="1"/>
  <c r="R71" i="11" s="1"/>
  <c r="S71" i="11" a="1"/>
  <c r="S71" i="11" s="1"/>
  <c r="T71" i="11" a="1"/>
  <c r="T71" i="11" s="1"/>
  <c r="E73" i="11" a="1"/>
  <c r="E73" i="11" s="1"/>
  <c r="F73" i="11" a="1"/>
  <c r="F73" i="11" s="1"/>
  <c r="G73" i="11" a="1"/>
  <c r="G73" i="11" s="1"/>
  <c r="H73" i="11" a="1"/>
  <c r="H73" i="11" s="1"/>
  <c r="I73" i="11" a="1"/>
  <c r="I73" i="11" s="1"/>
  <c r="J73" i="11" a="1"/>
  <c r="J73" i="11" s="1"/>
  <c r="K73" i="11" a="1"/>
  <c r="K73" i="11" s="1"/>
  <c r="L73" i="11" a="1"/>
  <c r="L73" i="11" s="1"/>
  <c r="M73" i="11" a="1"/>
  <c r="M73" i="11" s="1"/>
  <c r="N73" i="11" a="1"/>
  <c r="N73" i="11" s="1"/>
  <c r="P73" i="11" a="1"/>
  <c r="P73" i="11" s="1"/>
  <c r="Q73" i="11" a="1"/>
  <c r="Q73" i="11" s="1"/>
  <c r="R73" i="11" a="1"/>
  <c r="R73" i="11" s="1"/>
  <c r="S73" i="11" a="1"/>
  <c r="S73" i="11" s="1"/>
  <c r="T73" i="11" a="1"/>
  <c r="T73" i="11" s="1"/>
  <c r="E75" i="11" a="1"/>
  <c r="E75" i="11" s="1"/>
  <c r="F75" i="11" a="1"/>
  <c r="F75" i="11" s="1"/>
  <c r="G75" i="11" a="1"/>
  <c r="G75" i="11" s="1"/>
  <c r="H75" i="11" a="1"/>
  <c r="H75" i="11" s="1"/>
  <c r="I75" i="11" a="1"/>
  <c r="I75" i="11" s="1"/>
  <c r="J75" i="11" a="1"/>
  <c r="J75" i="11" s="1"/>
  <c r="K75" i="11" a="1"/>
  <c r="K75" i="11" s="1"/>
  <c r="L75" i="11" a="1"/>
  <c r="L75" i="11" s="1"/>
  <c r="M75" i="11" a="1"/>
  <c r="M75" i="11" s="1"/>
  <c r="N75" i="11" a="1"/>
  <c r="N75" i="11" s="1"/>
  <c r="P75" i="11" a="1"/>
  <c r="P75" i="11" s="1"/>
  <c r="Q75" i="11" a="1"/>
  <c r="Q75" i="11" s="1"/>
  <c r="R75" i="11" a="1"/>
  <c r="R75" i="11" s="1"/>
  <c r="S75" i="11" a="1"/>
  <c r="S75" i="11" s="1"/>
  <c r="T75" i="11" a="1"/>
  <c r="T75" i="11" s="1"/>
  <c r="E78" i="11" a="1"/>
  <c r="E78" i="11" s="1"/>
  <c r="F78" i="11" a="1"/>
  <c r="F78" i="11" s="1"/>
  <c r="G78" i="11" a="1"/>
  <c r="G78" i="11" s="1"/>
  <c r="H78" i="11" a="1"/>
  <c r="H78" i="11" s="1"/>
  <c r="I78" i="11" a="1"/>
  <c r="I78" i="11" s="1"/>
  <c r="J78" i="11" a="1"/>
  <c r="J78" i="11" s="1"/>
  <c r="K78" i="11" a="1"/>
  <c r="K78" i="11" s="1"/>
  <c r="L78" i="11" a="1"/>
  <c r="L78" i="11" s="1"/>
  <c r="M78" i="11" a="1"/>
  <c r="M78" i="11" s="1"/>
  <c r="N78" i="11" a="1"/>
  <c r="N78" i="11" s="1"/>
  <c r="P78" i="11" a="1"/>
  <c r="P78" i="11" s="1"/>
  <c r="Q78" i="11" a="1"/>
  <c r="Q78" i="11" s="1"/>
  <c r="R78" i="11" a="1"/>
  <c r="R78" i="11" s="1"/>
  <c r="S78" i="11" a="1"/>
  <c r="S78" i="11" s="1"/>
  <c r="T78" i="11" a="1"/>
  <c r="T78" i="11" s="1"/>
  <c r="E80" i="11" a="1"/>
  <c r="E80" i="11" s="1"/>
  <c r="F80" i="11" a="1"/>
  <c r="F80" i="11" s="1"/>
  <c r="G80" i="11" a="1"/>
  <c r="G80" i="11" s="1"/>
  <c r="H80" i="11" a="1"/>
  <c r="H80" i="11" s="1"/>
  <c r="I80" i="11" a="1"/>
  <c r="I80" i="11" s="1"/>
  <c r="J80" i="11" a="1"/>
  <c r="J80" i="11" s="1"/>
  <c r="K80" i="11" a="1"/>
  <c r="K80" i="11" s="1"/>
  <c r="L80" i="11" a="1"/>
  <c r="L80" i="11" s="1"/>
  <c r="M80" i="11" a="1"/>
  <c r="M80" i="11" s="1"/>
  <c r="N80" i="11" a="1"/>
  <c r="N80" i="11" s="1"/>
  <c r="P80" i="11" a="1"/>
  <c r="P80" i="11" s="1"/>
  <c r="Q80" i="11" a="1"/>
  <c r="Q80" i="11" s="1"/>
  <c r="R80" i="11" a="1"/>
  <c r="R80" i="11" s="1"/>
  <c r="S80" i="11" a="1"/>
  <c r="S80" i="11" s="1"/>
  <c r="T80" i="11" a="1"/>
  <c r="T80" i="11" s="1"/>
  <c r="E81" i="11" a="1"/>
  <c r="E81" i="11" s="1"/>
  <c r="F81" i="11" a="1"/>
  <c r="F81" i="11" s="1"/>
  <c r="G81" i="11" a="1"/>
  <c r="G81" i="11" s="1"/>
  <c r="H81" i="11" a="1"/>
  <c r="H81" i="11" s="1"/>
  <c r="I81" i="11" a="1"/>
  <c r="I81" i="11" s="1"/>
  <c r="J81" i="11" a="1"/>
  <c r="J81" i="11" s="1"/>
  <c r="K81" i="11" a="1"/>
  <c r="K81" i="11" s="1"/>
  <c r="L81" i="11" a="1"/>
  <c r="L81" i="11" s="1"/>
  <c r="M81" i="11" a="1"/>
  <c r="M81" i="11" s="1"/>
  <c r="N81" i="11" a="1"/>
  <c r="N81" i="11" s="1"/>
  <c r="P81" i="11" a="1"/>
  <c r="P81" i="11" s="1"/>
  <c r="Q81" i="11" a="1"/>
  <c r="Q81" i="11" s="1"/>
  <c r="R81" i="11" a="1"/>
  <c r="R81" i="11" s="1"/>
  <c r="S81" i="11" a="1"/>
  <c r="S81" i="11" s="1"/>
  <c r="T81" i="11" a="1"/>
  <c r="T81" i="11" s="1"/>
  <c r="E84" i="11" a="1"/>
  <c r="E84" i="11" s="1"/>
  <c r="F84" i="11" a="1"/>
  <c r="F84" i="11" s="1"/>
  <c r="G84" i="11" a="1"/>
  <c r="G84" i="11" s="1"/>
  <c r="H84" i="11" a="1"/>
  <c r="H84" i="11" s="1"/>
  <c r="I84" i="11" a="1"/>
  <c r="I84" i="11" s="1"/>
  <c r="J84" i="11" a="1"/>
  <c r="J84" i="11" s="1"/>
  <c r="K84" i="11" a="1"/>
  <c r="K84" i="11" s="1"/>
  <c r="L84" i="11" a="1"/>
  <c r="L84" i="11" s="1"/>
  <c r="M84" i="11" a="1"/>
  <c r="M84" i="11" s="1"/>
  <c r="N84" i="11" a="1"/>
  <c r="N84" i="11" s="1"/>
  <c r="P84" i="11" a="1"/>
  <c r="P84" i="11" s="1"/>
  <c r="Q84" i="11" a="1"/>
  <c r="Q84" i="11" s="1"/>
  <c r="R84" i="11" a="1"/>
  <c r="R84" i="11" s="1"/>
  <c r="S84" i="11" a="1"/>
  <c r="S84" i="11" s="1"/>
  <c r="T84" i="11" a="1"/>
  <c r="T84" i="11" s="1"/>
  <c r="W84" i="11"/>
  <c r="X84" i="11"/>
  <c r="O81" i="11" a="1"/>
  <c r="O81" i="11" s="1"/>
  <c r="O73" i="11" a="1"/>
  <c r="O73" i="11" s="1"/>
  <c r="O84" i="11" a="1"/>
  <c r="O84" i="11" s="1"/>
  <c r="O80" i="11" a="1"/>
  <c r="O80" i="11" s="1"/>
  <c r="O75" i="11" a="1"/>
  <c r="O75" i="11" s="1"/>
  <c r="O71" i="11" a="1"/>
  <c r="O71" i="11" s="1"/>
  <c r="O78" i="11" a="1"/>
  <c r="O78" i="11" s="1"/>
  <c r="P65" i="11" a="1"/>
  <c r="P65" i="11" s="1"/>
  <c r="S65" i="11" a="1"/>
  <c r="S65" i="11" s="1"/>
  <c r="D34" i="11"/>
  <c r="D23" i="11"/>
  <c r="W94" i="11"/>
  <c r="H34" i="11"/>
  <c r="E26" i="11"/>
  <c r="H23" i="11"/>
  <c r="E23" i="11"/>
  <c r="S94" i="11" a="1"/>
  <c r="S94" i="11" s="1"/>
  <c r="I94" i="11" a="1"/>
  <c r="I94" i="11" s="1"/>
  <c r="E94" i="11" a="1"/>
  <c r="E94" i="11" s="1"/>
  <c r="D28" i="11"/>
  <c r="E21" i="11"/>
  <c r="G24" i="11"/>
  <c r="R88" i="11" a="1"/>
  <c r="R88" i="11" s="1"/>
  <c r="P83" i="11" a="1"/>
  <c r="P83" i="11" s="1"/>
  <c r="X82" i="11"/>
  <c r="D32" i="11"/>
  <c r="H32" i="11"/>
  <c r="G82" i="11" a="1"/>
  <c r="G82" i="11" s="1"/>
  <c r="Q82" i="11" a="1"/>
  <c r="Q82" i="11" s="1"/>
  <c r="H82" i="11" a="1"/>
  <c r="H82" i="11" s="1"/>
  <c r="R82" i="11" a="1"/>
  <c r="R82" i="11" s="1"/>
  <c r="O82" i="11" a="1"/>
  <c r="O82" i="11" s="1"/>
  <c r="T82" i="11" a="1"/>
  <c r="T82" i="11" s="1"/>
  <c r="E82" i="11" a="1"/>
  <c r="E82" i="11" s="1"/>
  <c r="W82" i="11"/>
  <c r="P82" i="11" a="1"/>
  <c r="P82" i="11" s="1"/>
  <c r="P70" i="11" a="1"/>
  <c r="P70" i="11" s="1"/>
  <c r="G83" i="11" a="1"/>
  <c r="G83" i="11" s="1"/>
  <c r="Q83" i="11" a="1"/>
  <c r="Q83" i="11" s="1"/>
  <c r="H83" i="11" a="1"/>
  <c r="H83" i="11" s="1"/>
  <c r="R83" i="11" a="1"/>
  <c r="R83" i="11" s="1"/>
  <c r="O83" i="11" a="1"/>
  <c r="O83" i="11" s="1"/>
  <c r="T83" i="11" a="1"/>
  <c r="T83" i="11" s="1"/>
  <c r="E83" i="11" a="1"/>
  <c r="E83" i="11" s="1"/>
  <c r="W83" i="11"/>
  <c r="T94" i="11" a="1"/>
  <c r="T94" i="11" s="1"/>
  <c r="O94" i="11" a="1"/>
  <c r="O94" i="11" s="1"/>
  <c r="X94" i="11"/>
  <c r="Y94" i="11" s="1"/>
  <c r="F94" i="11" a="1"/>
  <c r="F94" i="11" s="1"/>
  <c r="P94" i="11" a="1"/>
  <c r="P94" i="11" s="1"/>
  <c r="G94" i="11" a="1"/>
  <c r="G94" i="11" s="1"/>
  <c r="Q94" i="11" a="1"/>
  <c r="Q94" i="11" s="1"/>
  <c r="O77" i="11" a="1"/>
  <c r="O77" i="11" s="1"/>
  <c r="T77" i="11" a="1"/>
  <c r="T77" i="11" s="1"/>
  <c r="E77" i="11" a="1"/>
  <c r="E77" i="11" s="1"/>
  <c r="W77" i="11"/>
  <c r="X77" i="11"/>
  <c r="Y77" i="11" s="1"/>
  <c r="F77" i="11" a="1"/>
  <c r="F77" i="11" s="1"/>
  <c r="P77" i="11" a="1"/>
  <c r="P77" i="11" s="1"/>
  <c r="G77" i="11" a="1"/>
  <c r="G77" i="11" s="1"/>
  <c r="Q77" i="11" a="1"/>
  <c r="Q77" i="11" s="1"/>
  <c r="R77" i="11" a="1"/>
  <c r="R77" i="11" s="1"/>
  <c r="S83" i="11" a="1"/>
  <c r="S83" i="11" s="1"/>
  <c r="R94" i="11" a="1"/>
  <c r="R94" i="11" s="1"/>
  <c r="I88" i="11" a="1"/>
  <c r="I88" i="11" s="1"/>
  <c r="I83" i="11" a="1"/>
  <c r="I83" i="11" s="1"/>
  <c r="O70" i="11" a="1"/>
  <c r="O70" i="11" s="1"/>
  <c r="T70" i="11" a="1"/>
  <c r="T70" i="11" s="1"/>
  <c r="E70" i="11" a="1"/>
  <c r="E70" i="11" s="1"/>
  <c r="W70" i="11" a="1"/>
  <c r="W70" i="11" s="1"/>
  <c r="G70" i="11" a="1"/>
  <c r="G70" i="11" s="1"/>
  <c r="Q70" i="11" a="1"/>
  <c r="Q70" i="11" s="1"/>
  <c r="R70" i="11" a="1"/>
  <c r="R70" i="11" s="1"/>
  <c r="S70" i="11" a="1"/>
  <c r="S70" i="11" s="1"/>
  <c r="F70" i="11" a="1"/>
  <c r="F70" i="11" s="1"/>
  <c r="X70" i="11"/>
  <c r="Y70" i="11" s="1"/>
  <c r="H70" i="11" a="1"/>
  <c r="H70" i="11" s="1"/>
  <c r="O90" i="11" a="1"/>
  <c r="O90" i="11" s="1"/>
  <c r="T91" i="11" a="1"/>
  <c r="T91" i="11" s="1"/>
  <c r="H88" i="11" a="1"/>
  <c r="H88" i="11" s="1"/>
  <c r="F83" i="11" a="1"/>
  <c r="F83" i="11" s="1"/>
  <c r="X83" i="11"/>
  <c r="Y83" i="11" s="1"/>
  <c r="I82" i="11" a="1"/>
  <c r="I82" i="11" s="1"/>
  <c r="O88" i="11" a="1"/>
  <c r="O88" i="11" s="1"/>
  <c r="T88" i="11" a="1"/>
  <c r="T88" i="11" s="1"/>
  <c r="X88" i="11"/>
  <c r="F88" i="11" a="1"/>
  <c r="F88" i="11" s="1"/>
  <c r="P88" i="11" a="1"/>
  <c r="P88" i="11" s="1"/>
  <c r="G88" i="11" a="1"/>
  <c r="G88" i="11" s="1"/>
  <c r="Q88" i="11" a="1"/>
  <c r="Q88" i="11" s="1"/>
  <c r="H63" i="11" a="1"/>
  <c r="H63" i="11" s="1"/>
  <c r="R63" i="11" a="1"/>
  <c r="R63" i="11" s="1"/>
  <c r="I63" i="11" a="1"/>
  <c r="I63" i="11" s="1"/>
  <c r="S63" i="11" a="1"/>
  <c r="S63" i="11" s="1"/>
  <c r="E63" i="11" a="1"/>
  <c r="E63" i="11" s="1"/>
  <c r="F63" i="11" a="1"/>
  <c r="F63" i="11" s="1"/>
  <c r="P63" i="11" a="1"/>
  <c r="P63" i="11" s="1"/>
  <c r="X63" i="11" a="1"/>
  <c r="X63" i="11" s="1"/>
  <c r="Y63" i="11" s="1"/>
  <c r="Q63" i="11" a="1"/>
  <c r="Q63" i="11" s="1"/>
  <c r="G63" i="11" a="1"/>
  <c r="G63" i="11" s="1"/>
  <c r="T63" i="11" a="1"/>
  <c r="T63" i="11" s="1"/>
  <c r="O63" i="11" a="1"/>
  <c r="O63" i="11" s="1"/>
  <c r="W88" i="11"/>
  <c r="E88" i="11" a="1"/>
  <c r="E88" i="11" s="1"/>
  <c r="F82" i="11" a="1"/>
  <c r="F82" i="11" s="1"/>
  <c r="E74" i="11" a="1"/>
  <c r="E74" i="11" s="1"/>
  <c r="F74" i="11" a="1"/>
  <c r="F74" i="11" s="1"/>
  <c r="Q74" i="11" a="1"/>
  <c r="Q74" i="11" s="1"/>
  <c r="R74" i="11" a="1"/>
  <c r="R74" i="11" s="1"/>
  <c r="G74" i="11" a="1"/>
  <c r="G74" i="11" s="1"/>
  <c r="H74" i="11" a="1"/>
  <c r="H74" i="11" s="1"/>
  <c r="S74" i="11" a="1"/>
  <c r="S74" i="11" s="1"/>
  <c r="I74" i="11" a="1"/>
  <c r="I74" i="11" s="1"/>
  <c r="T74" i="11" a="1"/>
  <c r="T74" i="11" s="1"/>
  <c r="O74" i="11" a="1"/>
  <c r="O74" i="11" s="1"/>
  <c r="X74" i="11"/>
  <c r="Y74" i="11" s="1"/>
  <c r="Y75" i="11" s="1"/>
  <c r="G69" i="11" a="1"/>
  <c r="G69" i="11" s="1"/>
  <c r="X69" i="11"/>
  <c r="F69" i="11" a="1"/>
  <c r="F69" i="11" s="1"/>
  <c r="F65" i="11" a="1"/>
  <c r="F65" i="11" s="1"/>
  <c r="E72" i="11" a="1"/>
  <c r="E72" i="11" s="1"/>
  <c r="W69" i="11" a="1"/>
  <c r="W69" i="11" s="1"/>
  <c r="E69" i="11" a="1"/>
  <c r="E69" i="11" s="1"/>
  <c r="T69" i="11" a="1"/>
  <c r="T69" i="11" s="1"/>
  <c r="H35" i="11"/>
  <c r="E31" i="11"/>
  <c r="O67" i="11" a="1"/>
  <c r="O67" i="11" s="1"/>
  <c r="E28" i="11"/>
  <c r="S69" i="11" a="1"/>
  <c r="S69" i="11" s="1"/>
  <c r="G65" i="11" a="1"/>
  <c r="G65" i="11" s="1"/>
  <c r="Q65" i="11" a="1"/>
  <c r="Q65" i="11" s="1"/>
  <c r="H65" i="11" a="1"/>
  <c r="H65" i="11" s="1"/>
  <c r="R65" i="11" a="1"/>
  <c r="R65" i="11" s="1"/>
  <c r="O65" i="11" a="1"/>
  <c r="O65" i="11" s="1"/>
  <c r="T65" i="11" a="1"/>
  <c r="T65" i="11" s="1"/>
  <c r="E65" i="11" a="1"/>
  <c r="E65" i="11" s="1"/>
  <c r="W65" i="11" a="1"/>
  <c r="W65" i="11" s="1"/>
  <c r="E22" i="11"/>
  <c r="E24" i="11"/>
  <c r="H69" i="11" a="1"/>
  <c r="H69" i="11" s="1"/>
  <c r="R69" i="11" a="1"/>
  <c r="R69" i="11" s="1"/>
  <c r="Q69" i="11" a="1"/>
  <c r="Q69" i="11" s="1"/>
  <c r="H38" i="11"/>
  <c r="P69" i="11" a="1"/>
  <c r="P69" i="11" s="1"/>
  <c r="I69" i="11" a="1"/>
  <c r="I69" i="11" s="1"/>
  <c r="X65" i="11"/>
  <c r="Y65" i="11" s="1"/>
  <c r="I65" i="11" a="1"/>
  <c r="I65" i="11" s="1"/>
  <c r="D37" i="11"/>
  <c r="G27" i="11"/>
  <c r="G25" i="11"/>
  <c r="G23" i="11"/>
  <c r="G21" i="11"/>
  <c r="G29" i="11" s="1"/>
  <c r="E39" i="11"/>
  <c r="H36" i="11"/>
  <c r="H33" i="11"/>
  <c r="H28" i="11"/>
  <c r="H26" i="11"/>
  <c r="H24" i="11"/>
  <c r="H22" i="11"/>
  <c r="S77" i="11" a="1"/>
  <c r="S77" i="11" s="1"/>
  <c r="Q90" i="11" a="1"/>
  <c r="Q90" i="11" s="1"/>
  <c r="S91" i="11" a="1"/>
  <c r="S91" i="11" s="1"/>
  <c r="S82" i="11" a="1"/>
  <c r="S82" i="11" s="1"/>
  <c r="I70" i="11" a="1"/>
  <c r="I70" i="11" s="1"/>
  <c r="H94" i="11" a="1"/>
  <c r="H94" i="11" s="1"/>
  <c r="W72" i="11"/>
  <c r="S88" i="11" a="1"/>
  <c r="S88" i="11" s="1"/>
  <c r="S72" i="11" a="1"/>
  <c r="S72" i="11" s="1"/>
  <c r="I72" i="11" a="1"/>
  <c r="I72" i="11" s="1"/>
  <c r="T72" i="11" a="1"/>
  <c r="T72" i="11" s="1"/>
  <c r="F72" i="11" a="1"/>
  <c r="F72" i="11" s="1"/>
  <c r="O72" i="11" a="1"/>
  <c r="O72" i="11" s="1"/>
  <c r="P72" i="11" a="1"/>
  <c r="P72" i="11" s="1"/>
  <c r="H72" i="11" a="1"/>
  <c r="H72" i="11" s="1"/>
  <c r="R72" i="11" a="1"/>
  <c r="R72" i="11" s="1"/>
  <c r="Q72" i="11" a="1"/>
  <c r="Q72" i="11" s="1"/>
  <c r="G72" i="11" a="1"/>
  <c r="G72" i="11" s="1"/>
  <c r="X72" i="11"/>
  <c r="Y72" i="11" s="1"/>
  <c r="Y73" i="11" s="1"/>
  <c r="R90" i="11" a="1"/>
  <c r="R90" i="11" s="1"/>
  <c r="O91" i="11" a="1"/>
  <c r="O91" i="11" s="1"/>
  <c r="R91" i="11" a="1"/>
  <c r="R91" i="11" s="1"/>
  <c r="I91" i="11" a="1"/>
  <c r="I91" i="11" s="1"/>
  <c r="W91" i="11"/>
  <c r="Q91" i="11" a="1"/>
  <c r="Q91" i="11" s="1"/>
  <c r="H77" i="11" a="1"/>
  <c r="H77" i="11" s="1"/>
  <c r="G91" i="11" a="1"/>
  <c r="G91" i="11" s="1"/>
  <c r="P91" i="11" a="1"/>
  <c r="P91" i="11" s="1"/>
  <c r="F91" i="11" a="1"/>
  <c r="F91" i="11" s="1"/>
  <c r="X91" i="11"/>
  <c r="E91" i="11" a="1"/>
  <c r="E91" i="11" s="1"/>
  <c r="H91" i="11" a="1"/>
  <c r="H91" i="11" s="1"/>
  <c r="T90" i="11" a="1"/>
  <c r="T90" i="11" s="1"/>
  <c r="E87" i="11" a="1"/>
  <c r="E87" i="11" s="1"/>
  <c r="I87" i="11" a="1"/>
  <c r="I87" i="11" s="1"/>
  <c r="H87" i="11" a="1"/>
  <c r="H87" i="11" s="1"/>
  <c r="S87" i="11" a="1"/>
  <c r="S87" i="11" s="1"/>
  <c r="G87" i="11" a="1"/>
  <c r="G87" i="11" s="1"/>
  <c r="P87" i="11" a="1"/>
  <c r="P87" i="11" s="1"/>
  <c r="W87" i="11"/>
  <c r="S90" i="11" a="1"/>
  <c r="S90" i="11" s="1"/>
  <c r="E90" i="11" a="1"/>
  <c r="E90" i="11" s="1"/>
  <c r="W90" i="11"/>
  <c r="F87" i="11" a="1"/>
  <c r="F87" i="11" s="1"/>
  <c r="G90" i="11" a="1"/>
  <c r="G90" i="11" s="1"/>
  <c r="X87" i="11"/>
  <c r="Y87" i="11" s="1"/>
  <c r="H90" i="11" a="1"/>
  <c r="H90" i="11" s="1"/>
  <c r="P90" i="11" a="1"/>
  <c r="P90" i="11" s="1"/>
  <c r="T87" i="11" a="1"/>
  <c r="T87" i="11" s="1"/>
  <c r="Q87" i="11" a="1"/>
  <c r="Q87" i="11" s="1"/>
  <c r="I90" i="11" a="1"/>
  <c r="I90" i="11" s="1"/>
  <c r="O87" i="11" a="1"/>
  <c r="O87" i="11" s="1"/>
  <c r="W74" i="11"/>
  <c r="F90" i="11" a="1"/>
  <c r="F90" i="11" s="1"/>
  <c r="R87" i="11" a="1"/>
  <c r="R87" i="11" s="1"/>
  <c r="I77" i="11" a="1"/>
  <c r="I77" i="11" s="1"/>
  <c r="X90" i="11"/>
  <c r="Y90" i="11" s="1"/>
  <c r="O89" i="11" a="1"/>
  <c r="O89" i="11" s="1"/>
  <c r="T89" i="11" a="1"/>
  <c r="T89" i="11" s="1"/>
  <c r="X89" i="11"/>
  <c r="F89" i="11" a="1"/>
  <c r="F89" i="11" s="1"/>
  <c r="P89" i="11" a="1"/>
  <c r="P89" i="11" s="1"/>
  <c r="G89" i="11" a="1"/>
  <c r="G89" i="11" s="1"/>
  <c r="Q89" i="11" a="1"/>
  <c r="Q89" i="11" s="1"/>
  <c r="R89" i="11" a="1"/>
  <c r="R89" i="11" s="1"/>
  <c r="S89" i="11" a="1"/>
  <c r="S89" i="11" s="1"/>
  <c r="E89" i="11" a="1"/>
  <c r="E89" i="11" s="1"/>
  <c r="W89" i="11"/>
  <c r="H89" i="11" a="1"/>
  <c r="H89" i="11" s="1"/>
  <c r="I89" i="11" a="1"/>
  <c r="I89" i="11" s="1"/>
  <c r="T92" i="11" a="1"/>
  <c r="T92" i="11" s="1"/>
  <c r="O92" i="11" a="1"/>
  <c r="O92" i="11" s="1"/>
  <c r="X92" i="11"/>
  <c r="P92" i="11" a="1"/>
  <c r="P92" i="11" s="1"/>
  <c r="F92" i="11" a="1"/>
  <c r="F92" i="11" s="1"/>
  <c r="G92" i="11" a="1"/>
  <c r="G92" i="11" s="1"/>
  <c r="Q92" i="11" a="1"/>
  <c r="Q92" i="11" s="1"/>
  <c r="I92" i="11" a="1"/>
  <c r="I92" i="11" s="1"/>
  <c r="H92" i="11" a="1"/>
  <c r="H92" i="11" s="1"/>
  <c r="R92" i="11" a="1"/>
  <c r="R92" i="11" s="1"/>
  <c r="S92" i="11" a="1"/>
  <c r="S92" i="11" s="1"/>
  <c r="E92" i="11" a="1"/>
  <c r="E92" i="11" s="1"/>
  <c r="W92" i="11"/>
  <c r="I86" i="11" a="1"/>
  <c r="I86" i="11" s="1"/>
  <c r="O86" i="11" a="1"/>
  <c r="O86" i="11" s="1"/>
  <c r="T86" i="11" a="1"/>
  <c r="T86" i="11" s="1"/>
  <c r="X86" i="11"/>
  <c r="F86" i="11" a="1"/>
  <c r="F86" i="11" s="1"/>
  <c r="P86" i="11" a="1"/>
  <c r="P86" i="11" s="1"/>
  <c r="G86" i="11" a="1"/>
  <c r="G86" i="11" s="1"/>
  <c r="Q86" i="11" a="1"/>
  <c r="Q86" i="11" s="1"/>
  <c r="R86" i="11" a="1"/>
  <c r="R86" i="11" s="1"/>
  <c r="S86" i="11" a="1"/>
  <c r="S86" i="11" s="1"/>
  <c r="W86" i="11"/>
  <c r="E86" i="11" a="1"/>
  <c r="E86" i="11" s="1"/>
  <c r="H86" i="11" a="1"/>
  <c r="H86" i="11" s="1"/>
  <c r="Q66" i="11" a="1"/>
  <c r="Q66" i="11" s="1"/>
  <c r="O64" i="11" a="1"/>
  <c r="O64" i="11" s="1"/>
  <c r="T64" i="11" a="1"/>
  <c r="T64" i="11" s="1"/>
  <c r="E64" i="11" a="1"/>
  <c r="E64" i="11" s="1"/>
  <c r="W64" i="11" a="1"/>
  <c r="W64" i="11" s="1"/>
  <c r="G64" i="11" a="1"/>
  <c r="G64" i="11" s="1"/>
  <c r="Q64" i="11" a="1"/>
  <c r="Q64" i="11" s="1"/>
  <c r="H64" i="11" a="1"/>
  <c r="H64" i="11" s="1"/>
  <c r="I64" i="11" a="1"/>
  <c r="I64" i="11" s="1"/>
  <c r="X64" i="11"/>
  <c r="P64" i="11" a="1"/>
  <c r="P64" i="11" s="1"/>
  <c r="S64" i="11" a="1"/>
  <c r="S64" i="11" s="1"/>
  <c r="F64" i="11" a="1"/>
  <c r="F64" i="11" s="1"/>
  <c r="R64" i="11" a="1"/>
  <c r="R64" i="11" s="1"/>
  <c r="I85" i="11" a="1"/>
  <c r="I85" i="11" s="1"/>
  <c r="S85" i="11" a="1"/>
  <c r="S85" i="11" s="1"/>
  <c r="O85" i="11" a="1"/>
  <c r="O85" i="11" s="1"/>
  <c r="T85" i="11" a="1"/>
  <c r="T85" i="11" s="1"/>
  <c r="X85" i="11"/>
  <c r="F85" i="11" a="1"/>
  <c r="F85" i="11" s="1"/>
  <c r="P85" i="11" a="1"/>
  <c r="P85" i="11" s="1"/>
  <c r="G85" i="11" a="1"/>
  <c r="G85" i="11" s="1"/>
  <c r="Q85" i="11" a="1"/>
  <c r="Q85" i="11" s="1"/>
  <c r="W85" i="11"/>
  <c r="E85" i="11" a="1"/>
  <c r="E85" i="11" s="1"/>
  <c r="R85" i="11" a="1"/>
  <c r="R85" i="11" s="1"/>
  <c r="H85" i="11" a="1"/>
  <c r="H85" i="11" s="1"/>
  <c r="E68" i="11" a="1"/>
  <c r="E68" i="11" s="1"/>
  <c r="W68" i="11" a="1"/>
  <c r="W68" i="11" s="1"/>
  <c r="F68" i="11" a="1"/>
  <c r="F68" i="11" s="1"/>
  <c r="P68" i="11" a="1"/>
  <c r="P68" i="11" s="1"/>
  <c r="X68" i="11"/>
  <c r="Y68" i="11" s="1"/>
  <c r="H68" i="11" a="1"/>
  <c r="H68" i="11" s="1"/>
  <c r="R68" i="11" a="1"/>
  <c r="R68" i="11" s="1"/>
  <c r="G68" i="11" a="1"/>
  <c r="G68" i="11" s="1"/>
  <c r="O68" i="11" a="1"/>
  <c r="O68" i="11" s="1"/>
  <c r="I68" i="11" a="1"/>
  <c r="I68" i="11" s="1"/>
  <c r="Q68" i="11" a="1"/>
  <c r="Q68" i="11" s="1"/>
  <c r="S68" i="11" a="1"/>
  <c r="S68" i="11" s="1"/>
  <c r="T68" i="11" a="1"/>
  <c r="T68" i="11" s="1"/>
  <c r="T93" i="11" a="1"/>
  <c r="T93" i="11" s="1"/>
  <c r="O93" i="11" a="1"/>
  <c r="O93" i="11" s="1"/>
  <c r="X93" i="11"/>
  <c r="F93" i="11" a="1"/>
  <c r="F93" i="11" s="1"/>
  <c r="P93" i="11" a="1"/>
  <c r="P93" i="11" s="1"/>
  <c r="G93" i="11" a="1"/>
  <c r="G93" i="11" s="1"/>
  <c r="Q93" i="11" a="1"/>
  <c r="Q93" i="11" s="1"/>
  <c r="S93" i="11" a="1"/>
  <c r="S93" i="11" s="1"/>
  <c r="E93" i="11" a="1"/>
  <c r="E93" i="11" s="1"/>
  <c r="W93" i="11"/>
  <c r="R93" i="11" a="1"/>
  <c r="R93" i="11" s="1"/>
  <c r="H93" i="11" a="1"/>
  <c r="H93" i="11" s="1"/>
  <c r="I93" i="11" a="1"/>
  <c r="I93" i="11" s="1"/>
  <c r="R66" i="11" a="1"/>
  <c r="R66" i="11" s="1"/>
  <c r="E66" i="11" a="1"/>
  <c r="E66" i="11" s="1"/>
  <c r="X66" i="11"/>
  <c r="P66" i="11" a="1"/>
  <c r="P66" i="11" s="1"/>
  <c r="P50" i="11" s="1"/>
  <c r="F66" i="11" a="1"/>
  <c r="F66" i="11" s="1"/>
  <c r="T66" i="11" a="1"/>
  <c r="T66" i="11" s="1"/>
  <c r="O66" i="11" a="1"/>
  <c r="O66" i="11" s="1"/>
  <c r="W66" i="11" a="1"/>
  <c r="W66" i="11" s="1"/>
  <c r="S66" i="11" a="1"/>
  <c r="S66" i="11" s="1"/>
  <c r="H66" i="11" a="1"/>
  <c r="H66" i="11" s="1"/>
  <c r="I66" i="11" a="1"/>
  <c r="I66" i="11" s="1"/>
  <c r="G66" i="11" a="1"/>
  <c r="G66" i="11" s="1"/>
  <c r="N79" i="11" a="1"/>
  <c r="N79" i="11" s="1"/>
  <c r="M79" i="11" a="1"/>
  <c r="M79" i="11" s="1"/>
  <c r="O79" i="11" a="1"/>
  <c r="O79" i="11" s="1"/>
  <c r="J79" i="11" a="1"/>
  <c r="J79" i="11" s="1"/>
  <c r="K79" i="11" a="1"/>
  <c r="K79" i="11" s="1"/>
  <c r="L79" i="11" a="1"/>
  <c r="L79" i="11" s="1"/>
  <c r="S76" i="11" a="1"/>
  <c r="S76" i="11" s="1"/>
  <c r="E76" i="11" a="1"/>
  <c r="E76" i="11" s="1"/>
  <c r="R76" i="11" a="1"/>
  <c r="R76" i="11" s="1"/>
  <c r="I76" i="11" a="1"/>
  <c r="I76" i="11" s="1"/>
  <c r="O76" i="11" a="1"/>
  <c r="O76" i="11" s="1"/>
  <c r="W76" i="11"/>
  <c r="X76" i="11"/>
  <c r="Y76" i="11" s="1"/>
  <c r="F76" i="11" a="1"/>
  <c r="F76" i="11" s="1"/>
  <c r="P76" i="11" a="1"/>
  <c r="P76" i="11" s="1"/>
  <c r="G76" i="11" a="1"/>
  <c r="G76" i="11" s="1"/>
  <c r="Q76" i="11" a="1"/>
  <c r="Q76" i="11" s="1"/>
  <c r="T76" i="11" a="1"/>
  <c r="T76" i="11" s="1"/>
  <c r="H76" i="11" a="1"/>
  <c r="H76" i="11" s="1"/>
  <c r="D22" i="10"/>
  <c r="E22" i="10" s="1"/>
  <c r="N72" i="11" a="1"/>
  <c r="N72" i="11" s="1"/>
  <c r="M72" i="11" a="1"/>
  <c r="M72" i="11" s="1"/>
  <c r="L72" i="11" a="1"/>
  <c r="L72" i="11" s="1"/>
  <c r="K72" i="11" a="1"/>
  <c r="K72" i="11" s="1"/>
  <c r="J72" i="11" a="1"/>
  <c r="J72" i="11" s="1"/>
  <c r="Z72" i="11" s="1"/>
  <c r="N66" i="11" a="1"/>
  <c r="N66" i="11" s="1"/>
  <c r="M66" i="11" a="1"/>
  <c r="M66" i="11" s="1"/>
  <c r="L66" i="11" a="1"/>
  <c r="L66" i="11" s="1"/>
  <c r="K66" i="11" a="1"/>
  <c r="K66" i="11" s="1"/>
  <c r="D18" i="10"/>
  <c r="E18" i="10" s="1"/>
  <c r="L64" i="11" a="1"/>
  <c r="L64" i="11" s="1"/>
  <c r="K64" i="11" a="1"/>
  <c r="K64" i="11" s="1"/>
  <c r="J64" i="11" a="1"/>
  <c r="J64" i="11" s="1"/>
  <c r="Z64" i="11" s="1"/>
  <c r="D19" i="10"/>
  <c r="E19" i="10" s="1"/>
  <c r="N65" i="11" a="1"/>
  <c r="N65" i="11" s="1"/>
  <c r="M65" i="11" a="1"/>
  <c r="M65" i="11" s="1"/>
  <c r="L65" i="11" a="1"/>
  <c r="L65" i="11" s="1"/>
  <c r="K65" i="11" a="1"/>
  <c r="K65" i="11" s="1"/>
  <c r="J65" i="11" a="1"/>
  <c r="J65" i="11" s="1"/>
  <c r="Z65" i="11" s="1"/>
  <c r="AB65" i="11" s="1"/>
  <c r="L18" i="10"/>
  <c r="M18" i="10" s="1"/>
  <c r="M17" i="10" s="1"/>
  <c r="N63" i="11" a="1"/>
  <c r="N63" i="11" s="1"/>
  <c r="M63" i="11" a="1"/>
  <c r="M63" i="11" s="1"/>
  <c r="L63" i="11" a="1"/>
  <c r="L63" i="11" s="1"/>
  <c r="K63" i="11" a="1"/>
  <c r="K63" i="11" s="1"/>
  <c r="J63" i="11" a="1"/>
  <c r="J63" i="11" s="1"/>
  <c r="Z63" i="11" s="1"/>
  <c r="AB63" i="11" s="1"/>
  <c r="D23" i="10"/>
  <c r="E23" i="10" s="1"/>
  <c r="M77" i="11" a="1"/>
  <c r="M77" i="11" s="1"/>
  <c r="L77" i="11" a="1"/>
  <c r="L77" i="11" s="1"/>
  <c r="J77" i="11" a="1"/>
  <c r="J77" i="11" s="1"/>
  <c r="Z77" i="11" s="1"/>
  <c r="AB77" i="11" s="1"/>
  <c r="L23" i="10"/>
  <c r="M23" i="10" s="1"/>
  <c r="P23" i="10" s="1"/>
  <c r="N76" i="11" a="1"/>
  <c r="N76" i="11" s="1"/>
  <c r="M76" i="11" a="1"/>
  <c r="M76" i="11" s="1"/>
  <c r="L76" i="11" a="1"/>
  <c r="L76" i="11" s="1"/>
  <c r="K76" i="11" a="1"/>
  <c r="K76" i="11" s="1"/>
  <c r="J76" i="11" a="1"/>
  <c r="J76" i="11" s="1"/>
  <c r="Z76" i="11" s="1"/>
  <c r="D36" i="10"/>
  <c r="E36" i="10" s="1"/>
  <c r="N83" i="11" a="1"/>
  <c r="N83" i="11" s="1"/>
  <c r="L83" i="11" a="1"/>
  <c r="L83" i="11" s="1"/>
  <c r="K83" i="11" a="1"/>
  <c r="K83" i="11" s="1"/>
  <c r="J83" i="11" a="1"/>
  <c r="J83" i="11" s="1"/>
  <c r="Z83" i="11" s="1"/>
  <c r="L36" i="10"/>
  <c r="M36" i="10" s="1"/>
  <c r="P36" i="10" s="1"/>
  <c r="AF36" i="10" s="1"/>
  <c r="N82" i="11" a="1"/>
  <c r="N82" i="11" s="1"/>
  <c r="M82" i="11" a="1"/>
  <c r="M82" i="11" s="1"/>
  <c r="L82" i="11" a="1"/>
  <c r="L82" i="11" s="1"/>
  <c r="K82" i="11" a="1"/>
  <c r="K82" i="11" s="1"/>
  <c r="J82" i="11" a="1"/>
  <c r="J82" i="11" s="1"/>
  <c r="Z82" i="11" s="1"/>
  <c r="L34" i="10"/>
  <c r="M34" i="10" s="1"/>
  <c r="P34" i="10" s="1"/>
  <c r="N94" i="11" a="1"/>
  <c r="N94" i="11" s="1"/>
  <c r="M94" i="11" a="1"/>
  <c r="M94" i="11" s="1"/>
  <c r="L94" i="11" a="1"/>
  <c r="L94" i="11" s="1"/>
  <c r="K94" i="11" a="1"/>
  <c r="K94" i="11" s="1"/>
  <c r="J94" i="11" a="1"/>
  <c r="J94" i="11" s="1"/>
  <c r="Z94" i="11" s="1"/>
  <c r="L33" i="10"/>
  <c r="M33" i="10" s="1"/>
  <c r="P33" i="10" s="1"/>
  <c r="N93" i="11" a="1"/>
  <c r="N93" i="11" s="1"/>
  <c r="M93" i="11" a="1"/>
  <c r="M93" i="11" s="1"/>
  <c r="L93" i="11" a="1"/>
  <c r="L93" i="11" s="1"/>
  <c r="K93" i="11" a="1"/>
  <c r="K93" i="11" s="1"/>
  <c r="J93" i="11" a="1"/>
  <c r="J93" i="11" s="1"/>
  <c r="Z93" i="11" s="1"/>
  <c r="L32" i="10"/>
  <c r="M32" i="10" s="1"/>
  <c r="P32" i="10" s="1"/>
  <c r="N92" i="11" a="1"/>
  <c r="N92" i="11" s="1"/>
  <c r="M92" i="11" a="1"/>
  <c r="M92" i="11" s="1"/>
  <c r="L92" i="11" a="1"/>
  <c r="L92" i="11" s="1"/>
  <c r="K92" i="11" a="1"/>
  <c r="K92" i="11" s="1"/>
  <c r="J92" i="11" a="1"/>
  <c r="J92" i="11" s="1"/>
  <c r="Z92" i="11" s="1"/>
  <c r="L31" i="10"/>
  <c r="M31" i="10" s="1"/>
  <c r="P31" i="10" s="1"/>
  <c r="N91" i="11" a="1"/>
  <c r="N91" i="11" s="1"/>
  <c r="M91" i="11" a="1"/>
  <c r="M91" i="11" s="1"/>
  <c r="L91" i="11" a="1"/>
  <c r="L91" i="11" s="1"/>
  <c r="K91" i="11" a="1"/>
  <c r="K91" i="11" s="1"/>
  <c r="J91" i="11" a="1"/>
  <c r="J91" i="11" s="1"/>
  <c r="Z91" i="11" s="1"/>
  <c r="L30" i="10"/>
  <c r="M30" i="10" s="1"/>
  <c r="P30" i="10" s="1"/>
  <c r="N90" i="11" a="1"/>
  <c r="N90" i="11" s="1"/>
  <c r="M90" i="11" a="1"/>
  <c r="M90" i="11" s="1"/>
  <c r="L90" i="11" a="1"/>
  <c r="L90" i="11" s="1"/>
  <c r="K90" i="11" a="1"/>
  <c r="K90" i="11" s="1"/>
  <c r="J90" i="11" a="1"/>
  <c r="J90" i="11" s="1"/>
  <c r="Z90" i="11" s="1"/>
  <c r="L29" i="10"/>
  <c r="M29" i="10" s="1"/>
  <c r="P29" i="10" s="1"/>
  <c r="N89" i="11" a="1"/>
  <c r="N89" i="11" s="1"/>
  <c r="M89" i="11" a="1"/>
  <c r="M89" i="11" s="1"/>
  <c r="L89" i="11" a="1"/>
  <c r="L89" i="11" s="1"/>
  <c r="K89" i="11" a="1"/>
  <c r="K89" i="11" s="1"/>
  <c r="J89" i="11" a="1"/>
  <c r="J89" i="11" s="1"/>
  <c r="Z89" i="11" s="1"/>
  <c r="L28" i="10"/>
  <c r="M28" i="10" s="1"/>
  <c r="P28" i="10" s="1"/>
  <c r="N88" i="11" a="1"/>
  <c r="N88" i="11" s="1"/>
  <c r="M88" i="11" a="1"/>
  <c r="M88" i="11" s="1"/>
  <c r="L88" i="11" a="1"/>
  <c r="L88" i="11" s="1"/>
  <c r="K88" i="11" a="1"/>
  <c r="K88" i="11" s="1"/>
  <c r="J88" i="11" a="1"/>
  <c r="J88" i="11" s="1"/>
  <c r="Z88" i="11" s="1"/>
  <c r="L27" i="10"/>
  <c r="M27" i="10" s="1"/>
  <c r="P27" i="10" s="1"/>
  <c r="N87" i="11" a="1"/>
  <c r="N87" i="11" s="1"/>
  <c r="M87" i="11" a="1"/>
  <c r="M87" i="11" s="1"/>
  <c r="L87" i="11" a="1"/>
  <c r="L87" i="11" s="1"/>
  <c r="K87" i="11" a="1"/>
  <c r="K87" i="11" s="1"/>
  <c r="J87" i="11" a="1"/>
  <c r="J87" i="11" s="1"/>
  <c r="Z87" i="11" s="1"/>
  <c r="D35" i="10"/>
  <c r="E35" i="10" s="1"/>
  <c r="M86" i="11" a="1"/>
  <c r="M86" i="11" s="1"/>
  <c r="L86" i="11" a="1"/>
  <c r="L86" i="11" s="1"/>
  <c r="K86" i="11" a="1"/>
  <c r="K86" i="11" s="1"/>
  <c r="J86" i="11" a="1"/>
  <c r="J86" i="11" s="1"/>
  <c r="Z86" i="11" s="1"/>
  <c r="L35" i="10"/>
  <c r="M35" i="10" s="1"/>
  <c r="P35" i="10" s="1"/>
  <c r="AF35" i="10" s="1"/>
  <c r="N85" i="11" a="1"/>
  <c r="N85" i="11" s="1"/>
  <c r="M85" i="11" a="1"/>
  <c r="M85" i="11" s="1"/>
  <c r="L85" i="11" a="1"/>
  <c r="L85" i="11" s="1"/>
  <c r="K85" i="11" a="1"/>
  <c r="K85" i="11" s="1"/>
  <c r="J85" i="11" a="1"/>
  <c r="J85" i="11" s="1"/>
  <c r="Z85" i="11" s="1"/>
  <c r="D21" i="10"/>
  <c r="E21" i="10" s="1"/>
  <c r="N70" i="11" a="1"/>
  <c r="N70" i="11" s="1"/>
  <c r="M70" i="11" a="1"/>
  <c r="M70" i="11" s="1"/>
  <c r="L70" i="11" a="1"/>
  <c r="L70" i="11" s="1"/>
  <c r="K70" i="11" a="1"/>
  <c r="K70" i="11" s="1"/>
  <c r="J70" i="11" a="1"/>
  <c r="J70" i="11" s="1"/>
  <c r="Z70" i="11" s="1"/>
  <c r="AB70" i="11" s="1"/>
  <c r="D20" i="10"/>
  <c r="E20" i="10" s="1"/>
  <c r="N69" i="11" a="1"/>
  <c r="N69" i="11" s="1"/>
  <c r="M69" i="11" a="1"/>
  <c r="M69" i="11" s="1"/>
  <c r="L69" i="11" a="1"/>
  <c r="L69" i="11" s="1"/>
  <c r="K69" i="11" a="1"/>
  <c r="K69" i="11" s="1"/>
  <c r="J69" i="11" a="1"/>
  <c r="J69" i="11" s="1"/>
  <c r="O69" i="11" a="1"/>
  <c r="O69" i="11" s="1"/>
  <c r="L20" i="10"/>
  <c r="M20" i="10" s="1"/>
  <c r="P20" i="10" s="1"/>
  <c r="N68" i="11" a="1"/>
  <c r="N68" i="11" s="1"/>
  <c r="M68" i="11" a="1"/>
  <c r="M68" i="11" s="1"/>
  <c r="L68" i="11" a="1"/>
  <c r="L68" i="11" s="1"/>
  <c r="K68" i="11" a="1"/>
  <c r="K68" i="11" s="1"/>
  <c r="J68" i="11" a="1"/>
  <c r="J68" i="11" s="1"/>
  <c r="Z68" i="11" s="1"/>
  <c r="L24" i="10"/>
  <c r="M24" i="10" s="1"/>
  <c r="M25" i="10" s="1"/>
  <c r="N74" i="11" a="1"/>
  <c r="N74" i="11" s="1"/>
  <c r="M74" i="11" a="1"/>
  <c r="M74" i="11" s="1"/>
  <c r="L74" i="11" a="1"/>
  <c r="L74" i="11" s="1"/>
  <c r="K74" i="11" a="1"/>
  <c r="K74" i="11" s="1"/>
  <c r="J74" i="11" a="1"/>
  <c r="J74" i="11" s="1"/>
  <c r="Z74" i="11" s="1"/>
  <c r="N64" i="11" a="1"/>
  <c r="N64" i="11" s="1"/>
  <c r="M83" i="11" a="1"/>
  <c r="M83" i="11" s="1"/>
  <c r="N86" i="11" a="1"/>
  <c r="N86" i="11" s="1"/>
  <c r="M64" i="11" a="1"/>
  <c r="M64" i="11" s="1"/>
  <c r="N77" i="11" a="1"/>
  <c r="N77" i="11" s="1"/>
  <c r="K77" i="11" a="1"/>
  <c r="K77" i="11" s="1"/>
  <c r="O91" i="13" a="1"/>
  <c r="O91" i="13" s="1"/>
  <c r="O85" i="13" a="1"/>
  <c r="O85" i="13" s="1"/>
  <c r="CO85" i="13" s="1"/>
  <c r="CP85" i="13" s="1"/>
  <c r="O81" i="13" a="1"/>
  <c r="O81" i="13" s="1"/>
  <c r="CO81" i="13" s="1"/>
  <c r="CP81" i="13" s="1"/>
  <c r="O80" i="13" a="1"/>
  <c r="O80" i="13" s="1"/>
  <c r="CO80" i="13" s="1"/>
  <c r="CP80" i="13" s="1"/>
  <c r="O79" i="13" a="1"/>
  <c r="O79" i="13" s="1"/>
  <c r="CO79" i="13" s="1"/>
  <c r="CP79" i="13" s="1"/>
  <c r="O78" i="13" a="1"/>
  <c r="O78" i="13" s="1"/>
  <c r="CO78" i="13" s="1"/>
  <c r="CP78" i="13" s="1"/>
  <c r="O77" i="13" a="1"/>
  <c r="O77" i="13" s="1"/>
  <c r="CO77" i="13" s="1"/>
  <c r="CP77" i="13" s="1"/>
  <c r="O76" i="13" a="1"/>
  <c r="O76" i="13" s="1"/>
  <c r="CO76" i="13" s="1"/>
  <c r="CP76" i="13" s="1"/>
  <c r="O75" i="13" a="1"/>
  <c r="O75" i="13" s="1"/>
  <c r="CO75" i="13" s="1"/>
  <c r="CP75" i="13" s="1"/>
  <c r="O74" i="13" a="1"/>
  <c r="O74" i="13" s="1"/>
  <c r="CO74" i="13" s="1"/>
  <c r="CP74" i="13" s="1"/>
  <c r="O73" i="13" a="1"/>
  <c r="O73" i="13" s="1"/>
  <c r="CO73" i="13" s="1"/>
  <c r="O72" i="13" a="1"/>
  <c r="O72" i="13" s="1"/>
  <c r="CO72" i="13" s="1"/>
  <c r="CP72" i="13" s="1"/>
  <c r="O34" i="13" a="1"/>
  <c r="O34" i="13" s="1"/>
  <c r="CO34" i="13" s="1"/>
  <c r="CP34" i="13" s="1"/>
  <c r="CQ34" i="13" s="1"/>
  <c r="O30" i="13" a="1"/>
  <c r="O30" i="13" s="1"/>
  <c r="CO30" i="13" s="1"/>
  <c r="CP30" i="13" s="1"/>
  <c r="CQ30" i="13" s="1"/>
  <c r="O27" i="13" a="1"/>
  <c r="O27" i="13" s="1"/>
  <c r="CO27" i="13" s="1"/>
  <c r="CP27" i="13" s="1"/>
  <c r="CQ27" i="13" s="1"/>
  <c r="E31" i="13" a="1"/>
  <c r="E31" i="13" s="1"/>
  <c r="O28" i="13" a="1"/>
  <c r="O28" i="13" s="1"/>
  <c r="CO28" i="13" s="1"/>
  <c r="CP28" i="13" s="1"/>
  <c r="CQ28" i="13" s="1"/>
  <c r="AD30" i="20"/>
  <c r="AD31" i="20"/>
  <c r="AD34" i="20"/>
  <c r="AD36" i="20"/>
  <c r="AD39" i="20"/>
  <c r="AD40" i="20"/>
  <c r="AD42" i="20"/>
  <c r="AD46" i="20"/>
  <c r="AD47" i="20"/>
  <c r="AD51" i="20"/>
  <c r="AD57" i="20"/>
  <c r="AD63" i="20"/>
  <c r="AD64" i="20"/>
  <c r="AD66" i="20"/>
  <c r="AD71" i="20"/>
  <c r="AD72" i="20"/>
  <c r="AD73" i="20"/>
  <c r="AD77" i="20"/>
  <c r="AD78" i="20"/>
  <c r="AD82" i="20"/>
  <c r="AD83" i="20"/>
  <c r="AD87" i="20"/>
  <c r="AD88" i="20"/>
  <c r="AD91" i="20"/>
  <c r="AD92" i="20"/>
  <c r="AD95" i="20"/>
  <c r="AD96" i="20"/>
  <c r="AD99" i="20"/>
  <c r="AD100" i="20"/>
  <c r="AD104" i="20"/>
  <c r="AD107" i="20"/>
  <c r="AD108" i="20"/>
  <c r="O83" i="13" a="1"/>
  <c r="O83" i="13" s="1"/>
  <c r="CO83" i="13" s="1"/>
  <c r="CP83" i="13" s="1"/>
  <c r="AK92" i="4"/>
  <c r="AL92" i="4"/>
  <c r="P27" i="13" a="1"/>
  <c r="P27" i="13" s="1"/>
  <c r="P34" i="13" a="1"/>
  <c r="P34" i="13" s="1"/>
  <c r="P31" i="13" a="1"/>
  <c r="P31" i="13" s="1"/>
  <c r="P30" i="13" a="1"/>
  <c r="P30" i="13" s="1"/>
  <c r="P32" i="13" a="1"/>
  <c r="P32" i="13" s="1"/>
  <c r="P79" i="13" a="1"/>
  <c r="P79" i="13" s="1"/>
  <c r="P33" i="13" a="1"/>
  <c r="P33" i="13" s="1"/>
  <c r="P74" i="13" a="1"/>
  <c r="P74" i="13" s="1"/>
  <c r="P91" i="13" a="1"/>
  <c r="P91" i="13" s="1"/>
  <c r="P82" i="13" a="1"/>
  <c r="P82" i="13" s="1"/>
  <c r="P75" i="13" a="1"/>
  <c r="P75" i="13" s="1"/>
  <c r="P84" i="13" a="1"/>
  <c r="P84" i="13" s="1"/>
  <c r="P76" i="13" a="1"/>
  <c r="P76" i="13" s="1"/>
  <c r="P72" i="13" a="1"/>
  <c r="P72" i="13" s="1"/>
  <c r="P86" i="13" a="1"/>
  <c r="P86" i="13" s="1"/>
  <c r="P73" i="13" a="1"/>
  <c r="P73" i="13" s="1"/>
  <c r="P89" i="13" a="1"/>
  <c r="P89" i="13" s="1"/>
  <c r="P90" i="13" a="1"/>
  <c r="P90" i="13" s="1"/>
  <c r="P83" i="13" a="1"/>
  <c r="P83" i="13" s="1"/>
  <c r="P87" i="13" a="1"/>
  <c r="P87" i="13" s="1"/>
  <c r="P78" i="13" a="1"/>
  <c r="P78" i="13" s="1"/>
  <c r="P80" i="13" a="1"/>
  <c r="P80" i="13" s="1"/>
  <c r="P77" i="13" a="1"/>
  <c r="P77" i="13" s="1"/>
  <c r="P85" i="13" a="1"/>
  <c r="P85" i="13" s="1"/>
  <c r="P88" i="13" a="1"/>
  <c r="P88" i="13" s="1"/>
  <c r="P81" i="13" a="1"/>
  <c r="P81" i="13" s="1"/>
  <c r="F31" i="13" a="1"/>
  <c r="F31" i="13" s="1"/>
  <c r="O90" i="13" a="1"/>
  <c r="O90" i="13" s="1"/>
  <c r="CO90" i="13" s="1"/>
  <c r="CP90" i="13" s="1"/>
  <c r="O88" i="13" a="1"/>
  <c r="O88" i="13" s="1"/>
  <c r="CO88" i="13" s="1"/>
  <c r="CP88" i="13" s="1"/>
  <c r="O87" i="13" a="1"/>
  <c r="O87" i="13" s="1"/>
  <c r="CO87" i="13" s="1"/>
  <c r="CP87" i="13" s="1"/>
  <c r="O84" i="13" a="1"/>
  <c r="O84" i="13" s="1"/>
  <c r="CO84" i="13" s="1"/>
  <c r="CP84" i="13" s="1"/>
  <c r="O86" i="13" a="1"/>
  <c r="O86" i="13" s="1"/>
  <c r="CO86" i="13" s="1"/>
  <c r="CP86" i="13" s="1"/>
  <c r="O89" i="13" a="1"/>
  <c r="O89" i="13" s="1"/>
  <c r="CO89" i="13" s="1"/>
  <c r="CP89" i="13" s="1"/>
  <c r="AE52" i="20" a="1"/>
  <c r="AE52" i="20" s="1"/>
  <c r="AJ52" i="20" s="1"/>
  <c r="AD53" i="20"/>
  <c r="AD54" i="20"/>
  <c r="AD55" i="20"/>
  <c r="AD56" i="20"/>
  <c r="AD58" i="20"/>
  <c r="AD59" i="20"/>
  <c r="AD60" i="20"/>
  <c r="AD61" i="20"/>
  <c r="AD62" i="20"/>
  <c r="AE22" i="20" a="1"/>
  <c r="AE22" i="20" s="1"/>
  <c r="AJ22" i="20" s="1"/>
  <c r="AE20" i="20" a="1"/>
  <c r="AE20" i="20" s="1"/>
  <c r="AJ20" i="20"/>
  <c r="AD21" i="20"/>
  <c r="AD23" i="20"/>
  <c r="AD24" i="20"/>
  <c r="AD25" i="20"/>
  <c r="AD26" i="20"/>
  <c r="AD28" i="20"/>
  <c r="AE28" i="20" s="1" a="1"/>
  <c r="AE28" i="20" s="1"/>
  <c r="AF28" i="20" s="1" a="1"/>
  <c r="AF28" i="20" s="1"/>
  <c r="AG28" i="20" s="1" a="1"/>
  <c r="AG28" i="20" s="1"/>
  <c r="AH28" i="20" s="1" a="1"/>
  <c r="AH28" i="20" s="1"/>
  <c r="AK28" i="20" s="1"/>
  <c r="AD29" i="20"/>
  <c r="AE29" i="20" s="1" a="1"/>
  <c r="AE29" i="20" s="1"/>
  <c r="AF29" i="20" s="1" a="1"/>
  <c r="AF29" i="20" s="1"/>
  <c r="AG29" i="20" s="1" a="1"/>
  <c r="AG29" i="20" s="1"/>
  <c r="AH29" i="20" s="1" a="1"/>
  <c r="AH29" i="20" s="1"/>
  <c r="AK29" i="20" s="1"/>
  <c r="C109" i="8"/>
  <c r="D109" i="8" s="1"/>
  <c r="C114" i="8"/>
  <c r="D114" i="8" s="1"/>
  <c r="C89" i="8"/>
  <c r="D89" i="8" s="1"/>
  <c r="C94" i="8"/>
  <c r="D94" i="8" s="1"/>
  <c r="AJ28" i="20"/>
  <c r="C85" i="8"/>
  <c r="D85" i="8" s="1"/>
  <c r="C84" i="8"/>
  <c r="D84" i="8" s="1"/>
  <c r="AK114" i="4"/>
  <c r="CN47" i="13" s="1"/>
  <c r="X64" i="7" a="1"/>
  <c r="X64" i="7" s="1"/>
  <c r="X31" i="7" a="1"/>
  <c r="X31" i="7" s="1"/>
  <c r="X67" i="7" a="1"/>
  <c r="X67" i="7" s="1"/>
  <c r="X42" i="7" a="1"/>
  <c r="X42" i="7" s="1"/>
  <c r="X41" i="7" a="1"/>
  <c r="X41" i="7" s="1"/>
  <c r="X66" i="7" a="1"/>
  <c r="X66" i="7" s="1"/>
  <c r="X33" i="7" a="1"/>
  <c r="X33" i="7" s="1"/>
  <c r="U78" i="4"/>
  <c r="U59" i="4"/>
  <c r="V53" i="4"/>
  <c r="V112" i="4" s="1"/>
  <c r="U110" i="4"/>
  <c r="U88" i="4"/>
  <c r="U86" i="4"/>
  <c r="U89" i="4"/>
  <c r="BL140" i="1"/>
  <c r="AK85" i="1"/>
  <c r="I110" i="4"/>
  <c r="I78" i="4"/>
  <c r="N78" i="4" s="1"/>
  <c r="I66" i="4"/>
  <c r="N66" i="4" s="1"/>
  <c r="Y109" i="11"/>
  <c r="X107" i="11"/>
  <c r="J51" i="11"/>
  <c r="J52" i="11" s="1"/>
  <c r="I7" i="11" s="1"/>
  <c r="I16" i="11" s="1"/>
  <c r="O40" i="4"/>
  <c r="Q40" i="4" s="1"/>
  <c r="J66" i="11" s="1" a="1"/>
  <c r="J66" i="11" s="1"/>
  <c r="Z66" i="11" s="1"/>
  <c r="F70" i="4"/>
  <c r="O31" i="13" a="1"/>
  <c r="O31" i="13" s="1"/>
  <c r="CO31" i="13" s="1"/>
  <c r="CP31" i="13" s="1"/>
  <c r="CQ31" i="13" s="1"/>
  <c r="M85" i="4"/>
  <c r="H102" i="4"/>
  <c r="R134" i="4"/>
  <c r="R135" i="4"/>
  <c r="N85" i="4"/>
  <c r="I102" i="4"/>
  <c r="N102" i="4" s="1"/>
  <c r="O82" i="13" a="1"/>
  <c r="O82" i="13" s="1"/>
  <c r="CO82" i="13" s="1"/>
  <c r="CP82" i="13" s="1"/>
  <c r="H82" i="4"/>
  <c r="M82" i="4" s="1"/>
  <c r="R82" i="4" s="1"/>
  <c r="J66" i="4"/>
  <c r="O66" i="4" s="1"/>
  <c r="I74" i="4"/>
  <c r="I130" i="4"/>
  <c r="I59" i="4"/>
  <c r="AB65" i="4"/>
  <c r="E27" i="13" s="1" a="1"/>
  <c r="E27" i="13" s="1"/>
  <c r="AN22" i="8" a="1"/>
  <c r="AN22" i="8" s="1"/>
  <c r="AO22" i="8" s="1" a="1"/>
  <c r="AO22" i="8" s="1"/>
  <c r="AM52" i="8" a="1"/>
  <c r="AM52" i="8" s="1"/>
  <c r="AB59" i="4" s="1"/>
  <c r="E39" i="13" s="1" a="1"/>
  <c r="E39" i="13" s="1"/>
  <c r="AA59" i="4"/>
  <c r="BL141" i="1"/>
  <c r="X116" i="7"/>
  <c r="U76" i="4"/>
  <c r="U85" i="4"/>
  <c r="U90" i="4"/>
  <c r="U111" i="4"/>
  <c r="U84" i="4"/>
  <c r="U83" i="4"/>
  <c r="U87" i="4"/>
  <c r="U82" i="4"/>
  <c r="U124" i="4"/>
  <c r="U75" i="4"/>
  <c r="U80" i="4"/>
  <c r="U81" i="4"/>
  <c r="U79" i="4"/>
  <c r="T117" i="4"/>
  <c r="U117" i="4" s="1"/>
  <c r="U109" i="4"/>
  <c r="U113" i="4"/>
  <c r="U74" i="4"/>
  <c r="U72" i="4"/>
  <c r="U73" i="4" s="1"/>
  <c r="U77" i="4"/>
  <c r="U108" i="4"/>
  <c r="AG22" i="7" a="1"/>
  <c r="AG22" i="7" s="1"/>
  <c r="AU22" i="7" s="1"/>
  <c r="AL115" i="4"/>
  <c r="AL114" i="4"/>
  <c r="J129" i="4"/>
  <c r="O129" i="4" s="1"/>
  <c r="J116" i="4"/>
  <c r="H113" i="4"/>
  <c r="M113" i="4" s="1"/>
  <c r="R113" i="4" s="1"/>
  <c r="I115" i="4"/>
  <c r="N115" i="4" s="1"/>
  <c r="P37" i="3"/>
  <c r="BK142" i="1"/>
  <c r="AK73" i="4"/>
  <c r="CN73" i="13" s="1"/>
  <c r="CP73" i="13" s="1"/>
  <c r="V73" i="7" a="1"/>
  <c r="V73" i="7" s="1"/>
  <c r="S20" i="8"/>
  <c r="AL67" i="4"/>
  <c r="BH146" i="1"/>
  <c r="BL146" i="1"/>
  <c r="BL142" i="1"/>
  <c r="T132" i="4"/>
  <c r="AZ20" i="8"/>
  <c r="AZ52" i="8"/>
  <c r="AL92" i="8"/>
  <c r="AL87" i="8"/>
  <c r="AL57" i="8"/>
  <c r="AL71" i="8"/>
  <c r="AL34" i="8"/>
  <c r="AA122" i="4" s="1"/>
  <c r="AL78" i="8"/>
  <c r="AA74" i="4" s="1"/>
  <c r="AL72" i="8"/>
  <c r="AA72" i="4" s="1"/>
  <c r="AL42" i="8"/>
  <c r="AL83" i="8"/>
  <c r="AA75" i="4" s="1"/>
  <c r="AL98" i="8"/>
  <c r="AA78" i="4" s="1"/>
  <c r="AL47" i="8"/>
  <c r="AA129" i="4" s="1"/>
  <c r="AL31" i="8"/>
  <c r="AA124" i="4" s="1"/>
  <c r="AL88" i="8"/>
  <c r="AL46" i="8"/>
  <c r="AL21" i="8"/>
  <c r="AA68" i="4" s="1"/>
  <c r="AL26" i="8"/>
  <c r="AL29" i="8"/>
  <c r="AA70" i="4" s="1"/>
  <c r="AM20" i="8" a="1"/>
  <c r="AM20" i="8" s="1"/>
  <c r="AB67" i="4" s="1"/>
  <c r="E28" i="13" s="1" a="1"/>
  <c r="E28" i="13" s="1"/>
  <c r="AL23" i="8"/>
  <c r="AA66" i="4" s="1"/>
  <c r="AL24" i="8"/>
  <c r="AA64" i="4" s="1"/>
  <c r="AL25" i="8"/>
  <c r="AL28" i="8"/>
  <c r="AA71" i="4" s="1"/>
  <c r="AL108" i="8"/>
  <c r="AA80" i="4" s="1"/>
  <c r="AL51" i="8"/>
  <c r="AL40" i="8"/>
  <c r="AA116" i="4" s="1"/>
  <c r="AL102" i="8"/>
  <c r="AL61" i="8"/>
  <c r="AA135" i="4" s="1"/>
  <c r="AL54" i="8"/>
  <c r="AA63" i="4" s="1"/>
  <c r="AL60" i="8"/>
  <c r="AA133" i="4" s="1"/>
  <c r="AL55" i="8"/>
  <c r="AA61" i="4" s="1"/>
  <c r="AL62" i="8"/>
  <c r="AA132" i="4" s="1"/>
  <c r="AL53" i="8"/>
  <c r="AA62" i="4" s="1"/>
  <c r="AL56" i="8"/>
  <c r="AA60" i="4" s="1"/>
  <c r="AL59" i="8"/>
  <c r="AA134" i="4" s="1"/>
  <c r="AL58" i="8"/>
  <c r="AA131" i="4" s="1"/>
  <c r="AL36" i="8"/>
  <c r="AA128" i="4" s="1"/>
  <c r="AL66" i="8"/>
  <c r="AA108" i="4" s="1"/>
  <c r="AL112" i="8"/>
  <c r="AL77" i="8"/>
  <c r="AL103" i="8"/>
  <c r="AA79" i="4" s="1"/>
  <c r="AL97" i="8"/>
  <c r="AL82" i="8"/>
  <c r="AL64" i="8"/>
  <c r="AA110" i="4" s="1"/>
  <c r="AL30" i="8"/>
  <c r="AL93" i="8"/>
  <c r="AA77" i="4" s="1"/>
  <c r="AL63" i="8"/>
  <c r="AL73" i="8"/>
  <c r="AA73" i="4" s="1"/>
  <c r="AL113" i="8"/>
  <c r="AA81" i="4" s="1"/>
  <c r="AL39" i="8"/>
  <c r="Y116" i="7"/>
  <c r="AS58" i="7"/>
  <c r="AS46" i="7"/>
  <c r="AS43" i="7"/>
  <c r="AT53" i="7"/>
  <c r="AS49" i="7"/>
  <c r="AT58" i="7"/>
  <c r="AS61" i="7"/>
  <c r="AS53" i="7"/>
  <c r="AS40" i="7"/>
  <c r="AS42" i="7"/>
  <c r="AS63" i="7"/>
  <c r="AS38" i="7"/>
  <c r="BA27" i="8"/>
  <c r="AS60" i="7"/>
  <c r="AT63" i="7"/>
  <c r="AS57" i="7"/>
  <c r="AS33" i="7"/>
  <c r="AS51" i="7"/>
  <c r="D192" i="7"/>
  <c r="AJ37" i="7"/>
  <c r="AF37" i="7" a="1"/>
  <c r="AF37" i="7" s="1"/>
  <c r="C83" i="8"/>
  <c r="C99" i="8" s="1"/>
  <c r="D99" i="8" s="1"/>
  <c r="U133" i="4"/>
  <c r="AJ62" i="7"/>
  <c r="AF62" i="7" a="1"/>
  <c r="AF62" i="7" s="1"/>
  <c r="AJ55" i="7"/>
  <c r="AF55" i="7" a="1"/>
  <c r="AF55" i="7" s="1"/>
  <c r="C194" i="7"/>
  <c r="D194" i="7" s="1"/>
  <c r="C195" i="7"/>
  <c r="D195" i="7" s="1"/>
  <c r="C199" i="7"/>
  <c r="D199" i="7" s="1"/>
  <c r="AF45" i="7" a="1"/>
  <c r="AF45" i="7" s="1"/>
  <c r="AJ45" i="7"/>
  <c r="AF34" i="7" a="1"/>
  <c r="AF34" i="7" s="1"/>
  <c r="AJ34" i="7"/>
  <c r="AS24" i="7"/>
  <c r="AF24" i="7" a="1"/>
  <c r="AF24" i="7" s="1"/>
  <c r="AJ24" i="7"/>
  <c r="AJ36" i="7"/>
  <c r="AF36" i="7" a="1"/>
  <c r="AF36" i="7" s="1"/>
  <c r="AH58" i="7" a="1"/>
  <c r="AH58" i="7" s="1"/>
  <c r="BI146" i="1"/>
  <c r="AS21" i="7"/>
  <c r="AF21" i="7" a="1"/>
  <c r="AF21" i="7" s="1"/>
  <c r="AJ21" i="7"/>
  <c r="AJ59" i="7"/>
  <c r="AF59" i="7" a="1"/>
  <c r="AF59" i="7" s="1"/>
  <c r="AT20" i="7"/>
  <c r="AG20" i="7" a="1"/>
  <c r="AG20" i="7" s="1"/>
  <c r="AF50" i="7" a="1"/>
  <c r="AF50" i="7" s="1"/>
  <c r="AJ50" i="7"/>
  <c r="AT25" i="7"/>
  <c r="AG25" i="7" a="1"/>
  <c r="AG25" i="7" s="1"/>
  <c r="AJ56" i="7"/>
  <c r="AF56" i="7" a="1"/>
  <c r="AF56" i="7" s="1"/>
  <c r="AJ35" i="7"/>
  <c r="AF35" i="7" a="1"/>
  <c r="AF35" i="7" s="1"/>
  <c r="AG49" i="7" a="1"/>
  <c r="AG49" i="7" s="1"/>
  <c r="AS26" i="7"/>
  <c r="AJ26" i="7"/>
  <c r="AF26" i="7" a="1"/>
  <c r="AF26" i="7" s="1"/>
  <c r="C196" i="7"/>
  <c r="D196" i="7" s="1"/>
  <c r="C193" i="7"/>
  <c r="D193" i="7" s="1"/>
  <c r="AG38" i="7" a="1"/>
  <c r="AG38" i="7" s="1"/>
  <c r="AM86" i="4"/>
  <c r="Q86" i="13" s="1" a="1"/>
  <c r="Q86" i="13" s="1"/>
  <c r="AM107" i="4"/>
  <c r="AM80" i="4"/>
  <c r="Q80" i="13" s="1" a="1"/>
  <c r="Q80" i="13" s="1"/>
  <c r="AM79" i="4"/>
  <c r="Q79" i="13" s="1" a="1"/>
  <c r="Q79" i="13" s="1"/>
  <c r="AM104" i="4"/>
  <c r="AM76" i="4"/>
  <c r="Q76" i="13" s="1" a="1"/>
  <c r="Q76" i="13" s="1"/>
  <c r="AM101" i="4"/>
  <c r="AM78" i="4"/>
  <c r="Q78" i="13" s="1" a="1"/>
  <c r="Q78" i="13" s="1"/>
  <c r="AM87" i="4"/>
  <c r="Q87" i="13" s="1" a="1"/>
  <c r="Q87" i="13" s="1"/>
  <c r="AM106" i="4"/>
  <c r="AM93" i="4"/>
  <c r="AM83" i="4"/>
  <c r="Q83" i="13" s="1" a="1"/>
  <c r="Q83" i="13" s="1"/>
  <c r="AM90" i="4"/>
  <c r="Q90" i="13" s="1" a="1"/>
  <c r="Q90" i="13" s="1"/>
  <c r="AM100" i="4"/>
  <c r="AM89" i="4"/>
  <c r="Q89" i="13" s="1" a="1"/>
  <c r="Q89" i="13" s="1"/>
  <c r="AM75" i="4"/>
  <c r="Q75" i="13" s="1" a="1"/>
  <c r="Q75" i="13" s="1"/>
  <c r="AM92" i="4"/>
  <c r="AM81" i="4"/>
  <c r="Q81" i="13" s="1" a="1"/>
  <c r="Q81" i="13" s="1"/>
  <c r="AM135" i="4"/>
  <c r="AM109" i="4"/>
  <c r="AM88" i="4"/>
  <c r="Q88" i="13" s="1" a="1"/>
  <c r="Q88" i="13" s="1"/>
  <c r="AM72" i="4"/>
  <c r="Q72" i="13" s="1" a="1"/>
  <c r="Q72" i="13" s="1"/>
  <c r="AM134" i="4"/>
  <c r="AM74" i="4"/>
  <c r="Q74" i="13" s="1" a="1"/>
  <c r="Q74" i="13" s="1"/>
  <c r="AM82" i="4"/>
  <c r="Q82" i="13" s="1" a="1"/>
  <c r="Q82" i="13" s="1"/>
  <c r="AM91" i="4"/>
  <c r="Q91" i="13" s="1" a="1"/>
  <c r="Q91" i="13" s="1"/>
  <c r="AM112" i="4"/>
  <c r="AM108" i="4"/>
  <c r="AM110" i="4"/>
  <c r="AM85" i="4"/>
  <c r="Q85" i="13" s="1" a="1"/>
  <c r="Q85" i="13" s="1"/>
  <c r="AM84" i="4"/>
  <c r="Q84" i="13" s="1" a="1"/>
  <c r="Q84" i="13" s="1"/>
  <c r="AM105" i="4"/>
  <c r="AM73" i="4"/>
  <c r="Q73" i="13" s="1" a="1"/>
  <c r="Q73" i="13" s="1"/>
  <c r="AM111" i="4"/>
  <c r="AM77" i="4"/>
  <c r="Q77" i="13" s="1" a="1"/>
  <c r="Q77" i="13" s="1"/>
  <c r="AM61" i="4"/>
  <c r="Q41" i="13" s="1" a="1"/>
  <c r="Q41" i="13" s="1"/>
  <c r="AM130" i="4"/>
  <c r="AM131" i="4"/>
  <c r="AM63" i="4"/>
  <c r="Q43" i="13" s="1" a="1"/>
  <c r="Q43" i="13" s="1"/>
  <c r="AM129" i="4"/>
  <c r="AM70" i="4"/>
  <c r="Q32" i="13" s="1" a="1"/>
  <c r="Q32" i="13" s="1"/>
  <c r="AM103" i="4"/>
  <c r="AM113" i="4"/>
  <c r="AM128" i="4"/>
  <c r="AM64" i="4"/>
  <c r="Q29" i="13" s="1" a="1"/>
  <c r="Q29" i="13" s="1"/>
  <c r="AM119" i="4"/>
  <c r="AM121" i="4"/>
  <c r="AM102" i="4"/>
  <c r="AM133" i="4"/>
  <c r="AM66" i="4"/>
  <c r="Q30" i="13" s="1" a="1"/>
  <c r="Q30" i="13" s="1"/>
  <c r="AM132" i="4"/>
  <c r="AM127" i="4"/>
  <c r="AM69" i="4"/>
  <c r="Q31" i="13" s="1" a="1"/>
  <c r="Q31" i="13" s="1"/>
  <c r="AM123" i="4"/>
  <c r="AM65" i="4"/>
  <c r="Q27" i="13" s="1" a="1"/>
  <c r="Q27" i="13" s="1"/>
  <c r="AM60" i="4"/>
  <c r="Q40" i="13" s="1" a="1"/>
  <c r="Q40" i="13" s="1"/>
  <c r="AM118" i="4"/>
  <c r="AM59" i="4"/>
  <c r="Q39" i="13" s="1" a="1"/>
  <c r="Q39" i="13" s="1"/>
  <c r="AM117" i="4"/>
  <c r="AM120" i="4"/>
  <c r="AM68" i="4"/>
  <c r="Q34" i="13" s="1" a="1"/>
  <c r="Q34" i="13" s="1"/>
  <c r="AM125" i="4"/>
  <c r="AM124" i="4"/>
  <c r="AM62" i="4"/>
  <c r="Q42" i="13" s="1" a="1"/>
  <c r="Q42" i="13" s="1"/>
  <c r="AM126" i="4"/>
  <c r="AM122" i="4"/>
  <c r="AM67" i="4"/>
  <c r="Q28" i="13" s="1" a="1"/>
  <c r="Q28" i="13" s="1"/>
  <c r="AM116" i="4"/>
  <c r="AM71" i="4"/>
  <c r="Q33" i="13" s="1" a="1"/>
  <c r="Q33" i="13" s="1"/>
  <c r="AG18" i="8"/>
  <c r="C198" i="7"/>
  <c r="D198" i="7" s="1"/>
  <c r="C197" i="7"/>
  <c r="D197" i="7" s="1"/>
  <c r="AO27" i="8" a="1"/>
  <c r="AO27" i="8" s="1"/>
  <c r="AD69" i="4" s="1"/>
  <c r="G31" i="13" s="1" a="1"/>
  <c r="G31" i="13" s="1"/>
  <c r="AJ39" i="7"/>
  <c r="AF39" i="7" a="1"/>
  <c r="AF39" i="7" s="1"/>
  <c r="Z105" i="7" a="1"/>
  <c r="Z105" i="7" s="1"/>
  <c r="Z107" i="7" a="1"/>
  <c r="Z107" i="7" s="1"/>
  <c r="Z103" i="7" a="1"/>
  <c r="Z103" i="7" s="1"/>
  <c r="Z110" i="7" a="1"/>
  <c r="Z110" i="7" s="1"/>
  <c r="Z99" i="7" a="1"/>
  <c r="Z99" i="7" s="1"/>
  <c r="Z95" i="7" a="1"/>
  <c r="Z95" i="7" s="1"/>
  <c r="Z108" i="7" a="1"/>
  <c r="Z108" i="7" s="1"/>
  <c r="Z90" i="7" a="1"/>
  <c r="Z90" i="7" s="1"/>
  <c r="Z102" i="7" a="1"/>
  <c r="Z102" i="7" s="1"/>
  <c r="Z101" i="7" a="1"/>
  <c r="Z101" i="7" s="1"/>
  <c r="Z97" i="7" a="1"/>
  <c r="Z97" i="7" s="1"/>
  <c r="Z93" i="7" a="1"/>
  <c r="Z93" i="7" s="1"/>
  <c r="Z109" i="7" a="1"/>
  <c r="Z109" i="7" s="1"/>
  <c r="Z88" i="7" a="1"/>
  <c r="Z88" i="7" s="1"/>
  <c r="Z87" i="7" a="1"/>
  <c r="Z87" i="7" s="1"/>
  <c r="Z106" i="7" a="1"/>
  <c r="Z106" i="7" s="1"/>
  <c r="Z100" i="7" a="1"/>
  <c r="Z100" i="7" s="1"/>
  <c r="Z96" i="7" a="1"/>
  <c r="Z96" i="7" s="1"/>
  <c r="Z92" i="7" a="1"/>
  <c r="Z92" i="7" s="1"/>
  <c r="Z104" i="7" a="1"/>
  <c r="Z104" i="7" s="1"/>
  <c r="Z86" i="7" a="1"/>
  <c r="Z86" i="7" s="1"/>
  <c r="Z89" i="7" a="1"/>
  <c r="Z89" i="7" s="1"/>
  <c r="Z84" i="7" a="1"/>
  <c r="Z84" i="7" s="1"/>
  <c r="Z80" i="7" a="1"/>
  <c r="Z80" i="7" s="1"/>
  <c r="Z91" i="7" a="1"/>
  <c r="Z91" i="7" s="1"/>
  <c r="Z94" i="7" a="1"/>
  <c r="Z94" i="7" s="1"/>
  <c r="Z98" i="7" a="1"/>
  <c r="Z98" i="7" s="1"/>
  <c r="Z82" i="7" a="1"/>
  <c r="Z82" i="7" s="1"/>
  <c r="Z78" i="7" a="1"/>
  <c r="Z78" i="7" s="1"/>
  <c r="Z79" i="7" a="1"/>
  <c r="Z79" i="7" s="1"/>
  <c r="Z85" i="7" a="1"/>
  <c r="Z85" i="7" s="1"/>
  <c r="Z81" i="7" a="1"/>
  <c r="Z81" i="7" s="1"/>
  <c r="Z71" i="7" a="1"/>
  <c r="Z71" i="7" s="1"/>
  <c r="Z63" i="7" a="1"/>
  <c r="Z63" i="7" s="1"/>
  <c r="Z59" i="7" a="1"/>
  <c r="Z59" i="7" s="1"/>
  <c r="Z72" i="7" a="1"/>
  <c r="Z72" i="7" s="1"/>
  <c r="Z70" i="7" a="1"/>
  <c r="Z70" i="7" s="1"/>
  <c r="Z69" i="7" a="1"/>
  <c r="Z69" i="7" s="1"/>
  <c r="Z66" i="7" a="1"/>
  <c r="Z66" i="7" s="1"/>
  <c r="Z76" i="7" a="1"/>
  <c r="Z76" i="7" s="1"/>
  <c r="Z73" i="7" a="1"/>
  <c r="Z73" i="7" s="1"/>
  <c r="Z83" i="7" a="1"/>
  <c r="Z83" i="7" s="1"/>
  <c r="Z62" i="7" a="1"/>
  <c r="Z62" i="7" s="1"/>
  <c r="Z58" i="7" a="1"/>
  <c r="Z58" i="7" s="1"/>
  <c r="Z77" i="7" a="1"/>
  <c r="Z77" i="7" s="1"/>
  <c r="Z75" i="7" a="1"/>
  <c r="Z75" i="7" s="1"/>
  <c r="Z45" i="7" a="1"/>
  <c r="Z45" i="7" s="1"/>
  <c r="Z41" i="7" a="1"/>
  <c r="Z41" i="7" s="1"/>
  <c r="Z54" i="7" a="1"/>
  <c r="Z54" i="7" s="1"/>
  <c r="Z44" i="7" a="1"/>
  <c r="Z44" i="7" s="1"/>
  <c r="Z40" i="7" a="1"/>
  <c r="Z40" i="7" s="1"/>
  <c r="Z49" i="7" a="1"/>
  <c r="Z49" i="7" s="1"/>
  <c r="Z48" i="7" a="1"/>
  <c r="Z48" i="7" s="1"/>
  <c r="Z39" i="7" a="1"/>
  <c r="Z39" i="7" s="1"/>
  <c r="Z35" i="7" a="1"/>
  <c r="Z35" i="7" s="1"/>
  <c r="Z31" i="7" a="1"/>
  <c r="Z31" i="7" s="1"/>
  <c r="Z65" i="7" a="1"/>
  <c r="Z65" i="7" s="1"/>
  <c r="Z55" i="7" a="1"/>
  <c r="Z55" i="7" s="1"/>
  <c r="Z51" i="7" a="1"/>
  <c r="Z51" i="7" s="1"/>
  <c r="Z50" i="7" a="1"/>
  <c r="Z50" i="7" s="1"/>
  <c r="Z68" i="7" a="1"/>
  <c r="Z68" i="7" s="1"/>
  <c r="Z64" i="7" a="1"/>
  <c r="Z64" i="7" s="1"/>
  <c r="Z61" i="7" a="1"/>
  <c r="Z61" i="7" s="1"/>
  <c r="Z60" i="7" a="1"/>
  <c r="Z60" i="7" s="1"/>
  <c r="Z56" i="7" a="1"/>
  <c r="Z56" i="7" s="1"/>
  <c r="Z52" i="7" a="1"/>
  <c r="Z52" i="7" s="1"/>
  <c r="Z47" i="7" a="1"/>
  <c r="Z47" i="7" s="1"/>
  <c r="Z43" i="7" a="1"/>
  <c r="Z43" i="7" s="1"/>
  <c r="Z26" i="7" a="1"/>
  <c r="Z26" i="7" s="1"/>
  <c r="Z28" i="7" a="1"/>
  <c r="Z28" i="7" s="1"/>
  <c r="Z24" i="7" a="1"/>
  <c r="Z24" i="7" s="1"/>
  <c r="Z67" i="7" a="1"/>
  <c r="Z67" i="7" s="1"/>
  <c r="Z38" i="7" a="1"/>
  <c r="Z38" i="7" s="1"/>
  <c r="Z34" i="7" a="1"/>
  <c r="Z34" i="7" s="1"/>
  <c r="Z25" i="7" a="1"/>
  <c r="Z25" i="7" s="1"/>
  <c r="Z53" i="7" a="1"/>
  <c r="Z53" i="7" s="1"/>
  <c r="Z46" i="7" a="1"/>
  <c r="Z46" i="7" s="1"/>
  <c r="Z42" i="7" a="1"/>
  <c r="Z42" i="7" s="1"/>
  <c r="Z74" i="7" a="1"/>
  <c r="Z74" i="7" s="1"/>
  <c r="Z37" i="7" a="1"/>
  <c r="Z37" i="7" s="1"/>
  <c r="Z21" i="7" a="1"/>
  <c r="Z21" i="7" s="1"/>
  <c r="Z20" i="7" a="1"/>
  <c r="Z20" i="7" s="1"/>
  <c r="Z27" i="7" a="1"/>
  <c r="Z27" i="7" s="1"/>
  <c r="Z57" i="7" a="1"/>
  <c r="Z57" i="7" s="1"/>
  <c r="Z36" i="7" a="1"/>
  <c r="Z36" i="7" s="1"/>
  <c r="Z33" i="7" a="1"/>
  <c r="Z33" i="7" s="1"/>
  <c r="Z30" i="7" a="1"/>
  <c r="Z30" i="7" s="1"/>
  <c r="Z23" i="7" a="1"/>
  <c r="Z23" i="7" s="1"/>
  <c r="Z32" i="7" a="1"/>
  <c r="Z32" i="7" s="1"/>
  <c r="Z29" i="7" a="1"/>
  <c r="Z29" i="7" s="1"/>
  <c r="Z22" i="7" a="1"/>
  <c r="Z22" i="7" s="1"/>
  <c r="AA18" i="7"/>
  <c r="AJ31" i="7"/>
  <c r="AF31" i="7" a="1"/>
  <c r="AF31" i="7" s="1"/>
  <c r="C87" i="8"/>
  <c r="D87" i="8" s="1"/>
  <c r="AT23" i="7"/>
  <c r="AG23" i="7" a="1"/>
  <c r="AG23" i="7" s="1"/>
  <c r="AG60" i="7" a="1"/>
  <c r="AG60" i="7" s="1"/>
  <c r="BI142" i="1"/>
  <c r="U114" i="4"/>
  <c r="AG57" i="7" a="1"/>
  <c r="AG57" i="7" s="1"/>
  <c r="AE92" i="7" a="1"/>
  <c r="AE92" i="7" s="1"/>
  <c r="AE105" i="7" a="1"/>
  <c r="AE105" i="7" s="1"/>
  <c r="AE87" i="7" a="1"/>
  <c r="AE87" i="7" s="1"/>
  <c r="AE86" i="7" a="1"/>
  <c r="AE86" i="7" s="1"/>
  <c r="AE82" i="7" a="1"/>
  <c r="AE82" i="7" s="1"/>
  <c r="AE66" i="7" a="1"/>
  <c r="AE66" i="7" s="1"/>
  <c r="AE68" i="7" a="1"/>
  <c r="AE68" i="7" s="1"/>
  <c r="AE73" i="7" a="1"/>
  <c r="AE73" i="7" s="1"/>
  <c r="AE89" i="7" a="1"/>
  <c r="AE89" i="7" s="1"/>
  <c r="AE101" i="7" a="1"/>
  <c r="AE101" i="7" s="1"/>
  <c r="AE99" i="7" a="1"/>
  <c r="AE99" i="7" s="1"/>
  <c r="AE84" i="7" a="1"/>
  <c r="AE84" i="7" s="1"/>
  <c r="AE72" i="7" a="1"/>
  <c r="AE72" i="7" s="1"/>
  <c r="AE108" i="7" a="1"/>
  <c r="AE108" i="7" s="1"/>
  <c r="AE65" i="7" a="1"/>
  <c r="AE65" i="7" s="1"/>
  <c r="AE104" i="7" a="1"/>
  <c r="AE104" i="7" s="1"/>
  <c r="AE97" i="7" a="1"/>
  <c r="AE97" i="7" s="1"/>
  <c r="AE103" i="7" a="1"/>
  <c r="AE103" i="7" s="1"/>
  <c r="AE98" i="7" a="1"/>
  <c r="AE98" i="7" s="1"/>
  <c r="AE69" i="7" a="1"/>
  <c r="AE69" i="7" s="1"/>
  <c r="AE110" i="7" a="1"/>
  <c r="AE110" i="7" s="1"/>
  <c r="AE93" i="7" a="1"/>
  <c r="AE93" i="7" s="1"/>
  <c r="AE95" i="7" a="1"/>
  <c r="AE95" i="7" s="1"/>
  <c r="AE83" i="7" a="1"/>
  <c r="AE83" i="7" s="1"/>
  <c r="AE80" i="7" a="1"/>
  <c r="AE80" i="7" s="1"/>
  <c r="AE106" i="7" a="1"/>
  <c r="AE106" i="7" s="1"/>
  <c r="AE94" i="7" a="1"/>
  <c r="AE94" i="7" s="1"/>
  <c r="AE85" i="7" a="1"/>
  <c r="AE85" i="7" s="1"/>
  <c r="AE78" i="7" a="1"/>
  <c r="AE78" i="7" s="1"/>
  <c r="AE67" i="7" a="1"/>
  <c r="AE67" i="7" s="1"/>
  <c r="AE107" i="7" a="1"/>
  <c r="AE107" i="7" s="1"/>
  <c r="AE79" i="7" a="1"/>
  <c r="AE79" i="7" s="1"/>
  <c r="AE76" i="7" a="1"/>
  <c r="AE76" i="7" s="1"/>
  <c r="AE71" i="7" a="1"/>
  <c r="AE71" i="7" s="1"/>
  <c r="AE102" i="7" a="1"/>
  <c r="AE102" i="7" s="1"/>
  <c r="AE100" i="7" a="1"/>
  <c r="AE100" i="7" s="1"/>
  <c r="AE81" i="7" a="1"/>
  <c r="AE81" i="7" s="1"/>
  <c r="AE88" i="7" a="1"/>
  <c r="AE88" i="7" s="1"/>
  <c r="AE64" i="7" a="1"/>
  <c r="AE64" i="7" s="1"/>
  <c r="AE109" i="7" a="1"/>
  <c r="AE109" i="7" s="1"/>
  <c r="AE74" i="7" a="1"/>
  <c r="AE74" i="7" s="1"/>
  <c r="AE75" i="7" a="1"/>
  <c r="AE75" i="7" s="1"/>
  <c r="AE91" i="7" a="1"/>
  <c r="AE91" i="7" s="1"/>
  <c r="AE90" i="7" a="1"/>
  <c r="AE90" i="7" s="1"/>
  <c r="AE96" i="7" a="1"/>
  <c r="AE96" i="7" s="1"/>
  <c r="AE77" i="7" a="1"/>
  <c r="AE77" i="7" s="1"/>
  <c r="AE70" i="7" a="1"/>
  <c r="AE70" i="7" s="1"/>
  <c r="AJ52" i="7"/>
  <c r="AF52" i="7" a="1"/>
  <c r="AF52" i="7" s="1"/>
  <c r="AG33" i="7" a="1"/>
  <c r="AG33" i="7" s="1"/>
  <c r="AF41" i="7" a="1"/>
  <c r="AF41" i="7" s="1"/>
  <c r="AJ41" i="7"/>
  <c r="AH53" i="7" a="1"/>
  <c r="AH53" i="7" s="1"/>
  <c r="AG43" i="7" a="1"/>
  <c r="AG43" i="7" s="1"/>
  <c r="AJ54" i="7"/>
  <c r="AF54" i="7" a="1"/>
  <c r="AF54" i="7" s="1"/>
  <c r="AH11" i="7"/>
  <c r="AH2" i="7" s="1"/>
  <c r="AG2" i="7"/>
  <c r="AH63" i="7" a="1"/>
  <c r="AH63" i="7" s="1"/>
  <c r="C88" i="8"/>
  <c r="AF32" i="7" a="1"/>
  <c r="AF32" i="7" s="1"/>
  <c r="AJ32" i="7"/>
  <c r="AG46" i="7" a="1"/>
  <c r="AG46" i="7" s="1"/>
  <c r="C90" i="8"/>
  <c r="D90" i="8" s="1"/>
  <c r="BI141" i="1"/>
  <c r="C91" i="8"/>
  <c r="D91" i="8" s="1"/>
  <c r="AG61" i="7" a="1"/>
  <c r="AG61" i="7" s="1"/>
  <c r="AJ29" i="7"/>
  <c r="AF29" i="7" a="1"/>
  <c r="AF29" i="7" s="1"/>
  <c r="AG29" i="7" s="1" a="1"/>
  <c r="AG29" i="7" s="1"/>
  <c r="AH29" i="7" s="1" a="1"/>
  <c r="AH29" i="7" s="1"/>
  <c r="AK29" i="7" s="1"/>
  <c r="C86" i="8"/>
  <c r="D86" i="8" s="1"/>
  <c r="AJ44" i="7"/>
  <c r="AF44" i="7" a="1"/>
  <c r="AF44" i="7" s="1"/>
  <c r="AF122" i="8"/>
  <c r="S27" i="8"/>
  <c r="AG42" i="7" a="1"/>
  <c r="AG42" i="7" s="1"/>
  <c r="AG40" i="7" a="1"/>
  <c r="AG40" i="7" s="1"/>
  <c r="AF27" i="7" a="1"/>
  <c r="AF27" i="7" s="1"/>
  <c r="AJ27" i="7"/>
  <c r="AG51" i="7" a="1"/>
  <c r="AG51" i="7" s="1"/>
  <c r="AF47" i="7" a="1"/>
  <c r="AF47" i="7" s="1"/>
  <c r="AJ47" i="7"/>
  <c r="AF48" i="7" a="1"/>
  <c r="AF48" i="7" s="1"/>
  <c r="AJ48" i="7"/>
  <c r="V111" i="4"/>
  <c r="V86" i="4"/>
  <c r="BM141" i="1"/>
  <c r="AR14" i="6"/>
  <c r="AM14" i="6"/>
  <c r="AS14" i="6" s="1"/>
  <c r="BH141" i="1"/>
  <c r="U121" i="4"/>
  <c r="V68" i="4"/>
  <c r="U127" i="4"/>
  <c r="U129" i="4"/>
  <c r="W53" i="4"/>
  <c r="X53" i="4" s="1"/>
  <c r="V81" i="4"/>
  <c r="V78" i="4"/>
  <c r="V62" i="4"/>
  <c r="U134" i="4"/>
  <c r="V109" i="4"/>
  <c r="BH140" i="1"/>
  <c r="U131" i="4"/>
  <c r="U69" i="4"/>
  <c r="V57" i="4"/>
  <c r="V120" i="4" s="1"/>
  <c r="U115" i="4"/>
  <c r="U128" i="4"/>
  <c r="U119" i="4"/>
  <c r="U122" i="4"/>
  <c r="U116" i="4"/>
  <c r="U123" i="4"/>
  <c r="U130" i="4"/>
  <c r="T71" i="4"/>
  <c r="Z71" i="4"/>
  <c r="S118" i="4"/>
  <c r="S126" i="4"/>
  <c r="V110" i="4"/>
  <c r="U70" i="4"/>
  <c r="O88" i="4"/>
  <c r="J105" i="4"/>
  <c r="O105" i="4" s="1"/>
  <c r="K88" i="4"/>
  <c r="O73" i="4"/>
  <c r="J91" i="4"/>
  <c r="O91" i="4" s="1"/>
  <c r="K73" i="4"/>
  <c r="J103" i="4"/>
  <c r="O103" i="4" s="1"/>
  <c r="O86" i="4"/>
  <c r="K86" i="4"/>
  <c r="H111" i="3"/>
  <c r="I101" i="4"/>
  <c r="N84" i="4"/>
  <c r="J84" i="4"/>
  <c r="I107" i="4"/>
  <c r="N107" i="4" s="1"/>
  <c r="N90" i="4"/>
  <c r="J90" i="4"/>
  <c r="K66" i="4"/>
  <c r="G68" i="4"/>
  <c r="H67" i="4"/>
  <c r="N89" i="4"/>
  <c r="I106" i="4"/>
  <c r="N106" i="4" s="1"/>
  <c r="U64" i="4"/>
  <c r="Z64" i="4"/>
  <c r="O85" i="4"/>
  <c r="J102" i="4"/>
  <c r="O102" i="4" s="1"/>
  <c r="BA100" i="4"/>
  <c r="A92" i="4"/>
  <c r="B92" i="4"/>
  <c r="BA92" i="4"/>
  <c r="AJ92" i="13" s="1"/>
  <c r="J115" i="4"/>
  <c r="BD119" i="4"/>
  <c r="BC120" i="4"/>
  <c r="BD120" i="4" s="1"/>
  <c r="J77" i="2"/>
  <c r="J78" i="2"/>
  <c r="K78" i="2"/>
  <c r="K77" i="2"/>
  <c r="K47" i="2"/>
  <c r="N74" i="4"/>
  <c r="J74" i="4"/>
  <c r="H112" i="3"/>
  <c r="L92" i="3"/>
  <c r="H114" i="3"/>
  <c r="H95" i="3"/>
  <c r="H116" i="3"/>
  <c r="H127" i="4"/>
  <c r="M127" i="4" s="1"/>
  <c r="R127" i="4" s="1"/>
  <c r="H91" i="4"/>
  <c r="M73" i="4"/>
  <c r="J78" i="4"/>
  <c r="S61" i="4"/>
  <c r="Z61" i="4" s="1"/>
  <c r="T60" i="4"/>
  <c r="Z60" i="4"/>
  <c r="N108" i="4"/>
  <c r="J108" i="4"/>
  <c r="G119" i="4"/>
  <c r="H118" i="4"/>
  <c r="F126" i="4"/>
  <c r="O23" i="13" s="1" a="1"/>
  <c r="O23" i="13" s="1"/>
  <c r="CO23" i="13" s="1"/>
  <c r="CP23" i="13" s="1"/>
  <c r="CQ23" i="13" s="1"/>
  <c r="H125" i="4"/>
  <c r="M125" i="4" s="1"/>
  <c r="R125" i="4" s="1"/>
  <c r="F128" i="4"/>
  <c r="O25" i="13" s="1" a="1"/>
  <c r="O25" i="13" s="1"/>
  <c r="CO25" i="13" s="1"/>
  <c r="CP25" i="13" s="1"/>
  <c r="CQ25" i="13" s="1"/>
  <c r="BM140" i="1"/>
  <c r="K59" i="2"/>
  <c r="K68" i="2"/>
  <c r="N73" i="4"/>
  <c r="I91" i="4"/>
  <c r="N91" i="4" s="1"/>
  <c r="M72" i="4"/>
  <c r="R72" i="4" s="1"/>
  <c r="I72" i="4"/>
  <c r="L59" i="2"/>
  <c r="L70" i="2"/>
  <c r="L69" i="2"/>
  <c r="I75" i="4"/>
  <c r="M88" i="4"/>
  <c r="H105" i="4"/>
  <c r="I109" i="4"/>
  <c r="I124" i="4"/>
  <c r="L49" i="2"/>
  <c r="L47" i="2"/>
  <c r="L40" i="2"/>
  <c r="AD46" i="3"/>
  <c r="L44" i="2"/>
  <c r="L54" i="2" s="1"/>
  <c r="L78" i="2"/>
  <c r="E53" i="2"/>
  <c r="K67" i="2"/>
  <c r="AD41" i="3"/>
  <c r="I105" i="4"/>
  <c r="N105" i="4" s="1"/>
  <c r="N88" i="4"/>
  <c r="H60" i="4"/>
  <c r="M60" i="4" s="1"/>
  <c r="R60" i="4" s="1"/>
  <c r="I60" i="4"/>
  <c r="N60" i="4" s="1"/>
  <c r="F61" i="4"/>
  <c r="O41" i="13" s="1" a="1"/>
  <c r="O41" i="13" s="1"/>
  <c r="CO41" i="13" s="1"/>
  <c r="CP41" i="13" s="1"/>
  <c r="CQ41" i="13" s="1"/>
  <c r="M80" i="4"/>
  <c r="R80" i="4" s="1"/>
  <c r="I80" i="4"/>
  <c r="K85" i="4"/>
  <c r="M90" i="4"/>
  <c r="H107" i="4"/>
  <c r="H132" i="4"/>
  <c r="I132" i="4" s="1"/>
  <c r="J132" i="4" s="1"/>
  <c r="K132" i="4" s="1"/>
  <c r="L132" i="4" s="1"/>
  <c r="F133" i="4"/>
  <c r="O55" i="13" s="1" a="1"/>
  <c r="O55" i="13" s="1"/>
  <c r="CO55" i="13" s="1"/>
  <c r="CP55" i="13" s="1"/>
  <c r="CQ55" i="13" s="1"/>
  <c r="K58" i="2"/>
  <c r="K63" i="2"/>
  <c r="K62" i="2"/>
  <c r="L67" i="2"/>
  <c r="L46" i="2"/>
  <c r="L53" i="2" s="1"/>
  <c r="E54" i="2"/>
  <c r="I59" i="2"/>
  <c r="I44" i="2"/>
  <c r="I54" i="2" s="1"/>
  <c r="M77" i="4"/>
  <c r="R77" i="4" s="1"/>
  <c r="I77" i="4"/>
  <c r="H114" i="4"/>
  <c r="M114" i="4" s="1"/>
  <c r="R114" i="4" s="1"/>
  <c r="J76" i="4"/>
  <c r="N76" i="4"/>
  <c r="J89" i="4"/>
  <c r="K48" i="2"/>
  <c r="K55" i="2" s="1"/>
  <c r="L27" i="2"/>
  <c r="AN42" i="4"/>
  <c r="E27" i="11" s="1"/>
  <c r="X79" i="11" s="1"/>
  <c r="BD68" i="1"/>
  <c r="K43" i="2"/>
  <c r="H63" i="2"/>
  <c r="H62" i="2"/>
  <c r="H58" i="2"/>
  <c r="AQ29" i="4"/>
  <c r="BA78" i="4"/>
  <c r="AJ78" i="13" s="1"/>
  <c r="BA87" i="4"/>
  <c r="AJ87" i="13" s="1"/>
  <c r="AQ25" i="4"/>
  <c r="BA74" i="4"/>
  <c r="AJ74" i="13" s="1"/>
  <c r="BA83" i="4"/>
  <c r="AJ83" i="13" s="1"/>
  <c r="H111" i="4"/>
  <c r="M111" i="4" s="1"/>
  <c r="R111" i="4" s="1"/>
  <c r="O123" i="4"/>
  <c r="K123" i="4"/>
  <c r="N87" i="4"/>
  <c r="J87" i="4"/>
  <c r="I104" i="4"/>
  <c r="N104" i="4" s="1"/>
  <c r="K70" i="2"/>
  <c r="BK140" i="1"/>
  <c r="BK141" i="1"/>
  <c r="H70" i="2"/>
  <c r="H67" i="2"/>
  <c r="H59" i="2"/>
  <c r="H68" i="2"/>
  <c r="H54" i="2"/>
  <c r="J64" i="4"/>
  <c r="H106" i="4"/>
  <c r="M89" i="4"/>
  <c r="BD62" i="4"/>
  <c r="BC63" i="4"/>
  <c r="BD63" i="4" s="1"/>
  <c r="I122" i="4"/>
  <c r="I117" i="4"/>
  <c r="R87" i="4"/>
  <c r="M104" i="4"/>
  <c r="R104" i="4" s="1"/>
  <c r="K129" i="4"/>
  <c r="BM142" i="1"/>
  <c r="L68" i="2"/>
  <c r="P41" i="3"/>
  <c r="P44" i="3" s="1"/>
  <c r="P44" i="4"/>
  <c r="O44" i="4" s="1"/>
  <c r="O22" i="4"/>
  <c r="F18" i="3"/>
  <c r="L20" i="3"/>
  <c r="M20" i="3" s="1"/>
  <c r="N21" i="3"/>
  <c r="F23" i="3"/>
  <c r="N27" i="3"/>
  <c r="L32" i="3"/>
  <c r="M32" i="3" s="1"/>
  <c r="N33" i="3"/>
  <c r="L35" i="3"/>
  <c r="M35" i="3" s="1"/>
  <c r="D36" i="3"/>
  <c r="E36" i="3" s="1"/>
  <c r="F19" i="3"/>
  <c r="C22" i="3"/>
  <c r="N24" i="3"/>
  <c r="J31" i="3"/>
  <c r="J18" i="3"/>
  <c r="J23" i="3"/>
  <c r="J30" i="3"/>
  <c r="L18" i="3"/>
  <c r="M18" i="3" s="1"/>
  <c r="M17" i="3" s="1"/>
  <c r="N19" i="3"/>
  <c r="F22" i="3"/>
  <c r="L23" i="3"/>
  <c r="M23" i="3" s="1"/>
  <c r="L30" i="3"/>
  <c r="M30" i="3" s="1"/>
  <c r="N18" i="3"/>
  <c r="D20" i="3"/>
  <c r="E20" i="3" s="1"/>
  <c r="C21" i="3"/>
  <c r="N23" i="3"/>
  <c r="N25" i="3"/>
  <c r="L29" i="3"/>
  <c r="M29" i="3" s="1"/>
  <c r="C18" i="3"/>
  <c r="F21" i="3"/>
  <c r="C23" i="3"/>
  <c r="J27" i="3"/>
  <c r="D19" i="3"/>
  <c r="E19" i="3" s="1"/>
  <c r="J20" i="3"/>
  <c r="L24" i="3"/>
  <c r="M24" i="3" s="1"/>
  <c r="M25" i="3" s="1"/>
  <c r="J32" i="3"/>
  <c r="J35" i="3"/>
  <c r="C36" i="3"/>
  <c r="N22" i="3"/>
  <c r="L27" i="3"/>
  <c r="M27" i="3" s="1"/>
  <c r="J29" i="3"/>
  <c r="N32" i="3"/>
  <c r="F35" i="3"/>
  <c r="C20" i="3"/>
  <c r="J34" i="3"/>
  <c r="J36" i="3"/>
  <c r="N34" i="3"/>
  <c r="D23" i="3"/>
  <c r="E23" i="3" s="1"/>
  <c r="N29" i="3"/>
  <c r="L34" i="3"/>
  <c r="M34" i="3" s="1"/>
  <c r="L36" i="3"/>
  <c r="M36" i="3" s="1"/>
  <c r="F20" i="3"/>
  <c r="N35" i="3"/>
  <c r="L31" i="3"/>
  <c r="M31" i="3" s="1"/>
  <c r="N36" i="3"/>
  <c r="N20" i="3"/>
  <c r="J28" i="3"/>
  <c r="N31" i="3"/>
  <c r="D18" i="3"/>
  <c r="E18" i="3" s="1"/>
  <c r="L28" i="3"/>
  <c r="M28" i="3" s="1"/>
  <c r="J33" i="3"/>
  <c r="C35" i="3"/>
  <c r="D35" i="3"/>
  <c r="E35" i="3" s="1"/>
  <c r="D22" i="3"/>
  <c r="E22" i="3" s="1"/>
  <c r="N26" i="3"/>
  <c r="N30" i="3"/>
  <c r="C19" i="3"/>
  <c r="F36" i="3"/>
  <c r="D21" i="3"/>
  <c r="E21" i="3" s="1"/>
  <c r="N28" i="3"/>
  <c r="J24" i="3"/>
  <c r="L33" i="3"/>
  <c r="M33" i="3" s="1"/>
  <c r="N65" i="4"/>
  <c r="J65" i="4"/>
  <c r="J79" i="4"/>
  <c r="N79" i="4"/>
  <c r="O81" i="4"/>
  <c r="K81" i="4"/>
  <c r="I103" i="4"/>
  <c r="N103" i="4" s="1"/>
  <c r="N86" i="4"/>
  <c r="J40" i="2"/>
  <c r="J42" i="2"/>
  <c r="J49" i="2"/>
  <c r="J45" i="2"/>
  <c r="J47" i="2"/>
  <c r="J44" i="2"/>
  <c r="J43" i="2"/>
  <c r="J53" i="2" s="1"/>
  <c r="L52" i="2"/>
  <c r="I48" i="2"/>
  <c r="I55" i="2" s="1"/>
  <c r="I47" i="2"/>
  <c r="I40" i="2"/>
  <c r="I42" i="2"/>
  <c r="I52" i="2" s="1"/>
  <c r="I49" i="2"/>
  <c r="I43" i="2"/>
  <c r="I53" i="2" s="1"/>
  <c r="J48" i="2"/>
  <c r="J55" i="2" s="1"/>
  <c r="AE43" i="3"/>
  <c r="J99" i="3"/>
  <c r="J103" i="3"/>
  <c r="J106" i="3" s="1"/>
  <c r="H26" i="2"/>
  <c r="M86" i="4"/>
  <c r="H103" i="4"/>
  <c r="H112" i="4"/>
  <c r="M112" i="4" s="1"/>
  <c r="R112" i="4" s="1"/>
  <c r="H121" i="4"/>
  <c r="M121" i="4" s="1"/>
  <c r="R121" i="4" s="1"/>
  <c r="L58" i="2"/>
  <c r="I105" i="3"/>
  <c r="I107" i="3"/>
  <c r="I99" i="3"/>
  <c r="I103" i="3"/>
  <c r="K69" i="2"/>
  <c r="H52" i="2"/>
  <c r="I58" i="2"/>
  <c r="H83" i="4"/>
  <c r="I83" i="4" s="1"/>
  <c r="AQ33" i="4"/>
  <c r="BA111" i="4"/>
  <c r="AJ68" i="13" s="1"/>
  <c r="BA108" i="4"/>
  <c r="AJ65" i="13" s="1"/>
  <c r="BA110" i="4"/>
  <c r="AJ67" i="13" s="1"/>
  <c r="BA112" i="4"/>
  <c r="AJ69" i="13" s="1"/>
  <c r="BA109" i="4"/>
  <c r="AJ66" i="13" s="1"/>
  <c r="AQ37" i="4"/>
  <c r="W63" i="11" s="1" a="1"/>
  <c r="W63" i="11" s="1"/>
  <c r="BA122" i="4"/>
  <c r="AJ18" i="13" s="1"/>
  <c r="BA126" i="4"/>
  <c r="BA121" i="4"/>
  <c r="AJ20" i="13" s="1"/>
  <c r="BA127" i="4"/>
  <c r="BA128" i="4"/>
  <c r="BA123" i="4"/>
  <c r="AJ21" i="13" s="1"/>
  <c r="BA124" i="4"/>
  <c r="AJ19" i="13" s="1"/>
  <c r="BA125" i="4"/>
  <c r="AJ22" i="13" s="1"/>
  <c r="M84" i="4"/>
  <c r="H101" i="4"/>
  <c r="H93" i="4" s="1"/>
  <c r="J69" i="2"/>
  <c r="J59" i="2"/>
  <c r="J68" i="2"/>
  <c r="J67" i="2"/>
  <c r="J70" i="2"/>
  <c r="K42" i="2"/>
  <c r="K52" i="2" s="1"/>
  <c r="K40" i="2"/>
  <c r="K49" i="2"/>
  <c r="K46" i="2"/>
  <c r="J114" i="3"/>
  <c r="J108" i="3"/>
  <c r="K45" i="2"/>
  <c r="K54" i="2" s="1"/>
  <c r="K74" i="2"/>
  <c r="H53" i="2"/>
  <c r="H69" i="2"/>
  <c r="AZ83" i="8" a="1"/>
  <c r="AS44" i="7" a="1"/>
  <c r="AS45" i="7" a="1"/>
  <c r="AS37" i="7" a="1"/>
  <c r="AS31" i="7" a="1"/>
  <c r="AZ93" i="8" a="1"/>
  <c r="BA22" i="8" a="1"/>
  <c r="AZ54" i="8" a="1"/>
  <c r="AS34" i="7" a="1"/>
  <c r="AZ98" i="8" a="1"/>
  <c r="AR20" i="20" a="1"/>
  <c r="AZ34" i="8" a="1"/>
  <c r="AT49" i="7" a="1"/>
  <c r="AS41" i="7" a="1"/>
  <c r="AZ40" i="8" a="1"/>
  <c r="AZ72" i="8" a="1"/>
  <c r="AT33" i="7" a="1"/>
  <c r="AS32" i="7" a="1"/>
  <c r="AZ47" i="8" a="1"/>
  <c r="AS27" i="7" a="1"/>
  <c r="AT61" i="7" a="1"/>
  <c r="AZ63" i="8" a="1"/>
  <c r="AZ23" i="8" a="1"/>
  <c r="AS39" i="7" a="1"/>
  <c r="AZ64" i="8" a="1"/>
  <c r="AT43" i="7" a="1"/>
  <c r="AS55" i="7" a="1"/>
  <c r="AZ55" i="8" a="1"/>
  <c r="AT42" i="7" a="1"/>
  <c r="AZ112" i="8" a="1"/>
  <c r="AR22" i="20" a="1"/>
  <c r="AZ61" i="8" a="1"/>
  <c r="AS62" i="7" a="1"/>
  <c r="AT38" i="7" a="1"/>
  <c r="AS56" i="7" a="1"/>
  <c r="AU63" i="7" a="1"/>
  <c r="AZ46" i="8" a="1"/>
  <c r="AS48" i="7" a="1"/>
  <c r="AZ108" i="8" a="1"/>
  <c r="AZ82" i="8" a="1"/>
  <c r="AZ66" i="8" a="1"/>
  <c r="AT46" i="7" a="1"/>
  <c r="AZ31" i="8" a="1"/>
  <c r="AZ42" i="8" a="1"/>
  <c r="AZ21" i="8" a="1"/>
  <c r="AR52" i="20" a="1"/>
  <c r="AZ87" i="8" a="1"/>
  <c r="AZ103" i="8" a="1"/>
  <c r="AS52" i="7" a="1"/>
  <c r="AZ39" i="8" a="1"/>
  <c r="AT51" i="7" a="1"/>
  <c r="AZ102" i="8" a="1"/>
  <c r="AT40" i="7" a="1"/>
  <c r="AS50" i="7" a="1"/>
  <c r="AS54" i="7" a="1"/>
  <c r="AZ60" i="8" a="1"/>
  <c r="AZ71" i="8" a="1"/>
  <c r="AZ51" i="8" a="1"/>
  <c r="AZ59" i="8" a="1"/>
  <c r="AT60" i="7" a="1"/>
  <c r="AZ77" i="8" a="1"/>
  <c r="AZ57" i="8" a="1"/>
  <c r="AU53" i="7" a="1"/>
  <c r="AZ53" i="8" a="1"/>
  <c r="AZ113" i="8" a="1"/>
  <c r="AT57" i="7" a="1"/>
  <c r="AS36" i="7" a="1"/>
  <c r="AZ97" i="8" a="1"/>
  <c r="AZ62" i="8" a="1"/>
  <c r="AZ25" i="8" a="1"/>
  <c r="AZ26" i="8" a="1"/>
  <c r="AZ58" i="8" a="1"/>
  <c r="AZ88" i="8" a="1"/>
  <c r="AS59" i="7" a="1"/>
  <c r="AU58" i="7" a="1"/>
  <c r="AZ73" i="8" a="1"/>
  <c r="AZ92" i="8" a="1"/>
  <c r="BB27" i="8" a="1"/>
  <c r="AZ78" i="8" a="1"/>
  <c r="AZ36" i="8" a="1"/>
  <c r="AS47" i="7" a="1"/>
  <c r="AZ56" i="8" a="1"/>
  <c r="AS35" i="7" a="1"/>
  <c r="AZ24" i="8" a="1"/>
  <c r="BC22" i="8" a="1"/>
  <c r="AR52" i="20" l="1"/>
  <c r="AR22" i="20"/>
  <c r="AR20" i="20"/>
  <c r="AP114" i="8" a="1"/>
  <c r="AP114" i="8" s="1"/>
  <c r="AE99" i="4" s="1"/>
  <c r="H99" i="13" s="1" a="1"/>
  <c r="H99" i="13" s="1"/>
  <c r="AD99" i="4"/>
  <c r="G99" i="13" s="1" a="1"/>
  <c r="G99" i="13" s="1"/>
  <c r="AJ29" i="20"/>
  <c r="AP104" i="8" a="1"/>
  <c r="AP104" i="8" s="1"/>
  <c r="AE97" i="4" s="1"/>
  <c r="H97" i="13" s="1" a="1"/>
  <c r="H97" i="13" s="1"/>
  <c r="AD97" i="4"/>
  <c r="G97" i="13" s="1" a="1"/>
  <c r="G97" i="13" s="1"/>
  <c r="AP99" i="8" a="1"/>
  <c r="AP99" i="8" s="1"/>
  <c r="AE96" i="4" s="1"/>
  <c r="H96" i="13" s="1" a="1"/>
  <c r="H96" i="13" s="1"/>
  <c r="AD96" i="4"/>
  <c r="G96" i="13" s="1" a="1"/>
  <c r="G96" i="13" s="1"/>
  <c r="AP109" i="8" a="1"/>
  <c r="AP109" i="8" s="1"/>
  <c r="AE98" i="4" s="1"/>
  <c r="H98" i="13" s="1" a="1"/>
  <c r="H98" i="13" s="1"/>
  <c r="AD98" i="4"/>
  <c r="G98" i="13" s="1" a="1"/>
  <c r="G98" i="13" s="1"/>
  <c r="AJ37" i="13"/>
  <c r="AJ36" i="13"/>
  <c r="O19" i="13" a="1"/>
  <c r="O19" i="13" s="1"/>
  <c r="CO19" i="13" s="1"/>
  <c r="CP19" i="13" s="1"/>
  <c r="CQ19" i="13" s="1"/>
  <c r="O18" i="13" a="1"/>
  <c r="O18" i="13" s="1"/>
  <c r="CO18" i="13" s="1"/>
  <c r="CP18" i="13" s="1"/>
  <c r="CQ18" i="13" s="1"/>
  <c r="AJ48" i="13"/>
  <c r="AJ46" i="13"/>
  <c r="AJ45" i="13"/>
  <c r="O45" i="13" a="1"/>
  <c r="O45" i="13" s="1"/>
  <c r="CO45" i="13" s="1"/>
  <c r="CP45" i="13" s="1"/>
  <c r="CQ45" i="13" s="1"/>
  <c r="AJ47" i="13"/>
  <c r="O67" i="13" a="1"/>
  <c r="O67" i="13" s="1"/>
  <c r="CO67" i="13" s="1"/>
  <c r="CP67" i="13" s="1"/>
  <c r="AJ106" i="13"/>
  <c r="O103" i="13" a="1"/>
  <c r="O103" i="13" s="1"/>
  <c r="AJ103" i="13"/>
  <c r="AJ101" i="13"/>
  <c r="O92" i="13" a="1"/>
  <c r="O92" i="13" s="1"/>
  <c r="AJ90" i="13"/>
  <c r="AJ89" i="13"/>
  <c r="AJ88" i="13"/>
  <c r="AJ86" i="13"/>
  <c r="AJ85" i="13"/>
  <c r="AJ84" i="13"/>
  <c r="AJ82" i="13"/>
  <c r="AJ80" i="13"/>
  <c r="AJ79" i="13"/>
  <c r="AJ77" i="13"/>
  <c r="AJ75" i="13"/>
  <c r="AJ72" i="13"/>
  <c r="R26" i="13" a="1"/>
  <c r="R26" i="13" s="1"/>
  <c r="W26" i="13" a="1"/>
  <c r="W26" i="13" s="1"/>
  <c r="E26" i="13" a="1"/>
  <c r="E26" i="13" s="1"/>
  <c r="U26" i="13" a="1"/>
  <c r="U26" i="13" s="1"/>
  <c r="P26" i="13" a="1"/>
  <c r="P26" i="13" s="1"/>
  <c r="Y26" i="13" a="1"/>
  <c r="Y26" i="13" s="1"/>
  <c r="R35" i="13" a="1"/>
  <c r="R35" i="13" s="1"/>
  <c r="W35" i="13" a="1"/>
  <c r="W35" i="13" s="1"/>
  <c r="O26" i="13" a="1"/>
  <c r="O26" i="13" s="1"/>
  <c r="H35" i="13" a="1"/>
  <c r="H35" i="13" s="1"/>
  <c r="Q26" i="13" a="1"/>
  <c r="Q26" i="13" s="1"/>
  <c r="S26" i="13" a="1"/>
  <c r="S26" i="13" s="1"/>
  <c r="T26" i="13" a="1"/>
  <c r="T26" i="13" s="1"/>
  <c r="E35" i="13" a="1"/>
  <c r="E35" i="13" s="1"/>
  <c r="V26" i="13" a="1"/>
  <c r="V26" i="13" s="1"/>
  <c r="X26" i="13" a="1"/>
  <c r="X26" i="13" s="1"/>
  <c r="G35" i="13" a="1"/>
  <c r="G35" i="13" s="1"/>
  <c r="U35" i="13" a="1"/>
  <c r="U35" i="13" s="1"/>
  <c r="O35" i="13" a="1"/>
  <c r="O35" i="13" s="1"/>
  <c r="V35" i="13" a="1"/>
  <c r="V35" i="13" s="1"/>
  <c r="P35" i="13" a="1"/>
  <c r="P35" i="13" s="1"/>
  <c r="X35" i="13" a="1"/>
  <c r="X35" i="13" s="1"/>
  <c r="Q38" i="13" a="1"/>
  <c r="Q38" i="13" s="1"/>
  <c r="S44" i="13" a="1"/>
  <c r="S44" i="13" s="1"/>
  <c r="Q35" i="13" a="1"/>
  <c r="Q35" i="13" s="1"/>
  <c r="Y35" i="13" a="1"/>
  <c r="Y35" i="13" s="1"/>
  <c r="R38" i="13" a="1"/>
  <c r="R38" i="13" s="1"/>
  <c r="F35" i="13" a="1"/>
  <c r="F35" i="13" s="1"/>
  <c r="E38" i="13" a="1"/>
  <c r="E38" i="13" s="1"/>
  <c r="G44" i="13" a="1"/>
  <c r="G44" i="13" s="1"/>
  <c r="V44" i="13" a="1"/>
  <c r="V44" i="13" s="1"/>
  <c r="T44" i="13" a="1"/>
  <c r="T44" i="13" s="1"/>
  <c r="S38" i="13" a="1"/>
  <c r="S38" i="13" s="1"/>
  <c r="E44" i="13" a="1"/>
  <c r="E44" i="13" s="1"/>
  <c r="U44" i="13" a="1"/>
  <c r="U44" i="13" s="1"/>
  <c r="S35" i="13" a="1"/>
  <c r="S35" i="13" s="1"/>
  <c r="F38" i="13" a="1"/>
  <c r="F38" i="13" s="1"/>
  <c r="W44" i="13" a="1"/>
  <c r="W44" i="13" s="1"/>
  <c r="H52" i="13" a="1"/>
  <c r="H52" i="13" s="1"/>
  <c r="Q44" i="13" a="1"/>
  <c r="Q44" i="13" s="1"/>
  <c r="R44" i="13" a="1"/>
  <c r="R44" i="13" s="1"/>
  <c r="T35" i="13" a="1"/>
  <c r="T35" i="13" s="1"/>
  <c r="P52" i="13" a="1"/>
  <c r="P52" i="13" s="1"/>
  <c r="G52" i="13" a="1"/>
  <c r="G52" i="13" s="1"/>
  <c r="S52" i="13" a="1"/>
  <c r="S52" i="13" s="1"/>
  <c r="G58" i="13" a="1"/>
  <c r="G58" i="13" s="1"/>
  <c r="O52" i="13" a="1"/>
  <c r="O52" i="13" s="1"/>
  <c r="G38" i="13" a="1"/>
  <c r="G38" i="13" s="1"/>
  <c r="V52" i="13" a="1"/>
  <c r="V52" i="13" s="1"/>
  <c r="U52" i="13" a="1"/>
  <c r="U52" i="13" s="1"/>
  <c r="E52" i="13" a="1"/>
  <c r="E52" i="13" s="1"/>
  <c r="R60" i="13" a="1"/>
  <c r="R60" i="13" s="1"/>
  <c r="W60" i="13" a="1"/>
  <c r="W60" i="13" s="1"/>
  <c r="U62" i="13" a="1"/>
  <c r="U62" i="13" s="1"/>
  <c r="G63" i="13" a="1"/>
  <c r="G63" i="13" s="1"/>
  <c r="S64" i="13" a="1"/>
  <c r="S64" i="13" s="1"/>
  <c r="X64" i="13" a="1"/>
  <c r="X64" i="13" s="1"/>
  <c r="F52" i="13" a="1"/>
  <c r="F52" i="13" s="1"/>
  <c r="E58" i="13" a="1"/>
  <c r="E58" i="13" s="1"/>
  <c r="P58" i="13" a="1"/>
  <c r="P58" i="13" s="1"/>
  <c r="H60" i="13" a="1"/>
  <c r="H60" i="13" s="1"/>
  <c r="E62" i="13" a="1"/>
  <c r="E62" i="13" s="1"/>
  <c r="R63" i="13" a="1"/>
  <c r="R63" i="13" s="1"/>
  <c r="W63" i="13" a="1"/>
  <c r="W63" i="13" s="1"/>
  <c r="AJ43" i="13"/>
  <c r="F44" i="13" a="1"/>
  <c r="F44" i="13" s="1"/>
  <c r="W52" i="13" a="1"/>
  <c r="W52" i="13" s="1"/>
  <c r="X52" i="13" a="1"/>
  <c r="X52" i="13" s="1"/>
  <c r="X44" i="13" a="1"/>
  <c r="X44" i="13" s="1"/>
  <c r="Y44" i="13" a="1"/>
  <c r="Y44" i="13" s="1"/>
  <c r="Y52" i="13" a="1"/>
  <c r="Y52" i="13" s="1"/>
  <c r="X58" i="13" a="1"/>
  <c r="X58" i="13" s="1"/>
  <c r="G62" i="13" a="1"/>
  <c r="G62" i="13" s="1"/>
  <c r="O63" i="13" a="1"/>
  <c r="O63" i="13" s="1"/>
  <c r="T63" i="13" a="1"/>
  <c r="T63" i="13" s="1"/>
  <c r="Y63" i="13" a="1"/>
  <c r="Y63" i="13" s="1"/>
  <c r="E64" i="13" a="1"/>
  <c r="E64" i="13" s="1"/>
  <c r="H58" i="13" a="1"/>
  <c r="H58" i="13" s="1"/>
  <c r="S58" i="13" a="1"/>
  <c r="S58" i="13" s="1"/>
  <c r="U60" i="13" a="1"/>
  <c r="U60" i="13" s="1"/>
  <c r="Z60" i="13" a="1"/>
  <c r="Z60" i="13" s="1"/>
  <c r="AA60" i="13" s="1"/>
  <c r="R62" i="13" a="1"/>
  <c r="R62" i="13" s="1"/>
  <c r="W62" i="13" a="1"/>
  <c r="W62" i="13" s="1"/>
  <c r="P64" i="13" a="1"/>
  <c r="P64" i="13" s="1"/>
  <c r="T58" i="13" a="1"/>
  <c r="T58" i="13" s="1"/>
  <c r="P60" i="13" a="1"/>
  <c r="P60" i="13" s="1"/>
  <c r="S62" i="13" a="1"/>
  <c r="S62" i="13" s="1"/>
  <c r="X62" i="13" a="1"/>
  <c r="X62" i="13" s="1"/>
  <c r="Q64" i="13" a="1"/>
  <c r="Q64" i="13" s="1"/>
  <c r="V64" i="13" a="1"/>
  <c r="V64" i="13" s="1"/>
  <c r="V58" i="13" a="1"/>
  <c r="V58" i="13" s="1"/>
  <c r="F62" i="13" a="1"/>
  <c r="F62" i="13" s="1"/>
  <c r="W58" i="13" a="1"/>
  <c r="W58" i="13" s="1"/>
  <c r="S60" i="13" a="1"/>
  <c r="S60" i="13" s="1"/>
  <c r="S63" i="13" a="1"/>
  <c r="S63" i="13" s="1"/>
  <c r="O64" i="13" a="1"/>
  <c r="O64" i="13" s="1"/>
  <c r="O58" i="13" a="1"/>
  <c r="O58" i="13" s="1"/>
  <c r="E60" i="13" a="1"/>
  <c r="E60" i="13" s="1"/>
  <c r="H62" i="13" a="1"/>
  <c r="H62" i="13" s="1"/>
  <c r="W64" i="13" a="1"/>
  <c r="W64" i="13" s="1"/>
  <c r="F71" i="13" a="1"/>
  <c r="F71" i="13" s="1"/>
  <c r="Y58" i="13" a="1"/>
  <c r="Y58" i="13" s="1"/>
  <c r="O62" i="13" a="1"/>
  <c r="O62" i="13" s="1"/>
  <c r="G71" i="13" a="1"/>
  <c r="G71" i="13" s="1"/>
  <c r="W71" i="13" a="1"/>
  <c r="W71" i="13" s="1"/>
  <c r="G60" i="13" a="1"/>
  <c r="G60" i="13" s="1"/>
  <c r="H63" i="13" a="1"/>
  <c r="H63" i="13" s="1"/>
  <c r="Q58" i="13" a="1"/>
  <c r="Q58" i="13" s="1"/>
  <c r="V60" i="13" a="1"/>
  <c r="V60" i="13" s="1"/>
  <c r="P62" i="13" a="1"/>
  <c r="P62" i="13" s="1"/>
  <c r="Y62" i="13" a="1"/>
  <c r="Y62" i="13" s="1"/>
  <c r="V63" i="13" a="1"/>
  <c r="V63" i="13" s="1"/>
  <c r="R64" i="13" a="1"/>
  <c r="R64" i="13" s="1"/>
  <c r="R58" i="13" a="1"/>
  <c r="R58" i="13" s="1"/>
  <c r="S71" i="13" a="1"/>
  <c r="S71" i="13" s="1"/>
  <c r="O60" i="13" a="1"/>
  <c r="O60" i="13" s="1"/>
  <c r="X60" i="13" a="1"/>
  <c r="X60" i="13" s="1"/>
  <c r="Q62" i="13" a="1"/>
  <c r="Q62" i="13" s="1"/>
  <c r="X63" i="13" a="1"/>
  <c r="X63" i="13" s="1"/>
  <c r="T52" i="13" a="1"/>
  <c r="T52" i="13" s="1"/>
  <c r="Q60" i="13" a="1"/>
  <c r="Q60" i="13" s="1"/>
  <c r="T62" i="13" a="1"/>
  <c r="T62" i="13" s="1"/>
  <c r="Q63" i="13" a="1"/>
  <c r="Q63" i="13" s="1"/>
  <c r="H64" i="13" a="1"/>
  <c r="H64" i="13" s="1"/>
  <c r="U64" i="13" a="1"/>
  <c r="U64" i="13" s="1"/>
  <c r="U71" i="13" a="1"/>
  <c r="U71" i="13" s="1"/>
  <c r="V62" i="13" a="1"/>
  <c r="V62" i="13" s="1"/>
  <c r="Y60" i="13" a="1"/>
  <c r="Y60" i="13" s="1"/>
  <c r="Y64" i="13" a="1"/>
  <c r="Y64" i="13" s="1"/>
  <c r="T71" i="13" a="1"/>
  <c r="T71" i="13" s="1"/>
  <c r="F64" i="13" a="1"/>
  <c r="F64" i="13" s="1"/>
  <c r="G64" i="13" a="1"/>
  <c r="G64" i="13" s="1"/>
  <c r="F63" i="13" a="1"/>
  <c r="F63" i="13" s="1"/>
  <c r="O71" i="13" a="1"/>
  <c r="O71" i="13" s="1"/>
  <c r="V71" i="13"/>
  <c r="F60" i="13" a="1"/>
  <c r="F60" i="13" s="1"/>
  <c r="U61" i="13" a="1"/>
  <c r="U61" i="13" s="1"/>
  <c r="P63" i="13" a="1"/>
  <c r="P63" i="13" s="1"/>
  <c r="X71" i="13" a="1"/>
  <c r="X71" i="13" s="1"/>
  <c r="Y61" i="13" a="1"/>
  <c r="Y61" i="13" s="1"/>
  <c r="U63" i="13" a="1"/>
  <c r="U63" i="13" s="1"/>
  <c r="Q71" i="13" a="1"/>
  <c r="Q71" i="13" s="1"/>
  <c r="Q52" i="13" a="1"/>
  <c r="Q52" i="13" s="1"/>
  <c r="T64" i="13" a="1"/>
  <c r="T64" i="13" s="1"/>
  <c r="R52" i="13" a="1"/>
  <c r="R52" i="13" s="1"/>
  <c r="E71" i="13" a="1"/>
  <c r="E71" i="13" s="1"/>
  <c r="F58" i="13" a="1"/>
  <c r="F58" i="13" s="1"/>
  <c r="H71" i="13" a="1"/>
  <c r="H71" i="13" s="1"/>
  <c r="U58" i="13" a="1"/>
  <c r="U58" i="13" s="1"/>
  <c r="P71" i="13" a="1"/>
  <c r="P71" i="13" s="1"/>
  <c r="T60" i="13" a="1"/>
  <c r="T60" i="13" s="1"/>
  <c r="R71" i="13" a="1"/>
  <c r="R71" i="13" s="1"/>
  <c r="Y71" i="13" a="1"/>
  <c r="Y71" i="13" s="1"/>
  <c r="AJ57" i="13"/>
  <c r="V110" i="13" a="1"/>
  <c r="V110" i="13" s="1"/>
  <c r="AB110" i="13" a="1"/>
  <c r="AB110" i="13" s="1"/>
  <c r="X108" i="13" a="1"/>
  <c r="X108" i="13" s="1"/>
  <c r="X114" i="13" a="1"/>
  <c r="X114" i="13" s="1"/>
  <c r="X119" i="13" a="1"/>
  <c r="X119" i="13" s="1"/>
  <c r="X120" i="13" a="1"/>
  <c r="X120" i="13" s="1"/>
  <c r="X121" i="13" a="1"/>
  <c r="X121" i="13" s="1"/>
  <c r="X122" i="13" a="1"/>
  <c r="X122" i="13" s="1"/>
  <c r="W110" i="13" a="1"/>
  <c r="W110" i="13" s="1"/>
  <c r="Y108" i="13" a="1"/>
  <c r="Y108" i="13" s="1"/>
  <c r="X110" i="13" a="1"/>
  <c r="X110" i="13" s="1"/>
  <c r="Y110" i="13" a="1"/>
  <c r="Y110" i="13" s="1"/>
  <c r="Z110" i="13" a="1"/>
  <c r="Z110" i="13" s="1"/>
  <c r="V108" i="13" a="1"/>
  <c r="V108" i="13" s="1"/>
  <c r="V114" i="13" a="1"/>
  <c r="V114" i="13" s="1"/>
  <c r="V119" i="13" a="1"/>
  <c r="V119" i="13" s="1"/>
  <c r="W108" i="13" a="1"/>
  <c r="W108" i="13" s="1"/>
  <c r="W114" i="13" a="1"/>
  <c r="W114" i="13" s="1"/>
  <c r="Y122" i="13" a="1"/>
  <c r="Y122" i="13" s="1"/>
  <c r="V118" i="13" a="1"/>
  <c r="V118" i="13" s="1"/>
  <c r="V121" i="13" a="1"/>
  <c r="V121" i="13" s="1"/>
  <c r="Y114" i="13" a="1"/>
  <c r="Y114" i="13" s="1"/>
  <c r="Y121" i="13" a="1"/>
  <c r="Y121" i="13" s="1"/>
  <c r="V120" i="13" a="1"/>
  <c r="V120" i="13" s="1"/>
  <c r="Y120" i="13" a="1"/>
  <c r="Y120" i="13" s="1"/>
  <c r="Y115" i="13" a="1"/>
  <c r="Y115" i="13" s="1"/>
  <c r="AA110" i="13" a="1"/>
  <c r="AA110" i="13" s="1"/>
  <c r="W113" i="13" a="1"/>
  <c r="W113" i="13" s="1"/>
  <c r="V122" i="13" a="1"/>
  <c r="V122" i="13" s="1"/>
  <c r="Y119" i="13" a="1"/>
  <c r="Y119" i="13" s="1"/>
  <c r="W118" i="13" a="1"/>
  <c r="W118" i="13" s="1"/>
  <c r="AJ53" i="13"/>
  <c r="AJ31" i="13"/>
  <c r="X118" i="13" a="1"/>
  <c r="X118" i="13" s="1"/>
  <c r="Q61" i="13" a="1"/>
  <c r="Q61" i="13" s="1"/>
  <c r="P61" i="13" a="1"/>
  <c r="P61" i="13" s="1"/>
  <c r="AJ41" i="13"/>
  <c r="AJ25" i="13"/>
  <c r="AJ24" i="13"/>
  <c r="Y118" i="13" a="1"/>
  <c r="Y118" i="13" s="1"/>
  <c r="F109" i="13"/>
  <c r="X115" i="13" a="1"/>
  <c r="X115" i="13" s="1"/>
  <c r="V61" i="13" a="1"/>
  <c r="V61" i="13" s="1"/>
  <c r="R61" i="13" a="1"/>
  <c r="R61" i="13" s="1"/>
  <c r="AJ49" i="13"/>
  <c r="E109" i="13"/>
  <c r="V111" i="13" a="1"/>
  <c r="V111" i="13" s="1"/>
  <c r="V109" i="13" a="1"/>
  <c r="V109" i="13" s="1"/>
  <c r="AJ61" i="13"/>
  <c r="Y109" i="13" a="1"/>
  <c r="Y109" i="13" s="1"/>
  <c r="W111" i="13" a="1"/>
  <c r="W111" i="13" s="1"/>
  <c r="W122" i="13" a="1"/>
  <c r="W122" i="13" s="1"/>
  <c r="S61" i="13" a="1"/>
  <c r="S61" i="13" s="1"/>
  <c r="T61" i="13" a="1"/>
  <c r="T61" i="13" s="1"/>
  <c r="AJ109" i="13"/>
  <c r="W61" i="13" a="1"/>
  <c r="W61" i="13" s="1"/>
  <c r="X111" i="13" a="1"/>
  <c r="X111" i="13" s="1"/>
  <c r="G109" i="13"/>
  <c r="V115" i="13" a="1"/>
  <c r="V115" i="13" s="1"/>
  <c r="W121" i="13" a="1"/>
  <c r="W121" i="13" s="1"/>
  <c r="X61" i="13" a="1"/>
  <c r="X61" i="13" s="1"/>
  <c r="Y111" i="13" a="1"/>
  <c r="Y111" i="13" s="1"/>
  <c r="W115" i="13" a="1"/>
  <c r="W115" i="13" s="1"/>
  <c r="W120" i="13" a="1"/>
  <c r="W120" i="13" s="1"/>
  <c r="AJ50" i="13"/>
  <c r="AJ34" i="13"/>
  <c r="Y113" i="13" a="1"/>
  <c r="Y113" i="13" s="1"/>
  <c r="H109" i="13"/>
  <c r="W119" i="13" a="1"/>
  <c r="W119" i="13" s="1"/>
  <c r="O61" i="13" a="1"/>
  <c r="O61" i="13" s="1"/>
  <c r="CO61" i="13" s="1"/>
  <c r="CP61" i="13" s="1"/>
  <c r="CQ61" i="13" s="1"/>
  <c r="W109" i="13" a="1"/>
  <c r="W109" i="13" s="1"/>
  <c r="V113" i="13" a="1"/>
  <c r="V113" i="13" s="1"/>
  <c r="X113" i="13" a="1"/>
  <c r="X113" i="13" s="1"/>
  <c r="AJ51" i="13"/>
  <c r="X109" i="13" a="1"/>
  <c r="X109" i="13" s="1"/>
  <c r="AJ55" i="13"/>
  <c r="Q59" i="13" a="1"/>
  <c r="Q59" i="13" s="1"/>
  <c r="X59" i="13" a="1"/>
  <c r="X59" i="13" s="1"/>
  <c r="W59" i="13" a="1"/>
  <c r="W59" i="13" s="1"/>
  <c r="Y59" i="13" a="1"/>
  <c r="Y59" i="13" s="1"/>
  <c r="P59" i="13" a="1"/>
  <c r="P59" i="13" s="1"/>
  <c r="T59" i="13" a="1"/>
  <c r="T59" i="13" s="1"/>
  <c r="AJ42" i="13"/>
  <c r="R59" i="13" a="1"/>
  <c r="R59" i="13" s="1"/>
  <c r="U59" i="13" a="1"/>
  <c r="U59" i="13" s="1"/>
  <c r="V59" i="13" a="1"/>
  <c r="V59" i="13" s="1"/>
  <c r="AJ54" i="13"/>
  <c r="O59" i="13" a="1"/>
  <c r="O59" i="13" s="1"/>
  <c r="CO59" i="13" s="1"/>
  <c r="CP59" i="13" s="1"/>
  <c r="CQ59" i="13" s="1"/>
  <c r="AJ23" i="13"/>
  <c r="S59" i="13" a="1"/>
  <c r="S59" i="13" s="1"/>
  <c r="AJ33" i="13"/>
  <c r="AJ59" i="13"/>
  <c r="O36" i="13" a="1"/>
  <c r="O36" i="13" s="1"/>
  <c r="CO36" i="13" s="1"/>
  <c r="CP36" i="13" s="1"/>
  <c r="CQ36" i="13" s="1"/>
  <c r="O53" i="13" a="1"/>
  <c r="O53" i="13" s="1"/>
  <c r="CO53" i="13" s="1"/>
  <c r="CP53" i="13" s="1"/>
  <c r="CQ53" i="13" s="1"/>
  <c r="O65" i="13" a="1"/>
  <c r="O65" i="13" s="1"/>
  <c r="CO65" i="13" s="1"/>
  <c r="CP65" i="13" s="1"/>
  <c r="O46" i="13" a="1"/>
  <c r="O46" i="13" s="1"/>
  <c r="CO46" i="13" s="1"/>
  <c r="CP46" i="13" s="1"/>
  <c r="CQ46" i="13" s="1"/>
  <c r="O37" i="13" a="1"/>
  <c r="O37" i="13" s="1"/>
  <c r="CO37" i="13" s="1"/>
  <c r="CP37" i="13" s="1"/>
  <c r="CQ37" i="13" s="1"/>
  <c r="O21" i="13" a="1"/>
  <c r="O21" i="13" s="1"/>
  <c r="CO21" i="13" s="1"/>
  <c r="CP21" i="13" s="1"/>
  <c r="CQ21" i="13" s="1"/>
  <c r="AJ39" i="13"/>
  <c r="AJ40" i="13"/>
  <c r="AJ30" i="13"/>
  <c r="AJ104" i="13"/>
  <c r="AJ29" i="13"/>
  <c r="AJ73" i="13"/>
  <c r="AJ76" i="13"/>
  <c r="AJ70" i="13"/>
  <c r="AJ81" i="13"/>
  <c r="O68" i="13" a="1"/>
  <c r="O68" i="13" s="1"/>
  <c r="CO68" i="13" s="1"/>
  <c r="CP68" i="13" s="1"/>
  <c r="O69" i="13" a="1"/>
  <c r="O69" i="13" s="1"/>
  <c r="CO69" i="13" s="1"/>
  <c r="CP69" i="13" s="1"/>
  <c r="O51" i="13" a="1"/>
  <c r="O51" i="13" s="1"/>
  <c r="CO51" i="13" s="1"/>
  <c r="CP51" i="13" s="1"/>
  <c r="CQ51" i="13" s="1"/>
  <c r="AJ107" i="13"/>
  <c r="AJ91" i="13"/>
  <c r="O20" i="13" a="1"/>
  <c r="O20" i="13" s="1"/>
  <c r="CO20" i="13" s="1"/>
  <c r="CP20" i="13" s="1"/>
  <c r="CQ20" i="13" s="1"/>
  <c r="AJ105" i="13"/>
  <c r="O47" i="13" a="1"/>
  <c r="O47" i="13" s="1"/>
  <c r="CO47" i="13" s="1"/>
  <c r="CP47" i="13" s="1"/>
  <c r="CQ47" i="13" s="1"/>
  <c r="O54" i="13" a="1"/>
  <c r="O54" i="13" s="1"/>
  <c r="CO54" i="13" s="1"/>
  <c r="CP54" i="13" s="1"/>
  <c r="CQ54" i="13" s="1"/>
  <c r="O24" i="13" a="1"/>
  <c r="O24" i="13" s="1"/>
  <c r="CO24" i="13" s="1"/>
  <c r="CP24" i="13" s="1"/>
  <c r="CQ24" i="13" s="1"/>
  <c r="O22" i="13" a="1"/>
  <c r="O22" i="13" s="1"/>
  <c r="AJ27" i="13"/>
  <c r="AJ28" i="13"/>
  <c r="AJ32" i="13"/>
  <c r="P21" i="13" a="1"/>
  <c r="P21" i="13" s="1"/>
  <c r="P20" i="13" a="1"/>
  <c r="P20" i="13" s="1"/>
  <c r="P51" i="13" a="1"/>
  <c r="P51" i="13" s="1"/>
  <c r="P36" i="13" a="1"/>
  <c r="P36" i="13" s="1"/>
  <c r="P68" i="13" a="1"/>
  <c r="P68" i="13" s="1"/>
  <c r="P24" i="13" a="1"/>
  <c r="P24" i="13" s="1"/>
  <c r="P22" i="13" a="1"/>
  <c r="P22" i="13" s="1"/>
  <c r="P50" i="13" a="1"/>
  <c r="P50" i="13" s="1"/>
  <c r="P18" i="13" a="1"/>
  <c r="P18" i="13" s="1"/>
  <c r="P46" i="13" a="1"/>
  <c r="P46" i="13" s="1"/>
  <c r="P25" i="13" a="1"/>
  <c r="P25" i="13" s="1"/>
  <c r="P19" i="13" a="1"/>
  <c r="P19" i="13" s="1"/>
  <c r="P23" i="13" a="1"/>
  <c r="P23" i="13" s="1"/>
  <c r="P48" i="13" a="1"/>
  <c r="P48" i="13" s="1"/>
  <c r="P67" i="13" a="1"/>
  <c r="P67" i="13" s="1"/>
  <c r="P101" i="13" a="1"/>
  <c r="P101" i="13" s="1"/>
  <c r="P69" i="13" a="1"/>
  <c r="P69" i="13" s="1"/>
  <c r="P70" i="13" a="1"/>
  <c r="P70" i="13" s="1"/>
  <c r="P102" i="13" a="1"/>
  <c r="P102" i="13" s="1"/>
  <c r="P37" i="13" a="1"/>
  <c r="P37" i="13" s="1"/>
  <c r="P56" i="13" a="1"/>
  <c r="P56" i="13" s="1"/>
  <c r="P65" i="13" a="1"/>
  <c r="P65" i="13" s="1"/>
  <c r="P49" i="13" a="1"/>
  <c r="P49" i="13" s="1"/>
  <c r="P53" i="13" a="1"/>
  <c r="P53" i="13" s="1"/>
  <c r="P57" i="13" a="1"/>
  <c r="P57" i="13" s="1"/>
  <c r="P55" i="13" a="1"/>
  <c r="P55" i="13" s="1"/>
  <c r="P66" i="13" a="1"/>
  <c r="P66" i="13" s="1"/>
  <c r="P54" i="13" a="1"/>
  <c r="P54" i="13" s="1"/>
  <c r="P103" i="13" a="1"/>
  <c r="P103" i="13" s="1"/>
  <c r="P100" i="13" a="1"/>
  <c r="P100" i="13" s="1"/>
  <c r="P93" i="13" a="1"/>
  <c r="P93" i="13" s="1"/>
  <c r="P104" i="13" a="1"/>
  <c r="P104" i="13" s="1"/>
  <c r="P105" i="13" a="1"/>
  <c r="P105" i="13" s="1"/>
  <c r="P107" i="13" a="1"/>
  <c r="P107" i="13" s="1"/>
  <c r="P106" i="13" a="1"/>
  <c r="P106" i="13" s="1"/>
  <c r="O66" i="13" a="1"/>
  <c r="O66" i="13" s="1"/>
  <c r="CO66" i="13" s="1"/>
  <c r="CP66" i="13" s="1"/>
  <c r="O70" i="13" a="1"/>
  <c r="O70" i="13" s="1"/>
  <c r="CO70" i="13" s="1"/>
  <c r="CP70" i="13" s="1"/>
  <c r="O107" i="13" a="1"/>
  <c r="O107" i="13" s="1"/>
  <c r="O105" i="13" a="1"/>
  <c r="O105" i="13" s="1"/>
  <c r="O48" i="13" a="1"/>
  <c r="O48" i="13" s="1"/>
  <c r="CO48" i="13" s="1"/>
  <c r="CP48" i="13" s="1"/>
  <c r="CQ48" i="13" s="1"/>
  <c r="O50" i="13" a="1"/>
  <c r="O50" i="13" s="1"/>
  <c r="CO50" i="13" s="1"/>
  <c r="CP50" i="13" s="1"/>
  <c r="CQ50" i="13" s="1"/>
  <c r="O102" i="13" a="1"/>
  <c r="O102" i="13" s="1"/>
  <c r="O49" i="13" a="1"/>
  <c r="O49" i="13" s="1"/>
  <c r="CO49" i="13" s="1"/>
  <c r="CP49" i="13" s="1"/>
  <c r="CQ49" i="13" s="1"/>
  <c r="O100" i="13" a="1"/>
  <c r="O100" i="13" s="1"/>
  <c r="O104" i="13" a="1"/>
  <c r="O104" i="13" s="1"/>
  <c r="O93" i="13" a="1"/>
  <c r="O93" i="13" s="1"/>
  <c r="O106" i="13" a="1"/>
  <c r="O106" i="13" s="1"/>
  <c r="O101" i="13" a="1"/>
  <c r="O101" i="13" s="1"/>
  <c r="AJ93" i="13"/>
  <c r="AJ102" i="13"/>
  <c r="AJ100" i="13"/>
  <c r="AQ100" i="13" s="1"/>
  <c r="Q46" i="13" a="1"/>
  <c r="Q46" i="13" s="1"/>
  <c r="Q18" i="13" a="1"/>
  <c r="Q18" i="13" s="1"/>
  <c r="Q23" i="13" a="1"/>
  <c r="Q23" i="13" s="1"/>
  <c r="Q19" i="13" a="1"/>
  <c r="Q19" i="13" s="1"/>
  <c r="Q22" i="13" a="1"/>
  <c r="Q22" i="13" s="1"/>
  <c r="Q51" i="13" a="1"/>
  <c r="Q51" i="13" s="1"/>
  <c r="Q48" i="13" a="1"/>
  <c r="Q48" i="13" s="1"/>
  <c r="Q49" i="13" a="1"/>
  <c r="Q49" i="13" s="1"/>
  <c r="Q21" i="13" a="1"/>
  <c r="Q21" i="13" s="1"/>
  <c r="Q24" i="13" a="1"/>
  <c r="Q24" i="13" s="1"/>
  <c r="Q54" i="13" a="1"/>
  <c r="Q54" i="13" s="1"/>
  <c r="Q55" i="13" a="1"/>
  <c r="Q55" i="13" s="1"/>
  <c r="Q102" i="13" a="1"/>
  <c r="Q102" i="13" s="1"/>
  <c r="Q20" i="13" a="1"/>
  <c r="Q20" i="13" s="1"/>
  <c r="Q50" i="13" a="1"/>
  <c r="Q50" i="13" s="1"/>
  <c r="Q25" i="13" a="1"/>
  <c r="Q25" i="13" s="1"/>
  <c r="Q70" i="13" a="1"/>
  <c r="Q70" i="13" s="1"/>
  <c r="Q103" i="13" a="1"/>
  <c r="Q103" i="13" s="1"/>
  <c r="Q36" i="13" a="1"/>
  <c r="Q36" i="13" s="1"/>
  <c r="Q53" i="13" a="1"/>
  <c r="Q53" i="13" s="1"/>
  <c r="Q37" i="13" a="1"/>
  <c r="Q37" i="13" s="1"/>
  <c r="Q68" i="13" a="1"/>
  <c r="Q68" i="13" s="1"/>
  <c r="Q105" i="13" a="1"/>
  <c r="Q105" i="13" s="1"/>
  <c r="Q67" i="13" a="1"/>
  <c r="Q67" i="13" s="1"/>
  <c r="Q65" i="13" a="1"/>
  <c r="Q65" i="13" s="1"/>
  <c r="Q69" i="13" a="1"/>
  <c r="Q69" i="13" s="1"/>
  <c r="Q57" i="13" a="1"/>
  <c r="Q57" i="13" s="1"/>
  <c r="Q66" i="13" a="1"/>
  <c r="Q66" i="13" s="1"/>
  <c r="Q56" i="13" a="1"/>
  <c r="Q56" i="13" s="1"/>
  <c r="Q92" i="13" a="1"/>
  <c r="Q92" i="13" s="1"/>
  <c r="Q100" i="13" a="1"/>
  <c r="Q100" i="13" s="1"/>
  <c r="Q93" i="13" a="1"/>
  <c r="Q93" i="13" s="1"/>
  <c r="Q106" i="13" a="1"/>
  <c r="Q106" i="13" s="1"/>
  <c r="Q101" i="13" a="1"/>
  <c r="Q101" i="13" s="1"/>
  <c r="Q104" i="13" a="1"/>
  <c r="Q104" i="13" s="1"/>
  <c r="Q107" i="13" a="1"/>
  <c r="Q107" i="13" s="1"/>
  <c r="P47" i="13" a="1"/>
  <c r="P47" i="13" s="1"/>
  <c r="P45" i="13" a="1"/>
  <c r="P45" i="13" s="1"/>
  <c r="AE26" i="20" a="1"/>
  <c r="AE26" i="20" s="1"/>
  <c r="AE25" i="20" a="1"/>
  <c r="AE25" i="20" s="1"/>
  <c r="AE24" i="20" a="1"/>
  <c r="AE24" i="20" s="1"/>
  <c r="AE23" i="20" a="1"/>
  <c r="AE23" i="20" s="1"/>
  <c r="AE21" i="20" a="1"/>
  <c r="AE21" i="20" s="1"/>
  <c r="AF20" i="20" a="1"/>
  <c r="AF20" i="20" s="1"/>
  <c r="AF22" i="20" a="1"/>
  <c r="AF22" i="20" s="1"/>
  <c r="AE62" i="20" a="1"/>
  <c r="AE62" i="20" s="1"/>
  <c r="AE61" i="20" a="1"/>
  <c r="AE61" i="20" s="1"/>
  <c r="AE60" i="20" a="1"/>
  <c r="AE60" i="20" s="1"/>
  <c r="AE59" i="20" a="1"/>
  <c r="AE59" i="20" s="1"/>
  <c r="AE58" i="20" a="1"/>
  <c r="AE58" i="20" s="1"/>
  <c r="AE56" i="20" a="1"/>
  <c r="AE56" i="20" s="1"/>
  <c r="AE55" i="20" a="1"/>
  <c r="AE55" i="20" s="1"/>
  <c r="AE54" i="20" a="1"/>
  <c r="AE54" i="20" s="1"/>
  <c r="AE53" i="20" a="1"/>
  <c r="AE53" i="20" s="1"/>
  <c r="AF52" i="20" a="1"/>
  <c r="AF52" i="20" s="1"/>
  <c r="P92" i="13" a="1"/>
  <c r="P92" i="13" s="1"/>
  <c r="AE108" i="20" a="1"/>
  <c r="AE108" i="20" s="1"/>
  <c r="AJ108" i="20"/>
  <c r="AD109" i="20"/>
  <c r="AD110" i="20"/>
  <c r="AE107" i="20" a="1"/>
  <c r="AE107" i="20" s="1"/>
  <c r="AJ107" i="20" s="1"/>
  <c r="AE104" i="20" a="1"/>
  <c r="AE104" i="20" s="1"/>
  <c r="AJ104" i="20" s="1"/>
  <c r="AD105" i="20"/>
  <c r="AD106" i="20"/>
  <c r="AE100" i="20" a="1"/>
  <c r="AE100" i="20" s="1"/>
  <c r="AJ100" i="20"/>
  <c r="AD103" i="20"/>
  <c r="AD101" i="20"/>
  <c r="AD102" i="20"/>
  <c r="AE99" i="20" a="1"/>
  <c r="AE99" i="20" s="1"/>
  <c r="AJ99" i="20" s="1"/>
  <c r="AE96" i="20" a="1"/>
  <c r="AE96" i="20" s="1"/>
  <c r="AJ96" i="20"/>
  <c r="AD97" i="20"/>
  <c r="AD98" i="20"/>
  <c r="AE95" i="20" a="1"/>
  <c r="AE95" i="20" s="1"/>
  <c r="AJ95" i="20" s="1"/>
  <c r="AE92" i="20" a="1"/>
  <c r="AE92" i="20" s="1"/>
  <c r="AJ92" i="20"/>
  <c r="AD93" i="20"/>
  <c r="AD94" i="20"/>
  <c r="AE91" i="20" a="1"/>
  <c r="AE91" i="20" s="1"/>
  <c r="AJ91" i="20" s="1"/>
  <c r="AE88" i="20" a="1"/>
  <c r="AE88" i="20" s="1"/>
  <c r="AJ88" i="20"/>
  <c r="AD89" i="20"/>
  <c r="AD90" i="20"/>
  <c r="AE87" i="20" a="1"/>
  <c r="AE87" i="20" s="1"/>
  <c r="AJ87" i="20" s="1"/>
  <c r="AE83" i="20" a="1"/>
  <c r="AE83" i="20" s="1"/>
  <c r="AJ83" i="20"/>
  <c r="AD84" i="20"/>
  <c r="AD85" i="20"/>
  <c r="AD86" i="20"/>
  <c r="AE82" i="20" a="1"/>
  <c r="AE82" i="20" s="1"/>
  <c r="AJ82" i="20"/>
  <c r="AE78" i="20" a="1"/>
  <c r="AE78" i="20" s="1"/>
  <c r="AJ78" i="20" s="1"/>
  <c r="AD79" i="20"/>
  <c r="AD80" i="20"/>
  <c r="AD81" i="20"/>
  <c r="AE77" i="20" a="1"/>
  <c r="AE77" i="20" s="1"/>
  <c r="AJ77" i="20"/>
  <c r="AE73" i="20" a="1"/>
  <c r="AE73" i="20" s="1"/>
  <c r="AJ73" i="20"/>
  <c r="AE72" i="20" a="1"/>
  <c r="AE72" i="20" s="1"/>
  <c r="AJ72" i="20" s="1"/>
  <c r="AD74" i="20"/>
  <c r="AD75" i="20"/>
  <c r="AD76" i="20"/>
  <c r="AE71" i="20" a="1"/>
  <c r="AE71" i="20" s="1"/>
  <c r="AJ71" i="20"/>
  <c r="AE66" i="20" a="1"/>
  <c r="AE66" i="20" s="1"/>
  <c r="AJ66" i="20"/>
  <c r="AE64" i="20" a="1"/>
  <c r="AE64" i="20" s="1"/>
  <c r="AJ64" i="20" s="1"/>
  <c r="AD65" i="20"/>
  <c r="AD67" i="20"/>
  <c r="AD68" i="20"/>
  <c r="AD69" i="20"/>
  <c r="AD70" i="20"/>
  <c r="AE63" i="20" a="1"/>
  <c r="AE63" i="20" s="1"/>
  <c r="AJ63" i="20"/>
  <c r="AE57" i="20" a="1"/>
  <c r="AE57" i="20" s="1"/>
  <c r="AE51" i="20" a="1"/>
  <c r="AE51" i="20" s="1"/>
  <c r="AJ51" i="20" s="1"/>
  <c r="AE47" i="20" a="1"/>
  <c r="AE47" i="20" s="1"/>
  <c r="AJ47" i="20" s="1"/>
  <c r="AD48" i="20"/>
  <c r="AD49" i="20"/>
  <c r="AD50" i="20"/>
  <c r="AE46" i="20" a="1"/>
  <c r="AE46" i="20" s="1"/>
  <c r="AJ46" i="20" s="1"/>
  <c r="AE42" i="20" a="1"/>
  <c r="AE42" i="20" s="1"/>
  <c r="AJ42" i="20" s="1"/>
  <c r="AE40" i="20" a="1"/>
  <c r="AE40" i="20" s="1"/>
  <c r="AJ40" i="20" s="1"/>
  <c r="AD41" i="20"/>
  <c r="AD43" i="20"/>
  <c r="AD44" i="20"/>
  <c r="AD45" i="20"/>
  <c r="AE39" i="20" a="1"/>
  <c r="AE39" i="20" s="1"/>
  <c r="AJ39" i="20"/>
  <c r="AE36" i="20" a="1"/>
  <c r="AE36" i="20" s="1"/>
  <c r="AJ36" i="20"/>
  <c r="AE34" i="20" a="1"/>
  <c r="AE34" i="20" s="1"/>
  <c r="AJ34" i="20"/>
  <c r="AE31" i="20" a="1"/>
  <c r="AE31" i="20" s="1"/>
  <c r="AJ31" i="20" s="1"/>
  <c r="AD32" i="20"/>
  <c r="AD33" i="20"/>
  <c r="AD35" i="20"/>
  <c r="AD37" i="20"/>
  <c r="AD38" i="20"/>
  <c r="AR30" i="20"/>
  <c r="AE30" i="20" a="1"/>
  <c r="AE30" i="20" s="1"/>
  <c r="AF30" i="20" s="1" a="1"/>
  <c r="AF30" i="20" s="1"/>
  <c r="AG30" i="20" s="1" a="1"/>
  <c r="AG30" i="20" s="1"/>
  <c r="AH30" i="20" s="1" a="1"/>
  <c r="AH30" i="20" s="1"/>
  <c r="AK30" i="20" s="1"/>
  <c r="J12" i="15"/>
  <c r="AB74" i="11"/>
  <c r="AB68" i="11"/>
  <c r="Z69" i="11"/>
  <c r="Z95" i="11"/>
  <c r="J19" i="15"/>
  <c r="AB87" i="11"/>
  <c r="J20" i="15"/>
  <c r="J21" i="15"/>
  <c r="J22" i="15"/>
  <c r="AB90" i="11"/>
  <c r="J23" i="15"/>
  <c r="J24" i="15"/>
  <c r="J25" i="15"/>
  <c r="J26" i="15"/>
  <c r="J27" i="15"/>
  <c r="AB94" i="11"/>
  <c r="J18" i="15"/>
  <c r="Z84" i="11"/>
  <c r="AB83" i="11"/>
  <c r="J13" i="15"/>
  <c r="AB76" i="11"/>
  <c r="J11" i="15"/>
  <c r="AB72" i="11"/>
  <c r="X114" i="11"/>
  <c r="Y66" i="11"/>
  <c r="Y93" i="11"/>
  <c r="AB93" i="11" s="1"/>
  <c r="Y85" i="11"/>
  <c r="Y64" i="11"/>
  <c r="X113" i="11"/>
  <c r="Y86" i="11"/>
  <c r="AB86" i="11" s="1"/>
  <c r="Y92" i="11"/>
  <c r="AB92" i="11" s="1"/>
  <c r="Y89" i="11"/>
  <c r="AB89" i="11" s="1"/>
  <c r="Y91" i="11"/>
  <c r="AB91" i="11" s="1"/>
  <c r="E44" i="11"/>
  <c r="Y69" i="11"/>
  <c r="Y71" i="11" s="1"/>
  <c r="Y88" i="11"/>
  <c r="AB88" i="11" s="1"/>
  <c r="Y78" i="11"/>
  <c r="Y82" i="11"/>
  <c r="E29" i="11"/>
  <c r="G44" i="11"/>
  <c r="G52" i="11" s="1"/>
  <c r="F7" i="11" s="1"/>
  <c r="F16" i="11" s="1"/>
  <c r="H44" i="11"/>
  <c r="D29" i="11"/>
  <c r="H29" i="11"/>
  <c r="F46" i="10"/>
  <c r="G18" i="10"/>
  <c r="G78" i="10"/>
  <c r="G23" i="10"/>
  <c r="G72" i="10"/>
  <c r="G22" i="10"/>
  <c r="G79" i="10"/>
  <c r="M90" i="10" s="1"/>
  <c r="K90" i="10" s="1"/>
  <c r="L90" i="10" s="1"/>
  <c r="G21" i="10"/>
  <c r="H21" i="10" s="1"/>
  <c r="G77" i="10"/>
  <c r="G20" i="10"/>
  <c r="G19" i="10"/>
  <c r="H19" i="10" s="1"/>
  <c r="G35" i="10"/>
  <c r="G36" i="10"/>
  <c r="O18" i="10"/>
  <c r="P18" i="10" s="1"/>
  <c r="N46" i="10"/>
  <c r="U46" i="10" s="1"/>
  <c r="W46" i="10" s="1"/>
  <c r="AE37" i="10"/>
  <c r="O24" i="10"/>
  <c r="G71" i="10"/>
  <c r="D88" i="8"/>
  <c r="C104" i="8"/>
  <c r="D104" i="8" s="1"/>
  <c r="AM94" i="8" a="1"/>
  <c r="AM94" i="8" s="1"/>
  <c r="AB95" i="4" s="1"/>
  <c r="AA76" i="4"/>
  <c r="V77" i="4"/>
  <c r="V74" i="4"/>
  <c r="V113" i="4"/>
  <c r="V59" i="4"/>
  <c r="V79" i="4"/>
  <c r="X79" i="4" s="1"/>
  <c r="V88" i="4"/>
  <c r="W88" i="4" s="1"/>
  <c r="X88" i="4" s="1"/>
  <c r="V87" i="4"/>
  <c r="V89" i="4"/>
  <c r="W89" i="4" s="1"/>
  <c r="X89" i="4" s="1"/>
  <c r="V75" i="4"/>
  <c r="V83" i="4"/>
  <c r="W83" i="4" s="1"/>
  <c r="X83" i="4" s="1"/>
  <c r="V84" i="4"/>
  <c r="W84" i="4" s="1"/>
  <c r="X84" i="4" s="1"/>
  <c r="V76" i="4"/>
  <c r="X76" i="4" s="1"/>
  <c r="V80" i="4"/>
  <c r="X80" i="4" s="1"/>
  <c r="V85" i="4"/>
  <c r="W85" i="4" s="1"/>
  <c r="X85" i="4" s="1"/>
  <c r="V108" i="4"/>
  <c r="V82" i="4"/>
  <c r="BA22" i="8"/>
  <c r="AC65" i="4"/>
  <c r="F27" i="13" s="1" a="1"/>
  <c r="F27" i="13" s="1"/>
  <c r="V72" i="4"/>
  <c r="V73" i="4" s="1"/>
  <c r="V90" i="4"/>
  <c r="AR52" i="8"/>
  <c r="AN52" i="8" a="1"/>
  <c r="AN52" i="8" s="1"/>
  <c r="AC59" i="4" s="1"/>
  <c r="F39" i="13" s="1" a="1"/>
  <c r="F39" i="13" s="1"/>
  <c r="J60" i="4"/>
  <c r="O60" i="4" s="1"/>
  <c r="I125" i="4"/>
  <c r="N125" i="4" s="1"/>
  <c r="N110" i="4"/>
  <c r="J110" i="4"/>
  <c r="I82" i="4"/>
  <c r="J35" i="15"/>
  <c r="Y107" i="11"/>
  <c r="G21" i="3"/>
  <c r="H21" i="3" s="1"/>
  <c r="O35" i="3"/>
  <c r="N59" i="4"/>
  <c r="N131" i="4" s="1"/>
  <c r="N132" i="4" s="1"/>
  <c r="N133" i="4" s="1"/>
  <c r="J59" i="4"/>
  <c r="I113" i="4"/>
  <c r="N113" i="4" s="1"/>
  <c r="N130" i="4"/>
  <c r="J130" i="4"/>
  <c r="R85" i="4"/>
  <c r="M102" i="4"/>
  <c r="R102" i="4" s="1"/>
  <c r="F71" i="4"/>
  <c r="O33" i="13" s="1" a="1"/>
  <c r="O33" i="13" s="1"/>
  <c r="CO33" i="13" s="1"/>
  <c r="CP33" i="13" s="1"/>
  <c r="CQ33" i="13" s="1"/>
  <c r="O32" i="13" a="1"/>
  <c r="O32" i="13" s="1"/>
  <c r="CO32" i="13" s="1"/>
  <c r="CP32" i="13" s="1"/>
  <c r="CQ32" i="13" s="1"/>
  <c r="O30" i="3"/>
  <c r="O32" i="3"/>
  <c r="O27" i="3"/>
  <c r="AD27" i="3" s="1"/>
  <c r="AB66" i="11"/>
  <c r="J9" i="15"/>
  <c r="AA115" i="4"/>
  <c r="AA114" i="4"/>
  <c r="AX19" i="13"/>
  <c r="BJ19" i="13"/>
  <c r="BK19" i="13"/>
  <c r="BN19" i="13"/>
  <c r="BO19" i="13"/>
  <c r="BB19" i="13"/>
  <c r="AO19" i="13" s="1"/>
  <c r="BA19" i="13"/>
  <c r="BQ19" i="13"/>
  <c r="BD19" i="13"/>
  <c r="AQ19" i="13"/>
  <c r="AQ20" i="13"/>
  <c r="BJ20" i="13"/>
  <c r="AX20" i="13"/>
  <c r="BO20" i="13"/>
  <c r="BQ20" i="13"/>
  <c r="BA20" i="13"/>
  <c r="BB20" i="13"/>
  <c r="AO20" i="13" s="1"/>
  <c r="BN20" i="13"/>
  <c r="BL20" i="13" s="1"/>
  <c r="BM20" i="13" s="1"/>
  <c r="BD20" i="13"/>
  <c r="AQ74" i="13"/>
  <c r="BA74" i="13"/>
  <c r="BD74" i="13"/>
  <c r="BO74" i="13"/>
  <c r="BJ74" i="13"/>
  <c r="BK74" i="13"/>
  <c r="AX74" i="13"/>
  <c r="BN74" i="13"/>
  <c r="BB74" i="13"/>
  <c r="AO74" i="13" s="1"/>
  <c r="BQ74" i="13"/>
  <c r="BA87" i="13"/>
  <c r="AX87" i="13"/>
  <c r="BQ87" i="13"/>
  <c r="BB87" i="13"/>
  <c r="AO87" i="13" s="1"/>
  <c r="BD87" i="13"/>
  <c r="BJ87" i="13"/>
  <c r="AQ87" i="13"/>
  <c r="AQ18" i="13"/>
  <c r="BN18" i="13"/>
  <c r="BO18" i="13"/>
  <c r="BJ18" i="13"/>
  <c r="BA18" i="13"/>
  <c r="AZ18" i="13" s="1"/>
  <c r="BQ18" i="13"/>
  <c r="BD18" i="13"/>
  <c r="BB18" i="13"/>
  <c r="AX18" i="13"/>
  <c r="AK18" i="13"/>
  <c r="AL18" i="13" s="1"/>
  <c r="AM18" i="13" s="1"/>
  <c r="AN18" i="13" s="1"/>
  <c r="AO18" i="13" s="1"/>
  <c r="BK18" i="13"/>
  <c r="AQ66" i="13"/>
  <c r="BD66" i="13"/>
  <c r="BO66" i="13"/>
  <c r="BQ66" i="13"/>
  <c r="AX66" i="13"/>
  <c r="BB66" i="13"/>
  <c r="AO66" i="13" s="1"/>
  <c r="BA66" i="13"/>
  <c r="BJ66" i="13"/>
  <c r="BN66" i="13"/>
  <c r="BK66" i="13"/>
  <c r="BD78" i="13"/>
  <c r="BQ78" i="13"/>
  <c r="BK78" i="13"/>
  <c r="BO78" i="13"/>
  <c r="AX78" i="13"/>
  <c r="BJ78" i="13"/>
  <c r="BB78" i="13"/>
  <c r="AO78" i="13" s="1"/>
  <c r="BA78" i="13"/>
  <c r="BN78" i="13"/>
  <c r="AQ78" i="13"/>
  <c r="AX69" i="13"/>
  <c r="BJ69" i="13"/>
  <c r="BB69" i="13"/>
  <c r="AO69" i="13" s="1"/>
  <c r="BA69" i="13"/>
  <c r="BD69" i="13"/>
  <c r="AQ69" i="13"/>
  <c r="BQ69" i="13"/>
  <c r="BA92" i="13"/>
  <c r="BJ92" i="13"/>
  <c r="AQ92" i="13"/>
  <c r="AX92" i="13"/>
  <c r="BB92" i="13"/>
  <c r="AO92" i="13" s="1"/>
  <c r="BQ92" i="13"/>
  <c r="BD92" i="13"/>
  <c r="BB67" i="13"/>
  <c r="AO67" i="13" s="1"/>
  <c r="BD67" i="13"/>
  <c r="BJ67" i="13"/>
  <c r="BN67" i="13"/>
  <c r="BQ67" i="13"/>
  <c r="AQ67" i="13"/>
  <c r="BA67" i="13"/>
  <c r="BK67" i="13"/>
  <c r="AX67" i="13"/>
  <c r="BO67" i="13"/>
  <c r="BN65" i="13"/>
  <c r="BK65" i="13"/>
  <c r="BA65" i="13"/>
  <c r="AX65" i="13"/>
  <c r="BJ65" i="13"/>
  <c r="BB65" i="13"/>
  <c r="AO65" i="13" s="1"/>
  <c r="BO65" i="13"/>
  <c r="AQ65" i="13"/>
  <c r="BD65" i="13"/>
  <c r="BQ65" i="13"/>
  <c r="BA100" i="13"/>
  <c r="BD100" i="13"/>
  <c r="BQ100" i="13"/>
  <c r="BB100" i="13"/>
  <c r="AO100" i="13" s="1"/>
  <c r="BJ100" i="13"/>
  <c r="AX100" i="13"/>
  <c r="BA22" i="13"/>
  <c r="BB22" i="13"/>
  <c r="AO22" i="13" s="1"/>
  <c r="AX22" i="13"/>
  <c r="BJ22" i="13"/>
  <c r="BD22" i="13"/>
  <c r="AQ22" i="13"/>
  <c r="BN22" i="13"/>
  <c r="BL22" i="13" s="1"/>
  <c r="BM22" i="13" s="1"/>
  <c r="BQ22" i="13"/>
  <c r="BA21" i="13"/>
  <c r="BO21" i="13"/>
  <c r="BJ21" i="13"/>
  <c r="AX21" i="13"/>
  <c r="BN21" i="13"/>
  <c r="BL21" i="13" s="1"/>
  <c r="BM21" i="13" s="1"/>
  <c r="BB21" i="13"/>
  <c r="AO21" i="13" s="1"/>
  <c r="BD21" i="13"/>
  <c r="AQ21" i="13"/>
  <c r="BQ21" i="13"/>
  <c r="BK68" i="13"/>
  <c r="AQ68" i="13"/>
  <c r="BD68" i="13"/>
  <c r="BQ68" i="13"/>
  <c r="BN68" i="13"/>
  <c r="BO68" i="13"/>
  <c r="BB68" i="13"/>
  <c r="AO68" i="13" s="1"/>
  <c r="AX68" i="13"/>
  <c r="BA68" i="13"/>
  <c r="BJ68" i="13"/>
  <c r="AX83" i="13"/>
  <c r="BJ83" i="13"/>
  <c r="AQ83" i="13"/>
  <c r="BD83" i="13"/>
  <c r="BB83" i="13"/>
  <c r="AO83" i="13" s="1"/>
  <c r="BQ83" i="13"/>
  <c r="BA83" i="13"/>
  <c r="AK68" i="1"/>
  <c r="D53" i="11" s="1"/>
  <c r="P37" i="10"/>
  <c r="D88" i="9"/>
  <c r="P28" i="13" a="1"/>
  <c r="P28" i="13" s="1"/>
  <c r="AH22" i="7" a="1"/>
  <c r="AH22" i="7" s="1"/>
  <c r="AM115" i="4"/>
  <c r="Q45" i="13" s="1" a="1"/>
  <c r="Q45" i="13" s="1"/>
  <c r="AM114" i="4"/>
  <c r="Q47" i="13" s="1" a="1"/>
  <c r="Q47" i="13" s="1"/>
  <c r="I114" i="4"/>
  <c r="N114" i="4" s="1"/>
  <c r="I127" i="4"/>
  <c r="O116" i="4"/>
  <c r="K116" i="4"/>
  <c r="J125" i="4"/>
  <c r="O125" i="4" s="1"/>
  <c r="AR20" i="8"/>
  <c r="BC22" i="8"/>
  <c r="V70" i="4"/>
  <c r="X81" i="4"/>
  <c r="W87" i="4"/>
  <c r="X87" i="4" s="1"/>
  <c r="W80" i="4"/>
  <c r="V124" i="4"/>
  <c r="W78" i="4"/>
  <c r="AD65" i="4"/>
  <c r="G27" i="13" s="1" a="1"/>
  <c r="G27" i="13" s="1"/>
  <c r="AP22" i="8" a="1"/>
  <c r="AP22" i="8" s="1"/>
  <c r="W76" i="4"/>
  <c r="V64" i="4"/>
  <c r="W77" i="4"/>
  <c r="AZ113" i="8"/>
  <c r="AZ36" i="8"/>
  <c r="AZ51" i="8"/>
  <c r="AZ26" i="8"/>
  <c r="AZ78" i="8"/>
  <c r="AZ73" i="8"/>
  <c r="AZ58" i="8"/>
  <c r="AZ108" i="8"/>
  <c r="AZ21" i="8"/>
  <c r="AZ34" i="8"/>
  <c r="AZ63" i="8"/>
  <c r="AZ59" i="8"/>
  <c r="AZ46" i="8"/>
  <c r="AZ71" i="8"/>
  <c r="AZ93" i="8"/>
  <c r="AZ56" i="8"/>
  <c r="AZ88" i="8"/>
  <c r="AZ57" i="8"/>
  <c r="AZ53" i="8"/>
  <c r="AZ87" i="8"/>
  <c r="AZ64" i="8"/>
  <c r="AZ62" i="8"/>
  <c r="AZ92" i="8"/>
  <c r="AZ82" i="8"/>
  <c r="AZ55" i="8"/>
  <c r="AZ25" i="8"/>
  <c r="AZ31" i="8"/>
  <c r="AZ97" i="8"/>
  <c r="AZ60" i="8"/>
  <c r="AZ24" i="8"/>
  <c r="AZ47" i="8"/>
  <c r="AZ103" i="8"/>
  <c r="AZ54" i="8"/>
  <c r="AZ23" i="8"/>
  <c r="AZ98" i="8"/>
  <c r="AZ77" i="8"/>
  <c r="AZ61" i="8"/>
  <c r="AZ83" i="8"/>
  <c r="AZ112" i="8"/>
  <c r="AZ102" i="8"/>
  <c r="AZ42" i="8"/>
  <c r="AZ39" i="8"/>
  <c r="AZ66" i="8"/>
  <c r="AZ40" i="8"/>
  <c r="AZ72" i="8"/>
  <c r="AM113" i="8" a="1"/>
  <c r="AM113" i="8" s="1"/>
  <c r="AB81" i="4" s="1"/>
  <c r="E81" i="13" s="1" a="1"/>
  <c r="E81" i="13" s="1"/>
  <c r="AL116" i="8"/>
  <c r="AA90" i="4" s="1"/>
  <c r="AL115" i="8"/>
  <c r="AA107" i="4" s="1"/>
  <c r="AM36" i="8" a="1"/>
  <c r="AM36" i="8" s="1"/>
  <c r="AM51" i="8" a="1"/>
  <c r="AM51" i="8" s="1"/>
  <c r="AM26" i="8" a="1"/>
  <c r="AM26" i="8" s="1"/>
  <c r="AL81" i="8"/>
  <c r="AA83" i="4" s="1"/>
  <c r="AM78" i="8" a="1"/>
  <c r="AM78" i="8" s="1"/>
  <c r="AB74" i="4" s="1"/>
  <c r="E74" i="13" s="1" a="1"/>
  <c r="E74" i="13" s="1"/>
  <c r="AL79" i="8"/>
  <c r="AA92" i="4" s="1"/>
  <c r="AL80" i="8"/>
  <c r="AA100" i="4" s="1"/>
  <c r="AM73" i="8" a="1"/>
  <c r="AM73" i="8" s="1"/>
  <c r="AB73" i="4" s="1"/>
  <c r="AM58" i="8" a="1"/>
  <c r="AM58" i="8" s="1"/>
  <c r="AR58" i="8" s="1"/>
  <c r="AL111" i="8"/>
  <c r="AA89" i="4" s="1"/>
  <c r="AM108" i="8" a="1"/>
  <c r="AM108" i="8" s="1"/>
  <c r="AL110" i="8"/>
  <c r="AA106" i="4" s="1"/>
  <c r="AM21" i="8" a="1"/>
  <c r="AM21" i="8" s="1"/>
  <c r="AB68" i="4" s="1"/>
  <c r="E34" i="13" s="1" a="1"/>
  <c r="E34" i="13" s="1"/>
  <c r="AM34" i="8" a="1"/>
  <c r="AM34" i="8" s="1"/>
  <c r="AM63" i="8" a="1"/>
  <c r="AM63" i="8" s="1"/>
  <c r="AR63" i="8" s="1"/>
  <c r="AM59" i="8" a="1"/>
  <c r="AM59" i="8" s="1"/>
  <c r="AM46" i="8" a="1"/>
  <c r="AM46" i="8" s="1"/>
  <c r="AM71" i="8" a="1"/>
  <c r="AM71" i="8" s="1"/>
  <c r="AR71" i="8" s="1"/>
  <c r="AL95" i="8"/>
  <c r="AA103" i="4" s="1"/>
  <c r="AL96" i="8"/>
  <c r="AA86" i="4" s="1"/>
  <c r="AM93" i="8" a="1"/>
  <c r="AM93" i="8" s="1"/>
  <c r="AM56" i="8" a="1"/>
  <c r="AM56" i="8" s="1"/>
  <c r="AL91" i="8"/>
  <c r="AA85" i="4" s="1"/>
  <c r="AL90" i="8"/>
  <c r="AA102" i="4" s="1"/>
  <c r="AM88" i="8" a="1"/>
  <c r="AM88" i="8" s="1"/>
  <c r="AM57" i="8" a="1"/>
  <c r="AM57" i="8" s="1"/>
  <c r="AR57" i="8" s="1"/>
  <c r="O36" i="3"/>
  <c r="AD36" i="3" s="1"/>
  <c r="AZ30" i="8"/>
  <c r="AM30" i="8" a="1"/>
  <c r="AM30" i="8" s="1"/>
  <c r="AM53" i="8" a="1"/>
  <c r="AM53" i="8" s="1"/>
  <c r="AM87" i="8" a="1"/>
  <c r="AM87" i="8" s="1"/>
  <c r="AR87" i="8" s="1"/>
  <c r="AL69" i="8"/>
  <c r="AM64" i="8" a="1"/>
  <c r="AM64" i="8" s="1"/>
  <c r="AL65" i="8"/>
  <c r="AA111" i="4" s="1"/>
  <c r="AL70" i="8"/>
  <c r="AA112" i="4" s="1"/>
  <c r="AL68" i="8"/>
  <c r="AA113" i="4" s="1"/>
  <c r="AL67" i="8"/>
  <c r="AA109" i="4" s="1"/>
  <c r="AM62" i="8" a="1"/>
  <c r="AM62" i="8" s="1"/>
  <c r="AM28" i="8" a="1"/>
  <c r="AM28" i="8" s="1"/>
  <c r="AM92" i="8" a="1"/>
  <c r="AM92" i="8" s="1"/>
  <c r="AR92" i="8" s="1"/>
  <c r="AM82" i="8" a="1"/>
  <c r="AM82" i="8" s="1"/>
  <c r="AR82" i="8" s="1"/>
  <c r="AM55" i="8" a="1"/>
  <c r="AM55" i="8" s="1"/>
  <c r="AM25" i="8" a="1"/>
  <c r="AM25" i="8" s="1"/>
  <c r="AR25" i="8" s="1"/>
  <c r="AL33" i="8"/>
  <c r="AA127" i="4" s="1"/>
  <c r="AL38" i="8"/>
  <c r="AA125" i="4" s="1"/>
  <c r="AL35" i="8"/>
  <c r="AA121" i="4" s="1"/>
  <c r="AL37" i="8"/>
  <c r="AA126" i="4" s="1"/>
  <c r="AL32" i="8"/>
  <c r="AA123" i="4" s="1"/>
  <c r="AM31" i="8" a="1"/>
  <c r="AM31" i="8" s="1"/>
  <c r="AB124" i="4" s="1"/>
  <c r="E19" i="13" s="1" a="1"/>
  <c r="E19" i="13" s="1"/>
  <c r="AM97" i="8" a="1"/>
  <c r="AM97" i="8" s="1"/>
  <c r="AR97" i="8" s="1"/>
  <c r="AM60" i="8" a="1"/>
  <c r="AM60" i="8" s="1"/>
  <c r="AB133" i="4" s="1"/>
  <c r="E55" i="13" s="1" a="1"/>
  <c r="E55" i="13" s="1"/>
  <c r="AM24" i="8" a="1"/>
  <c r="AM24" i="8" s="1"/>
  <c r="AB64" i="4" s="1"/>
  <c r="E29" i="13" s="1" a="1"/>
  <c r="E29" i="13" s="1"/>
  <c r="AL48" i="8"/>
  <c r="AL49" i="8"/>
  <c r="AA130" i="4" s="1"/>
  <c r="AL50" i="8"/>
  <c r="AM47" i="8" a="1"/>
  <c r="AM47" i="8" s="1"/>
  <c r="AL105" i="8"/>
  <c r="AA105" i="4" s="1"/>
  <c r="AM103" i="8" a="1"/>
  <c r="AM103" i="8" s="1"/>
  <c r="AL107" i="8"/>
  <c r="AL106" i="8"/>
  <c r="AA88" i="4" s="1"/>
  <c r="AM54" i="8" a="1"/>
  <c r="AM54" i="8" s="1"/>
  <c r="AB63" i="4" s="1"/>
  <c r="E43" i="13" s="1" a="1"/>
  <c r="E43" i="13" s="1"/>
  <c r="AM23" i="8" a="1"/>
  <c r="AM23" i="8" s="1"/>
  <c r="AB66" i="4" s="1"/>
  <c r="E30" i="13" s="1" a="1"/>
  <c r="E30" i="13" s="1"/>
  <c r="AM98" i="8" a="1"/>
  <c r="AM98" i="8" s="1"/>
  <c r="AL100" i="8"/>
  <c r="AA104" i="4" s="1"/>
  <c r="AL101" i="8"/>
  <c r="AA87" i="4" s="1"/>
  <c r="AM77" i="8" a="1"/>
  <c r="AM77" i="8" s="1"/>
  <c r="AR77" i="8" s="1"/>
  <c r="AM61" i="8" a="1"/>
  <c r="AM61" i="8" s="1"/>
  <c r="AL84" i="8"/>
  <c r="AA93" i="4" s="1"/>
  <c r="AM83" i="8" a="1"/>
  <c r="AM83" i="8" s="1"/>
  <c r="AB75" i="4" s="1"/>
  <c r="E75" i="13" s="1" a="1"/>
  <c r="E75" i="13" s="1"/>
  <c r="AL85" i="8"/>
  <c r="AA101" i="4" s="1"/>
  <c r="AL86" i="8"/>
  <c r="AA84" i="4" s="1"/>
  <c r="AM112" i="8" a="1"/>
  <c r="AM112" i="8" s="1"/>
  <c r="AR112" i="8" s="1"/>
  <c r="AM102" i="8" a="1"/>
  <c r="AM102" i="8" s="1"/>
  <c r="AR102" i="8" s="1"/>
  <c r="AN20" i="8" a="1"/>
  <c r="AN20" i="8" s="1"/>
  <c r="AC67" i="4" s="1"/>
  <c r="F28" i="13" s="1" a="1"/>
  <c r="F28" i="13" s="1"/>
  <c r="AM42" i="8" a="1"/>
  <c r="AM42" i="8" s="1"/>
  <c r="AM39" i="8" a="1"/>
  <c r="AM39" i="8" s="1"/>
  <c r="AR39" i="8" s="1"/>
  <c r="AM66" i="8" a="1"/>
  <c r="AM66" i="8" s="1"/>
  <c r="AB108" i="4" s="1"/>
  <c r="E65" i="13" s="1" a="1"/>
  <c r="E65" i="13" s="1"/>
  <c r="AM40" i="8" a="1"/>
  <c r="AM40" i="8" s="1"/>
  <c r="AB116" i="4" s="1"/>
  <c r="E46" i="13" s="1" a="1"/>
  <c r="E46" i="13" s="1"/>
  <c r="AL41" i="8"/>
  <c r="AA119" i="4" s="1"/>
  <c r="AL45" i="8"/>
  <c r="AA117" i="4" s="1"/>
  <c r="AL43" i="8"/>
  <c r="AA120" i="4" s="1"/>
  <c r="AL44" i="8"/>
  <c r="AA118" i="4" s="1"/>
  <c r="AM29" i="8" a="1"/>
  <c r="AM29" i="8" s="1"/>
  <c r="AR29" i="8" s="1"/>
  <c r="AL75" i="8"/>
  <c r="AL74" i="8"/>
  <c r="AA91" i="4" s="1"/>
  <c r="AL76" i="8"/>
  <c r="AA82" i="4" s="1"/>
  <c r="AM72" i="8" a="1"/>
  <c r="AM72" i="8" s="1"/>
  <c r="AB72" i="4" s="1"/>
  <c r="E72" i="13" s="1" a="1"/>
  <c r="E72" i="13" s="1"/>
  <c r="E73" i="13" s="1"/>
  <c r="AS52" i="7"/>
  <c r="AS55" i="7"/>
  <c r="AU58" i="7"/>
  <c r="AS48" i="7"/>
  <c r="AT51" i="7"/>
  <c r="AS44" i="7"/>
  <c r="AS39" i="7"/>
  <c r="AS41" i="7"/>
  <c r="AT38" i="7"/>
  <c r="AS35" i="7"/>
  <c r="AS31" i="7"/>
  <c r="AT60" i="7"/>
  <c r="AS34" i="7"/>
  <c r="AS27" i="7"/>
  <c r="AT46" i="7"/>
  <c r="BB27" i="8"/>
  <c r="AS36" i="7"/>
  <c r="AU53" i="7"/>
  <c r="AT33" i="7"/>
  <c r="AU63" i="7"/>
  <c r="AT57" i="7"/>
  <c r="AS54" i="7"/>
  <c r="AS47" i="7"/>
  <c r="AT43" i="7"/>
  <c r="AT61" i="7"/>
  <c r="AS32" i="7"/>
  <c r="AS59" i="7"/>
  <c r="AS45" i="7"/>
  <c r="AS37" i="7"/>
  <c r="AT42" i="7"/>
  <c r="AS56" i="7"/>
  <c r="AT40" i="7"/>
  <c r="AT49" i="7"/>
  <c r="AS50" i="7"/>
  <c r="AS62" i="7"/>
  <c r="AJ84" i="7"/>
  <c r="AF84" i="7" a="1"/>
  <c r="AF84" i="7" s="1"/>
  <c r="AG39" i="7" a="1"/>
  <c r="AG39" i="7" s="1"/>
  <c r="AK58" i="7"/>
  <c r="AG41" i="7" a="1"/>
  <c r="AG41" i="7" s="1"/>
  <c r="AJ77" i="7"/>
  <c r="AF77" i="7" a="1"/>
  <c r="AF77" i="7" s="1"/>
  <c r="AJ71" i="7"/>
  <c r="AF71" i="7" a="1"/>
  <c r="AF71" i="7" s="1"/>
  <c r="AF93" i="7" a="1"/>
  <c r="AF93" i="7" s="1"/>
  <c r="AJ93" i="7"/>
  <c r="AJ101" i="7"/>
  <c r="AF101" i="7" a="1"/>
  <c r="AF101" i="7" s="1"/>
  <c r="AN90" i="4"/>
  <c r="R90" i="13" s="1" a="1"/>
  <c r="R90" i="13" s="1"/>
  <c r="AN89" i="4"/>
  <c r="R89" i="13" s="1" a="1"/>
  <c r="R89" i="13" s="1"/>
  <c r="AN105" i="4"/>
  <c r="R105" i="13" s="1" a="1"/>
  <c r="R105" i="13" s="1"/>
  <c r="AN87" i="4"/>
  <c r="R87" i="13" s="1" a="1"/>
  <c r="R87" i="13" s="1"/>
  <c r="AN103" i="4"/>
  <c r="R103" i="13" s="1" a="1"/>
  <c r="R103" i="13" s="1"/>
  <c r="AN102" i="4"/>
  <c r="R102" i="13" s="1" a="1"/>
  <c r="R102" i="13" s="1"/>
  <c r="AN84" i="4"/>
  <c r="R84" i="13" s="1" a="1"/>
  <c r="R84" i="13" s="1"/>
  <c r="AN78" i="4"/>
  <c r="R78" i="13" s="1" a="1"/>
  <c r="R78" i="13" s="1"/>
  <c r="AN81" i="4"/>
  <c r="R81" i="13" s="1" a="1"/>
  <c r="R81" i="13" s="1"/>
  <c r="AN88" i="4"/>
  <c r="R88" i="13" s="1" a="1"/>
  <c r="R88" i="13" s="1"/>
  <c r="AN79" i="4"/>
  <c r="R79" i="13" s="1" a="1"/>
  <c r="R79" i="13" s="1"/>
  <c r="AN106" i="4"/>
  <c r="R106" i="13" s="1" a="1"/>
  <c r="R106" i="13" s="1"/>
  <c r="AN72" i="4"/>
  <c r="R72" i="13" s="1" a="1"/>
  <c r="R72" i="13" s="1"/>
  <c r="AN104" i="4"/>
  <c r="R104" i="13" s="1" a="1"/>
  <c r="R104" i="13" s="1"/>
  <c r="AN107" i="4"/>
  <c r="R107" i="13" s="1" a="1"/>
  <c r="R107" i="13" s="1"/>
  <c r="AN100" i="4"/>
  <c r="R100" i="13" s="1" a="1"/>
  <c r="R100" i="13" s="1"/>
  <c r="AN75" i="4"/>
  <c r="R75" i="13" s="1" a="1"/>
  <c r="R75" i="13" s="1"/>
  <c r="AN92" i="4"/>
  <c r="R92" i="13" s="1" a="1"/>
  <c r="R92" i="13" s="1"/>
  <c r="AN80" i="4"/>
  <c r="R80" i="13" s="1" a="1"/>
  <c r="R80" i="13" s="1"/>
  <c r="AN85" i="4"/>
  <c r="R85" i="13" s="1" a="1"/>
  <c r="R85" i="13" s="1"/>
  <c r="AN74" i="4"/>
  <c r="R74" i="13" s="1" a="1"/>
  <c r="R74" i="13" s="1"/>
  <c r="AN109" i="4"/>
  <c r="R66" i="13" s="1" a="1"/>
  <c r="R66" i="13" s="1"/>
  <c r="AN133" i="4"/>
  <c r="R55" i="13" s="1" a="1"/>
  <c r="R55" i="13" s="1"/>
  <c r="AN112" i="4"/>
  <c r="R69" i="13" s="1" a="1"/>
  <c r="R69" i="13" s="1"/>
  <c r="AN108" i="4"/>
  <c r="R65" i="13" s="1" a="1"/>
  <c r="R65" i="13" s="1"/>
  <c r="AN110" i="4"/>
  <c r="R67" i="13" s="1" a="1"/>
  <c r="R67" i="13" s="1"/>
  <c r="AN83" i="4"/>
  <c r="R83" i="13" s="1" a="1"/>
  <c r="R83" i="13" s="1"/>
  <c r="AN82" i="4"/>
  <c r="R82" i="13" s="1" a="1"/>
  <c r="R82" i="13" s="1"/>
  <c r="AN91" i="4"/>
  <c r="R91" i="13" s="1" a="1"/>
  <c r="R91" i="13" s="1"/>
  <c r="AN131" i="4"/>
  <c r="R53" i="13" s="1" a="1"/>
  <c r="R53" i="13" s="1"/>
  <c r="AN77" i="4"/>
  <c r="R77" i="13" s="1" a="1"/>
  <c r="R77" i="13" s="1"/>
  <c r="AN132" i="4"/>
  <c r="R54" i="13" s="1" a="1"/>
  <c r="R54" i="13" s="1"/>
  <c r="AN76" i="4"/>
  <c r="R76" i="13" s="1" a="1"/>
  <c r="R76" i="13" s="1"/>
  <c r="AN135" i="4"/>
  <c r="R56" i="13" s="1" a="1"/>
  <c r="R56" i="13" s="1"/>
  <c r="AN63" i="4"/>
  <c r="R43" i="13" s="1" a="1"/>
  <c r="R43" i="13" s="1"/>
  <c r="AN86" i="4"/>
  <c r="R86" i="13" s="1" a="1"/>
  <c r="R86" i="13" s="1"/>
  <c r="AN113" i="4"/>
  <c r="R70" i="13" s="1" a="1"/>
  <c r="R70" i="13" s="1"/>
  <c r="AN62" i="4"/>
  <c r="R42" i="13" s="1" a="1"/>
  <c r="R42" i="13" s="1"/>
  <c r="AN129" i="4"/>
  <c r="R36" i="13" s="1" a="1"/>
  <c r="R36" i="13" s="1"/>
  <c r="AN93" i="4"/>
  <c r="R93" i="13" s="1" a="1"/>
  <c r="R93" i="13" s="1"/>
  <c r="AN134" i="4"/>
  <c r="R57" i="13" s="1" a="1"/>
  <c r="R57" i="13" s="1"/>
  <c r="AN101" i="4"/>
  <c r="R101" i="13" s="1" a="1"/>
  <c r="R101" i="13" s="1"/>
  <c r="AN119" i="4"/>
  <c r="R50" i="13" s="1" a="1"/>
  <c r="R50" i="13" s="1"/>
  <c r="AN121" i="4"/>
  <c r="R20" i="13" s="1" a="1"/>
  <c r="R20" i="13" s="1"/>
  <c r="AN66" i="4"/>
  <c r="R30" i="13" s="1" a="1"/>
  <c r="R30" i="13" s="1"/>
  <c r="AN111" i="4"/>
  <c r="R68" i="13" s="1" a="1"/>
  <c r="R68" i="13" s="1"/>
  <c r="AN116" i="4"/>
  <c r="R46" i="13" s="1" a="1"/>
  <c r="R46" i="13" s="1"/>
  <c r="AN122" i="4"/>
  <c r="R18" i="13" s="1" a="1"/>
  <c r="R18" i="13" s="1"/>
  <c r="AN61" i="4"/>
  <c r="R41" i="13" s="1" a="1"/>
  <c r="R41" i="13" s="1"/>
  <c r="AN59" i="4"/>
  <c r="R39" i="13" s="1" a="1"/>
  <c r="R39" i="13" s="1"/>
  <c r="AN65" i="4"/>
  <c r="R27" i="13" s="1" a="1"/>
  <c r="R27" i="13" s="1"/>
  <c r="AN73" i="4"/>
  <c r="R73" i="13" s="1" a="1"/>
  <c r="R73" i="13" s="1"/>
  <c r="AN120" i="4"/>
  <c r="R51" i="13" s="1" a="1"/>
  <c r="R51" i="13" s="1"/>
  <c r="AN125" i="4"/>
  <c r="R22" i="13" s="1" a="1"/>
  <c r="R22" i="13" s="1"/>
  <c r="AN123" i="4"/>
  <c r="R21" i="13" s="1" a="1"/>
  <c r="R21" i="13" s="1"/>
  <c r="AN117" i="4"/>
  <c r="R48" i="13" s="1" a="1"/>
  <c r="R48" i="13" s="1"/>
  <c r="AN118" i="4"/>
  <c r="R49" i="13" s="1" a="1"/>
  <c r="R49" i="13" s="1"/>
  <c r="AN130" i="4"/>
  <c r="R37" i="13" s="1" a="1"/>
  <c r="R37" i="13" s="1"/>
  <c r="AN128" i="4"/>
  <c r="R25" i="13" s="1" a="1"/>
  <c r="R25" i="13" s="1"/>
  <c r="AN68" i="4"/>
  <c r="R34" i="13" s="1" a="1"/>
  <c r="R34" i="13" s="1"/>
  <c r="AN71" i="4"/>
  <c r="R33" i="13" s="1" a="1"/>
  <c r="R33" i="13" s="1"/>
  <c r="AN126" i="4"/>
  <c r="R23" i="13" s="1" a="1"/>
  <c r="R23" i="13" s="1"/>
  <c r="AN69" i="4"/>
  <c r="R31" i="13" s="1" a="1"/>
  <c r="R31" i="13" s="1"/>
  <c r="AN64" i="4"/>
  <c r="R29" i="13" s="1" a="1"/>
  <c r="R29" i="13" s="1"/>
  <c r="AN70" i="4"/>
  <c r="R32" i="13" s="1" a="1"/>
  <c r="R32" i="13" s="1"/>
  <c r="AN67" i="4"/>
  <c r="R28" i="13" s="1" a="1"/>
  <c r="R28" i="13" s="1"/>
  <c r="AN124" i="4"/>
  <c r="R19" i="13" s="1" a="1"/>
  <c r="R19" i="13" s="1"/>
  <c r="AN60" i="4"/>
  <c r="R40" i="13" s="1" a="1"/>
  <c r="R40" i="13" s="1"/>
  <c r="AN127" i="4"/>
  <c r="R24" i="13" s="1" a="1"/>
  <c r="R24" i="13" s="1"/>
  <c r="AH18" i="8"/>
  <c r="AH38" i="7" a="1"/>
  <c r="AH38" i="7" s="1"/>
  <c r="AG36" i="7" a="1"/>
  <c r="AG36" i="7" s="1"/>
  <c r="AG34" i="7" a="1"/>
  <c r="AG34" i="7" s="1"/>
  <c r="AG48" i="7" a="1"/>
  <c r="AG48" i="7" s="1"/>
  <c r="AJ95" i="7"/>
  <c r="AF95" i="7" a="1"/>
  <c r="AF95" i="7" s="1"/>
  <c r="AG54" i="7" a="1"/>
  <c r="AG54" i="7" s="1"/>
  <c r="AJ96" i="7"/>
  <c r="AF96" i="7" a="1"/>
  <c r="AF96" i="7" s="1"/>
  <c r="AF76" i="7" a="1"/>
  <c r="AF76" i="7" s="1"/>
  <c r="AJ76" i="7"/>
  <c r="AF110" i="7" a="1"/>
  <c r="AF110" i="7" s="1"/>
  <c r="AJ110" i="7"/>
  <c r="AF89" i="7" a="1"/>
  <c r="AF89" i="7" s="1"/>
  <c r="AJ89" i="7"/>
  <c r="AO52" i="8" a="1"/>
  <c r="AO52" i="8" s="1"/>
  <c r="AD59" i="4" s="1"/>
  <c r="G39" i="13" s="1" a="1"/>
  <c r="G39" i="13" s="1"/>
  <c r="AH60" i="7" a="1"/>
  <c r="AH60" i="7" s="1"/>
  <c r="AF70" i="7" a="1"/>
  <c r="AF70" i="7" s="1"/>
  <c r="AJ70" i="7"/>
  <c r="AJ102" i="7"/>
  <c r="AF102" i="7" a="1"/>
  <c r="AF102" i="7" s="1"/>
  <c r="AF99" i="7" a="1"/>
  <c r="AF99" i="7" s="1"/>
  <c r="AJ99" i="7"/>
  <c r="AU20" i="7"/>
  <c r="AH20" i="7" a="1"/>
  <c r="AH20" i="7" s="1"/>
  <c r="AG27" i="7" a="1"/>
  <c r="AG27" i="7" s="1"/>
  <c r="AH46" i="7" a="1"/>
  <c r="AH46" i="7" s="1"/>
  <c r="AF90" i="7" a="1"/>
  <c r="AF90" i="7" s="1"/>
  <c r="AJ90" i="7"/>
  <c r="AF79" i="7" a="1"/>
  <c r="AF79" i="7" s="1"/>
  <c r="AJ79" i="7"/>
  <c r="AF69" i="7" a="1"/>
  <c r="AF69" i="7" s="1"/>
  <c r="AJ69" i="7"/>
  <c r="AF73" i="7" a="1"/>
  <c r="AF73" i="7" s="1"/>
  <c r="AJ73" i="7"/>
  <c r="AA109" i="7" a="1"/>
  <c r="AA109" i="7" s="1"/>
  <c r="AA98" i="7" a="1"/>
  <c r="AA98" i="7" s="1"/>
  <c r="AA94" i="7" a="1"/>
  <c r="AA94" i="7" s="1"/>
  <c r="AA107" i="7" a="1"/>
  <c r="AA107" i="7" s="1"/>
  <c r="AA110" i="7" a="1"/>
  <c r="AA110" i="7" s="1"/>
  <c r="AA103" i="7" a="1"/>
  <c r="AA103" i="7" s="1"/>
  <c r="AA100" i="7" a="1"/>
  <c r="AA100" i="7" s="1"/>
  <c r="AA96" i="7" a="1"/>
  <c r="AA96" i="7" s="1"/>
  <c r="AA92" i="7" a="1"/>
  <c r="AA92" i="7" s="1"/>
  <c r="AA106" i="7" a="1"/>
  <c r="AA106" i="7" s="1"/>
  <c r="AA91" i="7" a="1"/>
  <c r="AA91" i="7" s="1"/>
  <c r="AA104" i="7" a="1"/>
  <c r="AA104" i="7" s="1"/>
  <c r="AA108" i="7" a="1"/>
  <c r="AA108" i="7" s="1"/>
  <c r="AA86" i="7" a="1"/>
  <c r="AA86" i="7" s="1"/>
  <c r="AA89" i="7" a="1"/>
  <c r="AA89" i="7" s="1"/>
  <c r="AA84" i="7" a="1"/>
  <c r="AA84" i="7" s="1"/>
  <c r="AA80" i="7" a="1"/>
  <c r="AA80" i="7" s="1"/>
  <c r="AA97" i="7" a="1"/>
  <c r="AA97" i="7" s="1"/>
  <c r="AA90" i="7" a="1"/>
  <c r="AA90" i="7" s="1"/>
  <c r="AA102" i="7" a="1"/>
  <c r="AA102" i="7" s="1"/>
  <c r="AA87" i="7" a="1"/>
  <c r="AA87" i="7" s="1"/>
  <c r="AA95" i="7" a="1"/>
  <c r="AA95" i="7" s="1"/>
  <c r="AA99" i="7" a="1"/>
  <c r="AA99" i="7" s="1"/>
  <c r="AA105" i="7" a="1"/>
  <c r="AA105" i="7" s="1"/>
  <c r="AA101" i="7" a="1"/>
  <c r="AA101" i="7" s="1"/>
  <c r="AA88" i="7" a="1"/>
  <c r="AA88" i="7" s="1"/>
  <c r="AA81" i="7" a="1"/>
  <c r="AA81" i="7" s="1"/>
  <c r="AA85" i="7" a="1"/>
  <c r="AA85" i="7" s="1"/>
  <c r="AA71" i="7" a="1"/>
  <c r="AA71" i="7" s="1"/>
  <c r="AA76" i="7" a="1"/>
  <c r="AA76" i="7" s="1"/>
  <c r="AA73" i="7" a="1"/>
  <c r="AA73" i="7" s="1"/>
  <c r="AA62" i="7" a="1"/>
  <c r="AA62" i="7" s="1"/>
  <c r="AA58" i="7" a="1"/>
  <c r="AA58" i="7" s="1"/>
  <c r="AA83" i="7" a="1"/>
  <c r="AA83" i="7" s="1"/>
  <c r="AA93" i="7" a="1"/>
  <c r="AA93" i="7" s="1"/>
  <c r="AA78" i="7" a="1"/>
  <c r="AA78" i="7" s="1"/>
  <c r="AA68" i="7" a="1"/>
  <c r="AA68" i="7" s="1"/>
  <c r="AA65" i="7" a="1"/>
  <c r="AA65" i="7" s="1"/>
  <c r="AA57" i="7" a="1"/>
  <c r="AA57" i="7" s="1"/>
  <c r="AA53" i="7" a="1"/>
  <c r="AA53" i="7" s="1"/>
  <c r="AA49" i="7" a="1"/>
  <c r="AA49" i="7" s="1"/>
  <c r="AA74" i="7" a="1"/>
  <c r="AA74" i="7" s="1"/>
  <c r="AA61" i="7" a="1"/>
  <c r="AA61" i="7" s="1"/>
  <c r="AA75" i="7" a="1"/>
  <c r="AA75" i="7" s="1"/>
  <c r="AA79" i="7" a="1"/>
  <c r="AA79" i="7" s="1"/>
  <c r="AA72" i="7" a="1"/>
  <c r="AA72" i="7" s="1"/>
  <c r="AA54" i="7" a="1"/>
  <c r="AA54" i="7" s="1"/>
  <c r="AA48" i="7" a="1"/>
  <c r="AA48" i="7" s="1"/>
  <c r="AA55" i="7" a="1"/>
  <c r="AA55" i="7" s="1"/>
  <c r="AA51" i="7" a="1"/>
  <c r="AA51" i="7" s="1"/>
  <c r="AA50" i="7" a="1"/>
  <c r="AA50" i="7" s="1"/>
  <c r="AA63" i="7" a="1"/>
  <c r="AA63" i="7" s="1"/>
  <c r="AA59" i="7" a="1"/>
  <c r="AA59" i="7" s="1"/>
  <c r="AA56" i="7" a="1"/>
  <c r="AA56" i="7" s="1"/>
  <c r="AA52" i="7" a="1"/>
  <c r="AA52" i="7" s="1"/>
  <c r="AA47" i="7" a="1"/>
  <c r="AA47" i="7" s="1"/>
  <c r="AA43" i="7" a="1"/>
  <c r="AA43" i="7" s="1"/>
  <c r="AA70" i="7" a="1"/>
  <c r="AA70" i="7" s="1"/>
  <c r="AA64" i="7" a="1"/>
  <c r="AA64" i="7" s="1"/>
  <c r="AA60" i="7" a="1"/>
  <c r="AA60" i="7" s="1"/>
  <c r="AA38" i="7" a="1"/>
  <c r="AA38" i="7" s="1"/>
  <c r="AA34" i="7" a="1"/>
  <c r="AA34" i="7" s="1"/>
  <c r="AA25" i="7" a="1"/>
  <c r="AA25" i="7" s="1"/>
  <c r="AA67" i="7" a="1"/>
  <c r="AA67" i="7" s="1"/>
  <c r="AA66" i="7" a="1"/>
  <c r="AA66" i="7" s="1"/>
  <c r="AA28" i="7" a="1"/>
  <c r="AA28" i="7" s="1"/>
  <c r="AA24" i="7" a="1"/>
  <c r="AA24" i="7" s="1"/>
  <c r="AA46" i="7" a="1"/>
  <c r="AA46" i="7" s="1"/>
  <c r="AA42" i="7" a="1"/>
  <c r="AA42" i="7" s="1"/>
  <c r="AA23" i="7" a="1"/>
  <c r="AA23" i="7" s="1"/>
  <c r="AA37" i="7" a="1"/>
  <c r="AA37" i="7" s="1"/>
  <c r="AA33" i="7" a="1"/>
  <c r="AA33" i="7" s="1"/>
  <c r="AA30" i="7" a="1"/>
  <c r="AA30" i="7" s="1"/>
  <c r="AA82" i="7" a="1"/>
  <c r="AA82" i="7" s="1"/>
  <c r="AA69" i="7" a="1"/>
  <c r="AA69" i="7" s="1"/>
  <c r="AA36" i="7" a="1"/>
  <c r="AA36" i="7" s="1"/>
  <c r="AA32" i="7" a="1"/>
  <c r="AA32" i="7" s="1"/>
  <c r="AA40" i="7" a="1"/>
  <c r="AA40" i="7" s="1"/>
  <c r="AA39" i="7" a="1"/>
  <c r="AA39" i="7" s="1"/>
  <c r="AA26" i="7" a="1"/>
  <c r="AA26" i="7" s="1"/>
  <c r="AA21" i="7" a="1"/>
  <c r="AA21" i="7" s="1"/>
  <c r="AA22" i="7" a="1"/>
  <c r="AA22" i="7" s="1"/>
  <c r="AA35" i="7" a="1"/>
  <c r="AA35" i="7" s="1"/>
  <c r="AA77" i="7" a="1"/>
  <c r="AA77" i="7" s="1"/>
  <c r="AA45" i="7" a="1"/>
  <c r="AA45" i="7" s="1"/>
  <c r="AA44" i="7" a="1"/>
  <c r="AA44" i="7" s="1"/>
  <c r="AA31" i="7" a="1"/>
  <c r="AA31" i="7" s="1"/>
  <c r="AA29" i="7" a="1"/>
  <c r="AA29" i="7" s="1"/>
  <c r="AA20" i="7" a="1"/>
  <c r="AA20" i="7" s="1"/>
  <c r="AA41" i="7" a="1"/>
  <c r="AA41" i="7" s="1"/>
  <c r="AA27" i="7" a="1"/>
  <c r="AA27" i="7" s="1"/>
  <c r="AB18" i="7"/>
  <c r="AP27" i="8" a="1"/>
  <c r="AP27" i="8" s="1"/>
  <c r="AE69" i="4" s="1"/>
  <c r="H31" i="13" s="1" a="1"/>
  <c r="H31" i="13" s="1"/>
  <c r="AH51" i="7" a="1"/>
  <c r="AH51" i="7" s="1"/>
  <c r="W110" i="4"/>
  <c r="X110" i="4" s="1"/>
  <c r="W113" i="4"/>
  <c r="X113" i="4" s="1"/>
  <c r="AH33" i="7" a="1"/>
  <c r="AH33" i="7" s="1"/>
  <c r="AJ91" i="7"/>
  <c r="AF91" i="7" a="1"/>
  <c r="AF91" i="7" s="1"/>
  <c r="AJ107" i="7"/>
  <c r="AF107" i="7" a="1"/>
  <c r="AF107" i="7" s="1"/>
  <c r="AJ98" i="7"/>
  <c r="AF98" i="7" a="1"/>
  <c r="AF98" i="7" s="1"/>
  <c r="AJ68" i="7"/>
  <c r="AF68" i="7" a="1"/>
  <c r="AF68" i="7" s="1"/>
  <c r="C92" i="8"/>
  <c r="D83" i="8"/>
  <c r="D92" i="8" s="1"/>
  <c r="D82" i="8" s="1"/>
  <c r="AV22" i="7"/>
  <c r="AK22" i="7"/>
  <c r="AJ103" i="7"/>
  <c r="AF103" i="7" a="1"/>
  <c r="AF103" i="7" s="1"/>
  <c r="AG59" i="7" a="1"/>
  <c r="AG59" i="7" s="1"/>
  <c r="AG37" i="7" a="1"/>
  <c r="AG37" i="7" s="1"/>
  <c r="AJ100" i="7"/>
  <c r="AF100" i="7" a="1"/>
  <c r="AF100" i="7" s="1"/>
  <c r="AG35" i="7" a="1"/>
  <c r="AG35" i="7" s="1"/>
  <c r="AK63" i="7"/>
  <c r="AF75" i="7" a="1"/>
  <c r="AF75" i="7" s="1"/>
  <c r="AJ75" i="7"/>
  <c r="AJ67" i="7"/>
  <c r="AF67" i="7" a="1"/>
  <c r="AF67" i="7" s="1"/>
  <c r="AF66" i="7" a="1"/>
  <c r="AF66" i="7" s="1"/>
  <c r="AJ66" i="7"/>
  <c r="AH57" i="7" a="1"/>
  <c r="AH57" i="7" s="1"/>
  <c r="AG47" i="7" a="1"/>
  <c r="AG47" i="7" s="1"/>
  <c r="AG32" i="7" a="1"/>
  <c r="AG32" i="7" s="1"/>
  <c r="AH43" i="7" a="1"/>
  <c r="AH43" i="7" s="1"/>
  <c r="AJ74" i="7"/>
  <c r="AF74" i="7" a="1"/>
  <c r="AF74" i="7" s="1"/>
  <c r="AJ78" i="7"/>
  <c r="AF78" i="7" a="1"/>
  <c r="AF78" i="7" s="1"/>
  <c r="AJ97" i="7"/>
  <c r="AF97" i="7" a="1"/>
  <c r="AF97" i="7" s="1"/>
  <c r="AJ82" i="7"/>
  <c r="AF82" i="7" a="1"/>
  <c r="AF82" i="7" s="1"/>
  <c r="AU23" i="7"/>
  <c r="AH23" i="7" a="1"/>
  <c r="AH23" i="7" s="1"/>
  <c r="AG56" i="7" a="1"/>
  <c r="AG56" i="7" s="1"/>
  <c r="AU25" i="7"/>
  <c r="AH25" i="7" a="1"/>
  <c r="AH25" i="7" s="1"/>
  <c r="AG45" i="7" a="1"/>
  <c r="AG45" i="7" s="1"/>
  <c r="AG62" i="7" a="1"/>
  <c r="AG62" i="7" s="1"/>
  <c r="AH61" i="7" a="1"/>
  <c r="AH61" i="7" s="1"/>
  <c r="AF109" i="7" a="1"/>
  <c r="AF109" i="7" s="1"/>
  <c r="AJ109" i="7"/>
  <c r="AF104" i="7" a="1"/>
  <c r="AF104" i="7" s="1"/>
  <c r="AJ104" i="7"/>
  <c r="AF86" i="7" a="1"/>
  <c r="AF86" i="7" s="1"/>
  <c r="AJ86" i="7"/>
  <c r="W81" i="4"/>
  <c r="AH42" i="7" a="1"/>
  <c r="AH42" i="7" s="1"/>
  <c r="AG52" i="7" a="1"/>
  <c r="AG52" i="7" s="1"/>
  <c r="AF64" i="7" a="1"/>
  <c r="AF64" i="7" s="1"/>
  <c r="AJ64" i="7"/>
  <c r="AF94" i="7" a="1"/>
  <c r="AF94" i="7" s="1"/>
  <c r="AJ94" i="7"/>
  <c r="AF65" i="7" a="1"/>
  <c r="AF65" i="7" s="1"/>
  <c r="AJ65" i="7"/>
  <c r="AJ87" i="7"/>
  <c r="AF87" i="7" a="1"/>
  <c r="AF87" i="7" s="1"/>
  <c r="AJ85" i="7"/>
  <c r="AF85" i="7" a="1"/>
  <c r="AF85" i="7" s="1"/>
  <c r="W86" i="4"/>
  <c r="X86" i="4" s="1"/>
  <c r="AH40" i="7" a="1"/>
  <c r="AH40" i="7" s="1"/>
  <c r="AJ88" i="7"/>
  <c r="AF88" i="7" a="1"/>
  <c r="AF88" i="7" s="1"/>
  <c r="AF106" i="7" a="1"/>
  <c r="AF106" i="7" s="1"/>
  <c r="AJ106" i="7"/>
  <c r="AJ108" i="7"/>
  <c r="AF108" i="7" a="1"/>
  <c r="AF108" i="7" s="1"/>
  <c r="AJ105" i="7"/>
  <c r="AF105" i="7" a="1"/>
  <c r="AF105" i="7" s="1"/>
  <c r="AG31" i="7" a="1"/>
  <c r="AG31" i="7" s="1"/>
  <c r="AT26" i="7"/>
  <c r="AG26" i="7" a="1"/>
  <c r="AG26" i="7" s="1"/>
  <c r="AH49" i="7" a="1"/>
  <c r="AH49" i="7" s="1"/>
  <c r="AG50" i="7" a="1"/>
  <c r="AG50" i="7" s="1"/>
  <c r="AT24" i="7"/>
  <c r="AG24" i="7" a="1"/>
  <c r="AG24" i="7" s="1"/>
  <c r="AG55" i="7" a="1"/>
  <c r="AG55" i="7" s="1"/>
  <c r="D200" i="7"/>
  <c r="D191" i="7" s="1"/>
  <c r="AJ83" i="7"/>
  <c r="AF83" i="7" a="1"/>
  <c r="AF83" i="7" s="1"/>
  <c r="U125" i="4"/>
  <c r="AG44" i="7" a="1"/>
  <c r="AG44" i="7" s="1"/>
  <c r="AK53" i="7"/>
  <c r="AF81" i="7" a="1"/>
  <c r="AF81" i="7" s="1"/>
  <c r="AJ81" i="7"/>
  <c r="AJ80" i="7"/>
  <c r="AF80" i="7" a="1"/>
  <c r="AF80" i="7" s="1"/>
  <c r="AF72" i="7" a="1"/>
  <c r="AF72" i="7" s="1"/>
  <c r="AJ72" i="7"/>
  <c r="AJ92" i="7"/>
  <c r="AF92" i="7" a="1"/>
  <c r="AF92" i="7" s="1"/>
  <c r="AT21" i="7"/>
  <c r="AG21" i="7" a="1"/>
  <c r="AG21" i="7" s="1"/>
  <c r="C200" i="7"/>
  <c r="V115" i="4"/>
  <c r="V114" i="4"/>
  <c r="V130" i="4"/>
  <c r="V123" i="4"/>
  <c r="V69" i="4"/>
  <c r="W75" i="4"/>
  <c r="V65" i="4"/>
  <c r="X78" i="4"/>
  <c r="W112" i="4"/>
  <c r="X112" i="4" s="1"/>
  <c r="V116" i="4"/>
  <c r="V133" i="4"/>
  <c r="W108" i="4"/>
  <c r="X108" i="4" s="1"/>
  <c r="V66" i="4"/>
  <c r="X77" i="4"/>
  <c r="W59" i="4"/>
  <c r="V131" i="4"/>
  <c r="V122" i="4"/>
  <c r="W82" i="4"/>
  <c r="X82" i="4" s="1"/>
  <c r="X74" i="4"/>
  <c r="V119" i="4"/>
  <c r="W90" i="4"/>
  <c r="X90" i="4" s="1"/>
  <c r="V128" i="4"/>
  <c r="W109" i="4"/>
  <c r="X109" i="4" s="1"/>
  <c r="W74" i="4"/>
  <c r="V134" i="4"/>
  <c r="V117" i="4"/>
  <c r="X75" i="4"/>
  <c r="V121" i="4"/>
  <c r="W57" i="4"/>
  <c r="X57" i="4" s="1"/>
  <c r="W62" i="4"/>
  <c r="W68" i="4"/>
  <c r="V67" i="4"/>
  <c r="V129" i="4"/>
  <c r="W79" i="4"/>
  <c r="W111" i="4"/>
  <c r="X111" i="4" s="1"/>
  <c r="U71" i="4"/>
  <c r="T118" i="4"/>
  <c r="T126" i="4"/>
  <c r="U132" i="4"/>
  <c r="V127" i="4"/>
  <c r="O89" i="4"/>
  <c r="J106" i="4"/>
  <c r="O106" i="4" s="1"/>
  <c r="K89" i="4"/>
  <c r="K79" i="4"/>
  <c r="O79" i="4"/>
  <c r="G20" i="3"/>
  <c r="G77" i="3"/>
  <c r="P129" i="4"/>
  <c r="L129" i="4"/>
  <c r="Q129" i="4" s="1"/>
  <c r="I111" i="4"/>
  <c r="N77" i="4"/>
  <c r="J77" i="4"/>
  <c r="N75" i="4"/>
  <c r="J75" i="4"/>
  <c r="M118" i="4"/>
  <c r="R118" i="4" s="1"/>
  <c r="I118" i="4"/>
  <c r="M67" i="4"/>
  <c r="R67" i="4" s="1"/>
  <c r="I67" i="4"/>
  <c r="K103" i="4"/>
  <c r="P103" i="4" s="1"/>
  <c r="P86" i="4"/>
  <c r="L86" i="4"/>
  <c r="N72" i="4"/>
  <c r="J72" i="4"/>
  <c r="J107" i="4"/>
  <c r="O107" i="4" s="1"/>
  <c r="O90" i="4"/>
  <c r="K90" i="4"/>
  <c r="J54" i="2"/>
  <c r="K65" i="4"/>
  <c r="O65" i="4"/>
  <c r="K53" i="2"/>
  <c r="K76" i="4"/>
  <c r="O76" i="4"/>
  <c r="N124" i="4"/>
  <c r="J124" i="4"/>
  <c r="H119" i="4"/>
  <c r="G120" i="4"/>
  <c r="H120" i="4" s="1"/>
  <c r="H115" i="3"/>
  <c r="O115" i="4"/>
  <c r="K115" i="4"/>
  <c r="G69" i="4"/>
  <c r="H68" i="4"/>
  <c r="O84" i="4"/>
  <c r="J101" i="4"/>
  <c r="K84" i="4"/>
  <c r="R88" i="4"/>
  <c r="M105" i="4"/>
  <c r="R105" i="4" s="1"/>
  <c r="M83" i="4"/>
  <c r="H100" i="4"/>
  <c r="H92" i="4" s="1"/>
  <c r="M103" i="4"/>
  <c r="R103" i="4" s="1"/>
  <c r="R86" i="4"/>
  <c r="P43" i="3"/>
  <c r="AE42" i="3"/>
  <c r="S43" i="3"/>
  <c r="O23" i="3"/>
  <c r="P23" i="3" s="1"/>
  <c r="G18" i="3"/>
  <c r="G78" i="3"/>
  <c r="F46" i="3"/>
  <c r="F134" i="4"/>
  <c r="O57" i="13" s="1" a="1"/>
  <c r="O57" i="13" s="1"/>
  <c r="CO57" i="13" s="1"/>
  <c r="CP57" i="13" s="1"/>
  <c r="CQ57" i="13" s="1"/>
  <c r="H133" i="4"/>
  <c r="I133" i="4" s="1"/>
  <c r="J133" i="4" s="1"/>
  <c r="K133" i="4" s="1"/>
  <c r="L133" i="4" s="1"/>
  <c r="O108" i="4"/>
  <c r="K108" i="4"/>
  <c r="H126" i="4"/>
  <c r="M126" i="4" s="1"/>
  <c r="R126" i="4" s="1"/>
  <c r="P35" i="3"/>
  <c r="AD35" i="3"/>
  <c r="J109" i="3"/>
  <c r="J111" i="3" s="1"/>
  <c r="J117" i="3" s="1"/>
  <c r="J118" i="3" s="1"/>
  <c r="N83" i="4"/>
  <c r="I100" i="4"/>
  <c r="I106" i="3"/>
  <c r="I121" i="4"/>
  <c r="O29" i="3"/>
  <c r="G71" i="3"/>
  <c r="O24" i="3"/>
  <c r="O87" i="4"/>
  <c r="J104" i="4"/>
  <c r="O104" i="4" s="1"/>
  <c r="K87" i="4"/>
  <c r="X42" i="4"/>
  <c r="O74" i="4"/>
  <c r="K74" i="4"/>
  <c r="N101" i="4"/>
  <c r="I93" i="4"/>
  <c r="N93" i="4" s="1"/>
  <c r="P73" i="4"/>
  <c r="K91" i="4"/>
  <c r="P91" i="4" s="1"/>
  <c r="L73" i="4"/>
  <c r="M101" i="4"/>
  <c r="R84" i="4"/>
  <c r="N117" i="4"/>
  <c r="J117" i="4"/>
  <c r="L94" i="3"/>
  <c r="H106" i="3"/>
  <c r="L99" i="3"/>
  <c r="J52" i="2"/>
  <c r="O34" i="3"/>
  <c r="I8" i="3"/>
  <c r="N46" i="3"/>
  <c r="U46" i="3" s="1"/>
  <c r="W46" i="3" s="1"/>
  <c r="O18" i="3"/>
  <c r="P18" i="3" s="1"/>
  <c r="G19" i="3"/>
  <c r="H19" i="3" s="1"/>
  <c r="N122" i="4"/>
  <c r="J122" i="4"/>
  <c r="O64" i="4"/>
  <c r="K64" i="4"/>
  <c r="F62" i="4"/>
  <c r="O42" i="13" s="1" a="1"/>
  <c r="O42" i="13" s="1"/>
  <c r="CO42" i="13" s="1"/>
  <c r="CP42" i="13" s="1"/>
  <c r="CQ42" i="13" s="1"/>
  <c r="H61" i="4"/>
  <c r="M61" i="4" s="1"/>
  <c r="R61" i="4" s="1"/>
  <c r="U60" i="4"/>
  <c r="T61" i="4"/>
  <c r="T135" i="4" s="1"/>
  <c r="H117" i="3"/>
  <c r="J83" i="4"/>
  <c r="I108" i="3"/>
  <c r="I114" i="3"/>
  <c r="O28" i="3"/>
  <c r="O31" i="3"/>
  <c r="P123" i="4"/>
  <c r="L123" i="4"/>
  <c r="Q123" i="4" s="1"/>
  <c r="K60" i="4"/>
  <c r="K125" i="4"/>
  <c r="P88" i="4"/>
  <c r="K105" i="4"/>
  <c r="P105" i="4" s="1"/>
  <c r="L88" i="4"/>
  <c r="M107" i="4"/>
  <c r="R107" i="4" s="1"/>
  <c r="R90" i="4"/>
  <c r="O78" i="4"/>
  <c r="K78" i="4"/>
  <c r="AD30" i="3"/>
  <c r="P30" i="3"/>
  <c r="G23" i="3"/>
  <c r="G72" i="3"/>
  <c r="I112" i="4"/>
  <c r="G36" i="3"/>
  <c r="O20" i="3"/>
  <c r="P20" i="3" s="1"/>
  <c r="G79" i="3"/>
  <c r="M90" i="3" s="1"/>
  <c r="K90" i="3" s="1"/>
  <c r="L90" i="3" s="1"/>
  <c r="G22" i="3"/>
  <c r="O33" i="3"/>
  <c r="AF44" i="3"/>
  <c r="R89" i="4"/>
  <c r="M106" i="4"/>
  <c r="R106" i="4" s="1"/>
  <c r="P85" i="4"/>
  <c r="K102" i="4"/>
  <c r="P102" i="4" s="1"/>
  <c r="L85" i="4"/>
  <c r="H128" i="4"/>
  <c r="M128" i="4" s="1"/>
  <c r="R128" i="4" s="1"/>
  <c r="R73" i="4"/>
  <c r="M91" i="4"/>
  <c r="R91" i="4" s="1"/>
  <c r="P66" i="4"/>
  <c r="L66" i="4"/>
  <c r="Q66" i="4" s="1"/>
  <c r="P32" i="3"/>
  <c r="AD32" i="3"/>
  <c r="P81" i="4"/>
  <c r="L81" i="4"/>
  <c r="Q81" i="4" s="1"/>
  <c r="G35" i="3"/>
  <c r="J114" i="4"/>
  <c r="N80" i="4"/>
  <c r="J80" i="4"/>
  <c r="N109" i="4"/>
  <c r="J109" i="4"/>
  <c r="AR107" i="20" a="1"/>
  <c r="AR63" i="20" a="1"/>
  <c r="AR46" i="20" a="1"/>
  <c r="AS99" i="7" a="1"/>
  <c r="AS77" i="7" a="1"/>
  <c r="AS100" i="7" a="1"/>
  <c r="AT54" i="7" a="1"/>
  <c r="AZ50" i="8" a="1"/>
  <c r="AU49" i="7" a="1"/>
  <c r="AT34" i="7" a="1"/>
  <c r="BB20" i="8" a="1"/>
  <c r="AS102" i="7" a="1"/>
  <c r="AS95" i="7" a="1"/>
  <c r="AZ80" i="8" a="1"/>
  <c r="AZ37" i="8" a="1"/>
  <c r="AZ101" i="8" a="1"/>
  <c r="AT35" i="7" a="1"/>
  <c r="AT32" i="7" a="1"/>
  <c r="AU51" i="7" a="1"/>
  <c r="BA112" i="8" a="1"/>
  <c r="AZ49" i="8" a="1"/>
  <c r="AS66" i="7" a="1"/>
  <c r="AS98" i="7" a="1"/>
  <c r="AU42" i="7" a="1"/>
  <c r="AU46" i="7" a="1"/>
  <c r="AZ41" i="8" a="1"/>
  <c r="AZ116" i="8" a="1"/>
  <c r="AZ38" i="8" a="1"/>
  <c r="AS72" i="7" a="1"/>
  <c r="AV58" i="7" a="1"/>
  <c r="AU61" i="7" a="1"/>
  <c r="AS87" i="7" a="1"/>
  <c r="AU33" i="7" a="1"/>
  <c r="AS71" i="7" a="1"/>
  <c r="AS65" i="7" a="1"/>
  <c r="AS88" i="7" a="1"/>
  <c r="AZ70" i="8" a="1"/>
  <c r="BA62" i="8" a="1"/>
  <c r="AR24" i="20" a="1"/>
  <c r="AR61" i="20" a="1"/>
  <c r="AR54" i="20" a="1"/>
  <c r="AR92" i="20" a="1"/>
  <c r="AR39" i="20" a="1"/>
  <c r="AS105" i="7" a="1"/>
  <c r="AZ84" i="8" a="1"/>
  <c r="AU43" i="7" a="1"/>
  <c r="AS90" i="7" a="1"/>
  <c r="AS69" i="7" a="1"/>
  <c r="BA102" i="8" a="1"/>
  <c r="AZ65" i="8" a="1"/>
  <c r="BA60" i="8" a="1"/>
  <c r="AU40" i="7" a="1"/>
  <c r="BA57" i="8" a="1"/>
  <c r="AS70" i="7" a="1"/>
  <c r="AS108" i="7" a="1"/>
  <c r="AT41" i="7" a="1"/>
  <c r="AR66" i="20" a="1"/>
  <c r="AZ114" i="8" a="1"/>
  <c r="AZ68" i="8" a="1"/>
  <c r="AR99" i="20" a="1"/>
  <c r="AR87" i="20" a="1"/>
  <c r="AR78" i="20" a="1"/>
  <c r="AR72" i="20" a="1"/>
  <c r="AR64" i="20" a="1"/>
  <c r="AR57" i="20" a="1"/>
  <c r="AZ104" i="8" a="1"/>
  <c r="AZ44" i="8" a="1"/>
  <c r="AS80" i="7" a="1"/>
  <c r="AT62" i="7" a="1"/>
  <c r="BA93" i="8" a="1"/>
  <c r="BA64" i="8" a="1"/>
  <c r="AZ85" i="8" a="1"/>
  <c r="AZ115" i="8" a="1"/>
  <c r="AS81" i="7" a="1"/>
  <c r="AS85" i="7" a="1"/>
  <c r="AZ48" i="8" a="1"/>
  <c r="AZ86" i="8" a="1"/>
  <c r="AT27" i="7" a="1"/>
  <c r="AZ69" i="8" a="1"/>
  <c r="BA51" i="8" a="1"/>
  <c r="AS92" i="7" a="1"/>
  <c r="AT48" i="7" a="1"/>
  <c r="AZ90" i="8" a="1"/>
  <c r="AT59" i="7" a="1"/>
  <c r="AZ75" i="8" a="1"/>
  <c r="AT44" i="7" a="1"/>
  <c r="AR23" i="20" a="1"/>
  <c r="AR60" i="20" a="1"/>
  <c r="AR53" i="20" a="1"/>
  <c r="AR104" i="20" a="1"/>
  <c r="AR51" i="20" a="1"/>
  <c r="AR42" i="20" a="1"/>
  <c r="AZ94" i="8" a="1"/>
  <c r="AV53" i="7" a="1"/>
  <c r="AT39" i="7" a="1"/>
  <c r="AS68" i="7" a="1"/>
  <c r="AZ45" i="8" a="1"/>
  <c r="BC27" i="8" a="1"/>
  <c r="BA88" i="8" a="1"/>
  <c r="AZ32" i="8" a="1"/>
  <c r="AS78" i="7" a="1"/>
  <c r="AV63" i="7" a="1"/>
  <c r="AR62" i="20" a="1"/>
  <c r="AR82" i="20" a="1"/>
  <c r="AS73" i="7" a="1"/>
  <c r="AR36" i="20" a="1"/>
  <c r="AS64" i="7" a="1"/>
  <c r="AT31" i="7" a="1"/>
  <c r="AZ110" i="8" a="1"/>
  <c r="AU38" i="7" a="1"/>
  <c r="BA98" i="8" a="1"/>
  <c r="AS83" i="7" a="1"/>
  <c r="AS94" i="7" a="1"/>
  <c r="AU57" i="7" a="1"/>
  <c r="AS75" i="7" a="1"/>
  <c r="BD22" i="8" a="1"/>
  <c r="AS110" i="7" a="1"/>
  <c r="BA20" i="8" a="1"/>
  <c r="BA34" i="8" a="1"/>
  <c r="AT56" i="7" a="1"/>
  <c r="AT47" i="7" a="1"/>
  <c r="BA21" i="8" a="1"/>
  <c r="BA108" i="8" a="1"/>
  <c r="AR21" i="20" a="1"/>
  <c r="AR59" i="20" a="1"/>
  <c r="AS52" i="20" a="1"/>
  <c r="AR96" i="20" a="1"/>
  <c r="AR83" i="20" a="1"/>
  <c r="BB22" i="8" a="1"/>
  <c r="BA26" i="8" a="1"/>
  <c r="BA56" i="8" a="1"/>
  <c r="AS89" i="7" a="1"/>
  <c r="AS93" i="7" a="1"/>
  <c r="AZ35" i="8" a="1"/>
  <c r="AZ106" i="8" a="1"/>
  <c r="AS96" i="7" a="1"/>
  <c r="AS67" i="7" a="1"/>
  <c r="AZ95" i="8" a="1"/>
  <c r="BA42" i="8" a="1"/>
  <c r="BA53" i="8" a="1"/>
  <c r="AS101" i="7" a="1"/>
  <c r="AS104" i="7" a="1"/>
  <c r="AS97" i="7" a="1"/>
  <c r="BA59" i="8" a="1"/>
  <c r="AZ91" i="8" a="1"/>
  <c r="AU60" i="7" a="1"/>
  <c r="BA46" i="8" a="1"/>
  <c r="AR95" i="20" a="1"/>
  <c r="AR31" i="20" a="1"/>
  <c r="AT37" i="7" a="1"/>
  <c r="AZ43" i="8" a="1"/>
  <c r="AR55" i="20" a="1"/>
  <c r="AS86" i="7" a="1"/>
  <c r="AR91" i="20" a="1"/>
  <c r="AR47" i="20" a="1"/>
  <c r="AR40" i="20" a="1"/>
  <c r="AZ76" i="8" a="1"/>
  <c r="BA63" i="8" a="1"/>
  <c r="AS84" i="7" a="1"/>
  <c r="AS20" i="20" a="1"/>
  <c r="AR58" i="20" a="1"/>
  <c r="AR108" i="20" a="1"/>
  <c r="AR34" i="20" a="1"/>
  <c r="AZ81" i="8" a="1"/>
  <c r="AR100" i="20" a="1"/>
  <c r="AR77" i="20" a="1"/>
  <c r="AR71" i="20" a="1"/>
  <c r="AZ111" i="8" a="1"/>
  <c r="AT52" i="7" a="1"/>
  <c r="AS79" i="7" a="1"/>
  <c r="AS76" i="7" a="1"/>
  <c r="AS82" i="7" a="1"/>
  <c r="BA55" i="8" a="1"/>
  <c r="AS103" i="7" a="1"/>
  <c r="AS106" i="7" a="1"/>
  <c r="AT50" i="7" a="1"/>
  <c r="BA103" i="8" a="1"/>
  <c r="AZ100" i="8" a="1"/>
  <c r="AS74" i="7" a="1"/>
  <c r="BA36" i="8" a="1"/>
  <c r="BA54" i="8" a="1"/>
  <c r="AT45" i="7" a="1"/>
  <c r="AZ105" i="8" a="1"/>
  <c r="AZ74" i="8" a="1"/>
  <c r="BA72" i="8" a="1"/>
  <c r="AS107" i="7" a="1"/>
  <c r="AZ79" i="8" a="1"/>
  <c r="AZ107" i="8" a="1"/>
  <c r="AS91" i="7" a="1"/>
  <c r="AZ67" i="8" a="1"/>
  <c r="AR26" i="20" a="1"/>
  <c r="AS22" i="20" a="1"/>
  <c r="AR56" i="20" a="1"/>
  <c r="AR88" i="20" a="1"/>
  <c r="AT55" i="7" a="1"/>
  <c r="AT36" i="7" a="1"/>
  <c r="BA97" i="8" a="1"/>
  <c r="BA52" i="8" a="1"/>
  <c r="AZ96" i="8" a="1"/>
  <c r="AR25" i="20" a="1"/>
  <c r="AR73" i="20" a="1"/>
  <c r="AS109" i="7" a="1"/>
  <c r="AZ33" i="8" a="1"/>
  <c r="BA61" i="8" a="1"/>
  <c r="BA47" i="8" a="1"/>
  <c r="AR73" i="20" l="1"/>
  <c r="AR25" i="20"/>
  <c r="BA52" i="8"/>
  <c r="AR88" i="20"/>
  <c r="AR56" i="20"/>
  <c r="AS22" i="20"/>
  <c r="AR26" i="20"/>
  <c r="AR71" i="20"/>
  <c r="AR77" i="20"/>
  <c r="AR100" i="20"/>
  <c r="AR34" i="20"/>
  <c r="AR108" i="20"/>
  <c r="AR58" i="20"/>
  <c r="AS20" i="20"/>
  <c r="AR40" i="20"/>
  <c r="AR47" i="20"/>
  <c r="AR91" i="20"/>
  <c r="AR55" i="20"/>
  <c r="AR31" i="20"/>
  <c r="AR95" i="20"/>
  <c r="AR83" i="20"/>
  <c r="AR96" i="20"/>
  <c r="AS52" i="20"/>
  <c r="AR59" i="20"/>
  <c r="AR21" i="20"/>
  <c r="AR36" i="20"/>
  <c r="AR82" i="20"/>
  <c r="AR62" i="20"/>
  <c r="AZ94" i="8"/>
  <c r="AR42" i="20"/>
  <c r="AR51" i="20"/>
  <c r="AR104" i="20"/>
  <c r="AR53" i="20"/>
  <c r="AR60" i="20"/>
  <c r="AR23" i="20"/>
  <c r="AZ104" i="8"/>
  <c r="AR57" i="20"/>
  <c r="AR64" i="20"/>
  <c r="AR72" i="20"/>
  <c r="AR78" i="20"/>
  <c r="AR87" i="20"/>
  <c r="AR99" i="20"/>
  <c r="AZ114" i="8"/>
  <c r="AR66" i="20"/>
  <c r="AR39" i="20"/>
  <c r="AR92" i="20"/>
  <c r="AR54" i="20"/>
  <c r="AR61" i="20"/>
  <c r="AR24" i="20"/>
  <c r="AR46" i="20"/>
  <c r="AR63" i="20"/>
  <c r="AR107" i="20"/>
  <c r="AJ30" i="20"/>
  <c r="Z95" i="4"/>
  <c r="E95" i="13" a="1"/>
  <c r="E95" i="13" s="1"/>
  <c r="T56" i="4"/>
  <c r="U56" i="4" s="1"/>
  <c r="V56" i="4" s="1"/>
  <c r="W56" i="4" s="1"/>
  <c r="X56" i="4" s="1"/>
  <c r="AF42" i="4"/>
  <c r="AG42" i="4" s="1"/>
  <c r="AH42" i="4" s="1"/>
  <c r="AI42" i="4" s="1"/>
  <c r="H71" i="10"/>
  <c r="P24" i="10"/>
  <c r="AD38" i="10"/>
  <c r="H36" i="10"/>
  <c r="AD37" i="10"/>
  <c r="AD45" i="10" s="1"/>
  <c r="AE46" i="10" s="1"/>
  <c r="H35" i="10"/>
  <c r="H77" i="10"/>
  <c r="H20" i="10"/>
  <c r="M88" i="10"/>
  <c r="K88" i="10" s="1"/>
  <c r="G80" i="10"/>
  <c r="M116" i="10" s="1"/>
  <c r="H79" i="10"/>
  <c r="H22" i="10"/>
  <c r="H72" i="10"/>
  <c r="H23" i="10"/>
  <c r="H78" i="10"/>
  <c r="H18" i="10"/>
  <c r="H15" i="10" s="1"/>
  <c r="H16" i="10" s="1"/>
  <c r="L16" i="10" s="1"/>
  <c r="H52" i="11"/>
  <c r="AB82" i="11"/>
  <c r="Y84" i="11"/>
  <c r="E52" i="11"/>
  <c r="E7" i="11" s="1"/>
  <c r="E16" i="11" s="1"/>
  <c r="Y67" i="11"/>
  <c r="AB64" i="11"/>
  <c r="Y95" i="11"/>
  <c r="AB85" i="11"/>
  <c r="AB84" i="11"/>
  <c r="AB95" i="11"/>
  <c r="AB69" i="11"/>
  <c r="J10" i="15"/>
  <c r="AE38" i="20" a="1"/>
  <c r="AE38" i="20" s="1"/>
  <c r="AE37" i="20" a="1"/>
  <c r="AE37" i="20" s="1"/>
  <c r="AE35" i="20" a="1"/>
  <c r="AE35" i="20" s="1"/>
  <c r="AE33" i="20" a="1"/>
  <c r="AE33" i="20" s="1"/>
  <c r="AE32" i="20" a="1"/>
  <c r="AE32" i="20" s="1"/>
  <c r="AF31" i="20" a="1"/>
  <c r="AF31" i="20" s="1"/>
  <c r="AF34" i="20" a="1"/>
  <c r="AF34" i="20" s="1"/>
  <c r="AF36" i="20" a="1"/>
  <c r="AF36" i="20" s="1"/>
  <c r="AF39" i="20" a="1"/>
  <c r="AF39" i="20" s="1"/>
  <c r="AE45" i="20" a="1"/>
  <c r="AE45" i="20" s="1"/>
  <c r="AE44" i="20" a="1"/>
  <c r="AE44" i="20" s="1"/>
  <c r="AE43" i="20" a="1"/>
  <c r="AE43" i="20" s="1"/>
  <c r="AE41" i="20" a="1"/>
  <c r="AE41" i="20" s="1"/>
  <c r="AF40" i="20" a="1"/>
  <c r="AF40" i="20" s="1"/>
  <c r="AF42" i="20" a="1"/>
  <c r="AF42" i="20" s="1"/>
  <c r="AF46" i="20" a="1"/>
  <c r="AF46" i="20" s="1"/>
  <c r="AE50" i="20" a="1"/>
  <c r="AE50" i="20" s="1"/>
  <c r="AE49" i="20" a="1"/>
  <c r="AE49" i="20" s="1"/>
  <c r="AE48" i="20" a="1"/>
  <c r="AE48" i="20" s="1"/>
  <c r="AF47" i="20" a="1"/>
  <c r="AF47" i="20" s="1"/>
  <c r="AF51" i="20" a="1"/>
  <c r="AF51" i="20" s="1"/>
  <c r="AJ57" i="20"/>
  <c r="AF57" i="20" a="1"/>
  <c r="AF57" i="20" s="1"/>
  <c r="AF63" i="20" a="1"/>
  <c r="AF63" i="20" s="1"/>
  <c r="AE70" i="20" a="1"/>
  <c r="AE70" i="20" s="1"/>
  <c r="AE69" i="20" a="1"/>
  <c r="AE69" i="20" s="1"/>
  <c r="AE68" i="20" a="1"/>
  <c r="AE68" i="20" s="1"/>
  <c r="AE67" i="20" a="1"/>
  <c r="AE67" i="20" s="1"/>
  <c r="AE65" i="20" a="1"/>
  <c r="AE65" i="20" s="1"/>
  <c r="AF64" i="20" a="1"/>
  <c r="AF64" i="20" s="1"/>
  <c r="AF66" i="20" a="1"/>
  <c r="AF66" i="20" s="1"/>
  <c r="AF71" i="20" a="1"/>
  <c r="AF71" i="20" s="1"/>
  <c r="AE76" i="20" a="1"/>
  <c r="AE76" i="20" s="1"/>
  <c r="AE75" i="20" a="1"/>
  <c r="AE75" i="20" s="1"/>
  <c r="AE74" i="20" a="1"/>
  <c r="AE74" i="20" s="1"/>
  <c r="AF72" i="20" a="1"/>
  <c r="AF72" i="20" s="1"/>
  <c r="AF73" i="20" a="1"/>
  <c r="AF73" i="20" s="1"/>
  <c r="AF77" i="20" a="1"/>
  <c r="AF77" i="20" s="1"/>
  <c r="AE81" i="20" a="1"/>
  <c r="AE81" i="20" s="1"/>
  <c r="AE80" i="20" a="1"/>
  <c r="AE80" i="20" s="1"/>
  <c r="AE79" i="20" a="1"/>
  <c r="AE79" i="20" s="1"/>
  <c r="AF78" i="20" a="1"/>
  <c r="AF78" i="20" s="1"/>
  <c r="AF82" i="20" a="1"/>
  <c r="AF82" i="20" s="1"/>
  <c r="AE86" i="20" a="1"/>
  <c r="AE86" i="20" s="1"/>
  <c r="AE85" i="20" a="1"/>
  <c r="AE85" i="20" s="1"/>
  <c r="AE84" i="20" a="1"/>
  <c r="AE84" i="20" s="1"/>
  <c r="AF83" i="20" a="1"/>
  <c r="AF83" i="20" s="1"/>
  <c r="AF87" i="20" a="1"/>
  <c r="AF87" i="20" s="1"/>
  <c r="AE90" i="20" a="1"/>
  <c r="AE90" i="20" s="1"/>
  <c r="AE89" i="20" a="1"/>
  <c r="AE89" i="20" s="1"/>
  <c r="AF88" i="20" a="1"/>
  <c r="AF88" i="20" s="1"/>
  <c r="AF91" i="20" a="1"/>
  <c r="AF91" i="20" s="1"/>
  <c r="AE94" i="20" a="1"/>
  <c r="AE94" i="20" s="1"/>
  <c r="AE93" i="20" a="1"/>
  <c r="AE93" i="20" s="1"/>
  <c r="AF92" i="20" a="1"/>
  <c r="AF92" i="20" s="1"/>
  <c r="AF95" i="20" a="1"/>
  <c r="AF95" i="20" s="1"/>
  <c r="AE98" i="20" a="1"/>
  <c r="AE98" i="20" s="1"/>
  <c r="AE97" i="20" a="1"/>
  <c r="AE97" i="20" s="1"/>
  <c r="AF96" i="20" a="1"/>
  <c r="AF96" i="20" s="1"/>
  <c r="AF99" i="20" a="1"/>
  <c r="AF99" i="20" s="1"/>
  <c r="AE102" i="20" a="1"/>
  <c r="AE102" i="20" s="1"/>
  <c r="AE101" i="20" a="1"/>
  <c r="AE101" i="20" s="1"/>
  <c r="AE103" i="20" a="1"/>
  <c r="AE103" i="20" s="1"/>
  <c r="AF100" i="20" a="1"/>
  <c r="AF100" i="20" s="1"/>
  <c r="AE106" i="20" a="1"/>
  <c r="AE106" i="20" s="1"/>
  <c r="AE105" i="20" a="1"/>
  <c r="AE105" i="20" s="1"/>
  <c r="AF104" i="20" a="1"/>
  <c r="AF104" i="20" s="1"/>
  <c r="AF107" i="20" a="1"/>
  <c r="AF107" i="20" s="1"/>
  <c r="AE110" i="20" a="1"/>
  <c r="AE110" i="20" s="1"/>
  <c r="AE109" i="20" a="1"/>
  <c r="AE109" i="20" s="1"/>
  <c r="AF108" i="20" a="1"/>
  <c r="AF108" i="20" s="1"/>
  <c r="AG52" i="20" a="1"/>
  <c r="AG52" i="20" s="1"/>
  <c r="AJ53" i="20"/>
  <c r="AF53" i="20" a="1"/>
  <c r="AF53" i="20" s="1"/>
  <c r="AJ54" i="20"/>
  <c r="AF54" i="20" a="1"/>
  <c r="AF54" i="20" s="1"/>
  <c r="AJ55" i="20"/>
  <c r="AF55" i="20" a="1"/>
  <c r="AF55" i="20" s="1"/>
  <c r="AJ56" i="20"/>
  <c r="AF56" i="20" a="1"/>
  <c r="AF56" i="20" s="1"/>
  <c r="AJ58" i="20"/>
  <c r="AF58" i="20" a="1"/>
  <c r="AF58" i="20" s="1"/>
  <c r="AJ59" i="20"/>
  <c r="AF59" i="20" a="1"/>
  <c r="AF59" i="20" s="1"/>
  <c r="AJ60" i="20"/>
  <c r="AF60" i="20" a="1"/>
  <c r="AF60" i="20" s="1"/>
  <c r="AJ61" i="20"/>
  <c r="AF61" i="20" a="1"/>
  <c r="AF61" i="20" s="1"/>
  <c r="AJ62" i="20"/>
  <c r="AF62" i="20" a="1"/>
  <c r="AF62" i="20" s="1"/>
  <c r="AG22" i="20" a="1"/>
  <c r="AG22" i="20" s="1"/>
  <c r="AG20" i="20" a="1"/>
  <c r="AG20" i="20" s="1"/>
  <c r="AJ21" i="20"/>
  <c r="AF21" i="20" a="1"/>
  <c r="AF21" i="20" s="1"/>
  <c r="AJ23" i="20"/>
  <c r="AF23" i="20" a="1"/>
  <c r="AF23" i="20" s="1"/>
  <c r="AJ24" i="20"/>
  <c r="AF24" i="20" a="1"/>
  <c r="AF24" i="20" s="1"/>
  <c r="AJ25" i="20"/>
  <c r="AF25" i="20" a="1"/>
  <c r="AF25" i="20" s="1"/>
  <c r="AJ26" i="20"/>
  <c r="AF26" i="20" a="1"/>
  <c r="AF26" i="20" s="1"/>
  <c r="BA102" i="13"/>
  <c r="BQ102" i="13"/>
  <c r="BJ102" i="13"/>
  <c r="AQ102" i="13"/>
  <c r="AX102" i="13"/>
  <c r="BD102" i="13"/>
  <c r="BB102" i="13"/>
  <c r="AO102" i="13" s="1"/>
  <c r="BA93" i="13"/>
  <c r="AX93" i="13"/>
  <c r="BJ93" i="13"/>
  <c r="BB93" i="13"/>
  <c r="AO93" i="13" s="1"/>
  <c r="BQ93" i="13"/>
  <c r="BD93" i="13"/>
  <c r="AQ93" i="13"/>
  <c r="BQ32" i="13"/>
  <c r="BA32" i="13"/>
  <c r="AX32" i="13"/>
  <c r="BJ32" i="13"/>
  <c r="AQ32" i="13"/>
  <c r="BD32" i="13"/>
  <c r="BB32" i="13"/>
  <c r="AO32" i="13" s="1"/>
  <c r="BA28" i="13"/>
  <c r="BB28" i="13"/>
  <c r="AO28" i="13" s="1"/>
  <c r="AQ28" i="13"/>
  <c r="BD28" i="13"/>
  <c r="BJ28" i="13"/>
  <c r="AX28" i="13"/>
  <c r="BQ28" i="13"/>
  <c r="BA27" i="13"/>
  <c r="AZ27" i="13" s="1"/>
  <c r="AK27" i="13"/>
  <c r="AL27" i="13" s="1"/>
  <c r="AM27" i="13" s="1"/>
  <c r="AN27" i="13" s="1"/>
  <c r="AO27" i="13" s="1"/>
  <c r="BB27" i="13"/>
  <c r="BD27" i="13"/>
  <c r="AQ27" i="13"/>
  <c r="BJ27" i="13"/>
  <c r="BQ27" i="13"/>
  <c r="AX27" i="13"/>
  <c r="BB105" i="13"/>
  <c r="AO105" i="13" s="1"/>
  <c r="BQ105" i="13"/>
  <c r="BJ105" i="13"/>
  <c r="AX105" i="13"/>
  <c r="BA105" i="13"/>
  <c r="BD105" i="13"/>
  <c r="AQ105" i="13"/>
  <c r="AX91" i="13"/>
  <c r="BJ91" i="13"/>
  <c r="BB91" i="13"/>
  <c r="AO91" i="13" s="1"/>
  <c r="BD91" i="13"/>
  <c r="AQ91" i="13"/>
  <c r="BA91" i="13"/>
  <c r="BQ91" i="13"/>
  <c r="BA107" i="13"/>
  <c r="BB107" i="13"/>
  <c r="AO107" i="13" s="1"/>
  <c r="BD107" i="13"/>
  <c r="AQ107" i="13"/>
  <c r="BJ107" i="13"/>
  <c r="AX107" i="13"/>
  <c r="BQ107" i="13"/>
  <c r="AX81" i="13"/>
  <c r="BJ81" i="13"/>
  <c r="BB81" i="13"/>
  <c r="AO81" i="13" s="1"/>
  <c r="BO81" i="13"/>
  <c r="BA81" i="13"/>
  <c r="BD81" i="13"/>
  <c r="AQ81" i="13"/>
  <c r="BN81" i="13"/>
  <c r="BQ81" i="13"/>
  <c r="BK81" i="13"/>
  <c r="BL81" i="13" s="1"/>
  <c r="BM81" i="13" s="1"/>
  <c r="BJ70" i="13"/>
  <c r="BQ70" i="13"/>
  <c r="AX70" i="13"/>
  <c r="BA70" i="13"/>
  <c r="AQ70" i="13"/>
  <c r="BD70" i="13"/>
  <c r="BB70" i="13"/>
  <c r="AO70" i="13" s="1"/>
  <c r="BQ76" i="13"/>
  <c r="BK76" i="13"/>
  <c r="AX76" i="13"/>
  <c r="BJ76" i="13"/>
  <c r="BA76" i="13"/>
  <c r="BN76" i="13"/>
  <c r="BB76" i="13"/>
  <c r="AO76" i="13" s="1"/>
  <c r="BO76" i="13"/>
  <c r="AQ76" i="13"/>
  <c r="BD76" i="13"/>
  <c r="AQ73" i="13"/>
  <c r="BJ73" i="13"/>
  <c r="AX73" i="13"/>
  <c r="BK73" i="13"/>
  <c r="BN73" i="13"/>
  <c r="BA73" i="13"/>
  <c r="BB73" i="13"/>
  <c r="AO73" i="13" s="1"/>
  <c r="BO73" i="13"/>
  <c r="BQ73" i="13"/>
  <c r="BD73" i="13"/>
  <c r="AX29" i="13"/>
  <c r="BJ29" i="13"/>
  <c r="BD29" i="13"/>
  <c r="AQ29" i="13"/>
  <c r="BQ29" i="13"/>
  <c r="BA29" i="13"/>
  <c r="BB29" i="13"/>
  <c r="AO29" i="13" s="1"/>
  <c r="BJ104" i="13"/>
  <c r="BQ104" i="13"/>
  <c r="BA104" i="13"/>
  <c r="BB104" i="13"/>
  <c r="AO104" i="13" s="1"/>
  <c r="BD104" i="13"/>
  <c r="AQ104" i="13"/>
  <c r="AX104" i="13"/>
  <c r="AQ30" i="13"/>
  <c r="BD30" i="13"/>
  <c r="BJ30" i="13"/>
  <c r="AX30" i="13"/>
  <c r="BQ30" i="13"/>
  <c r="BA30" i="13"/>
  <c r="BB30" i="13"/>
  <c r="AO30" i="13" s="1"/>
  <c r="BA40" i="13"/>
  <c r="BB40" i="13"/>
  <c r="AO40" i="13" s="1"/>
  <c r="AQ40" i="13"/>
  <c r="BD40" i="13"/>
  <c r="BQ40" i="13"/>
  <c r="AX40" i="13"/>
  <c r="BJ40" i="13"/>
  <c r="BJ39" i="13"/>
  <c r="BB39" i="13"/>
  <c r="AO39" i="13" s="1"/>
  <c r="BK39" i="13"/>
  <c r="BN39" i="13"/>
  <c r="BO39" i="13"/>
  <c r="BA39" i="13"/>
  <c r="AQ39" i="13"/>
  <c r="BD39" i="13"/>
  <c r="BQ39" i="13"/>
  <c r="AX39" i="13"/>
  <c r="BK59" i="13"/>
  <c r="BA59" i="13"/>
  <c r="BO59" i="13"/>
  <c r="BB59" i="13"/>
  <c r="AO59" i="13" s="1"/>
  <c r="BQ59" i="13"/>
  <c r="BJ59" i="13"/>
  <c r="AX59" i="13"/>
  <c r="AQ59" i="13"/>
  <c r="BD59" i="13"/>
  <c r="BN59" i="13"/>
  <c r="BA33" i="13"/>
  <c r="BB33" i="13"/>
  <c r="AO33" i="13" s="1"/>
  <c r="AQ33" i="13"/>
  <c r="BD33" i="13"/>
  <c r="AX33" i="13"/>
  <c r="BJ33" i="13"/>
  <c r="BQ33" i="13"/>
  <c r="AQ23" i="13"/>
  <c r="BA23" i="13"/>
  <c r="BD23" i="13"/>
  <c r="BB23" i="13"/>
  <c r="AO23" i="13" s="1"/>
  <c r="BQ23" i="13"/>
  <c r="AQ54" i="13"/>
  <c r="BD54" i="13"/>
  <c r="AX54" i="13"/>
  <c r="BQ54" i="13"/>
  <c r="BJ54" i="13"/>
  <c r="BB54" i="13"/>
  <c r="AO54" i="13" s="1"/>
  <c r="BA54" i="13"/>
  <c r="BA42" i="13"/>
  <c r="AQ42" i="13"/>
  <c r="BQ42" i="13"/>
  <c r="BB42" i="13"/>
  <c r="AO42" i="13" s="1"/>
  <c r="BD42" i="13"/>
  <c r="AQ55" i="13"/>
  <c r="BJ55" i="13"/>
  <c r="AX55" i="13"/>
  <c r="BN55" i="13"/>
  <c r="BL55" i="13" s="1"/>
  <c r="BM55" i="13" s="1"/>
  <c r="BA55" i="13"/>
  <c r="BQ55" i="13"/>
  <c r="BB55" i="13"/>
  <c r="AO55" i="13" s="1"/>
  <c r="BD55" i="13"/>
  <c r="BO55" i="13"/>
  <c r="BQ51" i="13"/>
  <c r="BD51" i="13"/>
  <c r="AQ51" i="13"/>
  <c r="BA51" i="13"/>
  <c r="BB51" i="13"/>
  <c r="AO51" i="13" s="1"/>
  <c r="BQ34" i="13"/>
  <c r="BB34" i="13"/>
  <c r="AO34" i="13" s="1"/>
  <c r="AQ34" i="13"/>
  <c r="BA34" i="13"/>
  <c r="BD34" i="13"/>
  <c r="BB50" i="13"/>
  <c r="AO50" i="13" s="1"/>
  <c r="BD50" i="13"/>
  <c r="BA50" i="13"/>
  <c r="BQ50" i="13"/>
  <c r="AQ50" i="13"/>
  <c r="AX109" i="13"/>
  <c r="BJ109" i="13"/>
  <c r="BQ109" i="13"/>
  <c r="BA109" i="13"/>
  <c r="BB109" i="13"/>
  <c r="AO109" i="13" s="1"/>
  <c r="AQ109" i="13"/>
  <c r="BD109" i="13"/>
  <c r="AX61" i="13"/>
  <c r="BJ61" i="13"/>
  <c r="BA61" i="13"/>
  <c r="BN61" i="13"/>
  <c r="BB61" i="13"/>
  <c r="AO61" i="13" s="1"/>
  <c r="BO61" i="13"/>
  <c r="BQ61" i="13"/>
  <c r="BD61" i="13"/>
  <c r="AQ61" i="13"/>
  <c r="BK61" i="13"/>
  <c r="BA49" i="13"/>
  <c r="BD49" i="13"/>
  <c r="AQ49" i="13"/>
  <c r="BQ49" i="13"/>
  <c r="BB49" i="13"/>
  <c r="AO49" i="13" s="1"/>
  <c r="BJ49" i="13"/>
  <c r="BA24" i="13"/>
  <c r="BB24" i="13"/>
  <c r="AO24" i="13" s="1"/>
  <c r="BD24" i="13"/>
  <c r="AQ24" i="13"/>
  <c r="BQ24" i="13"/>
  <c r="BD25" i="13"/>
  <c r="AQ25" i="13"/>
  <c r="BQ25" i="13"/>
  <c r="BA25" i="13"/>
  <c r="BB25" i="13"/>
  <c r="AO25" i="13" s="1"/>
  <c r="BB41" i="13"/>
  <c r="AO41" i="13" s="1"/>
  <c r="AQ41" i="13"/>
  <c r="BD41" i="13"/>
  <c r="BQ41" i="13"/>
  <c r="BJ41" i="13"/>
  <c r="BA41" i="13"/>
  <c r="AQ31" i="13"/>
  <c r="BD31" i="13"/>
  <c r="AX31" i="13"/>
  <c r="BJ31" i="13"/>
  <c r="BA31" i="13"/>
  <c r="BB31" i="13"/>
  <c r="AO31" i="13" s="1"/>
  <c r="BQ31" i="13"/>
  <c r="AQ53" i="13"/>
  <c r="BQ53" i="13"/>
  <c r="AX53" i="13"/>
  <c r="BA53" i="13"/>
  <c r="BB53" i="13"/>
  <c r="AO53" i="13" s="1"/>
  <c r="BD53" i="13"/>
  <c r="BK53" i="13"/>
  <c r="BJ53" i="13"/>
  <c r="BN53" i="13"/>
  <c r="BO53" i="13"/>
  <c r="BA57" i="13"/>
  <c r="BB57" i="13"/>
  <c r="AO57" i="13" s="1"/>
  <c r="BQ57" i="13"/>
  <c r="AQ57" i="13"/>
  <c r="BD57" i="13"/>
  <c r="BB43" i="13"/>
  <c r="AO43" i="13" s="1"/>
  <c r="BD43" i="13"/>
  <c r="BQ43" i="13"/>
  <c r="BA43" i="13"/>
  <c r="AQ43" i="13"/>
  <c r="BB72" i="13"/>
  <c r="AO72" i="13" s="1"/>
  <c r="BO72" i="13"/>
  <c r="BJ72" i="13"/>
  <c r="BK72" i="13"/>
  <c r="BQ72" i="13"/>
  <c r="BA72" i="13"/>
  <c r="BD72" i="13"/>
  <c r="AX72" i="13"/>
  <c r="BN72" i="13"/>
  <c r="AQ72" i="13"/>
  <c r="BD75" i="13"/>
  <c r="BQ75" i="13"/>
  <c r="AX75" i="13"/>
  <c r="BJ75" i="13"/>
  <c r="BA75" i="13"/>
  <c r="BK75" i="13"/>
  <c r="BN75" i="13"/>
  <c r="BB75" i="13"/>
  <c r="AO75" i="13" s="1"/>
  <c r="BO75" i="13"/>
  <c r="AQ75" i="13"/>
  <c r="BQ77" i="13"/>
  <c r="AQ77" i="13"/>
  <c r="BA77" i="13"/>
  <c r="BN77" i="13"/>
  <c r="BB77" i="13"/>
  <c r="AO77" i="13" s="1"/>
  <c r="BO77" i="13"/>
  <c r="AX77" i="13"/>
  <c r="BJ77" i="13"/>
  <c r="BD77" i="13"/>
  <c r="BK77" i="13"/>
  <c r="BL77" i="13" s="1"/>
  <c r="BM77" i="13" s="1"/>
  <c r="BO79" i="13"/>
  <c r="BN79" i="13"/>
  <c r="BQ79" i="13"/>
  <c r="AX79" i="13"/>
  <c r="BJ79" i="13"/>
  <c r="BA79" i="13"/>
  <c r="BD79" i="13"/>
  <c r="AQ79" i="13"/>
  <c r="BK79" i="13"/>
  <c r="BB79" i="13"/>
  <c r="AO79" i="13" s="1"/>
  <c r="BJ80" i="13"/>
  <c r="BK80" i="13"/>
  <c r="BA80" i="13"/>
  <c r="BN80" i="13"/>
  <c r="AQ80" i="13"/>
  <c r="BD80" i="13"/>
  <c r="BQ80" i="13"/>
  <c r="BO80" i="13"/>
  <c r="BB80" i="13"/>
  <c r="AO80" i="13" s="1"/>
  <c r="AX80" i="13"/>
  <c r="BA82" i="13"/>
  <c r="BD82" i="13"/>
  <c r="AQ82" i="13"/>
  <c r="BQ82" i="13"/>
  <c r="AX82" i="13"/>
  <c r="BB82" i="13"/>
  <c r="AO82" i="13" s="1"/>
  <c r="BJ82" i="13"/>
  <c r="BQ84" i="13"/>
  <c r="BA84" i="13"/>
  <c r="BD84" i="13"/>
  <c r="AQ84" i="13"/>
  <c r="AX84" i="13"/>
  <c r="BJ84" i="13"/>
  <c r="BB84" i="13"/>
  <c r="AO84" i="13" s="1"/>
  <c r="BB85" i="13"/>
  <c r="AO85" i="13" s="1"/>
  <c r="AQ85" i="13"/>
  <c r="AX85" i="13"/>
  <c r="BD85" i="13"/>
  <c r="BJ85" i="13"/>
  <c r="BQ85" i="13"/>
  <c r="BA85" i="13"/>
  <c r="AQ86" i="13"/>
  <c r="BD86" i="13"/>
  <c r="AX86" i="13"/>
  <c r="BJ86" i="13"/>
  <c r="BA86" i="13"/>
  <c r="BB86" i="13"/>
  <c r="AO86" i="13" s="1"/>
  <c r="BQ86" i="13"/>
  <c r="BJ88" i="13"/>
  <c r="BA88" i="13"/>
  <c r="AX88" i="13"/>
  <c r="BB88" i="13"/>
  <c r="AO88" i="13" s="1"/>
  <c r="BQ88" i="13"/>
  <c r="AQ88" i="13"/>
  <c r="BD88" i="13"/>
  <c r="AQ89" i="13"/>
  <c r="BD89" i="13"/>
  <c r="AX89" i="13"/>
  <c r="BA89" i="13"/>
  <c r="BQ89" i="13"/>
  <c r="BJ89" i="13"/>
  <c r="BB89" i="13"/>
  <c r="AO89" i="13" s="1"/>
  <c r="BD90" i="13"/>
  <c r="BJ90" i="13"/>
  <c r="BB90" i="13"/>
  <c r="AO90" i="13" s="1"/>
  <c r="BQ90" i="13"/>
  <c r="AX90" i="13"/>
  <c r="BA90" i="13"/>
  <c r="AQ90" i="13"/>
  <c r="AQ101" i="13"/>
  <c r="BD101" i="13"/>
  <c r="BQ101" i="13"/>
  <c r="BA101" i="13"/>
  <c r="BJ101" i="13"/>
  <c r="AX101" i="13"/>
  <c r="BB101" i="13"/>
  <c r="AO101" i="13" s="1"/>
  <c r="AQ103" i="13"/>
  <c r="BJ103" i="13"/>
  <c r="BQ103" i="13"/>
  <c r="AX103" i="13"/>
  <c r="BA103" i="13"/>
  <c r="BB103" i="13"/>
  <c r="AO103" i="13" s="1"/>
  <c r="BD103" i="13"/>
  <c r="BD106" i="13"/>
  <c r="BJ106" i="13"/>
  <c r="AX106" i="13"/>
  <c r="BQ106" i="13"/>
  <c r="AQ106" i="13"/>
  <c r="BA106" i="13"/>
  <c r="BB106" i="13"/>
  <c r="AO106" i="13" s="1"/>
  <c r="BA47" i="13"/>
  <c r="BO47" i="13"/>
  <c r="BQ47" i="13"/>
  <c r="AX47" i="13"/>
  <c r="BD47" i="13"/>
  <c r="BB47" i="13"/>
  <c r="AO47" i="13" s="1"/>
  <c r="BJ47" i="13"/>
  <c r="BN47" i="13"/>
  <c r="BL47" i="13" s="1"/>
  <c r="BM47" i="13" s="1"/>
  <c r="AQ47" i="13"/>
  <c r="AX45" i="13"/>
  <c r="BD45" i="13"/>
  <c r="AQ45" i="13"/>
  <c r="BQ45" i="13"/>
  <c r="BA45" i="13"/>
  <c r="BB45" i="13"/>
  <c r="AO45" i="13" s="1"/>
  <c r="BJ45" i="13"/>
  <c r="BO45" i="13"/>
  <c r="BB46" i="13"/>
  <c r="AO46" i="13" s="1"/>
  <c r="BK46" i="13"/>
  <c r="AQ46" i="13"/>
  <c r="BN46" i="13"/>
  <c r="BA46" i="13"/>
  <c r="AX46" i="13"/>
  <c r="BO46" i="13"/>
  <c r="BJ46" i="13"/>
  <c r="BQ46" i="13"/>
  <c r="BD46" i="13"/>
  <c r="BJ48" i="13"/>
  <c r="BB48" i="13"/>
  <c r="AO48" i="13" s="1"/>
  <c r="AQ48" i="13"/>
  <c r="BD48" i="13"/>
  <c r="AX48" i="13"/>
  <c r="BQ48" i="13"/>
  <c r="BA48" i="13"/>
  <c r="BK36" i="13"/>
  <c r="BN36" i="13"/>
  <c r="AX36" i="13"/>
  <c r="BO36" i="13"/>
  <c r="BB36" i="13"/>
  <c r="AO36" i="13" s="1"/>
  <c r="BJ36" i="13"/>
  <c r="BQ36" i="13"/>
  <c r="BD36" i="13"/>
  <c r="AQ36" i="13"/>
  <c r="BA36" i="13"/>
  <c r="AQ37" i="13"/>
  <c r="BK37" i="13"/>
  <c r="BO37" i="13"/>
  <c r="BQ37" i="13"/>
  <c r="AX37" i="13"/>
  <c r="BA37" i="13"/>
  <c r="BB37" i="13"/>
  <c r="AO37" i="13" s="1"/>
  <c r="BJ37" i="13"/>
  <c r="BN37" i="13"/>
  <c r="BD37" i="13"/>
  <c r="AR114" i="8"/>
  <c r="AR104" i="8"/>
  <c r="AN94" i="8" a="1"/>
  <c r="AN94" i="8" s="1"/>
  <c r="AC95" i="4" s="1"/>
  <c r="F95" i="13" s="1" a="1"/>
  <c r="F95" i="13" s="1"/>
  <c r="AR94" i="8"/>
  <c r="AM89" i="8" a="1"/>
  <c r="AM89" i="8" s="1"/>
  <c r="AB94" i="4" s="1"/>
  <c r="W72" i="4"/>
  <c r="X72" i="4" s="1"/>
  <c r="X73" i="4" s="1"/>
  <c r="BA20" i="8"/>
  <c r="BB22" i="8"/>
  <c r="O110" i="4"/>
  <c r="K110" i="4"/>
  <c r="N82" i="4"/>
  <c r="J82" i="4"/>
  <c r="AB109" i="11"/>
  <c r="AB107" i="11"/>
  <c r="J33" i="15"/>
  <c r="P27" i="3"/>
  <c r="P36" i="3"/>
  <c r="J113" i="4"/>
  <c r="K113" i="4" s="1"/>
  <c r="O130" i="4"/>
  <c r="K130" i="4"/>
  <c r="O59" i="4"/>
  <c r="O131" i="4" s="1"/>
  <c r="O132" i="4" s="1"/>
  <c r="O133" i="4" s="1"/>
  <c r="K59" i="4"/>
  <c r="N135" i="4"/>
  <c r="N134" i="4"/>
  <c r="BL19" i="13"/>
  <c r="BM19" i="13" s="1"/>
  <c r="BL67" i="13"/>
  <c r="BM67" i="13" s="1"/>
  <c r="BL78" i="13"/>
  <c r="BM78" i="13" s="1"/>
  <c r="BL65" i="13"/>
  <c r="BM65" i="13" s="1"/>
  <c r="BL66" i="13"/>
  <c r="BM66" i="13" s="1"/>
  <c r="BL68" i="13"/>
  <c r="BM68" i="13" s="1"/>
  <c r="AN67" i="13"/>
  <c r="AZ67" i="13"/>
  <c r="AM67" i="13" s="1"/>
  <c r="BG21" i="13"/>
  <c r="AU21" i="13" s="1"/>
  <c r="BH21" i="13"/>
  <c r="AV21" i="13" s="1"/>
  <c r="BF21" i="13"/>
  <c r="AT21" i="13" s="1"/>
  <c r="AN100" i="13"/>
  <c r="AZ100" i="13"/>
  <c r="AM100" i="13" s="1"/>
  <c r="AN65" i="13"/>
  <c r="AZ65" i="13"/>
  <c r="AM65" i="13" s="1"/>
  <c r="BR67" i="13"/>
  <c r="BH67" i="13"/>
  <c r="AV67" i="13" s="1"/>
  <c r="BF67" i="13"/>
  <c r="AT67" i="13" s="1"/>
  <c r="BG67" i="13"/>
  <c r="AU67" i="13" s="1"/>
  <c r="BU67" i="13"/>
  <c r="BV67" i="13"/>
  <c r="BF18" i="13"/>
  <c r="AT18" i="13" s="1"/>
  <c r="BG18" i="13"/>
  <c r="AU18" i="13" s="1"/>
  <c r="BH18" i="13"/>
  <c r="AV18" i="13" s="1"/>
  <c r="BG68" i="13"/>
  <c r="AU68" i="13" s="1"/>
  <c r="BU68" i="13"/>
  <c r="BF68" i="13"/>
  <c r="AT68" i="13" s="1"/>
  <c r="BV68" i="13"/>
  <c r="BH68" i="13"/>
  <c r="AV68" i="13" s="1"/>
  <c r="BR68" i="13"/>
  <c r="BF66" i="13"/>
  <c r="AT66" i="13" s="1"/>
  <c r="BH66" i="13"/>
  <c r="AV66" i="13" s="1"/>
  <c r="BR66" i="13"/>
  <c r="BS66" i="13" s="1"/>
  <c r="BT66" i="13" s="1"/>
  <c r="BG66" i="13"/>
  <c r="AU66" i="13" s="1"/>
  <c r="BR83" i="13"/>
  <c r="BH83" i="13"/>
  <c r="AV83" i="13" s="1"/>
  <c r="BV83" i="13"/>
  <c r="BF83" i="13"/>
  <c r="AT83" i="13" s="1"/>
  <c r="BG83" i="13"/>
  <c r="AU83" i="13" s="1"/>
  <c r="BU83" i="13"/>
  <c r="BL18" i="13"/>
  <c r="BM18" i="13" s="1"/>
  <c r="BV92" i="13"/>
  <c r="BF92" i="13"/>
  <c r="AT92" i="13" s="1"/>
  <c r="BH92" i="13"/>
  <c r="AV92" i="13" s="1"/>
  <c r="BR92" i="13"/>
  <c r="BU92" i="13"/>
  <c r="BG92" i="13"/>
  <c r="AU92" i="13" s="1"/>
  <c r="BG20" i="13"/>
  <c r="AU20" i="13" s="1"/>
  <c r="BH20" i="13"/>
  <c r="AV20" i="13" s="1"/>
  <c r="BF20" i="13"/>
  <c r="AT20" i="13" s="1"/>
  <c r="BF19" i="13"/>
  <c r="AT19" i="13" s="1"/>
  <c r="BG19" i="13"/>
  <c r="AU19" i="13" s="1"/>
  <c r="BH19" i="13"/>
  <c r="AV19" i="13" s="1"/>
  <c r="AN22" i="13"/>
  <c r="AZ22" i="13"/>
  <c r="AM22" i="13" s="1"/>
  <c r="AN87" i="13"/>
  <c r="AZ87" i="13"/>
  <c r="AM87" i="13" s="1"/>
  <c r="AN68" i="13"/>
  <c r="AZ68" i="13"/>
  <c r="AM68" i="13" s="1"/>
  <c r="AN78" i="13"/>
  <c r="AZ78" i="13"/>
  <c r="AM78" i="13" s="1"/>
  <c r="BG74" i="13"/>
  <c r="AU74" i="13" s="1"/>
  <c r="BV74" i="13"/>
  <c r="BR74" i="13"/>
  <c r="BU74" i="13"/>
  <c r="BF74" i="13"/>
  <c r="AT74" i="13" s="1"/>
  <c r="BH74" i="13"/>
  <c r="AV74" i="13" s="1"/>
  <c r="BF78" i="13"/>
  <c r="AT78" i="13" s="1"/>
  <c r="BH78" i="13"/>
  <c r="AV78" i="13" s="1"/>
  <c r="BV78" i="13"/>
  <c r="BR78" i="13"/>
  <c r="BU78" i="13"/>
  <c r="BG78" i="13"/>
  <c r="AU78" i="13" s="1"/>
  <c r="AN92" i="13"/>
  <c r="AZ92" i="13"/>
  <c r="AM92" i="13" s="1"/>
  <c r="AN74" i="13"/>
  <c r="AZ74" i="13"/>
  <c r="AM74" i="13" s="1"/>
  <c r="AN21" i="13"/>
  <c r="AZ21" i="13"/>
  <c r="AM21" i="13" s="1"/>
  <c r="BF65" i="13"/>
  <c r="AT65" i="13" s="1"/>
  <c r="BH65" i="13"/>
  <c r="AV65" i="13" s="1"/>
  <c r="BG65" i="13"/>
  <c r="AU65" i="13" s="1"/>
  <c r="BR65" i="13"/>
  <c r="BS65" i="13" s="1"/>
  <c r="BT65" i="13" s="1"/>
  <c r="BU69" i="13"/>
  <c r="BV69" i="13"/>
  <c r="BH69" i="13"/>
  <c r="AV69" i="13" s="1"/>
  <c r="BR69" i="13"/>
  <c r="BG69" i="13"/>
  <c r="AU69" i="13" s="1"/>
  <c r="BF69" i="13"/>
  <c r="AT69" i="13" s="1"/>
  <c r="AN66" i="13"/>
  <c r="AZ66" i="13"/>
  <c r="AM66" i="13" s="1"/>
  <c r="AN19" i="13"/>
  <c r="AZ19" i="13"/>
  <c r="AM19" i="13" s="1"/>
  <c r="BV100" i="13"/>
  <c r="BU100" i="13"/>
  <c r="BF100" i="13"/>
  <c r="AT100" i="13" s="1"/>
  <c r="BH100" i="13"/>
  <c r="AV100" i="13" s="1"/>
  <c r="BR100" i="13"/>
  <c r="BG100" i="13"/>
  <c r="AU100" i="13" s="1"/>
  <c r="AN69" i="13"/>
  <c r="AZ69" i="13"/>
  <c r="AM69" i="13" s="1"/>
  <c r="BF22" i="13"/>
  <c r="AT22" i="13" s="1"/>
  <c r="BG22" i="13"/>
  <c r="AU22" i="13" s="1"/>
  <c r="BH22" i="13"/>
  <c r="AV22" i="13" s="1"/>
  <c r="BH87" i="13"/>
  <c r="AV87" i="13" s="1"/>
  <c r="BR87" i="13"/>
  <c r="BF87" i="13"/>
  <c r="AT87" i="13" s="1"/>
  <c r="BV87" i="13"/>
  <c r="BG87" i="13"/>
  <c r="AU87" i="13" s="1"/>
  <c r="BU87" i="13"/>
  <c r="AN20" i="13"/>
  <c r="AZ20" i="13"/>
  <c r="AM20" i="13" s="1"/>
  <c r="AN83" i="13"/>
  <c r="AZ83" i="13"/>
  <c r="AM83" i="13" s="1"/>
  <c r="BL74" i="13"/>
  <c r="BM74" i="13" s="1"/>
  <c r="AG44" i="3"/>
  <c r="E102" i="11"/>
  <c r="AR73" i="8"/>
  <c r="P41" i="10"/>
  <c r="AR47" i="8"/>
  <c r="AB129" i="4"/>
  <c r="E36" i="13" s="1" a="1"/>
  <c r="E36" i="13" s="1"/>
  <c r="AR61" i="8"/>
  <c r="AB135" i="4"/>
  <c r="E56" i="13" s="1" a="1"/>
  <c r="E56" i="13" s="1"/>
  <c r="AR78" i="8"/>
  <c r="AR42" i="8"/>
  <c r="AB115" i="4"/>
  <c r="E45" i="13" s="1" a="1"/>
  <c r="E45" i="13" s="1"/>
  <c r="AB114" i="4"/>
  <c r="E47" i="13" s="1" a="1"/>
  <c r="E47" i="13" s="1"/>
  <c r="AR62" i="8"/>
  <c r="AB132" i="4"/>
  <c r="E54" i="13" s="1" a="1"/>
  <c r="E54" i="13" s="1"/>
  <c r="AR59" i="8"/>
  <c r="AB134" i="4"/>
  <c r="E57" i="13" s="1" a="1"/>
  <c r="E57" i="13" s="1"/>
  <c r="AR34" i="8"/>
  <c r="AB122" i="4"/>
  <c r="E18" i="13" s="1" a="1"/>
  <c r="E18" i="13" s="1"/>
  <c r="AR64" i="8"/>
  <c r="AB110" i="4"/>
  <c r="E67" i="13" s="1" a="1"/>
  <c r="E67" i="13" s="1"/>
  <c r="AR36" i="8"/>
  <c r="AB128" i="4"/>
  <c r="E25" i="13" s="1" a="1"/>
  <c r="E25" i="13" s="1"/>
  <c r="AN115" i="4"/>
  <c r="R45" i="13" s="1" a="1"/>
  <c r="R45" i="13" s="1"/>
  <c r="AN114" i="4"/>
  <c r="R47" i="13" s="1" a="1"/>
  <c r="R47" i="13" s="1"/>
  <c r="L116" i="4"/>
  <c r="Q116" i="4" s="1"/>
  <c r="P116" i="4"/>
  <c r="N127" i="4"/>
  <c r="J127" i="4"/>
  <c r="AR23" i="8"/>
  <c r="AN28" i="8" a="1"/>
  <c r="AN28" i="8" s="1"/>
  <c r="AB71" i="4"/>
  <c r="E33" i="13" s="1" a="1"/>
  <c r="E33" i="13" s="1"/>
  <c r="W73" i="4"/>
  <c r="AR103" i="8"/>
  <c r="AB79" i="4"/>
  <c r="E79" i="13" s="1" a="1"/>
  <c r="E79" i="13" s="1"/>
  <c r="AR83" i="8"/>
  <c r="AR88" i="8"/>
  <c r="AB76" i="4"/>
  <c r="E76" i="13" s="1" a="1"/>
  <c r="E76" i="13" s="1"/>
  <c r="AR108" i="8"/>
  <c r="AB80" i="4"/>
  <c r="E80" i="13" s="1" a="1"/>
  <c r="E80" i="13" s="1"/>
  <c r="AR93" i="8"/>
  <c r="AB77" i="4"/>
  <c r="E77" i="13" s="1" a="1"/>
  <c r="E77" i="13" s="1"/>
  <c r="AR98" i="8"/>
  <c r="AB78" i="4"/>
  <c r="E78" i="13" s="1" a="1"/>
  <c r="E78" i="13" s="1"/>
  <c r="BD22" i="8"/>
  <c r="E88" i="9"/>
  <c r="AE65" i="4"/>
  <c r="H27" i="13" s="1" a="1"/>
  <c r="H27" i="13" s="1"/>
  <c r="AS22" i="8"/>
  <c r="AR24" i="8"/>
  <c r="AN29" i="8" a="1"/>
  <c r="AN29" i="8" s="1"/>
  <c r="AB70" i="4"/>
  <c r="E32" i="13" s="1" a="1"/>
  <c r="E32" i="13" s="1"/>
  <c r="AR55" i="8"/>
  <c r="AB61" i="4"/>
  <c r="E41" i="13" s="1" a="1"/>
  <c r="E41" i="13" s="1"/>
  <c r="AR56" i="8"/>
  <c r="AB60" i="4"/>
  <c r="E40" i="13" s="1" a="1"/>
  <c r="E40" i="13" s="1"/>
  <c r="AR53" i="8"/>
  <c r="AB62" i="4"/>
  <c r="E42" i="13" s="1" a="1"/>
  <c r="E42" i="13" s="1"/>
  <c r="AZ45" i="8"/>
  <c r="BA47" i="8"/>
  <c r="AZ35" i="8"/>
  <c r="AZ91" i="8"/>
  <c r="BA63" i="8"/>
  <c r="AZ116" i="8"/>
  <c r="AZ41" i="8"/>
  <c r="BA112" i="8"/>
  <c r="AZ100" i="8"/>
  <c r="AZ50" i="8"/>
  <c r="AZ38" i="8"/>
  <c r="BA62" i="8"/>
  <c r="AZ86" i="8"/>
  <c r="BA98" i="8"/>
  <c r="AZ49" i="8"/>
  <c r="AZ33" i="8"/>
  <c r="BA53" i="8"/>
  <c r="BA56" i="8"/>
  <c r="AZ80" i="8"/>
  <c r="AZ85" i="8"/>
  <c r="AZ48" i="8"/>
  <c r="BA34" i="8"/>
  <c r="AZ79" i="8"/>
  <c r="BA72" i="8"/>
  <c r="AZ67" i="8"/>
  <c r="BA93" i="8"/>
  <c r="BA21" i="8"/>
  <c r="AZ76" i="8"/>
  <c r="AZ84" i="8"/>
  <c r="BA54" i="8"/>
  <c r="AZ68" i="8"/>
  <c r="AZ96" i="8"/>
  <c r="AZ81" i="8"/>
  <c r="AZ74" i="8"/>
  <c r="BA60" i="8"/>
  <c r="BA55" i="8"/>
  <c r="AZ70" i="8"/>
  <c r="AZ95" i="8"/>
  <c r="AZ110" i="8"/>
  <c r="BA26" i="8"/>
  <c r="AZ75" i="8"/>
  <c r="AZ106" i="8"/>
  <c r="BA97" i="8"/>
  <c r="AZ65" i="8"/>
  <c r="BA108" i="8"/>
  <c r="BA51" i="8"/>
  <c r="BA42" i="8"/>
  <c r="BA61" i="8"/>
  <c r="AZ107" i="8"/>
  <c r="BA64" i="8"/>
  <c r="BA57" i="8"/>
  <c r="AZ111" i="8"/>
  <c r="BB20" i="8"/>
  <c r="BA103" i="8"/>
  <c r="AZ69" i="8"/>
  <c r="BA46" i="8"/>
  <c r="BA36" i="8"/>
  <c r="AZ44" i="8"/>
  <c r="BA102" i="8"/>
  <c r="AZ105" i="8"/>
  <c r="AZ32" i="8"/>
  <c r="BA88" i="8"/>
  <c r="AZ115" i="8"/>
  <c r="AZ43" i="8"/>
  <c r="AZ101" i="8"/>
  <c r="AZ37" i="8"/>
  <c r="AZ90" i="8"/>
  <c r="BA59" i="8"/>
  <c r="AM45" i="8" a="1"/>
  <c r="AM45" i="8" s="1"/>
  <c r="AN47" i="8" a="1"/>
  <c r="AN47" i="8" s="1"/>
  <c r="AC129" i="4" s="1"/>
  <c r="F36" i="13" s="1" a="1"/>
  <c r="F36" i="13" s="1"/>
  <c r="AM35" i="8" a="1"/>
  <c r="AM35" i="8" s="1"/>
  <c r="AR28" i="8"/>
  <c r="AN87" i="8" a="1"/>
  <c r="AN87" i="8" s="1"/>
  <c r="AM91" i="8" a="1"/>
  <c r="AM91" i="8" s="1"/>
  <c r="AB85" i="4" s="1"/>
  <c r="E85" i="13" s="1" a="1"/>
  <c r="E85" i="13" s="1"/>
  <c r="AN63" i="8" a="1"/>
  <c r="AN63" i="8" s="1"/>
  <c r="AN73" i="8" a="1"/>
  <c r="AN73" i="8" s="1"/>
  <c r="AC73" i="4" s="1"/>
  <c r="AM116" i="8" a="1"/>
  <c r="AM116" i="8" s="1"/>
  <c r="AM41" i="8" a="1"/>
  <c r="AM41" i="8" s="1"/>
  <c r="AN112" i="8" a="1"/>
  <c r="AN112" i="8" s="1"/>
  <c r="AM100" i="8" a="1"/>
  <c r="AM100" i="8" s="1"/>
  <c r="AM50" i="8" a="1"/>
  <c r="AM50" i="8" s="1"/>
  <c r="AR50" i="8" s="1"/>
  <c r="AM38" i="8" a="1"/>
  <c r="AM38" i="8" s="1"/>
  <c r="AN62" i="8" a="1"/>
  <c r="AN62" i="8" s="1"/>
  <c r="AC132" i="4" s="1"/>
  <c r="F54" i="13" s="1" a="1"/>
  <c r="F54" i="13" s="1"/>
  <c r="AN113" i="8" a="1"/>
  <c r="AN113" i="8" s="1"/>
  <c r="AC81" i="4" s="1"/>
  <c r="F81" i="13" s="1" a="1"/>
  <c r="F81" i="13" s="1"/>
  <c r="AR40" i="8"/>
  <c r="AN40" i="8" a="1"/>
  <c r="AN40" i="8" s="1"/>
  <c r="AC116" i="4" s="1"/>
  <c r="F46" i="13" s="1" a="1"/>
  <c r="F46" i="13" s="1"/>
  <c r="AM86" i="8" a="1"/>
  <c r="AM86" i="8" s="1"/>
  <c r="AN98" i="8" a="1"/>
  <c r="AN98" i="8" s="1"/>
  <c r="AC78" i="4" s="1"/>
  <c r="F78" i="13" s="1" a="1"/>
  <c r="F78" i="13" s="1"/>
  <c r="AM49" i="8" a="1"/>
  <c r="AM49" i="8" s="1"/>
  <c r="AM33" i="8" a="1"/>
  <c r="AM33" i="8" s="1"/>
  <c r="AB127" i="4" s="1"/>
  <c r="E24" i="13" s="1" a="1"/>
  <c r="E24" i="13" s="1"/>
  <c r="AN53" i="8" a="1"/>
  <c r="AN53" i="8" s="1"/>
  <c r="AC62" i="4" s="1"/>
  <c r="F42" i="13" s="1" a="1"/>
  <c r="F42" i="13" s="1"/>
  <c r="AN56" i="8" a="1"/>
  <c r="AN56" i="8" s="1"/>
  <c r="AC60" i="4" s="1"/>
  <c r="F40" i="13" s="1" a="1"/>
  <c r="F40" i="13" s="1"/>
  <c r="AM80" i="8" a="1"/>
  <c r="AM80" i="8" s="1"/>
  <c r="AN66" i="8" a="1"/>
  <c r="AN66" i="8" s="1"/>
  <c r="AC108" i="4" s="1"/>
  <c r="F65" i="13" s="1" a="1"/>
  <c r="F65" i="13" s="1"/>
  <c r="AM85" i="8" a="1"/>
  <c r="AM85" i="8" s="1"/>
  <c r="AM48" i="8" a="1"/>
  <c r="AM48" i="8" s="1"/>
  <c r="AR48" i="8" s="1"/>
  <c r="AN30" i="8" a="1"/>
  <c r="AN30" i="8" s="1"/>
  <c r="AO30" i="8" s="1" a="1"/>
  <c r="AO30" i="8" s="1"/>
  <c r="AP30" i="8" s="1" a="1"/>
  <c r="AP30" i="8" s="1"/>
  <c r="AS30" i="8" s="1"/>
  <c r="AN34" i="8" a="1"/>
  <c r="AN34" i="8" s="1"/>
  <c r="AC122" i="4" s="1"/>
  <c r="F18" i="13" s="1" a="1"/>
  <c r="F18" i="13" s="1"/>
  <c r="AM79" i="8" a="1"/>
  <c r="AM79" i="8" s="1"/>
  <c r="AR72" i="8"/>
  <c r="AN72" i="8" a="1"/>
  <c r="AN72" i="8" s="1"/>
  <c r="AC72" i="4" s="1"/>
  <c r="F72" i="13" s="1" a="1"/>
  <c r="F72" i="13" s="1"/>
  <c r="F73" i="13" s="1"/>
  <c r="AR66" i="8"/>
  <c r="AN83" i="8" a="1"/>
  <c r="AN83" i="8" s="1"/>
  <c r="AC75" i="4" s="1"/>
  <c r="F75" i="13" s="1" a="1"/>
  <c r="F75" i="13" s="1"/>
  <c r="AN23" i="8" a="1"/>
  <c r="AN23" i="8" s="1"/>
  <c r="AC66" i="4" s="1"/>
  <c r="F30" i="13" s="1" a="1"/>
  <c r="F30" i="13" s="1"/>
  <c r="AN25" i="8" a="1"/>
  <c r="AN25" i="8" s="1"/>
  <c r="AM67" i="8" a="1"/>
  <c r="AM67" i="8" s="1"/>
  <c r="AB109" i="4" s="1"/>
  <c r="E66" i="13" s="1" a="1"/>
  <c r="E66" i="13" s="1"/>
  <c r="AR30" i="8"/>
  <c r="AN93" i="8" a="1"/>
  <c r="AN93" i="8" s="1"/>
  <c r="AC77" i="4" s="1"/>
  <c r="F77" i="13" s="1" a="1"/>
  <c r="F77" i="13" s="1"/>
  <c r="AN21" i="8" a="1"/>
  <c r="AN21" i="8" s="1"/>
  <c r="AC68" i="4" s="1"/>
  <c r="F34" i="13" s="1" a="1"/>
  <c r="F34" i="13" s="1"/>
  <c r="AR21" i="8"/>
  <c r="AN78" i="8" a="1"/>
  <c r="AN78" i="8" s="1"/>
  <c r="AC74" i="4" s="1"/>
  <c r="F74" i="13" s="1" a="1"/>
  <c r="F74" i="13" s="1"/>
  <c r="AM76" i="8" a="1"/>
  <c r="AM76" i="8" s="1"/>
  <c r="AB82" i="4" s="1"/>
  <c r="E82" i="13" s="1" a="1"/>
  <c r="E82" i="13" s="1"/>
  <c r="AM84" i="8" a="1"/>
  <c r="AM84" i="8" s="1"/>
  <c r="AN54" i="8" a="1"/>
  <c r="AN54" i="8" s="1"/>
  <c r="AC63" i="4" s="1"/>
  <c r="F43" i="13" s="1" a="1"/>
  <c r="F43" i="13" s="1"/>
  <c r="AR54" i="8"/>
  <c r="AN24" i="8" a="1"/>
  <c r="AN24" i="8" s="1"/>
  <c r="AC64" i="4" s="1"/>
  <c r="F29" i="13" s="1" a="1"/>
  <c r="F29" i="13" s="1"/>
  <c r="AM68" i="8" a="1"/>
  <c r="AM68" i="8" s="1"/>
  <c r="AM96" i="8" a="1"/>
  <c r="AM96" i="8" s="1"/>
  <c r="AM81" i="8" a="1"/>
  <c r="AM81" i="8" s="1"/>
  <c r="AM74" i="8" a="1"/>
  <c r="AM74" i="8" s="1"/>
  <c r="AN39" i="8" a="1"/>
  <c r="AN39" i="8" s="1"/>
  <c r="AR60" i="8"/>
  <c r="AN60" i="8" a="1"/>
  <c r="AN60" i="8" s="1"/>
  <c r="AC133" i="4" s="1"/>
  <c r="F55" i="13" s="1" a="1"/>
  <c r="F55" i="13" s="1"/>
  <c r="AN55" i="8" a="1"/>
  <c r="AN55" i="8" s="1"/>
  <c r="AC61" i="4" s="1"/>
  <c r="F41" i="13" s="1" a="1"/>
  <c r="F41" i="13" s="1"/>
  <c r="AM70" i="8" a="1"/>
  <c r="AM70" i="8" s="1"/>
  <c r="AB112" i="4" s="1"/>
  <c r="E69" i="13" s="1" a="1"/>
  <c r="E69" i="13" s="1"/>
  <c r="AM95" i="8" a="1"/>
  <c r="AM95" i="8" s="1"/>
  <c r="AM110" i="8" a="1"/>
  <c r="AM110" i="8" s="1"/>
  <c r="AR26" i="8"/>
  <c r="AN26" i="8" a="1"/>
  <c r="AN26" i="8" s="1"/>
  <c r="AM75" i="8" a="1"/>
  <c r="AM75" i="8" s="1"/>
  <c r="AR75" i="8" s="1"/>
  <c r="AM106" i="8" a="1"/>
  <c r="AM106" i="8" s="1"/>
  <c r="AN97" i="8" a="1"/>
  <c r="AN97" i="8" s="1"/>
  <c r="AN82" i="8" a="1"/>
  <c r="AN82" i="8" s="1"/>
  <c r="AM65" i="8" a="1"/>
  <c r="AM65" i="8" s="1"/>
  <c r="AN108" i="8" a="1"/>
  <c r="AN108" i="8" s="1"/>
  <c r="AC80" i="4" s="1"/>
  <c r="F80" i="13" s="1" a="1"/>
  <c r="F80" i="13" s="1"/>
  <c r="AR51" i="8"/>
  <c r="AN51" i="8" a="1"/>
  <c r="AN51" i="8" s="1"/>
  <c r="AN42" i="8" a="1"/>
  <c r="AN42" i="8" s="1"/>
  <c r="AN61" i="8" a="1"/>
  <c r="AN61" i="8" s="1"/>
  <c r="AC135" i="4" s="1"/>
  <c r="F56" i="13" s="1" a="1"/>
  <c r="F56" i="13" s="1"/>
  <c r="AM107" i="8" a="1"/>
  <c r="AM107" i="8" s="1"/>
  <c r="AR107" i="8" s="1"/>
  <c r="AN64" i="8" a="1"/>
  <c r="AN64" i="8" s="1"/>
  <c r="AC110" i="4" s="1"/>
  <c r="F67" i="13" s="1" a="1"/>
  <c r="F67" i="13" s="1"/>
  <c r="AN57" i="8" a="1"/>
  <c r="AN57" i="8" s="1"/>
  <c r="AN71" i="8" a="1"/>
  <c r="AN71" i="8" s="1"/>
  <c r="AM111" i="8" a="1"/>
  <c r="AM111" i="8" s="1"/>
  <c r="AO20" i="8" a="1"/>
  <c r="AO20" i="8" s="1"/>
  <c r="AD67" i="4" s="1"/>
  <c r="G28" i="13" s="1" a="1"/>
  <c r="G28" i="13" s="1"/>
  <c r="AN103" i="8" a="1"/>
  <c r="AN103" i="8" s="1"/>
  <c r="AC79" i="4" s="1"/>
  <c r="F79" i="13" s="1" a="1"/>
  <c r="F79" i="13" s="1"/>
  <c r="AN31" i="8" a="1"/>
  <c r="AN31" i="8" s="1"/>
  <c r="AC124" i="4" s="1"/>
  <c r="F19" i="13" s="1" a="1"/>
  <c r="F19" i="13" s="1"/>
  <c r="AR31" i="8"/>
  <c r="AM69" i="8" a="1"/>
  <c r="AM69" i="8" s="1"/>
  <c r="AR69" i="8" s="1"/>
  <c r="AN46" i="8" a="1"/>
  <c r="AN46" i="8" s="1"/>
  <c r="AR46" i="8"/>
  <c r="AN36" i="8" a="1"/>
  <c r="AN36" i="8" s="1"/>
  <c r="AC128" i="4" s="1"/>
  <c r="F25" i="13" s="1" a="1"/>
  <c r="F25" i="13" s="1"/>
  <c r="AM44" i="8" a="1"/>
  <c r="AM44" i="8" s="1"/>
  <c r="AN102" i="8" a="1"/>
  <c r="AN102" i="8" s="1"/>
  <c r="AN77" i="8" a="1"/>
  <c r="AN77" i="8" s="1"/>
  <c r="AM105" i="8" a="1"/>
  <c r="AM105" i="8" s="1"/>
  <c r="AM32" i="8" a="1"/>
  <c r="AM32" i="8" s="1"/>
  <c r="AN92" i="8" a="1"/>
  <c r="AN92" i="8" s="1"/>
  <c r="AN88" i="8" a="1"/>
  <c r="AN88" i="8" s="1"/>
  <c r="AC76" i="4" s="1"/>
  <c r="F76" i="13" s="1" a="1"/>
  <c r="F76" i="13" s="1"/>
  <c r="AN58" i="8" a="1"/>
  <c r="AN58" i="8" s="1"/>
  <c r="AB131" i="4"/>
  <c r="E53" i="13" s="1" a="1"/>
  <c r="E53" i="13" s="1"/>
  <c r="AM115" i="8" a="1"/>
  <c r="AM115" i="8" s="1"/>
  <c r="AM43" i="8" a="1"/>
  <c r="AM43" i="8" s="1"/>
  <c r="AM101" i="8" a="1"/>
  <c r="AM101" i="8" s="1"/>
  <c r="AB87" i="4" s="1"/>
  <c r="E87" i="13" s="1" a="1"/>
  <c r="E87" i="13" s="1"/>
  <c r="AM37" i="8" a="1"/>
  <c r="AM37" i="8" s="1"/>
  <c r="AM90" i="8" a="1"/>
  <c r="AM90" i="8" s="1"/>
  <c r="AB102" i="4" s="1"/>
  <c r="E102" i="13" s="1" a="1"/>
  <c r="E102" i="13" s="1"/>
  <c r="AN59" i="8" a="1"/>
  <c r="AN59" i="8" s="1"/>
  <c r="AC134" i="4" s="1"/>
  <c r="F57" i="13" s="1" a="1"/>
  <c r="F57" i="13" s="1"/>
  <c r="AR113" i="8"/>
  <c r="Z116" i="7"/>
  <c r="AT27" i="7"/>
  <c r="AU49" i="7"/>
  <c r="AS92" i="7"/>
  <c r="AS108" i="7"/>
  <c r="AS104" i="7"/>
  <c r="AT45" i="7"/>
  <c r="AT56" i="7"/>
  <c r="AT32" i="7"/>
  <c r="AS66" i="7"/>
  <c r="AS100" i="7"/>
  <c r="AT59" i="7"/>
  <c r="AS91" i="7"/>
  <c r="AV53" i="7"/>
  <c r="AT55" i="7"/>
  <c r="AU40" i="7"/>
  <c r="AS64" i="7"/>
  <c r="AS68" i="7"/>
  <c r="AS69" i="7"/>
  <c r="AU46" i="7"/>
  <c r="AS77" i="7"/>
  <c r="AS72" i="7"/>
  <c r="AS106" i="7"/>
  <c r="AS96" i="7"/>
  <c r="AS101" i="7"/>
  <c r="AT52" i="7"/>
  <c r="AS82" i="7"/>
  <c r="AS98" i="7"/>
  <c r="AS79" i="7"/>
  <c r="AS84" i="7"/>
  <c r="AU61" i="7"/>
  <c r="AT35" i="7"/>
  <c r="AT37" i="7"/>
  <c r="AU33" i="7"/>
  <c r="AS74" i="7"/>
  <c r="AT47" i="7"/>
  <c r="AS80" i="7"/>
  <c r="AS105" i="7"/>
  <c r="AS65" i="7"/>
  <c r="AS86" i="7"/>
  <c r="AS103" i="7"/>
  <c r="AT34" i="7"/>
  <c r="AT41" i="7"/>
  <c r="AT44" i="7"/>
  <c r="AT50" i="7"/>
  <c r="AS88" i="7"/>
  <c r="AS85" i="7"/>
  <c r="AT62" i="7"/>
  <c r="AU57" i="7"/>
  <c r="AS75" i="7"/>
  <c r="AS102" i="7"/>
  <c r="AS110" i="7"/>
  <c r="AT54" i="7"/>
  <c r="AS95" i="7"/>
  <c r="AS93" i="7"/>
  <c r="AS109" i="7"/>
  <c r="AS73" i="7"/>
  <c r="AS90" i="7"/>
  <c r="AT36" i="7"/>
  <c r="AV58" i="7"/>
  <c r="AS89" i="7"/>
  <c r="AS97" i="7"/>
  <c r="AS94" i="7"/>
  <c r="AV63" i="7"/>
  <c r="AS107" i="7"/>
  <c r="AU51" i="7"/>
  <c r="BC27" i="8"/>
  <c r="AU60" i="7"/>
  <c r="AS67" i="7"/>
  <c r="AS99" i="7"/>
  <c r="AU38" i="7"/>
  <c r="AS76" i="7"/>
  <c r="AT39" i="7"/>
  <c r="AS81" i="7"/>
  <c r="AS70" i="7"/>
  <c r="AS71" i="7"/>
  <c r="AT31" i="7"/>
  <c r="AS83" i="7"/>
  <c r="AU43" i="7"/>
  <c r="AU42" i="7"/>
  <c r="AS87" i="7"/>
  <c r="AS78" i="7"/>
  <c r="AT48" i="7"/>
  <c r="AH21" i="7" a="1"/>
  <c r="AH21" i="7" s="1"/>
  <c r="AU21" i="7"/>
  <c r="AG104" i="7" a="1"/>
  <c r="AG104" i="7" s="1"/>
  <c r="AH45" i="7" a="1"/>
  <c r="AH45" i="7" s="1"/>
  <c r="AH32" i="7" a="1"/>
  <c r="AH32" i="7" s="1"/>
  <c r="AG68" i="7" a="1"/>
  <c r="AG68" i="7" s="1"/>
  <c r="AB110" i="7" a="1"/>
  <c r="AB110" i="7" s="1"/>
  <c r="AB105" i="7" a="1"/>
  <c r="AB105" i="7" s="1"/>
  <c r="AB89" i="7" a="1"/>
  <c r="AB89" i="7" s="1"/>
  <c r="AB107" i="7" a="1"/>
  <c r="AB107" i="7" s="1"/>
  <c r="AB109" i="7" a="1"/>
  <c r="AB109" i="7" s="1"/>
  <c r="AB103" i="7" a="1"/>
  <c r="AB103" i="7" s="1"/>
  <c r="AB100" i="7" a="1"/>
  <c r="AB100" i="7" s="1"/>
  <c r="AB91" i="7" a="1"/>
  <c r="AB91" i="7" s="1"/>
  <c r="AB106" i="7" a="1"/>
  <c r="AB106" i="7" s="1"/>
  <c r="AB86" i="7" a="1"/>
  <c r="AB86" i="7" s="1"/>
  <c r="AB104" i="7" a="1"/>
  <c r="AB104" i="7" s="1"/>
  <c r="AB99" i="7" a="1"/>
  <c r="AB99" i="7" s="1"/>
  <c r="AB95" i="7" a="1"/>
  <c r="AB95" i="7" s="1"/>
  <c r="AB108" i="7" a="1"/>
  <c r="AB108" i="7" s="1"/>
  <c r="AB90" i="7" a="1"/>
  <c r="AB90" i="7" s="1"/>
  <c r="AB84" i="7" a="1"/>
  <c r="AB84" i="7" s="1"/>
  <c r="AB97" i="7" a="1"/>
  <c r="AB97" i="7" s="1"/>
  <c r="AB102" i="7" a="1"/>
  <c r="AB102" i="7" s="1"/>
  <c r="AB94" i="7" a="1"/>
  <c r="AB94" i="7" s="1"/>
  <c r="AB98" i="7" a="1"/>
  <c r="AB98" i="7" s="1"/>
  <c r="AB82" i="7" a="1"/>
  <c r="AB82" i="7" s="1"/>
  <c r="AB101" i="7" a="1"/>
  <c r="AB101" i="7" s="1"/>
  <c r="AB88" i="7" a="1"/>
  <c r="AB88" i="7" s="1"/>
  <c r="AB92" i="7" a="1"/>
  <c r="AB92" i="7" s="1"/>
  <c r="AB85" i="7" a="1"/>
  <c r="AB85" i="7" s="1"/>
  <c r="AB69" i="7" a="1"/>
  <c r="AB69" i="7" s="1"/>
  <c r="AB76" i="7" a="1"/>
  <c r="AB76" i="7" s="1"/>
  <c r="AB73" i="7" a="1"/>
  <c r="AB73" i="7" s="1"/>
  <c r="AB83" i="7" a="1"/>
  <c r="AB83" i="7" s="1"/>
  <c r="AB78" i="7" a="1"/>
  <c r="AB78" i="7" s="1"/>
  <c r="AB68" i="7" a="1"/>
  <c r="AB68" i="7" s="1"/>
  <c r="AB65" i="7" a="1"/>
  <c r="AB65" i="7" s="1"/>
  <c r="AB57" i="7" a="1"/>
  <c r="AB57" i="7" s="1"/>
  <c r="AB93" i="7" a="1"/>
  <c r="AB93" i="7" s="1"/>
  <c r="AB87" i="7" a="1"/>
  <c r="AB87" i="7" s="1"/>
  <c r="AB80" i="7" a="1"/>
  <c r="AB80" i="7" s="1"/>
  <c r="AB74" i="7" a="1"/>
  <c r="AB74" i="7" s="1"/>
  <c r="AB96" i="7" a="1"/>
  <c r="AB96" i="7" s="1"/>
  <c r="AB56" i="7" a="1"/>
  <c r="AB56" i="7" s="1"/>
  <c r="AB52" i="7" a="1"/>
  <c r="AB52" i="7" s="1"/>
  <c r="AB81" i="7" a="1"/>
  <c r="AB81" i="7" s="1"/>
  <c r="AB71" i="7" a="1"/>
  <c r="AB71" i="7" s="1"/>
  <c r="AB63" i="7" a="1"/>
  <c r="AB63" i="7" s="1"/>
  <c r="AB59" i="7" a="1"/>
  <c r="AB59" i="7" s="1"/>
  <c r="AB48" i="7" a="1"/>
  <c r="AB48" i="7" s="1"/>
  <c r="AB39" i="7" a="1"/>
  <c r="AB39" i="7" s="1"/>
  <c r="AB35" i="7" a="1"/>
  <c r="AB35" i="7" s="1"/>
  <c r="AB31" i="7" a="1"/>
  <c r="AB31" i="7" s="1"/>
  <c r="AB55" i="7" a="1"/>
  <c r="AB55" i="7" s="1"/>
  <c r="AB51" i="7" a="1"/>
  <c r="AB51" i="7" s="1"/>
  <c r="AB50" i="7" a="1"/>
  <c r="AB50" i="7" s="1"/>
  <c r="AB47" i="7" a="1"/>
  <c r="AB47" i="7" s="1"/>
  <c r="AB64" i="7" a="1"/>
  <c r="AB64" i="7" s="1"/>
  <c r="AB60" i="7" a="1"/>
  <c r="AB60" i="7" s="1"/>
  <c r="AB38" i="7" a="1"/>
  <c r="AB38" i="7" s="1"/>
  <c r="AB34" i="7" a="1"/>
  <c r="AB34" i="7" s="1"/>
  <c r="AB70" i="7" a="1"/>
  <c r="AB70" i="7" s="1"/>
  <c r="AB67" i="7" a="1"/>
  <c r="AB67" i="7" s="1"/>
  <c r="AB66" i="7" a="1"/>
  <c r="AB66" i="7" s="1"/>
  <c r="AB62" i="7" a="1"/>
  <c r="AB62" i="7" s="1"/>
  <c r="AB61" i="7" a="1"/>
  <c r="AB61" i="7" s="1"/>
  <c r="AB58" i="7" a="1"/>
  <c r="AB58" i="7" s="1"/>
  <c r="AB28" i="7" a="1"/>
  <c r="AB28" i="7" s="1"/>
  <c r="AB46" i="7" a="1"/>
  <c r="AB46" i="7" s="1"/>
  <c r="AB42" i="7" a="1"/>
  <c r="AB42" i="7" s="1"/>
  <c r="AB23" i="7" a="1"/>
  <c r="AB23" i="7" s="1"/>
  <c r="AB37" i="7" a="1"/>
  <c r="AB37" i="7" s="1"/>
  <c r="AB33" i="7" a="1"/>
  <c r="AB33" i="7" s="1"/>
  <c r="AB30" i="7" a="1"/>
  <c r="AB30" i="7" s="1"/>
  <c r="AB22" i="7" a="1"/>
  <c r="AB22" i="7" s="1"/>
  <c r="AB53" i="7" a="1"/>
  <c r="AB53" i="7" s="1"/>
  <c r="AB21" i="7" a="1"/>
  <c r="AB21" i="7" s="1"/>
  <c r="AB75" i="7" a="1"/>
  <c r="AB75" i="7" s="1"/>
  <c r="AB45" i="7" a="1"/>
  <c r="AB45" i="7" s="1"/>
  <c r="AB41" i="7" a="1"/>
  <c r="AB41" i="7" s="1"/>
  <c r="AB79" i="7" a="1"/>
  <c r="AB79" i="7" s="1"/>
  <c r="AB77" i="7" a="1"/>
  <c r="AB77" i="7" s="1"/>
  <c r="AB36" i="7" a="1"/>
  <c r="AB36" i="7" s="1"/>
  <c r="AB32" i="7" a="1"/>
  <c r="AB32" i="7" s="1"/>
  <c r="AB72" i="7" a="1"/>
  <c r="AB72" i="7" s="1"/>
  <c r="AB44" i="7" a="1"/>
  <c r="AB44" i="7" s="1"/>
  <c r="AB40" i="7" a="1"/>
  <c r="AB40" i="7" s="1"/>
  <c r="AB29" i="7" a="1"/>
  <c r="AB29" i="7" s="1"/>
  <c r="AB26" i="7" a="1"/>
  <c r="AB26" i="7" s="1"/>
  <c r="AB25" i="7" a="1"/>
  <c r="AB25" i="7" s="1"/>
  <c r="AB43" i="7" a="1"/>
  <c r="AB43" i="7" s="1"/>
  <c r="AB49" i="7" a="1"/>
  <c r="AB49" i="7" s="1"/>
  <c r="AB24" i="7" a="1"/>
  <c r="AB24" i="7" s="1"/>
  <c r="AB20" i="7" a="1"/>
  <c r="AB20" i="7" s="1"/>
  <c r="AB27" i="7" a="1"/>
  <c r="AB27" i="7" s="1"/>
  <c r="AB54" i="7" a="1"/>
  <c r="AB54" i="7" s="1"/>
  <c r="AG87" i="7" a="1"/>
  <c r="AG87" i="7" s="1"/>
  <c r="AG72" i="7" a="1"/>
  <c r="AG72" i="7" s="1"/>
  <c r="AG106" i="7" a="1"/>
  <c r="AG106" i="7" s="1"/>
  <c r="AG109" i="7" a="1"/>
  <c r="AG109" i="7" s="1"/>
  <c r="AG99" i="7" a="1"/>
  <c r="AG99" i="7" s="1"/>
  <c r="AG89" i="7" a="1"/>
  <c r="AG89" i="7" s="1"/>
  <c r="AK38" i="7"/>
  <c r="AG122" i="8"/>
  <c r="AG101" i="7" a="1"/>
  <c r="AG101" i="7" s="1"/>
  <c r="AG77" i="7" a="1"/>
  <c r="AG77" i="7" s="1"/>
  <c r="W121" i="4"/>
  <c r="X121" i="4" s="1"/>
  <c r="AH52" i="7" a="1"/>
  <c r="AH52" i="7" s="1"/>
  <c r="AO106" i="4"/>
  <c r="S106" i="13" s="1" a="1"/>
  <c r="S106" i="13" s="1"/>
  <c r="AO77" i="4"/>
  <c r="S77" i="13" s="1" a="1"/>
  <c r="S77" i="13" s="1"/>
  <c r="AO81" i="4"/>
  <c r="S81" i="13" s="1" a="1"/>
  <c r="S81" i="13" s="1"/>
  <c r="AO88" i="4"/>
  <c r="S88" i="13" s="1" a="1"/>
  <c r="S88" i="13" s="1"/>
  <c r="AO85" i="4"/>
  <c r="S85" i="13" s="1" a="1"/>
  <c r="S85" i="13" s="1"/>
  <c r="AO79" i="4"/>
  <c r="S79" i="13" s="1" a="1"/>
  <c r="S79" i="13" s="1"/>
  <c r="AO105" i="4"/>
  <c r="S105" i="13" s="1" a="1"/>
  <c r="S105" i="13" s="1"/>
  <c r="AO107" i="4"/>
  <c r="S107" i="13" s="1" a="1"/>
  <c r="S107" i="13" s="1"/>
  <c r="AO93" i="4"/>
  <c r="S93" i="13" s="1" a="1"/>
  <c r="S93" i="13" s="1"/>
  <c r="AO75" i="4"/>
  <c r="S75" i="13" s="1" a="1"/>
  <c r="S75" i="13" s="1"/>
  <c r="AO92" i="4"/>
  <c r="S92" i="13" s="1" a="1"/>
  <c r="S92" i="13" s="1"/>
  <c r="AO90" i="4"/>
  <c r="S90" i="13" s="1" a="1"/>
  <c r="S90" i="13" s="1"/>
  <c r="AO80" i="4"/>
  <c r="S80" i="13" s="1" a="1"/>
  <c r="S80" i="13" s="1"/>
  <c r="AO74" i="4"/>
  <c r="S74" i="13" s="1" a="1"/>
  <c r="S74" i="13" s="1"/>
  <c r="AO86" i="4"/>
  <c r="S86" i="13" s="1" a="1"/>
  <c r="S86" i="13" s="1"/>
  <c r="AO103" i="4"/>
  <c r="S103" i="13" s="1" a="1"/>
  <c r="S103" i="13" s="1"/>
  <c r="AO84" i="4"/>
  <c r="S84" i="13" s="1" a="1"/>
  <c r="S84" i="13" s="1"/>
  <c r="AO101" i="4"/>
  <c r="S101" i="13" s="1" a="1"/>
  <c r="S101" i="13" s="1"/>
  <c r="AO73" i="4"/>
  <c r="S73" i="13" s="1" a="1"/>
  <c r="S73" i="13" s="1"/>
  <c r="AO134" i="4"/>
  <c r="S57" i="13" s="1" a="1"/>
  <c r="S57" i="13" s="1"/>
  <c r="AO104" i="4"/>
  <c r="S104" i="13" s="1" a="1"/>
  <c r="S104" i="13" s="1"/>
  <c r="AO82" i="4"/>
  <c r="S82" i="13" s="1" a="1"/>
  <c r="S82" i="13" s="1"/>
  <c r="AO83" i="4"/>
  <c r="S83" i="13" s="1" a="1"/>
  <c r="S83" i="13" s="1"/>
  <c r="AO91" i="4"/>
  <c r="S91" i="13" s="1" a="1"/>
  <c r="S91" i="13" s="1"/>
  <c r="AO87" i="4"/>
  <c r="S87" i="13" s="1" a="1"/>
  <c r="S87" i="13" s="1"/>
  <c r="AO102" i="4"/>
  <c r="S102" i="13" s="1" a="1"/>
  <c r="S102" i="13" s="1"/>
  <c r="AO76" i="4"/>
  <c r="S76" i="13" s="1" a="1"/>
  <c r="S76" i="13" s="1"/>
  <c r="AO132" i="4"/>
  <c r="S54" i="13" s="1" a="1"/>
  <c r="S54" i="13" s="1"/>
  <c r="AO135" i="4"/>
  <c r="S56" i="13" s="1" a="1"/>
  <c r="S56" i="13" s="1"/>
  <c r="AO100" i="4"/>
  <c r="S100" i="13" s="1" a="1"/>
  <c r="S100" i="13" s="1"/>
  <c r="AO89" i="4"/>
  <c r="S89" i="13" s="1" a="1"/>
  <c r="S89" i="13" s="1"/>
  <c r="AO131" i="4"/>
  <c r="S53" i="13" s="1" a="1"/>
  <c r="S53" i="13" s="1"/>
  <c r="AO62" i="4"/>
  <c r="S42" i="13" s="1" a="1"/>
  <c r="S42" i="13" s="1"/>
  <c r="AO129" i="4"/>
  <c r="S36" i="13" s="1" a="1"/>
  <c r="S36" i="13" s="1"/>
  <c r="AO113" i="4"/>
  <c r="S70" i="13" s="1" a="1"/>
  <c r="S70" i="13" s="1"/>
  <c r="AO108" i="4"/>
  <c r="S65" i="13" s="1" a="1"/>
  <c r="S65" i="13" s="1"/>
  <c r="AO59" i="4"/>
  <c r="S39" i="13" s="1" a="1"/>
  <c r="S39" i="13" s="1"/>
  <c r="AO110" i="4"/>
  <c r="S67" i="13" s="1" a="1"/>
  <c r="S67" i="13" s="1"/>
  <c r="AO78" i="4"/>
  <c r="S78" i="13" s="1" a="1"/>
  <c r="S78" i="13" s="1"/>
  <c r="AO63" i="4"/>
  <c r="S43" i="13" s="1" a="1"/>
  <c r="S43" i="13" s="1"/>
  <c r="AO71" i="4"/>
  <c r="S33" i="13" s="1" a="1"/>
  <c r="S33" i="13" s="1"/>
  <c r="AO109" i="4"/>
  <c r="S66" i="13" s="1" a="1"/>
  <c r="S66" i="13" s="1"/>
  <c r="AO116" i="4"/>
  <c r="S46" i="13" s="1" a="1"/>
  <c r="S46" i="13" s="1"/>
  <c r="AO122" i="4"/>
  <c r="S18" i="13" s="1" a="1"/>
  <c r="S18" i="13" s="1"/>
  <c r="AO111" i="4"/>
  <c r="S68" i="13" s="1" a="1"/>
  <c r="S68" i="13" s="1"/>
  <c r="AO133" i="4"/>
  <c r="S55" i="13" s="1" a="1"/>
  <c r="S55" i="13" s="1"/>
  <c r="AO65" i="4"/>
  <c r="S27" i="13" s="1" a="1"/>
  <c r="S27" i="13" s="1"/>
  <c r="AO72" i="4"/>
  <c r="S72" i="13" s="1" a="1"/>
  <c r="S72" i="13" s="1"/>
  <c r="AO61" i="4"/>
  <c r="S41" i="13" s="1" a="1"/>
  <c r="S41" i="13" s="1"/>
  <c r="AO127" i="4"/>
  <c r="S24" i="13" s="1" a="1"/>
  <c r="S24" i="13" s="1"/>
  <c r="AO69" i="4"/>
  <c r="S31" i="13" s="1" a="1"/>
  <c r="S31" i="13" s="1"/>
  <c r="AO130" i="4"/>
  <c r="S37" i="13" s="1" a="1"/>
  <c r="S37" i="13" s="1"/>
  <c r="AO70" i="4"/>
  <c r="S32" i="13" s="1" a="1"/>
  <c r="S32" i="13" s="1"/>
  <c r="AO68" i="4"/>
  <c r="S34" i="13" s="1" a="1"/>
  <c r="S34" i="13" s="1"/>
  <c r="AO112" i="4"/>
  <c r="S69" i="13" s="1" a="1"/>
  <c r="S69" i="13" s="1"/>
  <c r="AO60" i="4"/>
  <c r="S40" i="13" s="1" a="1"/>
  <c r="S40" i="13" s="1"/>
  <c r="AO118" i="4"/>
  <c r="S49" i="13" s="1" a="1"/>
  <c r="S49" i="13" s="1"/>
  <c r="AO126" i="4"/>
  <c r="S23" i="13" s="1" a="1"/>
  <c r="S23" i="13" s="1"/>
  <c r="AO124" i="4"/>
  <c r="S19" i="13" s="1" a="1"/>
  <c r="S19" i="13" s="1"/>
  <c r="AO121" i="4"/>
  <c r="S20" i="13" s="1" a="1"/>
  <c r="S20" i="13" s="1"/>
  <c r="AO67" i="4"/>
  <c r="S28" i="13" s="1" a="1"/>
  <c r="S28" i="13" s="1"/>
  <c r="AO120" i="4"/>
  <c r="S51" i="13" s="1" a="1"/>
  <c r="S51" i="13" s="1"/>
  <c r="AO64" i="4"/>
  <c r="S29" i="13" s="1" a="1"/>
  <c r="S29" i="13" s="1"/>
  <c r="AO119" i="4"/>
  <c r="S50" i="13" s="1" a="1"/>
  <c r="S50" i="13" s="1"/>
  <c r="AO66" i="4"/>
  <c r="S30" i="13" s="1" a="1"/>
  <c r="S30" i="13" s="1"/>
  <c r="AO125" i="4"/>
  <c r="S22" i="13" s="1" a="1"/>
  <c r="S22" i="13" s="1"/>
  <c r="AO123" i="4"/>
  <c r="S21" i="13" s="1" a="1"/>
  <c r="S21" i="13" s="1"/>
  <c r="AO117" i="4"/>
  <c r="S48" i="13" s="1" a="1"/>
  <c r="S48" i="13" s="1"/>
  <c r="AO128" i="4"/>
  <c r="S25" i="13" s="1" a="1"/>
  <c r="S25" i="13" s="1"/>
  <c r="AI18" i="8"/>
  <c r="W122" i="4"/>
  <c r="X122" i="4" s="1"/>
  <c r="AG80" i="7" a="1"/>
  <c r="AG80" i="7" s="1"/>
  <c r="AG105" i="7" a="1"/>
  <c r="AG105" i="7" s="1"/>
  <c r="AG88" i="7" a="1"/>
  <c r="AG88" i="7" s="1"/>
  <c r="AG65" i="7" a="1"/>
  <c r="AG65" i="7" s="1"/>
  <c r="AK61" i="7"/>
  <c r="AH47" i="7" a="1"/>
  <c r="AH47" i="7" s="1"/>
  <c r="AG103" i="7" a="1"/>
  <c r="AG103" i="7" s="1"/>
  <c r="AG102" i="7" a="1"/>
  <c r="AG102" i="7" s="1"/>
  <c r="AG75" i="7" a="1"/>
  <c r="AG75" i="7" s="1"/>
  <c r="AG110" i="7" a="1"/>
  <c r="AG110" i="7" s="1"/>
  <c r="AG95" i="7" a="1"/>
  <c r="AG95" i="7" s="1"/>
  <c r="AH34" i="7" a="1"/>
  <c r="AH34" i="7" s="1"/>
  <c r="AH41" i="7" a="1"/>
  <c r="AH41" i="7" s="1"/>
  <c r="AG83" i="7" a="1"/>
  <c r="AG83" i="7" s="1"/>
  <c r="AG85" i="7" a="1"/>
  <c r="AG85" i="7" s="1"/>
  <c r="AG86" i="7" a="1"/>
  <c r="AG86" i="7" s="1"/>
  <c r="AH44" i="7" a="1"/>
  <c r="AH44" i="7" s="1"/>
  <c r="AH50" i="7" a="1"/>
  <c r="AH50" i="7" s="1"/>
  <c r="AH62" i="7" a="1"/>
  <c r="AH62" i="7" s="1"/>
  <c r="AG97" i="7" a="1"/>
  <c r="AG97" i="7" s="1"/>
  <c r="AK57" i="7"/>
  <c r="AG107" i="7" a="1"/>
  <c r="AG107" i="7" s="1"/>
  <c r="AH54" i="7" a="1"/>
  <c r="AH54" i="7" s="1"/>
  <c r="AG93" i="7" a="1"/>
  <c r="AG93" i="7" s="1"/>
  <c r="AU24" i="7"/>
  <c r="AH24" i="7" a="1"/>
  <c r="AH24" i="7" s="1"/>
  <c r="AG74" i="7" a="1"/>
  <c r="AG74" i="7" s="1"/>
  <c r="AH27" i="7" a="1"/>
  <c r="AH27" i="7" s="1"/>
  <c r="W127" i="4"/>
  <c r="X127" i="4" s="1"/>
  <c r="W124" i="4"/>
  <c r="X124" i="4" s="1"/>
  <c r="AG73" i="7" a="1"/>
  <c r="AG73" i="7" s="1"/>
  <c r="AG90" i="7" a="1"/>
  <c r="AG90" i="7" s="1"/>
  <c r="AH36" i="7" a="1"/>
  <c r="AH36" i="7" s="1"/>
  <c r="AH35" i="7" a="1"/>
  <c r="AH35" i="7" s="1"/>
  <c r="AK33" i="7"/>
  <c r="AV25" i="7"/>
  <c r="AK25" i="7"/>
  <c r="AG100" i="7" a="1"/>
  <c r="AG100" i="7" s="1"/>
  <c r="AK51" i="7"/>
  <c r="AS27" i="8"/>
  <c r="AV20" i="7"/>
  <c r="AK20" i="7"/>
  <c r="AK60" i="7"/>
  <c r="AG108" i="7" a="1"/>
  <c r="AG108" i="7" s="1"/>
  <c r="AG66" i="7" a="1"/>
  <c r="AG66" i="7" s="1"/>
  <c r="AG70" i="7" a="1"/>
  <c r="AG70" i="7" s="1"/>
  <c r="AG76" i="7" a="1"/>
  <c r="AG76" i="7" s="1"/>
  <c r="AG71" i="7" a="1"/>
  <c r="AG71" i="7" s="1"/>
  <c r="AH39" i="7" a="1"/>
  <c r="AH39" i="7" s="1"/>
  <c r="AK49" i="7"/>
  <c r="AG81" i="7" a="1"/>
  <c r="AG81" i="7" s="1"/>
  <c r="AP52" i="8" a="1"/>
  <c r="AP52" i="8" s="1"/>
  <c r="AE59" i="4" s="1"/>
  <c r="H39" i="13" s="1" a="1"/>
  <c r="H39" i="13" s="1"/>
  <c r="AH31" i="7" a="1"/>
  <c r="AH31" i="7" s="1"/>
  <c r="AG82" i="7" a="1"/>
  <c r="AG82" i="7" s="1"/>
  <c r="AH37" i="7" a="1"/>
  <c r="AH37" i="7" s="1"/>
  <c r="AG98" i="7" a="1"/>
  <c r="AG98" i="7" s="1"/>
  <c r="AH56" i="7" a="1"/>
  <c r="AH56" i="7" s="1"/>
  <c r="AG69" i="7" a="1"/>
  <c r="AG69" i="7" s="1"/>
  <c r="AH48" i="7" a="1"/>
  <c r="AH48" i="7" s="1"/>
  <c r="AG84" i="7" a="1"/>
  <c r="AG84" i="7" s="1"/>
  <c r="AG79" i="7" a="1"/>
  <c r="AG79" i="7" s="1"/>
  <c r="AG92" i="7" a="1"/>
  <c r="AG92" i="7" s="1"/>
  <c r="AG94" i="7" a="1"/>
  <c r="AG94" i="7" s="1"/>
  <c r="AK43" i="7"/>
  <c r="W114" i="4"/>
  <c r="X114" i="4" s="1"/>
  <c r="AK42" i="7"/>
  <c r="AU26" i="7"/>
  <c r="AH26" i="7" a="1"/>
  <c r="AH26" i="7" s="1"/>
  <c r="AG78" i="7" a="1"/>
  <c r="AG78" i="7" s="1"/>
  <c r="AH59" i="7" a="1"/>
  <c r="AH59" i="7" s="1"/>
  <c r="AG91" i="7" a="1"/>
  <c r="AG91" i="7" s="1"/>
  <c r="AH55" i="7" a="1"/>
  <c r="AH55" i="7" s="1"/>
  <c r="AK40" i="7"/>
  <c r="AG64" i="7" a="1"/>
  <c r="AG64" i="7" s="1"/>
  <c r="AV23" i="7"/>
  <c r="AK23" i="7"/>
  <c r="AG67" i="7" a="1"/>
  <c r="AG67" i="7" s="1"/>
  <c r="AK46" i="7"/>
  <c r="AG96" i="7" a="1"/>
  <c r="AG96" i="7" s="1"/>
  <c r="W70" i="4"/>
  <c r="X70" i="4" s="1"/>
  <c r="X68" i="4"/>
  <c r="W120" i="4"/>
  <c r="X120" i="4" s="1"/>
  <c r="W64" i="4"/>
  <c r="X64" i="4" s="1"/>
  <c r="W129" i="4"/>
  <c r="X129" i="4" s="1"/>
  <c r="W134" i="4"/>
  <c r="X134" i="4" s="1"/>
  <c r="W67" i="4"/>
  <c r="X67" i="4" s="1"/>
  <c r="W130" i="4"/>
  <c r="X130" i="4" s="1"/>
  <c r="W128" i="4"/>
  <c r="X128" i="4" s="1"/>
  <c r="W69" i="4"/>
  <c r="X69" i="4" s="1"/>
  <c r="X62" i="4"/>
  <c r="V71" i="4"/>
  <c r="V118" i="4" s="1"/>
  <c r="U126" i="4"/>
  <c r="W119" i="4"/>
  <c r="X119" i="4" s="1"/>
  <c r="W117" i="4"/>
  <c r="X117" i="4" s="1"/>
  <c r="W66" i="4"/>
  <c r="X66" i="4" s="1"/>
  <c r="W123" i="4"/>
  <c r="V125" i="4"/>
  <c r="W133" i="4"/>
  <c r="X133" i="4" s="1"/>
  <c r="W115" i="4"/>
  <c r="X115" i="4" s="1"/>
  <c r="U118" i="4"/>
  <c r="W116" i="4"/>
  <c r="X59" i="4"/>
  <c r="X131" i="4" s="1"/>
  <c r="W131" i="4"/>
  <c r="W65" i="4"/>
  <c r="X65" i="4" s="1"/>
  <c r="AL44" i="3"/>
  <c r="V132" i="4"/>
  <c r="H62" i="4"/>
  <c r="M62" i="4" s="1"/>
  <c r="R62" i="4" s="1"/>
  <c r="I62" i="4"/>
  <c r="N62" i="4" s="1"/>
  <c r="F63" i="4"/>
  <c r="O43" i="13" s="1" a="1"/>
  <c r="O43" i="13" s="1"/>
  <c r="CO43" i="13" s="1"/>
  <c r="CP43" i="13" s="1"/>
  <c r="CQ43" i="13" s="1"/>
  <c r="I112" i="3"/>
  <c r="I109" i="3"/>
  <c r="L108" i="3"/>
  <c r="O117" i="4"/>
  <c r="K117" i="4"/>
  <c r="N100" i="4"/>
  <c r="I92" i="4"/>
  <c r="N92" i="4" s="1"/>
  <c r="P108" i="4"/>
  <c r="L108" i="4"/>
  <c r="Q108" i="4" s="1"/>
  <c r="M120" i="4"/>
  <c r="R120" i="4" s="1"/>
  <c r="I120" i="4"/>
  <c r="N111" i="4"/>
  <c r="J111" i="4"/>
  <c r="H72" i="3"/>
  <c r="H23" i="3"/>
  <c r="Q88" i="4"/>
  <c r="L105" i="4"/>
  <c r="Q105" i="4" s="1"/>
  <c r="J100" i="4"/>
  <c r="O83" i="4"/>
  <c r="K83" i="4"/>
  <c r="Z42" i="4"/>
  <c r="Z136" i="4"/>
  <c r="M119" i="4"/>
  <c r="R119" i="4" s="1"/>
  <c r="I119" i="4"/>
  <c r="P65" i="4"/>
  <c r="L65" i="4"/>
  <c r="Q65" i="4" s="1"/>
  <c r="N67" i="4"/>
  <c r="J67" i="4"/>
  <c r="K101" i="4"/>
  <c r="P84" i="4"/>
  <c r="L84" i="4"/>
  <c r="AD33" i="3"/>
  <c r="P33" i="3"/>
  <c r="I61" i="4"/>
  <c r="M93" i="4"/>
  <c r="R93" i="4" s="1"/>
  <c r="R101" i="4"/>
  <c r="J112" i="3"/>
  <c r="J115" i="3" s="1"/>
  <c r="J122" i="3" s="1"/>
  <c r="J93" i="4"/>
  <c r="O93" i="4" s="1"/>
  <c r="O101" i="4"/>
  <c r="N118" i="4"/>
  <c r="J118" i="4"/>
  <c r="M88" i="3"/>
  <c r="K88" i="3" s="1"/>
  <c r="G80" i="3"/>
  <c r="M116" i="3" s="1"/>
  <c r="O80" i="4"/>
  <c r="K80" i="4"/>
  <c r="P34" i="3"/>
  <c r="AD34" i="3"/>
  <c r="H78" i="3"/>
  <c r="H18" i="3"/>
  <c r="P87" i="4"/>
  <c r="K104" i="4"/>
  <c r="P104" i="4" s="1"/>
  <c r="L87" i="4"/>
  <c r="AD37" i="3"/>
  <c r="H35" i="3"/>
  <c r="H22" i="3"/>
  <c r="H79" i="3"/>
  <c r="P125" i="4"/>
  <c r="L125" i="4"/>
  <c r="Q125" i="4" s="1"/>
  <c r="AF43" i="3"/>
  <c r="E99" i="11" s="1"/>
  <c r="H20" i="3"/>
  <c r="H77" i="3"/>
  <c r="I128" i="4"/>
  <c r="P42" i="3"/>
  <c r="S42" i="3"/>
  <c r="M68" i="4"/>
  <c r="R68" i="4" s="1"/>
  <c r="I68" i="4"/>
  <c r="K107" i="4"/>
  <c r="P107" i="4" s="1"/>
  <c r="L90" i="4"/>
  <c r="P90" i="4"/>
  <c r="O75" i="4"/>
  <c r="K75" i="4"/>
  <c r="P78" i="4"/>
  <c r="L78" i="4"/>
  <c r="Q78" i="4" s="1"/>
  <c r="AF36" i="3"/>
  <c r="H118" i="3"/>
  <c r="H120" i="3" s="1"/>
  <c r="P64" i="4"/>
  <c r="L64" i="4"/>
  <c r="Q64" i="4" s="1"/>
  <c r="L106" i="3"/>
  <c r="Q73" i="4"/>
  <c r="L91" i="4"/>
  <c r="Q91" i="4" s="1"/>
  <c r="AF35" i="3"/>
  <c r="M69" i="4"/>
  <c r="R69" i="4" s="1"/>
  <c r="G70" i="4"/>
  <c r="N69" i="4"/>
  <c r="O69" i="4"/>
  <c r="Q69" i="4"/>
  <c r="P69" i="4"/>
  <c r="P79" i="4"/>
  <c r="L79" i="4"/>
  <c r="Q79" i="4" s="1"/>
  <c r="AD38" i="3"/>
  <c r="H36" i="3"/>
  <c r="H71" i="3"/>
  <c r="P24" i="3"/>
  <c r="P115" i="4"/>
  <c r="L115" i="4"/>
  <c r="Q115" i="4" s="1"/>
  <c r="P76" i="4"/>
  <c r="L76" i="4"/>
  <c r="Q76" i="4" s="1"/>
  <c r="P89" i="4"/>
  <c r="K106" i="4"/>
  <c r="P106" i="4" s="1"/>
  <c r="L89" i="4"/>
  <c r="Q85" i="4"/>
  <c r="L102" i="4"/>
  <c r="Q102" i="4" s="1"/>
  <c r="P60" i="4"/>
  <c r="L60" i="4"/>
  <c r="Q60" i="4" s="1"/>
  <c r="AE37" i="3"/>
  <c r="N112" i="4"/>
  <c r="J112" i="4"/>
  <c r="O122" i="4"/>
  <c r="K122" i="4"/>
  <c r="I126" i="4"/>
  <c r="O72" i="4"/>
  <c r="K72" i="4"/>
  <c r="P74" i="4"/>
  <c r="L74" i="4"/>
  <c r="Q74" i="4" s="1"/>
  <c r="O114" i="4"/>
  <c r="K114" i="4"/>
  <c r="O124" i="4"/>
  <c r="K124" i="4"/>
  <c r="AD31" i="3"/>
  <c r="P31" i="3"/>
  <c r="U61" i="4"/>
  <c r="U135" i="4" s="1"/>
  <c r="V60" i="4"/>
  <c r="P29" i="3"/>
  <c r="AD29" i="3"/>
  <c r="H134" i="4"/>
  <c r="I134" i="4"/>
  <c r="J134" i="4" s="1"/>
  <c r="K134" i="4" s="1"/>
  <c r="L134" i="4" s="1"/>
  <c r="F135" i="4"/>
  <c r="O56" i="13" s="1" a="1"/>
  <c r="O56" i="13" s="1"/>
  <c r="CO56" i="13" s="1"/>
  <c r="CP56" i="13" s="1"/>
  <c r="CQ56" i="13" s="1"/>
  <c r="O109" i="4"/>
  <c r="K109" i="4"/>
  <c r="P28" i="3"/>
  <c r="AD28" i="3"/>
  <c r="N121" i="4"/>
  <c r="J121" i="4"/>
  <c r="R83" i="4"/>
  <c r="M100" i="4"/>
  <c r="H122" i="3"/>
  <c r="Q86" i="4"/>
  <c r="L103" i="4"/>
  <c r="Q103" i="4" s="1"/>
  <c r="K77" i="4"/>
  <c r="O77" i="4"/>
  <c r="AS31" i="20" a="1"/>
  <c r="AR43" i="20" a="1"/>
  <c r="AR49" i="20" a="1"/>
  <c r="AS23" i="20" a="1"/>
  <c r="BA45" i="8" a="1"/>
  <c r="BA23" i="8" a="1"/>
  <c r="AT74" i="7" a="1"/>
  <c r="AT93" i="7" a="1"/>
  <c r="AT82" i="7" a="1"/>
  <c r="AU59" i="7" a="1"/>
  <c r="AV40" i="7" a="1"/>
  <c r="BA80" i="8" a="1"/>
  <c r="AT99" i="7" a="1"/>
  <c r="AU35" i="7" a="1"/>
  <c r="BA105" i="8" a="1"/>
  <c r="BA49" i="8" a="1"/>
  <c r="BA31" i="8" a="1"/>
  <c r="BA83" i="8" a="1"/>
  <c r="AV38" i="7" a="1"/>
  <c r="BA116" i="8" a="1"/>
  <c r="BA111" i="8" a="1"/>
  <c r="BB46" i="8" a="1"/>
  <c r="BA96" i="8" a="1"/>
  <c r="BB42" i="8" a="1"/>
  <c r="AU62" i="7" a="1"/>
  <c r="AU27" i="7" a="1"/>
  <c r="AU32" i="7" a="1"/>
  <c r="BB64" i="8" a="1"/>
  <c r="AR70" i="20" a="1"/>
  <c r="AS66" i="20" a="1"/>
  <c r="AS73" i="20" a="1"/>
  <c r="AS82" i="20" a="1"/>
  <c r="AR90" i="20" a="1"/>
  <c r="AS92" i="20" a="1"/>
  <c r="AR102" i="20" a="1"/>
  <c r="AS104" i="20" a="1"/>
  <c r="AZ99" i="8" a="1"/>
  <c r="AU52" i="7" a="1"/>
  <c r="BA79" i="8" a="1"/>
  <c r="AT90" i="7" a="1"/>
  <c r="AT85" i="7" a="1"/>
  <c r="AS60" i="20" a="1"/>
  <c r="AT94" i="7" a="1"/>
  <c r="BA24" i="8" a="1"/>
  <c r="AU56" i="7" a="1"/>
  <c r="BA100" i="8" a="1"/>
  <c r="AR38" i="20" a="1"/>
  <c r="AS34" i="20" a="1"/>
  <c r="AR41" i="20" a="1"/>
  <c r="AR48" i="20" a="1"/>
  <c r="AS53" i="20" a="1"/>
  <c r="AS58" i="20" a="1"/>
  <c r="AS62" i="20" a="1"/>
  <c r="BA94" i="8" a="1"/>
  <c r="BA66" i="8" a="1"/>
  <c r="BA40" i="8" a="1"/>
  <c r="BB77" i="8" a="1"/>
  <c r="AU50" i="7" a="1"/>
  <c r="BA101" i="8" a="1"/>
  <c r="BB97" i="8" a="1"/>
  <c r="AV60" i="7" a="1"/>
  <c r="AV51" i="7" a="1"/>
  <c r="AT67" i="7" a="1"/>
  <c r="AT73" i="7" a="1"/>
  <c r="AT76" i="7" a="1"/>
  <c r="BA65" i="8" a="1"/>
  <c r="BB39" i="8" a="1"/>
  <c r="AT69" i="7" a="1"/>
  <c r="AT80" i="7" a="1"/>
  <c r="AU48" i="7" a="1"/>
  <c r="AT71" i="7" a="1"/>
  <c r="BA87" i="8" a="1"/>
  <c r="AT66" i="7" a="1"/>
  <c r="AT106" i="7" a="1"/>
  <c r="AU36" i="7" a="1"/>
  <c r="AR69" i="20" a="1"/>
  <c r="AS71" i="20" a="1"/>
  <c r="AS77" i="20" a="1"/>
  <c r="AR86" i="20" a="1"/>
  <c r="AR89" i="20" a="1"/>
  <c r="AS95" i="20" a="1"/>
  <c r="AR101" i="20" a="1"/>
  <c r="AS107" i="20" a="1"/>
  <c r="AS24" i="20" a="1"/>
  <c r="AT91" i="7" a="1"/>
  <c r="BA41" i="8" a="1"/>
  <c r="AT100" i="7" a="1"/>
  <c r="BB82" i="8" a="1"/>
  <c r="BA68" i="8" a="1"/>
  <c r="AT97" i="7" a="1"/>
  <c r="BA113" i="8" a="1"/>
  <c r="AT64" i="7" a="1"/>
  <c r="BA92" i="8" a="1"/>
  <c r="BA78" i="8" a="1"/>
  <c r="AV49" i="7" a="1"/>
  <c r="BB25" i="8" a="1"/>
  <c r="BB26" i="8" a="1"/>
  <c r="BA38" i="8" a="1"/>
  <c r="BA110" i="8" a="1"/>
  <c r="BA75" i="8" a="1"/>
  <c r="BB63" i="8" a="1"/>
  <c r="BB71" i="8" a="1"/>
  <c r="BB36" i="8" a="1"/>
  <c r="AT79" i="7" a="1"/>
  <c r="AT78" i="7" a="1"/>
  <c r="BA115" i="8" a="1"/>
  <c r="AT81" i="7" a="1"/>
  <c r="AT96" i="7" a="1"/>
  <c r="AU54" i="7" a="1"/>
  <c r="BA33" i="8" a="1"/>
  <c r="BA50" i="8" a="1"/>
  <c r="BA44" i="8" a="1"/>
  <c r="AT104" i="7" a="1"/>
  <c r="BA85" i="8" a="1"/>
  <c r="AR45" i="20" a="1"/>
  <c r="AR37" i="20" a="1"/>
  <c r="AS36" i="20" a="1"/>
  <c r="AS40" i="20" a="1"/>
  <c r="AS47" i="20" a="1"/>
  <c r="AT22" i="20" a="1"/>
  <c r="AT72" i="7" a="1"/>
  <c r="AT65" i="7" a="1"/>
  <c r="BB51" i="8" a="1"/>
  <c r="AU31" i="7" a="1"/>
  <c r="BA106" i="8" a="1"/>
  <c r="AU44" i="7" a="1"/>
  <c r="AT103" i="7" a="1"/>
  <c r="AT110" i="7" a="1"/>
  <c r="AV61" i="7" a="1"/>
  <c r="BB57" i="8" a="1"/>
  <c r="AR68" i="20" a="1"/>
  <c r="AR76" i="20" a="1"/>
  <c r="AR81" i="20" a="1"/>
  <c r="AR85" i="20" a="1"/>
  <c r="AS88" i="20" a="1"/>
  <c r="AR98" i="20" a="1"/>
  <c r="AR103" i="20" a="1"/>
  <c r="AR110" i="20" a="1"/>
  <c r="AS54" i="20" a="1"/>
  <c r="AS59" i="20" a="1"/>
  <c r="AZ89" i="8" a="1"/>
  <c r="BD27" i="8" a="1"/>
  <c r="BA37" i="8" a="1"/>
  <c r="AV46" i="7" a="1"/>
  <c r="AS46" i="20" a="1"/>
  <c r="AR35" i="20" a="1"/>
  <c r="AS39" i="20" a="1"/>
  <c r="AS42" i="20" a="1"/>
  <c r="AS51" i="20" a="1"/>
  <c r="AT20" i="20" a="1"/>
  <c r="AS25" i="20" a="1"/>
  <c r="BA114" i="8" a="1"/>
  <c r="AR67" i="20" a="1"/>
  <c r="AR75" i="20" a="1"/>
  <c r="AR80" i="20" a="1"/>
  <c r="AR84" i="20" a="1"/>
  <c r="AS91" i="20" a="1"/>
  <c r="AR97" i="20" a="1"/>
  <c r="AS100" i="20" a="1"/>
  <c r="AR109" i="20" a="1"/>
  <c r="BB102" i="8" a="1"/>
  <c r="AR33" i="20" a="1"/>
  <c r="AS55" i="20" a="1"/>
  <c r="AS57" i="20" a="1"/>
  <c r="AR65" i="20" a="1"/>
  <c r="AR74" i="20" a="1"/>
  <c r="AR79" i="20" a="1"/>
  <c r="AS83" i="20" a="1"/>
  <c r="AR94" i="20" a="1"/>
  <c r="AS96" i="20" a="1"/>
  <c r="AR106" i="20" a="1"/>
  <c r="AS108" i="20" a="1"/>
  <c r="AS21" i="20" a="1"/>
  <c r="AS26" i="20" a="1"/>
  <c r="AT98" i="7" a="1"/>
  <c r="BA77" i="8" a="1"/>
  <c r="AT105" i="7" a="1"/>
  <c r="AT68" i="7" a="1"/>
  <c r="AU47" i="7" a="1"/>
  <c r="BA73" i="8" a="1"/>
  <c r="AT89" i="7" a="1"/>
  <c r="AT75" i="7" a="1"/>
  <c r="AT108" i="7" a="1"/>
  <c r="BB54" i="8" a="1"/>
  <c r="AT88" i="7" a="1"/>
  <c r="BA74" i="8" a="1"/>
  <c r="AT84" i="7" a="1"/>
  <c r="AT70" i="7" a="1"/>
  <c r="AU39" i="7" a="1"/>
  <c r="BA43" i="8" a="1"/>
  <c r="BA35" i="8" a="1"/>
  <c r="BA71" i="8" a="1"/>
  <c r="BA25" i="8" a="1"/>
  <c r="BB92" i="8" a="1"/>
  <c r="AR32" i="20" a="1"/>
  <c r="AR44" i="20" a="1"/>
  <c r="AR50" i="20" a="1"/>
  <c r="AZ109" i="8" a="1"/>
  <c r="AU41" i="7" a="1"/>
  <c r="AV57" i="7" a="1"/>
  <c r="AT83" i="7" a="1"/>
  <c r="BC52" i="8" a="1"/>
  <c r="AT102" i="7" a="1"/>
  <c r="AU45" i="7" a="1"/>
  <c r="AT86" i="7" a="1"/>
  <c r="AT109" i="7" a="1"/>
  <c r="AT87" i="7" a="1"/>
  <c r="AT92" i="7" a="1"/>
  <c r="AV42" i="7" a="1"/>
  <c r="BA58" i="8" a="1"/>
  <c r="BA81" i="8" a="1"/>
  <c r="AT101" i="7" a="1"/>
  <c r="AU34" i="7" a="1"/>
  <c r="AT77" i="7" a="1"/>
  <c r="BB112" i="8" a="1"/>
  <c r="BA84" i="8" a="1"/>
  <c r="BA95" i="8" a="1"/>
  <c r="AT95" i="7" a="1"/>
  <c r="AU37" i="7" a="1"/>
  <c r="AU55" i="7" a="1"/>
  <c r="BA86" i="8" a="1"/>
  <c r="BA82" i="8" a="1"/>
  <c r="AS63" i="20" a="1"/>
  <c r="AS64" i="20" a="1"/>
  <c r="AS72" i="20" a="1"/>
  <c r="AS78" i="20" a="1"/>
  <c r="AS87" i="20" a="1"/>
  <c r="AR93" i="20" a="1"/>
  <c r="AS99" i="20" a="1"/>
  <c r="AR105" i="20" a="1"/>
  <c r="AT52" i="20" a="1"/>
  <c r="AS56" i="20" a="1"/>
  <c r="AS61" i="20" a="1"/>
  <c r="BA104" i="8" a="1"/>
  <c r="BA32" i="8" a="1"/>
  <c r="BB87" i="8" a="1"/>
  <c r="BB78" i="8" a="1"/>
  <c r="AV33" i="7" a="1"/>
  <c r="BA39" i="8" a="1"/>
  <c r="BB52" i="8" a="1"/>
  <c r="AV43" i="7" a="1"/>
  <c r="AT107" i="7" a="1"/>
  <c r="BB58" i="8" a="1"/>
  <c r="BL61" i="13" l="1"/>
  <c r="BM61" i="13" s="1"/>
  <c r="BL79" i="13"/>
  <c r="BM79" i="13" s="1"/>
  <c r="BA104" i="8"/>
  <c r="AS61" i="20"/>
  <c r="AS56" i="20"/>
  <c r="AT52" i="20"/>
  <c r="AR105" i="20"/>
  <c r="AS99" i="20"/>
  <c r="AR93" i="20"/>
  <c r="AS87" i="20"/>
  <c r="AS78" i="20"/>
  <c r="AS72" i="20"/>
  <c r="AS64" i="20"/>
  <c r="AS63" i="20"/>
  <c r="AZ109" i="8"/>
  <c r="AR50" i="20"/>
  <c r="AR44" i="20"/>
  <c r="AR32" i="20"/>
  <c r="AS26" i="20"/>
  <c r="AS21" i="20"/>
  <c r="AS108" i="20"/>
  <c r="AR106" i="20"/>
  <c r="AS96" i="20"/>
  <c r="AR94" i="20"/>
  <c r="AS83" i="20"/>
  <c r="AR79" i="20"/>
  <c r="AR74" i="20"/>
  <c r="AR65" i="20"/>
  <c r="AS57" i="20"/>
  <c r="AS55" i="20"/>
  <c r="AR33" i="20"/>
  <c r="AR109" i="20"/>
  <c r="AS100" i="20"/>
  <c r="AR97" i="20"/>
  <c r="AS91" i="20"/>
  <c r="AR84" i="20"/>
  <c r="AR80" i="20"/>
  <c r="AR75" i="20"/>
  <c r="AR67" i="20"/>
  <c r="BA114" i="8"/>
  <c r="AS25" i="20"/>
  <c r="AT20" i="20"/>
  <c r="AS51" i="20"/>
  <c r="AS42" i="20"/>
  <c r="AS39" i="20"/>
  <c r="AR35" i="20"/>
  <c r="AS46" i="20"/>
  <c r="AZ89" i="8"/>
  <c r="AS59" i="20"/>
  <c r="AS54" i="20"/>
  <c r="AR110" i="20"/>
  <c r="AR103" i="20"/>
  <c r="AR98" i="20"/>
  <c r="AS88" i="20"/>
  <c r="AR85" i="20"/>
  <c r="AR81" i="20"/>
  <c r="AR76" i="20"/>
  <c r="AR68" i="20"/>
  <c r="AT22" i="20"/>
  <c r="AS47" i="20"/>
  <c r="AS40" i="20"/>
  <c r="AS36" i="20"/>
  <c r="AR37" i="20"/>
  <c r="AR45" i="20"/>
  <c r="AS24" i="20"/>
  <c r="AS107" i="20"/>
  <c r="AR101" i="20"/>
  <c r="AS95" i="20"/>
  <c r="AR89" i="20"/>
  <c r="AR86" i="20"/>
  <c r="AS77" i="20"/>
  <c r="AS71" i="20"/>
  <c r="AR69" i="20"/>
  <c r="BA94" i="8"/>
  <c r="AS62" i="20"/>
  <c r="AS58" i="20"/>
  <c r="AS53" i="20"/>
  <c r="AR48" i="20"/>
  <c r="AR41" i="20"/>
  <c r="AS34" i="20"/>
  <c r="AR38" i="20"/>
  <c r="AS60" i="20"/>
  <c r="AZ99" i="8"/>
  <c r="AS104" i="20"/>
  <c r="AR102" i="20"/>
  <c r="AS92" i="20"/>
  <c r="AR90" i="20"/>
  <c r="AS82" i="20"/>
  <c r="AS73" i="20"/>
  <c r="AS66" i="20"/>
  <c r="AR70" i="20"/>
  <c r="AS23" i="20"/>
  <c r="AR49" i="20"/>
  <c r="AR43" i="20"/>
  <c r="AS31" i="20"/>
  <c r="Z94" i="4"/>
  <c r="E94" i="13" a="1"/>
  <c r="E94" i="13" s="1"/>
  <c r="AN37" i="13"/>
  <c r="AZ37" i="13"/>
  <c r="AM37" i="13" s="1"/>
  <c r="BL37" i="13"/>
  <c r="BM37" i="13" s="1"/>
  <c r="BH37" i="13"/>
  <c r="AV37" i="13" s="1"/>
  <c r="BV37" i="13"/>
  <c r="BU37" i="13"/>
  <c r="BF37" i="13"/>
  <c r="AT37" i="13" s="1"/>
  <c r="BG37" i="13"/>
  <c r="AU37" i="13" s="1"/>
  <c r="BR37" i="13"/>
  <c r="BS37" i="13" s="1"/>
  <c r="BT37" i="13" s="1"/>
  <c r="AN36" i="13"/>
  <c r="AZ36" i="13"/>
  <c r="AM36" i="13" s="1"/>
  <c r="BF36" i="13"/>
  <c r="AT36" i="13" s="1"/>
  <c r="BG36" i="13"/>
  <c r="AU36" i="13" s="1"/>
  <c r="BU36" i="13"/>
  <c r="BV36" i="13"/>
  <c r="BH36" i="13"/>
  <c r="AV36" i="13" s="1"/>
  <c r="BR36" i="13"/>
  <c r="BS36" i="13" s="1"/>
  <c r="BT36" i="13" s="1"/>
  <c r="BL36" i="13"/>
  <c r="BM36" i="13" s="1"/>
  <c r="AN48" i="13"/>
  <c r="AZ48" i="13"/>
  <c r="AM48" i="13" s="1"/>
  <c r="BF48" i="13"/>
  <c r="AT48" i="13" s="1"/>
  <c r="BH48" i="13"/>
  <c r="AV48" i="13" s="1"/>
  <c r="BG48" i="13"/>
  <c r="AU48" i="13" s="1"/>
  <c r="BV48" i="13"/>
  <c r="BR48" i="13"/>
  <c r="BU48" i="13"/>
  <c r="AN46" i="13"/>
  <c r="AZ46" i="13"/>
  <c r="AM46" i="13" s="1"/>
  <c r="BF46" i="13"/>
  <c r="AT46" i="13" s="1"/>
  <c r="BH46" i="13"/>
  <c r="AV46" i="13" s="1"/>
  <c r="BU46" i="13"/>
  <c r="BS46" i="13" s="1"/>
  <c r="BT46" i="13" s="1"/>
  <c r="BG46" i="13"/>
  <c r="AU46" i="13" s="1"/>
  <c r="BV46" i="13"/>
  <c r="BL46" i="13"/>
  <c r="BM46" i="13" s="1"/>
  <c r="AN45" i="13"/>
  <c r="AZ45" i="13"/>
  <c r="AM45" i="13" s="1"/>
  <c r="BF45" i="13"/>
  <c r="AT45" i="13" s="1"/>
  <c r="BG45" i="13"/>
  <c r="AU45" i="13" s="1"/>
  <c r="BH45" i="13"/>
  <c r="AV45" i="13" s="1"/>
  <c r="BG47" i="13"/>
  <c r="AU47" i="13" s="1"/>
  <c r="BF47" i="13"/>
  <c r="AT47" i="13" s="1"/>
  <c r="BH47" i="13"/>
  <c r="AV47" i="13" s="1"/>
  <c r="BR47" i="13"/>
  <c r="BS47" i="13" s="1"/>
  <c r="BT47" i="13" s="1"/>
  <c r="AN47" i="13"/>
  <c r="AZ47" i="13"/>
  <c r="AM47" i="13" s="1"/>
  <c r="AN106" i="13"/>
  <c r="AZ106" i="13"/>
  <c r="AM106" i="13" s="1"/>
  <c r="BV106" i="13"/>
  <c r="BU106" i="13"/>
  <c r="BF106" i="13"/>
  <c r="AT106" i="13" s="1"/>
  <c r="BG106" i="13"/>
  <c r="AU106" i="13" s="1"/>
  <c r="BH106" i="13"/>
  <c r="AV106" i="13" s="1"/>
  <c r="BR106" i="13"/>
  <c r="BS106" i="13" s="1"/>
  <c r="BT106" i="13" s="1"/>
  <c r="AN103" i="13"/>
  <c r="AZ103" i="13"/>
  <c r="AM103" i="13" s="1"/>
  <c r="BG103" i="13"/>
  <c r="AU103" i="13" s="1"/>
  <c r="BH103" i="13"/>
  <c r="AV103" i="13" s="1"/>
  <c r="BF103" i="13"/>
  <c r="AT103" i="13" s="1"/>
  <c r="BR103" i="13"/>
  <c r="BU103" i="13"/>
  <c r="BV103" i="13"/>
  <c r="AN101" i="13"/>
  <c r="AZ101" i="13"/>
  <c r="AM101" i="13" s="1"/>
  <c r="BR101" i="13"/>
  <c r="BV101" i="13"/>
  <c r="BU101" i="13"/>
  <c r="BH101" i="13"/>
  <c r="AV101" i="13" s="1"/>
  <c r="BF101" i="13"/>
  <c r="AT101" i="13" s="1"/>
  <c r="BG101" i="13"/>
  <c r="AU101" i="13" s="1"/>
  <c r="BU90" i="13"/>
  <c r="BH90" i="13"/>
  <c r="AV90" i="13" s="1"/>
  <c r="BV90" i="13"/>
  <c r="BF90" i="13"/>
  <c r="AT90" i="13" s="1"/>
  <c r="BG90" i="13"/>
  <c r="AU90" i="13" s="1"/>
  <c r="BR90" i="13"/>
  <c r="AN90" i="13"/>
  <c r="AZ90" i="13"/>
  <c r="AM90" i="13" s="1"/>
  <c r="AN89" i="13"/>
  <c r="AZ89" i="13"/>
  <c r="AM89" i="13" s="1"/>
  <c r="BF89" i="13"/>
  <c r="AT89" i="13" s="1"/>
  <c r="BR89" i="13"/>
  <c r="BG89" i="13"/>
  <c r="AU89" i="13" s="1"/>
  <c r="BH89" i="13"/>
  <c r="AV89" i="13" s="1"/>
  <c r="BV89" i="13"/>
  <c r="BU89" i="13"/>
  <c r="BH88" i="13"/>
  <c r="AV88" i="13" s="1"/>
  <c r="BR88" i="13"/>
  <c r="BU88" i="13"/>
  <c r="BG88" i="13"/>
  <c r="AU88" i="13" s="1"/>
  <c r="BV88" i="13"/>
  <c r="BF88" i="13"/>
  <c r="AT88" i="13" s="1"/>
  <c r="AN88" i="13"/>
  <c r="AZ88" i="13"/>
  <c r="AM88" i="13" s="1"/>
  <c r="AN86" i="13"/>
  <c r="AZ86" i="13"/>
  <c r="AM86" i="13" s="1"/>
  <c r="BU86" i="13"/>
  <c r="BR86" i="13"/>
  <c r="BV86" i="13"/>
  <c r="BF86" i="13"/>
  <c r="AT86" i="13" s="1"/>
  <c r="BG86" i="13"/>
  <c r="AU86" i="13" s="1"/>
  <c r="BH86" i="13"/>
  <c r="AV86" i="13" s="1"/>
  <c r="AN85" i="13"/>
  <c r="AZ85" i="13"/>
  <c r="AM85" i="13" s="1"/>
  <c r="BR85" i="13"/>
  <c r="BG85" i="13"/>
  <c r="AU85" i="13" s="1"/>
  <c r="BU85" i="13"/>
  <c r="BH85" i="13"/>
  <c r="AV85" i="13" s="1"/>
  <c r="BF85" i="13"/>
  <c r="AT85" i="13" s="1"/>
  <c r="BV85" i="13"/>
  <c r="BV84" i="13"/>
  <c r="BU84" i="13"/>
  <c r="BG84" i="13"/>
  <c r="AU84" i="13" s="1"/>
  <c r="BH84" i="13"/>
  <c r="AV84" i="13" s="1"/>
  <c r="BF84" i="13"/>
  <c r="AT84" i="13" s="1"/>
  <c r="BR84" i="13"/>
  <c r="AN84" i="13"/>
  <c r="AZ84" i="13"/>
  <c r="AM84" i="13" s="1"/>
  <c r="BH82" i="13"/>
  <c r="AV82" i="13" s="1"/>
  <c r="BR82" i="13"/>
  <c r="BU82" i="13"/>
  <c r="BF82" i="13"/>
  <c r="AT82" i="13" s="1"/>
  <c r="BV82" i="13"/>
  <c r="BG82" i="13"/>
  <c r="AU82" i="13" s="1"/>
  <c r="AN82" i="13"/>
  <c r="AZ82" i="13"/>
  <c r="AM82" i="13" s="1"/>
  <c r="BF80" i="13"/>
  <c r="AT80" i="13" s="1"/>
  <c r="BH80" i="13"/>
  <c r="AV80" i="13" s="1"/>
  <c r="BV80" i="13"/>
  <c r="BR80" i="13"/>
  <c r="BU80" i="13"/>
  <c r="BG80" i="13"/>
  <c r="AU80" i="13" s="1"/>
  <c r="AN80" i="13"/>
  <c r="AZ80" i="13"/>
  <c r="AM80" i="13" s="1"/>
  <c r="BL80" i="13"/>
  <c r="BM80" i="13" s="1"/>
  <c r="BR79" i="13"/>
  <c r="BG79" i="13"/>
  <c r="AU79" i="13" s="1"/>
  <c r="BU79" i="13"/>
  <c r="BV79" i="13"/>
  <c r="BF79" i="13"/>
  <c r="AT79" i="13" s="1"/>
  <c r="BH79" i="13"/>
  <c r="AV79" i="13" s="1"/>
  <c r="AN79" i="13"/>
  <c r="AZ79" i="13"/>
  <c r="AM79" i="13" s="1"/>
  <c r="AN77" i="13"/>
  <c r="AZ77" i="13"/>
  <c r="AM77" i="13" s="1"/>
  <c r="BR77" i="13"/>
  <c r="BF77" i="13"/>
  <c r="AT77" i="13" s="1"/>
  <c r="BG77" i="13"/>
  <c r="AU77" i="13" s="1"/>
  <c r="BU77" i="13"/>
  <c r="BH77" i="13"/>
  <c r="AV77" i="13" s="1"/>
  <c r="BV77" i="13"/>
  <c r="BF75" i="13"/>
  <c r="AT75" i="13" s="1"/>
  <c r="BH75" i="13"/>
  <c r="AV75" i="13" s="1"/>
  <c r="BV75" i="13"/>
  <c r="BG75" i="13"/>
  <c r="AU75" i="13" s="1"/>
  <c r="BU75" i="13"/>
  <c r="BR75" i="13"/>
  <c r="BS75" i="13" s="1"/>
  <c r="BT75" i="13" s="1"/>
  <c r="BL75" i="13"/>
  <c r="BM75" i="13" s="1"/>
  <c r="AN75" i="13"/>
  <c r="AZ75" i="13"/>
  <c r="AM75" i="13" s="1"/>
  <c r="BF72" i="13"/>
  <c r="AT72" i="13" s="1"/>
  <c r="BG72" i="13"/>
  <c r="AU72" i="13" s="1"/>
  <c r="BH72" i="13"/>
  <c r="AV72" i="13" s="1"/>
  <c r="BR72" i="13"/>
  <c r="BV72" i="13"/>
  <c r="BU72" i="13"/>
  <c r="AN72" i="13"/>
  <c r="AZ72" i="13"/>
  <c r="AM72" i="13" s="1"/>
  <c r="BL72" i="13"/>
  <c r="BM72" i="13" s="1"/>
  <c r="BH43" i="13"/>
  <c r="AV43" i="13" s="1"/>
  <c r="BF43" i="13"/>
  <c r="AT43" i="13" s="1"/>
  <c r="BG43" i="13"/>
  <c r="AU43" i="13" s="1"/>
  <c r="AN43" i="13"/>
  <c r="AZ43" i="13"/>
  <c r="AM43" i="13" s="1"/>
  <c r="BH57" i="13"/>
  <c r="AV57" i="13" s="1"/>
  <c r="BF57" i="13"/>
  <c r="AT57" i="13" s="1"/>
  <c r="BG57" i="13"/>
  <c r="AU57" i="13" s="1"/>
  <c r="AN57" i="13"/>
  <c r="AZ57" i="13"/>
  <c r="AM57" i="13" s="1"/>
  <c r="BL53" i="13"/>
  <c r="BM53" i="13" s="1"/>
  <c r="AN53" i="13"/>
  <c r="AZ53" i="13"/>
  <c r="AM53" i="13" s="1"/>
  <c r="BG53" i="13"/>
  <c r="AU53" i="13" s="1"/>
  <c r="BV53" i="13"/>
  <c r="BR53" i="13"/>
  <c r="BU53" i="13"/>
  <c r="BF53" i="13"/>
  <c r="AT53" i="13" s="1"/>
  <c r="BH53" i="13"/>
  <c r="AV53" i="13" s="1"/>
  <c r="AN31" i="13"/>
  <c r="AZ31" i="13"/>
  <c r="AM31" i="13" s="1"/>
  <c r="BG31" i="13"/>
  <c r="AU31" i="13" s="1"/>
  <c r="BF31" i="13"/>
  <c r="AT31" i="13" s="1"/>
  <c r="BH31" i="13"/>
  <c r="AV31" i="13" s="1"/>
  <c r="AN41" i="13"/>
  <c r="AZ41" i="13"/>
  <c r="AM41" i="13" s="1"/>
  <c r="BH41" i="13"/>
  <c r="AV41" i="13" s="1"/>
  <c r="BF41" i="13"/>
  <c r="AT41" i="13" s="1"/>
  <c r="BG41" i="13"/>
  <c r="AU41" i="13" s="1"/>
  <c r="AN25" i="13"/>
  <c r="AZ25" i="13"/>
  <c r="AM25" i="13" s="1"/>
  <c r="BF25" i="13"/>
  <c r="AT25" i="13" s="1"/>
  <c r="BG25" i="13"/>
  <c r="AU25" i="13" s="1"/>
  <c r="BH25" i="13"/>
  <c r="AV25" i="13" s="1"/>
  <c r="BG24" i="13"/>
  <c r="AU24" i="13" s="1"/>
  <c r="BH24" i="13"/>
  <c r="AV24" i="13" s="1"/>
  <c r="BF24" i="13"/>
  <c r="AT24" i="13" s="1"/>
  <c r="AN24" i="13"/>
  <c r="AZ24" i="13"/>
  <c r="AM24" i="13" s="1"/>
  <c r="BF49" i="13"/>
  <c r="AT49" i="13" s="1"/>
  <c r="BG49" i="13"/>
  <c r="AU49" i="13" s="1"/>
  <c r="BH49" i="13"/>
  <c r="AV49" i="13" s="1"/>
  <c r="AN49" i="13"/>
  <c r="AZ49" i="13"/>
  <c r="AM49" i="13" s="1"/>
  <c r="BH61" i="13"/>
  <c r="AV61" i="13" s="1"/>
  <c r="BV61" i="13"/>
  <c r="BR61" i="13"/>
  <c r="BF61" i="13"/>
  <c r="AT61" i="13" s="1"/>
  <c r="BG61" i="13"/>
  <c r="AU61" i="13" s="1"/>
  <c r="BU61" i="13"/>
  <c r="AN61" i="13"/>
  <c r="AZ61" i="13"/>
  <c r="AM61" i="13" s="1"/>
  <c r="BG109" i="13"/>
  <c r="BH109" i="13"/>
  <c r="AV109" i="13" s="1"/>
  <c r="BR109" i="13"/>
  <c r="BV109" i="13"/>
  <c r="BU109" i="13"/>
  <c r="AN109" i="13"/>
  <c r="AZ109" i="13"/>
  <c r="AM109" i="13" s="1"/>
  <c r="BF50" i="13"/>
  <c r="AT50" i="13" s="1"/>
  <c r="BH50" i="13"/>
  <c r="AV50" i="13" s="1"/>
  <c r="BG50" i="13"/>
  <c r="AU50" i="13" s="1"/>
  <c r="AN50" i="13"/>
  <c r="AZ50" i="13"/>
  <c r="AM50" i="13" s="1"/>
  <c r="AN34" i="13"/>
  <c r="AZ34" i="13"/>
  <c r="AM34" i="13" s="1"/>
  <c r="BF34" i="13"/>
  <c r="AT34" i="13" s="1"/>
  <c r="BG34" i="13"/>
  <c r="AU34" i="13" s="1"/>
  <c r="BH34" i="13"/>
  <c r="AV34" i="13" s="1"/>
  <c r="AN51" i="13"/>
  <c r="AZ51" i="13"/>
  <c r="AM51" i="13" s="1"/>
  <c r="BG51" i="13"/>
  <c r="AU51" i="13" s="1"/>
  <c r="BH51" i="13"/>
  <c r="AV51" i="13" s="1"/>
  <c r="BF51" i="13"/>
  <c r="AT51" i="13" s="1"/>
  <c r="AN55" i="13"/>
  <c r="AZ55" i="13"/>
  <c r="AM55" i="13" s="1"/>
  <c r="BF55" i="13"/>
  <c r="AT55" i="13" s="1"/>
  <c r="BG55" i="13"/>
  <c r="AU55" i="13" s="1"/>
  <c r="BH55" i="13"/>
  <c r="AV55" i="13" s="1"/>
  <c r="BR55" i="13"/>
  <c r="BS55" i="13" s="1"/>
  <c r="BT55" i="13" s="1"/>
  <c r="BG42" i="13"/>
  <c r="AU42" i="13" s="1"/>
  <c r="BH42" i="13"/>
  <c r="AV42" i="13" s="1"/>
  <c r="BF42" i="13"/>
  <c r="AT42" i="13" s="1"/>
  <c r="AN42" i="13"/>
  <c r="AZ42" i="13"/>
  <c r="AM42" i="13" s="1"/>
  <c r="AN54" i="13"/>
  <c r="AZ54" i="13"/>
  <c r="AM54" i="13" s="1"/>
  <c r="BF54" i="13"/>
  <c r="AT54" i="13" s="1"/>
  <c r="BG54" i="13"/>
  <c r="AU54" i="13" s="1"/>
  <c r="BH54" i="13"/>
  <c r="AV54" i="13" s="1"/>
  <c r="BR54" i="13"/>
  <c r="BU54" i="13"/>
  <c r="BV54" i="13"/>
  <c r="AN23" i="13"/>
  <c r="AZ23" i="13"/>
  <c r="AM23" i="13" s="1"/>
  <c r="BF23" i="13"/>
  <c r="AT23" i="13" s="1"/>
  <c r="BG23" i="13"/>
  <c r="AU23" i="13" s="1"/>
  <c r="BH23" i="13"/>
  <c r="AV23" i="13" s="1"/>
  <c r="BG33" i="13"/>
  <c r="AU33" i="13" s="1"/>
  <c r="BF33" i="13"/>
  <c r="AT33" i="13" s="1"/>
  <c r="BH33" i="13"/>
  <c r="AV33" i="13" s="1"/>
  <c r="AN33" i="13"/>
  <c r="AZ33" i="13"/>
  <c r="AM33" i="13" s="1"/>
  <c r="BF59" i="13"/>
  <c r="AT59" i="13" s="1"/>
  <c r="BU59" i="13"/>
  <c r="BG59" i="13"/>
  <c r="AU59" i="13" s="1"/>
  <c r="BV59" i="13"/>
  <c r="BH59" i="13"/>
  <c r="AV59" i="13" s="1"/>
  <c r="BR59" i="13"/>
  <c r="BS59" i="13" s="1"/>
  <c r="BT59" i="13" s="1"/>
  <c r="AN59" i="13"/>
  <c r="AZ59" i="13"/>
  <c r="AM59" i="13" s="1"/>
  <c r="BL59" i="13"/>
  <c r="BM59" i="13" s="1"/>
  <c r="BF39" i="13"/>
  <c r="AT39" i="13" s="1"/>
  <c r="BG39" i="13"/>
  <c r="AU39" i="13" s="1"/>
  <c r="BH39" i="13"/>
  <c r="AV39" i="13" s="1"/>
  <c r="BR39" i="13"/>
  <c r="BU39" i="13"/>
  <c r="BV39" i="13"/>
  <c r="AN39" i="13"/>
  <c r="AZ39" i="13"/>
  <c r="AM39" i="13" s="1"/>
  <c r="BL39" i="13"/>
  <c r="BM39" i="13" s="1"/>
  <c r="BR40" i="13"/>
  <c r="BG40" i="13"/>
  <c r="AU40" i="13" s="1"/>
  <c r="BU40" i="13"/>
  <c r="BV40" i="13"/>
  <c r="BF40" i="13"/>
  <c r="AT40" i="13" s="1"/>
  <c r="BH40" i="13"/>
  <c r="AV40" i="13" s="1"/>
  <c r="AN40" i="13"/>
  <c r="AZ40" i="13"/>
  <c r="AM40" i="13" s="1"/>
  <c r="AN30" i="13"/>
  <c r="AZ30" i="13"/>
  <c r="AM30" i="13" s="1"/>
  <c r="BH30" i="13"/>
  <c r="AV30" i="13" s="1"/>
  <c r="BG30" i="13"/>
  <c r="AU30" i="13" s="1"/>
  <c r="BF30" i="13"/>
  <c r="AT30" i="13" s="1"/>
  <c r="BR104" i="13"/>
  <c r="BV104" i="13"/>
  <c r="BF104" i="13"/>
  <c r="AT104" i="13" s="1"/>
  <c r="BG104" i="13"/>
  <c r="AU104" i="13" s="1"/>
  <c r="BH104" i="13"/>
  <c r="AV104" i="13" s="1"/>
  <c r="BU104" i="13"/>
  <c r="AN104" i="13"/>
  <c r="AZ104" i="13"/>
  <c r="AM104" i="13" s="1"/>
  <c r="AN29" i="13"/>
  <c r="AZ29" i="13"/>
  <c r="AM29" i="13" s="1"/>
  <c r="BG29" i="13"/>
  <c r="AU29" i="13" s="1"/>
  <c r="BH29" i="13"/>
  <c r="AV29" i="13" s="1"/>
  <c r="BF29" i="13"/>
  <c r="AT29" i="13" s="1"/>
  <c r="AN73" i="13"/>
  <c r="AZ73" i="13"/>
  <c r="AM73" i="13" s="1"/>
  <c r="BL73" i="13"/>
  <c r="BM73" i="13" s="1"/>
  <c r="BR73" i="13"/>
  <c r="BG73" i="13"/>
  <c r="AU73" i="13" s="1"/>
  <c r="BV73" i="13"/>
  <c r="BF73" i="13"/>
  <c r="AT73" i="13" s="1"/>
  <c r="BH73" i="13"/>
  <c r="AV73" i="13" s="1"/>
  <c r="BU73" i="13"/>
  <c r="BR76" i="13"/>
  <c r="BF76" i="13"/>
  <c r="AT76" i="13" s="1"/>
  <c r="BG76" i="13"/>
  <c r="AU76" i="13" s="1"/>
  <c r="BU76" i="13"/>
  <c r="BH76" i="13"/>
  <c r="AV76" i="13" s="1"/>
  <c r="BV76" i="13"/>
  <c r="AN76" i="13"/>
  <c r="AZ76" i="13"/>
  <c r="AM76" i="13" s="1"/>
  <c r="BL76" i="13"/>
  <c r="BM76" i="13" s="1"/>
  <c r="BR70" i="13"/>
  <c r="BV70" i="13"/>
  <c r="BU70" i="13"/>
  <c r="BF70" i="13"/>
  <c r="AT70" i="13" s="1"/>
  <c r="BG70" i="13"/>
  <c r="AU70" i="13" s="1"/>
  <c r="BH70" i="13"/>
  <c r="AV70" i="13" s="1"/>
  <c r="AN70" i="13"/>
  <c r="AZ70" i="13"/>
  <c r="AM70" i="13" s="1"/>
  <c r="BH81" i="13"/>
  <c r="AV81" i="13" s="1"/>
  <c r="BV81" i="13"/>
  <c r="BU81" i="13"/>
  <c r="BF81" i="13"/>
  <c r="AT81" i="13" s="1"/>
  <c r="BG81" i="13"/>
  <c r="AU81" i="13" s="1"/>
  <c r="BR81" i="13"/>
  <c r="BS81" i="13" s="1"/>
  <c r="BT81" i="13" s="1"/>
  <c r="AN81" i="13"/>
  <c r="AZ81" i="13"/>
  <c r="AM81" i="13" s="1"/>
  <c r="BH107" i="13"/>
  <c r="AV107" i="13" s="1"/>
  <c r="BR107" i="13"/>
  <c r="BF107" i="13"/>
  <c r="AT107" i="13" s="1"/>
  <c r="BU107" i="13"/>
  <c r="BV107" i="13"/>
  <c r="BG107" i="13"/>
  <c r="AU107" i="13" s="1"/>
  <c r="AN107" i="13"/>
  <c r="AZ107" i="13"/>
  <c r="AM107" i="13" s="1"/>
  <c r="AN91" i="13"/>
  <c r="AZ91" i="13"/>
  <c r="AM91" i="13" s="1"/>
  <c r="BV91" i="13"/>
  <c r="BF91" i="13"/>
  <c r="AT91" i="13" s="1"/>
  <c r="BG91" i="13"/>
  <c r="AU91" i="13" s="1"/>
  <c r="BH91" i="13"/>
  <c r="AV91" i="13" s="1"/>
  <c r="BU91" i="13"/>
  <c r="BR91" i="13"/>
  <c r="BS91" i="13" s="1"/>
  <c r="BT91" i="13" s="1"/>
  <c r="BR105" i="13"/>
  <c r="BU105" i="13"/>
  <c r="BV105" i="13"/>
  <c r="BF105" i="13"/>
  <c r="AT105" i="13" s="1"/>
  <c r="BH105" i="13"/>
  <c r="AV105" i="13" s="1"/>
  <c r="BG105" i="13"/>
  <c r="AU105" i="13" s="1"/>
  <c r="AN105" i="13"/>
  <c r="AZ105" i="13"/>
  <c r="AM105" i="13" s="1"/>
  <c r="BG27" i="13"/>
  <c r="AU27" i="13" s="1"/>
  <c r="BF27" i="13"/>
  <c r="AT27" i="13" s="1"/>
  <c r="BH27" i="13"/>
  <c r="AV27" i="13" s="1"/>
  <c r="BG28" i="13"/>
  <c r="AU28" i="13" s="1"/>
  <c r="BH28" i="13"/>
  <c r="AV28" i="13" s="1"/>
  <c r="BF28" i="13"/>
  <c r="AT28" i="13" s="1"/>
  <c r="AN28" i="13"/>
  <c r="AZ28" i="13"/>
  <c r="AM28" i="13" s="1"/>
  <c r="BH32" i="13"/>
  <c r="AV32" i="13" s="1"/>
  <c r="BF32" i="13"/>
  <c r="AT32" i="13" s="1"/>
  <c r="BG32" i="13"/>
  <c r="AU32" i="13" s="1"/>
  <c r="AN32" i="13"/>
  <c r="AZ32" i="13"/>
  <c r="AM32" i="13" s="1"/>
  <c r="BG93" i="13"/>
  <c r="AU93" i="13" s="1"/>
  <c r="BU93" i="13"/>
  <c r="BH93" i="13"/>
  <c r="AV93" i="13" s="1"/>
  <c r="BR93" i="13"/>
  <c r="BS93" i="13" s="1"/>
  <c r="BT93" i="13" s="1"/>
  <c r="BV93" i="13"/>
  <c r="BF93" i="13"/>
  <c r="AT93" i="13" s="1"/>
  <c r="AN93" i="13"/>
  <c r="AZ93" i="13"/>
  <c r="AM93" i="13" s="1"/>
  <c r="BG102" i="13"/>
  <c r="AU102" i="13" s="1"/>
  <c r="BF102" i="13"/>
  <c r="AT102" i="13" s="1"/>
  <c r="BU102" i="13"/>
  <c r="BV102" i="13"/>
  <c r="BH102" i="13"/>
  <c r="AV102" i="13" s="1"/>
  <c r="BR102" i="13"/>
  <c r="AN102" i="13"/>
  <c r="AZ102" i="13"/>
  <c r="AM102" i="13" s="1"/>
  <c r="AG26" i="20" a="1"/>
  <c r="AG26" i="20" s="1"/>
  <c r="AG25" i="20" a="1"/>
  <c r="AG25" i="20" s="1"/>
  <c r="AG24" i="20" a="1"/>
  <c r="AG24" i="20" s="1"/>
  <c r="AG23" i="20" a="1"/>
  <c r="AG23" i="20" s="1"/>
  <c r="AG21" i="20" a="1"/>
  <c r="AG21" i="20" s="1"/>
  <c r="AH20" i="20" a="1"/>
  <c r="AH20" i="20" s="1"/>
  <c r="AH22" i="20" a="1"/>
  <c r="AH22" i="20" s="1"/>
  <c r="AG62" i="20" a="1"/>
  <c r="AG62" i="20" s="1"/>
  <c r="AG61" i="20" a="1"/>
  <c r="AG61" i="20" s="1"/>
  <c r="AG60" i="20" a="1"/>
  <c r="AG60" i="20" s="1"/>
  <c r="AG59" i="20" a="1"/>
  <c r="AG59" i="20" s="1"/>
  <c r="AG58" i="20" a="1"/>
  <c r="AG58" i="20" s="1"/>
  <c r="AG56" i="20" a="1"/>
  <c r="AG56" i="20" s="1"/>
  <c r="AG55" i="20" a="1"/>
  <c r="AG55" i="20" s="1"/>
  <c r="AG54" i="20" a="1"/>
  <c r="AG54" i="20" s="1"/>
  <c r="AG53" i="20" a="1"/>
  <c r="AG53" i="20" s="1"/>
  <c r="AH52" i="20" a="1"/>
  <c r="AH52" i="20" s="1"/>
  <c r="AG108" i="20" a="1"/>
  <c r="AG108" i="20" s="1"/>
  <c r="AJ109" i="20"/>
  <c r="AF109" i="20" a="1"/>
  <c r="AF109" i="20" s="1"/>
  <c r="AJ110" i="20"/>
  <c r="AF110" i="20" a="1"/>
  <c r="AF110" i="20" s="1"/>
  <c r="AG107" i="20" a="1"/>
  <c r="AG107" i="20" s="1"/>
  <c r="AG104" i="20" a="1"/>
  <c r="AG104" i="20" s="1"/>
  <c r="AJ105" i="20"/>
  <c r="AF105" i="20" a="1"/>
  <c r="AF105" i="20" s="1"/>
  <c r="AJ106" i="20"/>
  <c r="AF106" i="20" a="1"/>
  <c r="AF106" i="20" s="1"/>
  <c r="AG100" i="20" a="1"/>
  <c r="AG100" i="20" s="1"/>
  <c r="AJ103" i="20"/>
  <c r="AF103" i="20" a="1"/>
  <c r="AF103" i="20" s="1"/>
  <c r="AJ101" i="20"/>
  <c r="AF101" i="20" a="1"/>
  <c r="AF101" i="20" s="1"/>
  <c r="AJ102" i="20"/>
  <c r="AF102" i="20" a="1"/>
  <c r="AF102" i="20" s="1"/>
  <c r="AG99" i="20" a="1"/>
  <c r="AG99" i="20" s="1"/>
  <c r="AG96" i="20" a="1"/>
  <c r="AG96" i="20" s="1"/>
  <c r="AJ97" i="20"/>
  <c r="AF97" i="20" a="1"/>
  <c r="AF97" i="20" s="1"/>
  <c r="AJ98" i="20"/>
  <c r="AF98" i="20" a="1"/>
  <c r="AF98" i="20" s="1"/>
  <c r="AG95" i="20" a="1"/>
  <c r="AG95" i="20" s="1"/>
  <c r="AG92" i="20" a="1"/>
  <c r="AG92" i="20" s="1"/>
  <c r="AJ93" i="20"/>
  <c r="AF93" i="20" a="1"/>
  <c r="AF93" i="20" s="1"/>
  <c r="AJ94" i="20"/>
  <c r="AF94" i="20" a="1"/>
  <c r="AF94" i="20" s="1"/>
  <c r="AG91" i="20" a="1"/>
  <c r="AG91" i="20" s="1"/>
  <c r="AG88" i="20" a="1"/>
  <c r="AG88" i="20" s="1"/>
  <c r="AJ89" i="20"/>
  <c r="AF89" i="20" a="1"/>
  <c r="AF89" i="20" s="1"/>
  <c r="AJ90" i="20"/>
  <c r="AF90" i="20" a="1"/>
  <c r="AF90" i="20" s="1"/>
  <c r="AG87" i="20" a="1"/>
  <c r="AG87" i="20" s="1"/>
  <c r="AG83" i="20" a="1"/>
  <c r="AG83" i="20" s="1"/>
  <c r="AJ84" i="20"/>
  <c r="AF84" i="20" a="1"/>
  <c r="AF84" i="20" s="1"/>
  <c r="AJ85" i="20"/>
  <c r="AF85" i="20" a="1"/>
  <c r="AF85" i="20" s="1"/>
  <c r="AJ86" i="20"/>
  <c r="AF86" i="20" a="1"/>
  <c r="AF86" i="20" s="1"/>
  <c r="AG82" i="20" a="1"/>
  <c r="AG82" i="20" s="1"/>
  <c r="AG78" i="20" a="1"/>
  <c r="AG78" i="20" s="1"/>
  <c r="AJ79" i="20"/>
  <c r="AF79" i="20" a="1"/>
  <c r="AF79" i="20" s="1"/>
  <c r="AJ80" i="20"/>
  <c r="AF80" i="20" a="1"/>
  <c r="AF80" i="20" s="1"/>
  <c r="AJ81" i="20"/>
  <c r="AF81" i="20" a="1"/>
  <c r="AF81" i="20" s="1"/>
  <c r="AG77" i="20" a="1"/>
  <c r="AG77" i="20" s="1"/>
  <c r="AG73" i="20" a="1"/>
  <c r="AG73" i="20" s="1"/>
  <c r="AG72" i="20" a="1"/>
  <c r="AG72" i="20" s="1"/>
  <c r="AJ74" i="20"/>
  <c r="AF74" i="20" a="1"/>
  <c r="AF74" i="20" s="1"/>
  <c r="AJ75" i="20"/>
  <c r="AF75" i="20" a="1"/>
  <c r="AF75" i="20" s="1"/>
  <c r="AJ76" i="20"/>
  <c r="AF76" i="20" a="1"/>
  <c r="AF76" i="20" s="1"/>
  <c r="AG71" i="20" a="1"/>
  <c r="AG71" i="20" s="1"/>
  <c r="AG66" i="20" a="1"/>
  <c r="AG66" i="20" s="1"/>
  <c r="AG64" i="20" a="1"/>
  <c r="AG64" i="20" s="1"/>
  <c r="AJ65" i="20"/>
  <c r="AF65" i="20" a="1"/>
  <c r="AF65" i="20" s="1"/>
  <c r="AJ67" i="20"/>
  <c r="AF67" i="20" a="1"/>
  <c r="AF67" i="20" s="1"/>
  <c r="AJ68" i="20"/>
  <c r="AF68" i="20" a="1"/>
  <c r="AF68" i="20" s="1"/>
  <c r="AJ69" i="20"/>
  <c r="AF69" i="20" a="1"/>
  <c r="AF69" i="20" s="1"/>
  <c r="AJ70" i="20"/>
  <c r="AF70" i="20" a="1"/>
  <c r="AF70" i="20" s="1"/>
  <c r="AG63" i="20" a="1"/>
  <c r="AG63" i="20" s="1"/>
  <c r="AG57" i="20" a="1"/>
  <c r="AG57" i="20" s="1"/>
  <c r="AG51" i="20" a="1"/>
  <c r="AG51" i="20" s="1"/>
  <c r="AG47" i="20" a="1"/>
  <c r="AG47" i="20" s="1"/>
  <c r="AJ48" i="20"/>
  <c r="AF48" i="20" a="1"/>
  <c r="AF48" i="20" s="1"/>
  <c r="AJ49" i="20"/>
  <c r="AF49" i="20" a="1"/>
  <c r="AF49" i="20" s="1"/>
  <c r="AJ50" i="20"/>
  <c r="AF50" i="20" a="1"/>
  <c r="AF50" i="20" s="1"/>
  <c r="AG46" i="20" a="1"/>
  <c r="AG46" i="20" s="1"/>
  <c r="AG42" i="20" a="1"/>
  <c r="AG42" i="20" s="1"/>
  <c r="AG40" i="20" a="1"/>
  <c r="AG40" i="20" s="1"/>
  <c r="AJ41" i="20"/>
  <c r="AF41" i="20" a="1"/>
  <c r="AF41" i="20" s="1"/>
  <c r="AJ43" i="20"/>
  <c r="AF43" i="20" a="1"/>
  <c r="AF43" i="20" s="1"/>
  <c r="AJ44" i="20"/>
  <c r="AF44" i="20" a="1"/>
  <c r="AF44" i="20" s="1"/>
  <c r="AJ45" i="20"/>
  <c r="AF45" i="20" a="1"/>
  <c r="AF45" i="20" s="1"/>
  <c r="AG39" i="20" a="1"/>
  <c r="AG39" i="20" s="1"/>
  <c r="AG36" i="20" a="1"/>
  <c r="AG36" i="20" s="1"/>
  <c r="AG34" i="20" a="1"/>
  <c r="AG34" i="20" s="1"/>
  <c r="AG31" i="20" a="1"/>
  <c r="AG31" i="20" s="1"/>
  <c r="AJ32" i="20"/>
  <c r="AF32" i="20" a="1"/>
  <c r="AF32" i="20" s="1"/>
  <c r="AJ33" i="20"/>
  <c r="AF33" i="20" a="1"/>
  <c r="AF33" i="20" s="1"/>
  <c r="AJ35" i="20"/>
  <c r="AF35" i="20" a="1"/>
  <c r="AF35" i="20" s="1"/>
  <c r="AJ37" i="20"/>
  <c r="AF37" i="20" a="1"/>
  <c r="AF37" i="20" s="1"/>
  <c r="AJ38" i="20"/>
  <c r="AF38" i="20" a="1"/>
  <c r="AF38" i="20" s="1"/>
  <c r="G7" i="11"/>
  <c r="G16" i="11" s="1"/>
  <c r="H54" i="11"/>
  <c r="M114" i="10"/>
  <c r="I78" i="10"/>
  <c r="L78" i="10"/>
  <c r="L72" i="10"/>
  <c r="I72" i="10"/>
  <c r="L79" i="10"/>
  <c r="M111" i="10"/>
  <c r="I79" i="10"/>
  <c r="N88" i="10"/>
  <c r="K114" i="10"/>
  <c r="K116" i="10"/>
  <c r="L88" i="10"/>
  <c r="I77" i="10"/>
  <c r="L77" i="10"/>
  <c r="H80" i="10"/>
  <c r="M117" i="10" s="1"/>
  <c r="I71" i="10"/>
  <c r="L71" i="10"/>
  <c r="AJ42" i="4"/>
  <c r="P79" i="11" a="1"/>
  <c r="P79" i="11" s="1"/>
  <c r="AR109" i="8"/>
  <c r="AR99" i="8"/>
  <c r="AO94" i="8" a="1"/>
  <c r="AO94" i="8" s="1"/>
  <c r="AD95" i="4" s="1"/>
  <c r="G95" i="13" s="1" a="1"/>
  <c r="G95" i="13" s="1"/>
  <c r="AN89" i="8" a="1"/>
  <c r="AN89" i="8" s="1"/>
  <c r="AC94" i="4" s="1"/>
  <c r="F94" i="13" s="1" a="1"/>
  <c r="F94" i="13" s="1"/>
  <c r="AR89" i="8"/>
  <c r="BB52" i="8"/>
  <c r="BA23" i="8"/>
  <c r="BA31" i="8"/>
  <c r="BA73" i="8"/>
  <c r="BA40" i="8"/>
  <c r="BA77" i="8"/>
  <c r="BA87" i="8"/>
  <c r="BA71" i="8"/>
  <c r="BA78" i="8"/>
  <c r="BA39" i="8"/>
  <c r="BA92" i="8"/>
  <c r="BA24" i="8"/>
  <c r="BA66" i="8"/>
  <c r="BA82" i="8"/>
  <c r="BA113" i="8"/>
  <c r="BA58" i="8"/>
  <c r="BA83" i="8"/>
  <c r="P15" i="10"/>
  <c r="Q24" i="10" s="1"/>
  <c r="O113" i="4"/>
  <c r="L110" i="4"/>
  <c r="Q110" i="4" s="1"/>
  <c r="P110" i="4"/>
  <c r="O82" i="4"/>
  <c r="K82" i="4"/>
  <c r="BS83" i="13"/>
  <c r="BT83" i="13" s="1"/>
  <c r="L59" i="4"/>
  <c r="Q59" i="4" s="1"/>
  <c r="Q131" i="4" s="1"/>
  <c r="Q132" i="4" s="1"/>
  <c r="Q133" i="4" s="1"/>
  <c r="P59" i="4"/>
  <c r="P131" i="4" s="1"/>
  <c r="P132" i="4" s="1"/>
  <c r="P133" i="4" s="1"/>
  <c r="O135" i="4"/>
  <c r="O134" i="4"/>
  <c r="P15" i="3"/>
  <c r="Q18" i="3" s="1"/>
  <c r="J62" i="4"/>
  <c r="O62" i="4" s="1"/>
  <c r="P130" i="4"/>
  <c r="L130" i="4"/>
  <c r="Q130" i="4" s="1"/>
  <c r="BS92" i="13"/>
  <c r="BT92" i="13" s="1"/>
  <c r="BS68" i="13"/>
  <c r="BT68" i="13" s="1"/>
  <c r="BS69" i="13"/>
  <c r="BT69" i="13" s="1"/>
  <c r="BS87" i="13"/>
  <c r="BT87" i="13" s="1"/>
  <c r="BS67" i="13"/>
  <c r="BT67" i="13" s="1"/>
  <c r="BS74" i="13"/>
  <c r="BT74" i="13" s="1"/>
  <c r="BS78" i="13"/>
  <c r="BT78" i="13" s="1"/>
  <c r="BS100" i="13"/>
  <c r="BT100" i="13" s="1"/>
  <c r="AG43" i="3"/>
  <c r="P44" i="10"/>
  <c r="AD102" i="11" s="1"/>
  <c r="AE102" i="11" s="1"/>
  <c r="P43" i="10"/>
  <c r="P42" i="10"/>
  <c r="AF42" i="10" s="1"/>
  <c r="F102" i="11"/>
  <c r="G102" i="11" s="1"/>
  <c r="H102" i="11" s="1"/>
  <c r="I102" i="11" s="1"/>
  <c r="AM44" i="3"/>
  <c r="E103" i="11"/>
  <c r="Y103" i="11" s="1"/>
  <c r="P103" i="11" s="1"/>
  <c r="BA25" i="8"/>
  <c r="W132" i="4"/>
  <c r="AR67" i="8"/>
  <c r="AR37" i="8"/>
  <c r="AB126" i="4"/>
  <c r="E23" i="13" s="1" a="1"/>
  <c r="E23" i="13" s="1"/>
  <c r="AR44" i="8"/>
  <c r="AB118" i="4"/>
  <c r="E49" i="13" s="1" a="1"/>
  <c r="E49" i="13" s="1"/>
  <c r="AR68" i="8"/>
  <c r="AB113" i="4"/>
  <c r="E70" i="13" s="1" a="1"/>
  <c r="E70" i="13" s="1"/>
  <c r="AR85" i="8"/>
  <c r="AB101" i="4"/>
  <c r="E101" i="13" s="1" a="1"/>
  <c r="E101" i="13" s="1"/>
  <c r="AR35" i="8"/>
  <c r="AB121" i="4"/>
  <c r="E20" i="13" s="1" a="1"/>
  <c r="E20" i="13" s="1"/>
  <c r="AR38" i="8"/>
  <c r="AB125" i="4"/>
  <c r="E22" i="13" s="1" a="1"/>
  <c r="E22" i="13" s="1"/>
  <c r="AR43" i="8"/>
  <c r="AB120" i="4"/>
  <c r="E51" i="13" s="1" a="1"/>
  <c r="E51" i="13" s="1"/>
  <c r="AR110" i="8"/>
  <c r="AB106" i="4"/>
  <c r="E106" i="13" s="1" a="1"/>
  <c r="E106" i="13" s="1"/>
  <c r="AR80" i="8"/>
  <c r="AB100" i="4"/>
  <c r="E100" i="13" s="1" a="1"/>
  <c r="E100" i="13" s="1"/>
  <c r="AR45" i="8"/>
  <c r="AB117" i="4"/>
  <c r="E48" i="13" s="1" a="1"/>
  <c r="E48" i="13" s="1"/>
  <c r="AR115" i="8"/>
  <c r="AB107" i="4"/>
  <c r="E107" i="13" s="1" a="1"/>
  <c r="E107" i="13" s="1"/>
  <c r="AC115" i="4"/>
  <c r="F45" i="13" s="1" a="1"/>
  <c r="F45" i="13" s="1"/>
  <c r="AC114" i="4"/>
  <c r="F47" i="13" s="1" a="1"/>
  <c r="F47" i="13" s="1"/>
  <c r="AR95" i="8"/>
  <c r="AB103" i="4"/>
  <c r="E103" i="13" s="1" a="1"/>
  <c r="E103" i="13" s="1"/>
  <c r="AR100" i="8"/>
  <c r="AB104" i="4"/>
  <c r="E104" i="13" s="1" a="1"/>
  <c r="E104" i="13" s="1"/>
  <c r="AR84" i="8"/>
  <c r="AB93" i="4"/>
  <c r="E93" i="13" s="1" a="1"/>
  <c r="E93" i="13" s="1"/>
  <c r="AR41" i="8"/>
  <c r="AB119" i="4"/>
  <c r="E50" i="13" s="1" a="1"/>
  <c r="E50" i="13" s="1"/>
  <c r="AR49" i="8"/>
  <c r="AB130" i="4"/>
  <c r="E37" i="13" s="1" a="1"/>
  <c r="E37" i="13" s="1"/>
  <c r="AR65" i="8"/>
  <c r="AB111" i="4"/>
  <c r="E68" i="13" s="1" a="1"/>
  <c r="E68" i="13" s="1"/>
  <c r="AR79" i="8"/>
  <c r="AB92" i="4"/>
  <c r="E92" i="13" s="1" a="1"/>
  <c r="E92" i="13" s="1"/>
  <c r="AR32" i="8"/>
  <c r="AB123" i="4"/>
  <c r="E21" i="13" s="1" a="1"/>
  <c r="E21" i="13" s="1"/>
  <c r="AR105" i="8"/>
  <c r="AB105" i="4"/>
  <c r="E105" i="13" s="1" a="1"/>
  <c r="E105" i="13" s="1"/>
  <c r="AR74" i="8"/>
  <c r="AB91" i="4"/>
  <c r="E91" i="13" s="1" a="1"/>
  <c r="E91" i="13" s="1"/>
  <c r="AO115" i="4"/>
  <c r="S45" i="13" s="1" a="1"/>
  <c r="S45" i="13" s="1"/>
  <c r="AO114" i="4"/>
  <c r="S47" i="13" s="1" a="1"/>
  <c r="S47" i="13" s="1"/>
  <c r="L113" i="4"/>
  <c r="Q113" i="4" s="1"/>
  <c r="P113" i="4"/>
  <c r="O127" i="4"/>
  <c r="K127" i="4"/>
  <c r="AR91" i="8"/>
  <c r="AR76" i="8"/>
  <c r="AR111" i="8"/>
  <c r="AB89" i="4"/>
  <c r="E89" i="13" s="1" a="1"/>
  <c r="E89" i="13" s="1"/>
  <c r="AR106" i="8"/>
  <c r="AB88" i="4"/>
  <c r="E88" i="13" s="1" a="1"/>
  <c r="E88" i="13" s="1"/>
  <c r="AR81" i="8"/>
  <c r="AB83" i="4"/>
  <c r="E83" i="13" s="1" a="1"/>
  <c r="E83" i="13" s="1"/>
  <c r="AR86" i="8"/>
  <c r="AB84" i="4"/>
  <c r="E84" i="13" s="1" a="1"/>
  <c r="E84" i="13" s="1"/>
  <c r="AR116" i="8"/>
  <c r="AB90" i="4"/>
  <c r="E90" i="13" s="1" a="1"/>
  <c r="E90" i="13" s="1"/>
  <c r="AR96" i="8"/>
  <c r="AB86" i="4"/>
  <c r="E86" i="13" s="1" a="1"/>
  <c r="E86" i="13" s="1"/>
  <c r="AO28" i="8" a="1"/>
  <c r="AO28" i="8" s="1"/>
  <c r="AC71" i="4"/>
  <c r="F33" i="13" s="1" a="1"/>
  <c r="F33" i="13" s="1"/>
  <c r="AO29" i="8" a="1"/>
  <c r="AO29" i="8" s="1"/>
  <c r="AC70" i="4"/>
  <c r="F32" i="13" s="1" a="1"/>
  <c r="F32" i="13" s="1"/>
  <c r="BB58" i="8"/>
  <c r="BA44" i="8"/>
  <c r="BA111" i="8"/>
  <c r="BA65" i="8"/>
  <c r="BA95" i="8"/>
  <c r="BA38" i="8"/>
  <c r="BB63" i="8"/>
  <c r="BB46" i="8"/>
  <c r="BB64" i="8"/>
  <c r="BA49" i="8"/>
  <c r="BB87" i="8"/>
  <c r="BA33" i="8"/>
  <c r="BB92" i="8"/>
  <c r="BA106" i="8"/>
  <c r="BB54" i="8"/>
  <c r="BB25" i="8"/>
  <c r="BA100" i="8"/>
  <c r="BB57" i="8"/>
  <c r="BA37" i="8"/>
  <c r="BB39" i="8"/>
  <c r="BB97" i="8"/>
  <c r="BA101" i="8"/>
  <c r="BA32" i="8"/>
  <c r="BA75" i="8"/>
  <c r="BA84" i="8"/>
  <c r="BA85" i="8"/>
  <c r="BA86" i="8"/>
  <c r="BB112" i="8"/>
  <c r="BA35" i="8"/>
  <c r="BB71" i="8"/>
  <c r="BB42" i="8"/>
  <c r="BB26" i="8"/>
  <c r="BA74" i="8"/>
  <c r="BA43" i="8"/>
  <c r="BA105" i="8"/>
  <c r="BB51" i="8"/>
  <c r="BA41" i="8"/>
  <c r="BA45" i="8"/>
  <c r="BB82" i="8"/>
  <c r="BA115" i="8"/>
  <c r="BB77" i="8"/>
  <c r="BA81" i="8"/>
  <c r="BB78" i="8"/>
  <c r="BA68" i="8"/>
  <c r="BB102" i="8"/>
  <c r="BA110" i="8"/>
  <c r="BA80" i="8"/>
  <c r="BA116" i="8"/>
  <c r="BB36" i="8"/>
  <c r="BA50" i="8"/>
  <c r="BA96" i="8"/>
  <c r="BA79" i="8"/>
  <c r="AO55" i="8" a="1"/>
  <c r="AO55" i="8" s="1"/>
  <c r="AD61" i="4" s="1"/>
  <c r="G41" i="13" s="1" a="1"/>
  <c r="G41" i="13" s="1"/>
  <c r="AD45" i="3"/>
  <c r="AE46" i="3" s="1"/>
  <c r="AC131" i="4"/>
  <c r="F53" i="13" s="1" a="1"/>
  <c r="F53" i="13" s="1"/>
  <c r="AO58" i="8" a="1"/>
  <c r="AO58" i="8" s="1"/>
  <c r="AN44" i="8" a="1"/>
  <c r="AN44" i="8" s="1"/>
  <c r="AC118" i="4" s="1"/>
  <c r="F49" i="13" s="1" a="1"/>
  <c r="F49" i="13" s="1"/>
  <c r="AN111" i="8" a="1"/>
  <c r="AN111" i="8" s="1"/>
  <c r="AC89" i="4" s="1"/>
  <c r="F89" i="13" s="1" a="1"/>
  <c r="F89" i="13" s="1"/>
  <c r="AN65" i="8" a="1"/>
  <c r="AN65" i="8" s="1"/>
  <c r="AC111" i="4" s="1"/>
  <c r="F68" i="13" s="1" a="1"/>
  <c r="F68" i="13" s="1"/>
  <c r="AN95" i="8" a="1"/>
  <c r="AN95" i="8" s="1"/>
  <c r="AC103" i="4" s="1"/>
  <c r="F103" i="13" s="1" a="1"/>
  <c r="F103" i="13" s="1"/>
  <c r="AO93" i="8" a="1"/>
  <c r="AO93" i="8" s="1"/>
  <c r="AD77" i="4" s="1"/>
  <c r="G77" i="13" s="1" a="1"/>
  <c r="G77" i="13" s="1"/>
  <c r="AO34" i="8" a="1"/>
  <c r="AO34" i="8" s="1"/>
  <c r="AD122" i="4" s="1"/>
  <c r="G18" i="13" s="1" a="1"/>
  <c r="G18" i="13" s="1"/>
  <c r="AO53" i="8" a="1"/>
  <c r="AO53" i="8" s="1"/>
  <c r="AD62" i="4" s="1"/>
  <c r="G42" i="13" s="1" a="1"/>
  <c r="G42" i="13" s="1"/>
  <c r="AN38" i="8" a="1"/>
  <c r="AN38" i="8" s="1"/>
  <c r="AC125" i="4" s="1"/>
  <c r="F22" i="13" s="1" a="1"/>
  <c r="F22" i="13" s="1"/>
  <c r="AO63" i="8" a="1"/>
  <c r="AO63" i="8" s="1"/>
  <c r="AR90" i="8"/>
  <c r="AN90" i="8" a="1"/>
  <c r="AN90" i="8" s="1"/>
  <c r="AC102" i="4" s="1"/>
  <c r="F102" i="13" s="1" a="1"/>
  <c r="F102" i="13" s="1"/>
  <c r="AO46" i="8" a="1"/>
  <c r="AO46" i="8" s="1"/>
  <c r="AO64" i="8" a="1"/>
  <c r="AO64" i="8" s="1"/>
  <c r="AD110" i="4" s="1"/>
  <c r="G67" i="13" s="1" a="1"/>
  <c r="G67" i="13" s="1"/>
  <c r="AO60" i="8" a="1"/>
  <c r="AO60" i="8" s="1"/>
  <c r="AD133" i="4" s="1"/>
  <c r="G55" i="13" s="1" a="1"/>
  <c r="G55" i="13" s="1"/>
  <c r="AN67" i="8" a="1"/>
  <c r="AN67" i="8" s="1"/>
  <c r="AC109" i="4" s="1"/>
  <c r="F66" i="13" s="1" a="1"/>
  <c r="F66" i="13" s="1"/>
  <c r="AN49" i="8" a="1"/>
  <c r="AN49" i="8" s="1"/>
  <c r="AC130" i="4" s="1"/>
  <c r="F37" i="13" s="1" a="1"/>
  <c r="F37" i="13" s="1"/>
  <c r="AO87" i="8" a="1"/>
  <c r="AO87" i="8" s="1"/>
  <c r="AR33" i="8"/>
  <c r="AN33" i="8" a="1"/>
  <c r="AN33" i="8" s="1"/>
  <c r="AC127" i="4" s="1"/>
  <c r="F24" i="13" s="1" a="1"/>
  <c r="F24" i="13" s="1"/>
  <c r="AO92" i="8" a="1"/>
  <c r="AO92" i="8" s="1"/>
  <c r="AN106" i="8" a="1"/>
  <c r="AN106" i="8" s="1"/>
  <c r="AC88" i="4" s="1"/>
  <c r="F88" i="13" s="1" a="1"/>
  <c r="F88" i="13" s="1"/>
  <c r="AO54" i="8" a="1"/>
  <c r="AO54" i="8" s="1"/>
  <c r="AD63" i="4" s="1"/>
  <c r="G43" i="13" s="1" a="1"/>
  <c r="G43" i="13" s="1"/>
  <c r="AO25" i="8" a="1"/>
  <c r="AO25" i="8" s="1"/>
  <c r="AN48" i="8" a="1"/>
  <c r="AN48" i="8" s="1"/>
  <c r="AO98" i="8" a="1"/>
  <c r="AO98" i="8" s="1"/>
  <c r="AD78" i="4" s="1"/>
  <c r="G78" i="13" s="1" a="1"/>
  <c r="G78" i="13" s="1"/>
  <c r="AN100" i="8" a="1"/>
  <c r="AN100" i="8" s="1"/>
  <c r="AC104" i="4" s="1"/>
  <c r="F104" i="13" s="1" a="1"/>
  <c r="F104" i="13" s="1"/>
  <c r="AO57" i="8" a="1"/>
  <c r="AO57" i="8" s="1"/>
  <c r="AN37" i="8" a="1"/>
  <c r="AN37" i="8" s="1"/>
  <c r="AC126" i="4" s="1"/>
  <c r="F23" i="13" s="1" a="1"/>
  <c r="F23" i="13" s="1"/>
  <c r="AN69" i="8" a="1"/>
  <c r="AN69" i="8" s="1"/>
  <c r="AN107" i="8" a="1"/>
  <c r="AN107" i="8" s="1"/>
  <c r="AO39" i="8" a="1"/>
  <c r="AO39" i="8" s="1"/>
  <c r="AO23" i="8" a="1"/>
  <c r="AO23" i="8" s="1"/>
  <c r="AD66" i="4" s="1"/>
  <c r="G30" i="13" s="1" a="1"/>
  <c r="G30" i="13" s="1"/>
  <c r="AO97" i="8" a="1"/>
  <c r="AO97" i="8" s="1"/>
  <c r="AR101" i="8"/>
  <c r="AN101" i="8" a="1"/>
  <c r="AN101" i="8" s="1"/>
  <c r="AC87" i="4" s="1"/>
  <c r="F87" i="13" s="1" a="1"/>
  <c r="F87" i="13" s="1"/>
  <c r="AN32" i="8" a="1"/>
  <c r="AN32" i="8" s="1"/>
  <c r="AC123" i="4" s="1"/>
  <c r="F21" i="13" s="1" a="1"/>
  <c r="F21" i="13" s="1"/>
  <c r="AO61" i="8" a="1"/>
  <c r="AO61" i="8" s="1"/>
  <c r="AD135" i="4" s="1"/>
  <c r="G56" i="13" s="1" a="1"/>
  <c r="G56" i="13" s="1"/>
  <c r="AN75" i="8" a="1"/>
  <c r="AN75" i="8" s="1"/>
  <c r="AN84" i="8" a="1"/>
  <c r="AN84" i="8" s="1"/>
  <c r="AC93" i="4" s="1"/>
  <c r="F93" i="13" s="1" a="1"/>
  <c r="F93" i="13" s="1"/>
  <c r="AO83" i="8" a="1"/>
  <c r="AO83" i="8" s="1"/>
  <c r="AD75" i="4" s="1"/>
  <c r="G75" i="13" s="1" a="1"/>
  <c r="G75" i="13" s="1"/>
  <c r="AN85" i="8" a="1"/>
  <c r="AN85" i="8" s="1"/>
  <c r="AC101" i="4" s="1"/>
  <c r="F101" i="13" s="1" a="1"/>
  <c r="F101" i="13" s="1"/>
  <c r="AN86" i="8" a="1"/>
  <c r="AN86" i="8" s="1"/>
  <c r="AC84" i="4" s="1"/>
  <c r="F84" i="13" s="1" a="1"/>
  <c r="F84" i="13" s="1"/>
  <c r="AO112" i="8" a="1"/>
  <c r="AO112" i="8" s="1"/>
  <c r="AN35" i="8" a="1"/>
  <c r="AN35" i="8" s="1"/>
  <c r="AC121" i="4" s="1"/>
  <c r="F20" i="13" s="1" a="1"/>
  <c r="F20" i="13" s="1"/>
  <c r="AO71" i="8" a="1"/>
  <c r="AO71" i="8" s="1"/>
  <c r="AO59" i="8" a="1"/>
  <c r="AO59" i="8" s="1"/>
  <c r="AD134" i="4" s="1"/>
  <c r="G57" i="13" s="1" a="1"/>
  <c r="G57" i="13" s="1"/>
  <c r="AO31" i="8" a="1"/>
  <c r="AO31" i="8" s="1"/>
  <c r="AD124" i="4" s="1"/>
  <c r="G19" i="13" s="1" a="1"/>
  <c r="G19" i="13" s="1"/>
  <c r="AO42" i="8" a="1"/>
  <c r="AO42" i="8" s="1"/>
  <c r="AO26" i="8" a="1"/>
  <c r="AO26" i="8" s="1"/>
  <c r="AN74" i="8" a="1"/>
  <c r="AN74" i="8" s="1"/>
  <c r="AC91" i="4" s="1"/>
  <c r="F91" i="13" s="1" a="1"/>
  <c r="F91" i="13" s="1"/>
  <c r="AO40" i="8" a="1"/>
  <c r="AO40" i="8" s="1"/>
  <c r="AD116" i="4" s="1"/>
  <c r="G46" i="13" s="1" a="1"/>
  <c r="G46" i="13" s="1"/>
  <c r="AO47" i="8" a="1"/>
  <c r="AO47" i="8" s="1"/>
  <c r="AD129" i="4" s="1"/>
  <c r="G36" i="13" s="1" a="1"/>
  <c r="G36" i="13" s="1"/>
  <c r="AR70" i="8"/>
  <c r="AN70" i="8" a="1"/>
  <c r="AN70" i="8" s="1"/>
  <c r="AC112" i="4" s="1"/>
  <c r="F69" i="13" s="1" a="1"/>
  <c r="F69" i="13" s="1"/>
  <c r="AN43" i="8" a="1"/>
  <c r="AN43" i="8" s="1"/>
  <c r="AC120" i="4" s="1"/>
  <c r="F51" i="13" s="1" a="1"/>
  <c r="F51" i="13" s="1"/>
  <c r="AN105" i="8" a="1"/>
  <c r="AN105" i="8" s="1"/>
  <c r="AC105" i="4" s="1"/>
  <c r="F105" i="13" s="1" a="1"/>
  <c r="F105" i="13" s="1"/>
  <c r="AO103" i="8" a="1"/>
  <c r="AO103" i="8" s="1"/>
  <c r="AD79" i="4" s="1"/>
  <c r="G79" i="13" s="1" a="1"/>
  <c r="G79" i="13" s="1"/>
  <c r="AO51" i="8" a="1"/>
  <c r="AO51" i="8" s="1"/>
  <c r="AN76" i="8" a="1"/>
  <c r="AN76" i="8" s="1"/>
  <c r="AC82" i="4" s="1"/>
  <c r="F82" i="13" s="1" a="1"/>
  <c r="F82" i="13" s="1"/>
  <c r="AO72" i="8" a="1"/>
  <c r="AO72" i="8" s="1"/>
  <c r="AD72" i="4" s="1"/>
  <c r="G72" i="13" s="1" a="1"/>
  <c r="G72" i="13" s="1"/>
  <c r="G73" i="13" s="1"/>
  <c r="AO66" i="8" a="1"/>
  <c r="AO66" i="8" s="1"/>
  <c r="AD108" i="4" s="1"/>
  <c r="G65" i="13" s="1" a="1"/>
  <c r="G65" i="13" s="1"/>
  <c r="AN41" i="8" a="1"/>
  <c r="AN41" i="8" s="1"/>
  <c r="AC119" i="4" s="1"/>
  <c r="F50" i="13" s="1" a="1"/>
  <c r="F50" i="13" s="1"/>
  <c r="AN45" i="8" a="1"/>
  <c r="AN45" i="8" s="1"/>
  <c r="AC117" i="4" s="1"/>
  <c r="F48" i="13" s="1" a="1"/>
  <c r="F48" i="13" s="1"/>
  <c r="AO82" i="8" a="1"/>
  <c r="AO82" i="8" s="1"/>
  <c r="AO24" i="8" a="1"/>
  <c r="AO24" i="8" s="1"/>
  <c r="AD64" i="4" s="1"/>
  <c r="G29" i="13" s="1" a="1"/>
  <c r="G29" i="13" s="1"/>
  <c r="AN115" i="8" a="1"/>
  <c r="AN115" i="8" s="1"/>
  <c r="AC107" i="4" s="1"/>
  <c r="F107" i="13" s="1" a="1"/>
  <c r="F107" i="13" s="1"/>
  <c r="AO77" i="8" a="1"/>
  <c r="AO77" i="8" s="1"/>
  <c r="AP20" i="8" a="1"/>
  <c r="AP20" i="8" s="1"/>
  <c r="AE67" i="4" s="1"/>
  <c r="H28" i="13" s="1" a="1"/>
  <c r="H28" i="13" s="1"/>
  <c r="AN81" i="8" a="1"/>
  <c r="AN81" i="8" s="1"/>
  <c r="AC83" i="4" s="1"/>
  <c r="F83" i="13" s="1" a="1"/>
  <c r="F83" i="13" s="1"/>
  <c r="AO78" i="8" a="1"/>
  <c r="AO78" i="8" s="1"/>
  <c r="AD74" i="4" s="1"/>
  <c r="G74" i="13" s="1" a="1"/>
  <c r="G74" i="13" s="1"/>
  <c r="AO113" i="8" a="1"/>
  <c r="AO113" i="8" s="1"/>
  <c r="AD81" i="4" s="1"/>
  <c r="G81" i="13" s="1" a="1"/>
  <c r="G81" i="13" s="1"/>
  <c r="AN68" i="8" a="1"/>
  <c r="AN68" i="8" s="1"/>
  <c r="AC113" i="4" s="1"/>
  <c r="F70" i="13" s="1" a="1"/>
  <c r="F70" i="13" s="1"/>
  <c r="AN91" i="8" a="1"/>
  <c r="AN91" i="8" s="1"/>
  <c r="AC85" i="4" s="1"/>
  <c r="F85" i="13" s="1" a="1"/>
  <c r="F85" i="13" s="1"/>
  <c r="AO102" i="8" a="1"/>
  <c r="AO102" i="8" s="1"/>
  <c r="AO108" i="8" a="1"/>
  <c r="AO108" i="8" s="1"/>
  <c r="AD80" i="4" s="1"/>
  <c r="G80" i="13" s="1" a="1"/>
  <c r="G80" i="13" s="1"/>
  <c r="AN110" i="8" a="1"/>
  <c r="AN110" i="8" s="1"/>
  <c r="AC106" i="4" s="1"/>
  <c r="F106" i="13" s="1" a="1"/>
  <c r="F106" i="13" s="1"/>
  <c r="AN80" i="8" a="1"/>
  <c r="AN80" i="8" s="1"/>
  <c r="AC100" i="4" s="1"/>
  <c r="F100" i="13" s="1" a="1"/>
  <c r="F100" i="13" s="1"/>
  <c r="AO62" i="8" a="1"/>
  <c r="AO62" i="8" s="1"/>
  <c r="AD132" i="4" s="1"/>
  <c r="G54" i="13" s="1" a="1"/>
  <c r="G54" i="13" s="1"/>
  <c r="AN116" i="8" a="1"/>
  <c r="AN116" i="8" s="1"/>
  <c r="AC90" i="4" s="1"/>
  <c r="F90" i="13" s="1" a="1"/>
  <c r="F90" i="13" s="1"/>
  <c r="AO36" i="8" a="1"/>
  <c r="AO36" i="8" s="1"/>
  <c r="AD128" i="4" s="1"/>
  <c r="G25" i="13" s="1" a="1"/>
  <c r="G25" i="13" s="1"/>
  <c r="AO88" i="8" a="1"/>
  <c r="AO88" i="8" s="1"/>
  <c r="AD76" i="4" s="1"/>
  <c r="G76" i="13" s="1" a="1"/>
  <c r="G76" i="13" s="1"/>
  <c r="AN50" i="8" a="1"/>
  <c r="AN50" i="8" s="1"/>
  <c r="AN96" i="8" a="1"/>
  <c r="AN96" i="8" s="1"/>
  <c r="AC86" i="4" s="1"/>
  <c r="F86" i="13" s="1" a="1"/>
  <c r="F86" i="13" s="1"/>
  <c r="AO21" i="8" a="1"/>
  <c r="AO21" i="8" s="1"/>
  <c r="AD68" i="4" s="1"/>
  <c r="G34" i="13" s="1" a="1"/>
  <c r="G34" i="13" s="1"/>
  <c r="AN79" i="8" a="1"/>
  <c r="AN79" i="8" s="1"/>
  <c r="AC92" i="4" s="1"/>
  <c r="F92" i="13" s="1" a="1"/>
  <c r="F92" i="13" s="1"/>
  <c r="AO56" i="8" a="1"/>
  <c r="AO56" i="8" s="1"/>
  <c r="AD60" i="4" s="1"/>
  <c r="G40" i="13" s="1" a="1"/>
  <c r="G40" i="13" s="1"/>
  <c r="AO73" i="8" a="1"/>
  <c r="AO73" i="8" s="1"/>
  <c r="AD73" i="4" s="1"/>
  <c r="AV46" i="7"/>
  <c r="AV42" i="7"/>
  <c r="AV38" i="7"/>
  <c r="AT106" i="7"/>
  <c r="AT84" i="7"/>
  <c r="AT82" i="7"/>
  <c r="AT90" i="7"/>
  <c r="AT74" i="7"/>
  <c r="AU41" i="7"/>
  <c r="AT88" i="7"/>
  <c r="AU32" i="7"/>
  <c r="AT79" i="7"/>
  <c r="AT81" i="7"/>
  <c r="AU27" i="7"/>
  <c r="AU52" i="7"/>
  <c r="AT64" i="7"/>
  <c r="AT91" i="7"/>
  <c r="AT89" i="7"/>
  <c r="AT87" i="7"/>
  <c r="AU31" i="7"/>
  <c r="AV49" i="7"/>
  <c r="AV60" i="7"/>
  <c r="AT100" i="7"/>
  <c r="AT73" i="7"/>
  <c r="AT97" i="7"/>
  <c r="AT86" i="7"/>
  <c r="AU34" i="7"/>
  <c r="AT105" i="7"/>
  <c r="AU45" i="7"/>
  <c r="AU36" i="7"/>
  <c r="AT72" i="7"/>
  <c r="AV40" i="7"/>
  <c r="AU59" i="7"/>
  <c r="AT99" i="7"/>
  <c r="AU37" i="7"/>
  <c r="AV57" i="7"/>
  <c r="AU44" i="7"/>
  <c r="AT65" i="7"/>
  <c r="AV43" i="7"/>
  <c r="AU56" i="7"/>
  <c r="AT76" i="7"/>
  <c r="AT93" i="7"/>
  <c r="AT107" i="7"/>
  <c r="AT95" i="7"/>
  <c r="AU47" i="7"/>
  <c r="AT77" i="7"/>
  <c r="AT71" i="7"/>
  <c r="AT103" i="7"/>
  <c r="AT109" i="7"/>
  <c r="AT69" i="7"/>
  <c r="AT108" i="7"/>
  <c r="AT68" i="7"/>
  <c r="AT94" i="7"/>
  <c r="BC52" i="8"/>
  <c r="BD27" i="8"/>
  <c r="AV33" i="7"/>
  <c r="AU54" i="7"/>
  <c r="AU62" i="7"/>
  <c r="AT85" i="7"/>
  <c r="AT110" i="7"/>
  <c r="AT102" i="7"/>
  <c r="AT80" i="7"/>
  <c r="AT101" i="7"/>
  <c r="AT104" i="7"/>
  <c r="AT70" i="7"/>
  <c r="AT67" i="7"/>
  <c r="AU55" i="7"/>
  <c r="AT96" i="7"/>
  <c r="AT78" i="7"/>
  <c r="AT92" i="7"/>
  <c r="AU48" i="7"/>
  <c r="AT98" i="7"/>
  <c r="AU39" i="7"/>
  <c r="AT66" i="7"/>
  <c r="AV51" i="7"/>
  <c r="AU35" i="7"/>
  <c r="AU50" i="7"/>
  <c r="AT83" i="7"/>
  <c r="AT75" i="7"/>
  <c r="AV61" i="7"/>
  <c r="AH84" i="7" a="1"/>
  <c r="AH84" i="7" s="1"/>
  <c r="AH79" i="7" a="1"/>
  <c r="AH79" i="7" s="1"/>
  <c r="AH69" i="7" a="1"/>
  <c r="AH69" i="7" s="1"/>
  <c r="AK37" i="7"/>
  <c r="AH81" i="7" a="1"/>
  <c r="AH81" i="7" s="1"/>
  <c r="AH71" i="7" a="1"/>
  <c r="AH71" i="7" s="1"/>
  <c r="AH108" i="7" a="1"/>
  <c r="AH108" i="7" s="1"/>
  <c r="AK36" i="7"/>
  <c r="AK27" i="7"/>
  <c r="AK44" i="7"/>
  <c r="AH103" i="7" a="1"/>
  <c r="AH103" i="7" s="1"/>
  <c r="AH65" i="7" a="1"/>
  <c r="AH65" i="7" s="1"/>
  <c r="AH68" i="7" a="1"/>
  <c r="AH68" i="7" s="1"/>
  <c r="AK41" i="7"/>
  <c r="AH64" i="7" a="1"/>
  <c r="AH64" i="7" s="1"/>
  <c r="AH91" i="7" a="1"/>
  <c r="AH91" i="7" s="1"/>
  <c r="AP107" i="4"/>
  <c r="T107" i="13" s="1" a="1"/>
  <c r="T107" i="13" s="1"/>
  <c r="AP80" i="4"/>
  <c r="T80" i="13" s="1" a="1"/>
  <c r="T80" i="13" s="1"/>
  <c r="AP79" i="4"/>
  <c r="T79" i="13" s="1" a="1"/>
  <c r="T79" i="13" s="1"/>
  <c r="AP104" i="4"/>
  <c r="T104" i="13" s="1" a="1"/>
  <c r="T104" i="13" s="1"/>
  <c r="AP76" i="4"/>
  <c r="T76" i="13" s="1" a="1"/>
  <c r="T76" i="13" s="1"/>
  <c r="AP101" i="4"/>
  <c r="T101" i="13" s="1" a="1"/>
  <c r="T101" i="13" s="1"/>
  <c r="AP86" i="4"/>
  <c r="T86" i="13" s="1" a="1"/>
  <c r="T86" i="13" s="1"/>
  <c r="AP90" i="4"/>
  <c r="T90" i="13" s="1" a="1"/>
  <c r="T90" i="13" s="1"/>
  <c r="AP89" i="4"/>
  <c r="T89" i="13" s="1" a="1"/>
  <c r="T89" i="13" s="1"/>
  <c r="AP105" i="4"/>
  <c r="T105" i="13" s="1" a="1"/>
  <c r="T105" i="13" s="1"/>
  <c r="AP74" i="4"/>
  <c r="T74" i="13" s="1" a="1"/>
  <c r="T74" i="13" s="1"/>
  <c r="AP88" i="4"/>
  <c r="T88" i="13" s="1" a="1"/>
  <c r="T88" i="13" s="1"/>
  <c r="AP102" i="4"/>
  <c r="T102" i="13" s="1" a="1"/>
  <c r="T102" i="13" s="1"/>
  <c r="AP103" i="4"/>
  <c r="T103" i="13" s="1" a="1"/>
  <c r="T103" i="13" s="1"/>
  <c r="AP84" i="4"/>
  <c r="T84" i="13" s="1" a="1"/>
  <c r="T84" i="13" s="1"/>
  <c r="AP73" i="4"/>
  <c r="T73" i="13" s="1" a="1"/>
  <c r="T73" i="13" s="1"/>
  <c r="AP82" i="4"/>
  <c r="T82" i="13" s="1" a="1"/>
  <c r="T82" i="13" s="1"/>
  <c r="AP131" i="4"/>
  <c r="T53" i="13" s="1" a="1"/>
  <c r="T53" i="13" s="1"/>
  <c r="AP87" i="4"/>
  <c r="T87" i="13" s="1" a="1"/>
  <c r="T87" i="13" s="1"/>
  <c r="AP132" i="4"/>
  <c r="T54" i="13" s="1" a="1"/>
  <c r="T54" i="13" s="1"/>
  <c r="AP92" i="4"/>
  <c r="T92" i="13" s="1" a="1"/>
  <c r="T92" i="13" s="1"/>
  <c r="AP113" i="4"/>
  <c r="T70" i="13" s="1" a="1"/>
  <c r="T70" i="13" s="1"/>
  <c r="AP111" i="4"/>
  <c r="T68" i="13" s="1" a="1"/>
  <c r="T68" i="13" s="1"/>
  <c r="AP106" i="4"/>
  <c r="T106" i="13" s="1" a="1"/>
  <c r="T106" i="13" s="1"/>
  <c r="AP85" i="4"/>
  <c r="T85" i="13" s="1" a="1"/>
  <c r="T85" i="13" s="1"/>
  <c r="AP135" i="4"/>
  <c r="T56" i="13" s="1" a="1"/>
  <c r="T56" i="13" s="1"/>
  <c r="AP109" i="4"/>
  <c r="T66" i="13" s="1" a="1"/>
  <c r="T66" i="13" s="1"/>
  <c r="AP133" i="4"/>
  <c r="T55" i="13" s="1" a="1"/>
  <c r="T55" i="13" s="1"/>
  <c r="AP72" i="4"/>
  <c r="T72" i="13" s="1" a="1"/>
  <c r="T72" i="13" s="1"/>
  <c r="AP75" i="4"/>
  <c r="T75" i="13" s="1" a="1"/>
  <c r="T75" i="13" s="1"/>
  <c r="AP108" i="4"/>
  <c r="T65" i="13" s="1" a="1"/>
  <c r="T65" i="13" s="1"/>
  <c r="AP59" i="4"/>
  <c r="T39" i="13" s="1" a="1"/>
  <c r="T39" i="13" s="1"/>
  <c r="AP93" i="4"/>
  <c r="T93" i="13" s="1" a="1"/>
  <c r="T93" i="13" s="1"/>
  <c r="AP110" i="4"/>
  <c r="T67" i="13" s="1" a="1"/>
  <c r="T67" i="13" s="1"/>
  <c r="AP134" i="4"/>
  <c r="T57" i="13" s="1" a="1"/>
  <c r="T57" i="13" s="1"/>
  <c r="AP117" i="4"/>
  <c r="T48" i="13" s="1" a="1"/>
  <c r="T48" i="13" s="1"/>
  <c r="AP112" i="4"/>
  <c r="T69" i="13" s="1" a="1"/>
  <c r="T69" i="13" s="1"/>
  <c r="AP83" i="4"/>
  <c r="T83" i="13" s="1" a="1"/>
  <c r="T83" i="13" s="1"/>
  <c r="AP91" i="4"/>
  <c r="T91" i="13" s="1" a="1"/>
  <c r="T91" i="13" s="1"/>
  <c r="AP100" i="4"/>
  <c r="T100" i="13" s="1" a="1"/>
  <c r="T100" i="13" s="1"/>
  <c r="AP61" i="4"/>
  <c r="T41" i="13" s="1" a="1"/>
  <c r="T41" i="13" s="1"/>
  <c r="AP127" i="4"/>
  <c r="T24" i="13" s="1" a="1"/>
  <c r="T24" i="13" s="1"/>
  <c r="AP69" i="4"/>
  <c r="T31" i="13" s="1" a="1"/>
  <c r="T31" i="13" s="1"/>
  <c r="AP81" i="4"/>
  <c r="T81" i="13" s="1" a="1"/>
  <c r="T81" i="13" s="1"/>
  <c r="AP78" i="4"/>
  <c r="T78" i="13" s="1" a="1"/>
  <c r="T78" i="13" s="1"/>
  <c r="AP130" i="4"/>
  <c r="T37" i="13" s="1" a="1"/>
  <c r="T37" i="13" s="1"/>
  <c r="AP70" i="4"/>
  <c r="T32" i="13" s="1" a="1"/>
  <c r="T32" i="13" s="1"/>
  <c r="AP68" i="4"/>
  <c r="T34" i="13" s="1" a="1"/>
  <c r="T34" i="13" s="1"/>
  <c r="AP125" i="4"/>
  <c r="T22" i="13" s="1" a="1"/>
  <c r="T22" i="13" s="1"/>
  <c r="AP123" i="4"/>
  <c r="T21" i="13" s="1" a="1"/>
  <c r="T21" i="13" s="1"/>
  <c r="AP77" i="4"/>
  <c r="T77" i="13" s="1" a="1"/>
  <c r="T77" i="13" s="1"/>
  <c r="AP120" i="4"/>
  <c r="T51" i="13" s="1" a="1"/>
  <c r="T51" i="13" s="1"/>
  <c r="AP67" i="4"/>
  <c r="T28" i="13" s="1" a="1"/>
  <c r="T28" i="13" s="1"/>
  <c r="AP63" i="4"/>
  <c r="T43" i="13" s="1" a="1"/>
  <c r="T43" i="13" s="1"/>
  <c r="AP128" i="4"/>
  <c r="T25" i="13" s="1" a="1"/>
  <c r="T25" i="13" s="1"/>
  <c r="AP66" i="4"/>
  <c r="T30" i="13" s="1" a="1"/>
  <c r="T30" i="13" s="1"/>
  <c r="AP60" i="4"/>
  <c r="T40" i="13" s="1" a="1"/>
  <c r="T40" i="13" s="1"/>
  <c r="AP71" i="4"/>
  <c r="T33" i="13" s="1" a="1"/>
  <c r="T33" i="13" s="1"/>
  <c r="AP129" i="4"/>
  <c r="T36" i="13" s="1" a="1"/>
  <c r="T36" i="13" s="1"/>
  <c r="AP126" i="4"/>
  <c r="T23" i="13" s="1" a="1"/>
  <c r="T23" i="13" s="1"/>
  <c r="AP116" i="4"/>
  <c r="T46" i="13" s="1" a="1"/>
  <c r="T46" i="13" s="1"/>
  <c r="AP124" i="4"/>
  <c r="T19" i="13" s="1" a="1"/>
  <c r="T19" i="13" s="1"/>
  <c r="AP62" i="4"/>
  <c r="T42" i="13" s="1" a="1"/>
  <c r="T42" i="13" s="1"/>
  <c r="AP122" i="4"/>
  <c r="T18" i="13" s="1" a="1"/>
  <c r="T18" i="13" s="1"/>
  <c r="AP65" i="4"/>
  <c r="T27" i="13" s="1" a="1"/>
  <c r="T27" i="13" s="1"/>
  <c r="AP119" i="4"/>
  <c r="T50" i="13" s="1" a="1"/>
  <c r="T50" i="13" s="1"/>
  <c r="AP121" i="4"/>
  <c r="T20" i="13" s="1" a="1"/>
  <c r="T20" i="13" s="1"/>
  <c r="AJ18" i="8"/>
  <c r="AP118" i="4"/>
  <c r="T49" i="13" s="1" a="1"/>
  <c r="T49" i="13" s="1"/>
  <c r="AP64" i="4"/>
  <c r="T29" i="13" s="1" a="1"/>
  <c r="T29" i="13" s="1"/>
  <c r="AH89" i="7" a="1"/>
  <c r="AH89" i="7" s="1"/>
  <c r="AH87" i="7" a="1"/>
  <c r="AH87" i="7" s="1"/>
  <c r="AK32" i="7"/>
  <c r="AK31" i="7"/>
  <c r="AH100" i="7" a="1"/>
  <c r="AH100" i="7" s="1"/>
  <c r="AH73" i="7" a="1"/>
  <c r="AH73" i="7" s="1"/>
  <c r="AV24" i="7"/>
  <c r="AK24" i="7"/>
  <c r="AH97" i="7" a="1"/>
  <c r="AH97" i="7" s="1"/>
  <c r="AH86" i="7" a="1"/>
  <c r="AH86" i="7" s="1"/>
  <c r="AK34" i="7"/>
  <c r="AH105" i="7" a="1"/>
  <c r="AH105" i="7" s="1"/>
  <c r="AK45" i="7"/>
  <c r="AV21" i="7"/>
  <c r="AK21" i="7"/>
  <c r="AH82" i="7" a="1"/>
  <c r="AH82" i="7" s="1"/>
  <c r="AK59" i="7"/>
  <c r="AH99" i="7" a="1"/>
  <c r="AH99" i="7" s="1"/>
  <c r="AK52" i="7"/>
  <c r="AH72" i="7" a="1"/>
  <c r="AH72" i="7" s="1"/>
  <c r="AK56" i="7"/>
  <c r="AH76" i="7" a="1"/>
  <c r="AH76" i="7" s="1"/>
  <c r="AH93" i="7" a="1"/>
  <c r="AH93" i="7" s="1"/>
  <c r="AH107" i="7" a="1"/>
  <c r="AH107" i="7" s="1"/>
  <c r="AH95" i="7" a="1"/>
  <c r="AH95" i="7" s="1"/>
  <c r="AK47" i="7"/>
  <c r="AH77" i="7" a="1"/>
  <c r="AH77" i="7" s="1"/>
  <c r="AA116" i="7"/>
  <c r="AH96" i="7" a="1"/>
  <c r="AH96" i="7" s="1"/>
  <c r="AH78" i="7" a="1"/>
  <c r="AH78" i="7" s="1"/>
  <c r="AH109" i="7" a="1"/>
  <c r="AH109" i="7" s="1"/>
  <c r="AH101" i="7" a="1"/>
  <c r="AH101" i="7" s="1"/>
  <c r="AH104" i="7" a="1"/>
  <c r="AH104" i="7" s="1"/>
  <c r="AH90" i="7" a="1"/>
  <c r="AH90" i="7" s="1"/>
  <c r="AH94" i="7" a="1"/>
  <c r="AH94" i="7" s="1"/>
  <c r="AS52" i="8"/>
  <c r="AK62" i="7"/>
  <c r="AH110" i="7" a="1"/>
  <c r="AH110" i="7" s="1"/>
  <c r="AK55" i="7"/>
  <c r="AK54" i="7"/>
  <c r="AH85" i="7" a="1"/>
  <c r="AH85" i="7" s="1"/>
  <c r="AH102" i="7" a="1"/>
  <c r="AH102" i="7" s="1"/>
  <c r="AH80" i="7" a="1"/>
  <c r="AH80" i="7" s="1"/>
  <c r="AH67" i="7" a="1"/>
  <c r="AH67" i="7" s="1"/>
  <c r="AV26" i="7"/>
  <c r="AK26" i="7"/>
  <c r="AH92" i="7" a="1"/>
  <c r="AH92" i="7" s="1"/>
  <c r="AK48" i="7"/>
  <c r="AH98" i="7" a="1"/>
  <c r="AH98" i="7" s="1"/>
  <c r="AK39" i="7"/>
  <c r="AH66" i="7" a="1"/>
  <c r="AH66" i="7" s="1"/>
  <c r="AK35" i="7"/>
  <c r="AK50" i="7"/>
  <c r="AH83" i="7" a="1"/>
  <c r="AH83" i="7" s="1"/>
  <c r="AH75" i="7" a="1"/>
  <c r="AH75" i="7" s="1"/>
  <c r="AH74" i="7" a="1"/>
  <c r="AH74" i="7" s="1"/>
  <c r="AH88" i="7" a="1"/>
  <c r="AH88" i="7" s="1"/>
  <c r="AH70" i="7" a="1"/>
  <c r="AH70" i="7" s="1"/>
  <c r="AH106" i="7" a="1"/>
  <c r="AH106" i="7" s="1"/>
  <c r="AL43" i="3"/>
  <c r="X123" i="4"/>
  <c r="X125" i="4" s="1"/>
  <c r="W125" i="4"/>
  <c r="X116" i="4"/>
  <c r="X132" i="4"/>
  <c r="W71" i="4"/>
  <c r="W118" i="4" s="1"/>
  <c r="V126" i="4"/>
  <c r="I79" i="3"/>
  <c r="L79" i="3"/>
  <c r="M111" i="3"/>
  <c r="N61" i="4"/>
  <c r="J61" i="4"/>
  <c r="J119" i="4"/>
  <c r="N119" i="4"/>
  <c r="I115" i="3"/>
  <c r="P122" i="4"/>
  <c r="L122" i="4"/>
  <c r="Q122" i="4" s="1"/>
  <c r="N68" i="4"/>
  <c r="J68" i="4"/>
  <c r="O111" i="4"/>
  <c r="K111" i="4"/>
  <c r="R100" i="4"/>
  <c r="M92" i="4"/>
  <c r="R92" i="4" s="1"/>
  <c r="H135" i="4"/>
  <c r="I135" i="4" s="1"/>
  <c r="J135" i="4" s="1"/>
  <c r="K135" i="4" s="1"/>
  <c r="L135" i="4" s="1"/>
  <c r="AF42" i="3"/>
  <c r="K116" i="3"/>
  <c r="N88" i="3"/>
  <c r="K114" i="3"/>
  <c r="L88" i="3"/>
  <c r="Z137" i="4"/>
  <c r="AA136" i="4"/>
  <c r="N120" i="4"/>
  <c r="J120" i="4"/>
  <c r="O121" i="4"/>
  <c r="K121" i="4"/>
  <c r="N128" i="4"/>
  <c r="J128" i="4"/>
  <c r="P83" i="4"/>
  <c r="K100" i="4"/>
  <c r="L83" i="4"/>
  <c r="H63" i="4"/>
  <c r="M63" i="4" s="1"/>
  <c r="R63" i="4" s="1"/>
  <c r="M114" i="3"/>
  <c r="I77" i="3"/>
  <c r="L77" i="3"/>
  <c r="H80" i="3"/>
  <c r="M117" i="3" s="1"/>
  <c r="AB42" i="4"/>
  <c r="L71" i="3"/>
  <c r="I71" i="3"/>
  <c r="P75" i="4"/>
  <c r="L75" i="4"/>
  <c r="Q75" i="4" s="1"/>
  <c r="H15" i="3"/>
  <c r="H16" i="3" s="1"/>
  <c r="L16" i="3" s="1"/>
  <c r="O100" i="4"/>
  <c r="J92" i="4"/>
  <c r="O92" i="4" s="1"/>
  <c r="K62" i="4"/>
  <c r="O112" i="4"/>
  <c r="K112" i="4"/>
  <c r="I78" i="3"/>
  <c r="L78" i="3"/>
  <c r="O67" i="4"/>
  <c r="K67" i="4"/>
  <c r="P117" i="4"/>
  <c r="L117" i="4"/>
  <c r="Q117" i="4" s="1"/>
  <c r="N126" i="4"/>
  <c r="J126" i="4"/>
  <c r="K118" i="4"/>
  <c r="O118" i="4"/>
  <c r="P114" i="4"/>
  <c r="L114" i="4"/>
  <c r="Q114" i="4" s="1"/>
  <c r="K93" i="4"/>
  <c r="P93" i="4" s="1"/>
  <c r="P101" i="4"/>
  <c r="P77" i="4"/>
  <c r="L77" i="4"/>
  <c r="Q77" i="4" s="1"/>
  <c r="Q84" i="4"/>
  <c r="L101" i="4"/>
  <c r="Q87" i="4"/>
  <c r="L104" i="4"/>
  <c r="Q104" i="4" s="1"/>
  <c r="M70" i="4"/>
  <c r="R70" i="4" s="1"/>
  <c r="N70" i="4"/>
  <c r="P70" i="4"/>
  <c r="Q70" i="4"/>
  <c r="O70" i="4"/>
  <c r="G71" i="4"/>
  <c r="P109" i="4"/>
  <c r="L109" i="4"/>
  <c r="Q109" i="4" s="1"/>
  <c r="P72" i="4"/>
  <c r="L72" i="4"/>
  <c r="Q72" i="4" s="1"/>
  <c r="L107" i="4"/>
  <c r="Q107" i="4" s="1"/>
  <c r="Q90" i="4"/>
  <c r="P124" i="4"/>
  <c r="L124" i="4"/>
  <c r="Q124" i="4" s="1"/>
  <c r="V61" i="4"/>
  <c r="V135" i="4" s="1"/>
  <c r="W60" i="4"/>
  <c r="Q89" i="4"/>
  <c r="L106" i="4"/>
  <c r="Q106" i="4" s="1"/>
  <c r="P80" i="4"/>
  <c r="L80" i="4"/>
  <c r="Q80" i="4" s="1"/>
  <c r="I72" i="3"/>
  <c r="L72" i="3"/>
  <c r="I111" i="3"/>
  <c r="K110" i="3"/>
  <c r="J120" i="3"/>
  <c r="AT23" i="20" a="1"/>
  <c r="AT60" i="20" a="1"/>
  <c r="AT53" i="20" a="1"/>
  <c r="AT107" i="20" a="1"/>
  <c r="AS93" i="20" a="1"/>
  <c r="AS80" i="20" a="1"/>
  <c r="AS74" i="20" a="1"/>
  <c r="AT64" i="20" a="1"/>
  <c r="AS69" i="20" a="1"/>
  <c r="AT42" i="20" a="1"/>
  <c r="BA109" i="8" a="1"/>
  <c r="AU101" i="7" a="1"/>
  <c r="BC58" i="8" a="1"/>
  <c r="AV34" i="7" a="1"/>
  <c r="AU88" i="7" a="1"/>
  <c r="BC25" i="8" a="1"/>
  <c r="AU96" i="7" a="1"/>
  <c r="BC42" i="8" a="1"/>
  <c r="AU72" i="7" a="1"/>
  <c r="BA69" i="8" a="1"/>
  <c r="BB40" i="8" a="1"/>
  <c r="BB60" i="8" a="1"/>
  <c r="AV52" i="7" a="1"/>
  <c r="BC87" i="8" a="1"/>
  <c r="BC102" i="8" a="1"/>
  <c r="BB103" i="8" a="1"/>
  <c r="AU108" i="7" a="1"/>
  <c r="AV27" i="7" a="1"/>
  <c r="BC26" i="8" a="1"/>
  <c r="BB93" i="8" a="1"/>
  <c r="AU82" i="7" a="1"/>
  <c r="AU76" i="7" a="1"/>
  <c r="AU97" i="7" a="1"/>
  <c r="BB98" i="8" a="1"/>
  <c r="AV37" i="7" a="1"/>
  <c r="AU93" i="7" a="1"/>
  <c r="AV59" i="7" a="1"/>
  <c r="BC46" i="8" a="1"/>
  <c r="BC51" i="8" a="1"/>
  <c r="BB114" i="8" a="1"/>
  <c r="BB24" i="8" a="1"/>
  <c r="AU81" i="7" a="1"/>
  <c r="AS103" i="20" a="1"/>
  <c r="AS90" i="20" a="1"/>
  <c r="AS32" i="20" a="1"/>
  <c r="AS38" i="20" a="1"/>
  <c r="AU99" i="7" a="1"/>
  <c r="BB66" i="8" a="1"/>
  <c r="AU86" i="7" a="1"/>
  <c r="AV56" i="7" a="1"/>
  <c r="BA48" i="8" a="1"/>
  <c r="AV35" i="7" a="1"/>
  <c r="BC57" i="8" a="1"/>
  <c r="AT21" i="20" a="1"/>
  <c r="AT59" i="20" a="1"/>
  <c r="AU52" i="20" a="1"/>
  <c r="AT104" i="20" a="1"/>
  <c r="AS97" i="20" a="1"/>
  <c r="AS86" i="20" a="1"/>
  <c r="AS48" i="20" a="1"/>
  <c r="AT40" i="20" a="1"/>
  <c r="AS45" i="20" a="1"/>
  <c r="BB104" i="8" a="1"/>
  <c r="AV62" i="7" a="1"/>
  <c r="AU103" i="7" a="1"/>
  <c r="BB62" i="8" a="1"/>
  <c r="AU75" i="7" a="1"/>
  <c r="AU98" i="7" a="1"/>
  <c r="AV31" i="7" a="1"/>
  <c r="AU84" i="7" a="1"/>
  <c r="BB55" i="8" a="1"/>
  <c r="BA76" i="8" a="1"/>
  <c r="AV50" i="7" a="1"/>
  <c r="AU90" i="7" a="1"/>
  <c r="AV41" i="7" a="1"/>
  <c r="BB31" i="8" a="1"/>
  <c r="BB34" i="8" a="1"/>
  <c r="AU80" i="7" a="1"/>
  <c r="AU94" i="7" a="1"/>
  <c r="BC77" i="8" a="1"/>
  <c r="AU83" i="7" a="1"/>
  <c r="AS94" i="20" a="1"/>
  <c r="AT87" i="20" a="1"/>
  <c r="AS81" i="20" a="1"/>
  <c r="AS75" i="20" a="1"/>
  <c r="AS65" i="20" a="1"/>
  <c r="AS70" i="20" a="1"/>
  <c r="BA99" i="8" a="1"/>
  <c r="AV54" i="7" a="1"/>
  <c r="AU107" i="7" a="1"/>
  <c r="BB108" i="8" a="1"/>
  <c r="BB88" i="8" a="1"/>
  <c r="BB107" i="8" a="1"/>
  <c r="AU68" i="7" a="1"/>
  <c r="BB68" i="8" a="1"/>
  <c r="AU77" i="7" a="1"/>
  <c r="AV47" i="7" a="1"/>
  <c r="AV45" i="7" a="1"/>
  <c r="AU78" i="7" a="1"/>
  <c r="BB59" i="8" a="1"/>
  <c r="BB73" i="8" a="1"/>
  <c r="AU89" i="7" a="1"/>
  <c r="BB113" i="8" a="1"/>
  <c r="AU71" i="7" a="1"/>
  <c r="AS85" i="20" a="1"/>
  <c r="AV39" i="7" a="1"/>
  <c r="BC97" i="8" a="1"/>
  <c r="AU102" i="7" a="1"/>
  <c r="AU20" i="20" a="1"/>
  <c r="AT58" i="20" a="1"/>
  <c r="AT108" i="20" a="1"/>
  <c r="AS101" i="20" a="1"/>
  <c r="AT82" i="20" a="1"/>
  <c r="AT39" i="20" a="1"/>
  <c r="AS33" i="20" a="1"/>
  <c r="AU70" i="7" a="1"/>
  <c r="BB53" i="8" a="1"/>
  <c r="AV36" i="7" a="1"/>
  <c r="AV48" i="7" a="1"/>
  <c r="BA70" i="8" a="1"/>
  <c r="BB56" i="8" a="1"/>
  <c r="AU100" i="7" a="1"/>
  <c r="AU91" i="7" a="1"/>
  <c r="BC82" i="8" a="1"/>
  <c r="BC71" i="8" a="1"/>
  <c r="AU64" i="7" a="1"/>
  <c r="BB50" i="8" a="1"/>
  <c r="BC39" i="8" a="1"/>
  <c r="AU73" i="7" a="1"/>
  <c r="AU95" i="7" a="1"/>
  <c r="BB83" i="8" a="1"/>
  <c r="AT47" i="20" a="1"/>
  <c r="AS105" i="20" a="1"/>
  <c r="AS98" i="20" a="1"/>
  <c r="AT91" i="20" a="1"/>
  <c r="AT83" i="20" a="1"/>
  <c r="AT77" i="20" a="1"/>
  <c r="AT63" i="20" a="1"/>
  <c r="AS49" i="20" a="1"/>
  <c r="AS41" i="20" a="1"/>
  <c r="BB94" i="8" a="1"/>
  <c r="BB75" i="8" a="1"/>
  <c r="AT26" i="20" a="1"/>
  <c r="AU22" i="20" a="1"/>
  <c r="AT56" i="20" a="1"/>
  <c r="AT78" i="20" a="1"/>
  <c r="AS76" i="20" a="1"/>
  <c r="AS67" i="20" a="1"/>
  <c r="AT36" i="20" a="1"/>
  <c r="BA67" i="8" a="1"/>
  <c r="AS109" i="20" a="1"/>
  <c r="AS102" i="20" a="1"/>
  <c r="AT95" i="20" a="1"/>
  <c r="AT88" i="20" a="1"/>
  <c r="AT73" i="20" a="1"/>
  <c r="AT57" i="20" a="1"/>
  <c r="AS35" i="20" a="1"/>
  <c r="BA89" i="8" a="1"/>
  <c r="AU69" i="7" a="1"/>
  <c r="AU67" i="7" a="1"/>
  <c r="AU105" i="7" a="1"/>
  <c r="AT25" i="20" a="1"/>
  <c r="AT62" i="20" a="1"/>
  <c r="AT55" i="20" a="1"/>
  <c r="AS106" i="20" a="1"/>
  <c r="AS84" i="20" a="1"/>
  <c r="AT71" i="20" a="1"/>
  <c r="AS50" i="20" a="1"/>
  <c r="AS43" i="20" a="1"/>
  <c r="AT34" i="20" a="1"/>
  <c r="AU79" i="7" a="1"/>
  <c r="AU106" i="7" a="1"/>
  <c r="AU85" i="7" a="1"/>
  <c r="AU66" i="7" a="1"/>
  <c r="AU74" i="7" a="1"/>
  <c r="BB72" i="8" a="1"/>
  <c r="BD52" i="8" a="1"/>
  <c r="BC20" i="8" a="1"/>
  <c r="AV32" i="7" a="1"/>
  <c r="BB48" i="8" a="1"/>
  <c r="BB47" i="8" a="1"/>
  <c r="BB61" i="8" a="1"/>
  <c r="BA90" i="8" a="1"/>
  <c r="BB69" i="8" a="1"/>
  <c r="BA91" i="8" a="1"/>
  <c r="AV55" i="7" a="1"/>
  <c r="AV44" i="7" a="1"/>
  <c r="BC63" i="8" a="1"/>
  <c r="AS44" i="20" a="1"/>
  <c r="BB80" i="8" a="1"/>
  <c r="AU110" i="7" a="1"/>
  <c r="AT99" i="20" a="1"/>
  <c r="AT92" i="20" a="1"/>
  <c r="AS79" i="20" a="1"/>
  <c r="AT72" i="20" a="1"/>
  <c r="AS68" i="20" a="1"/>
  <c r="AT51" i="20" a="1"/>
  <c r="BA107" i="8" a="1"/>
  <c r="AU65" i="7" a="1"/>
  <c r="AU87" i="7" a="1"/>
  <c r="AU92" i="7" a="1"/>
  <c r="BB23" i="8" a="1"/>
  <c r="AT24" i="20" a="1"/>
  <c r="AT61" i="20" a="1"/>
  <c r="AT54" i="20" a="1"/>
  <c r="AS110" i="20" a="1"/>
  <c r="AT100" i="20" a="1"/>
  <c r="AS89" i="20" a="1"/>
  <c r="AT66" i="20" a="1"/>
  <c r="AT46" i="20" a="1"/>
  <c r="AT31" i="20" a="1"/>
  <c r="AS37" i="20" a="1"/>
  <c r="BB33" i="8" a="1"/>
  <c r="BC53" i="8" a="1"/>
  <c r="BC112" i="8" a="1"/>
  <c r="BB21" i="8" a="1"/>
  <c r="AU104" i="7" a="1"/>
  <c r="AU109" i="7" a="1"/>
  <c r="AT96" i="20" a="1"/>
  <c r="BC92" i="8" a="1"/>
  <c r="BS84" i="13" l="1"/>
  <c r="BT84" i="13" s="1"/>
  <c r="BS102" i="13"/>
  <c r="BT102" i="13" s="1"/>
  <c r="BS90" i="13"/>
  <c r="BT90" i="13" s="1"/>
  <c r="BS86" i="13"/>
  <c r="BT86" i="13" s="1"/>
  <c r="AT96" i="20"/>
  <c r="AS37" i="20"/>
  <c r="AT31" i="20"/>
  <c r="AT46" i="20"/>
  <c r="AT66" i="20"/>
  <c r="AS89" i="20"/>
  <c r="AT100" i="20"/>
  <c r="AS110" i="20"/>
  <c r="AT54" i="20"/>
  <c r="AT61" i="20"/>
  <c r="AT24" i="20"/>
  <c r="AT51" i="20"/>
  <c r="AS68" i="20"/>
  <c r="AT72" i="20"/>
  <c r="AS79" i="20"/>
  <c r="AT92" i="20"/>
  <c r="AT99" i="20"/>
  <c r="AS44" i="20"/>
  <c r="AT34" i="20"/>
  <c r="AS43" i="20"/>
  <c r="AS50" i="20"/>
  <c r="AT71" i="20"/>
  <c r="AS84" i="20"/>
  <c r="AS106" i="20"/>
  <c r="AT55" i="20"/>
  <c r="AT62" i="20"/>
  <c r="AT25" i="20"/>
  <c r="BA89" i="8"/>
  <c r="AS35" i="20"/>
  <c r="AT57" i="20"/>
  <c r="AT73" i="20"/>
  <c r="AT88" i="20"/>
  <c r="AT95" i="20"/>
  <c r="AS102" i="20"/>
  <c r="AS109" i="20"/>
  <c r="AT36" i="20"/>
  <c r="AS67" i="20"/>
  <c r="AS76" i="20"/>
  <c r="AT78" i="20"/>
  <c r="AT56" i="20"/>
  <c r="AU22" i="20"/>
  <c r="AT26" i="20"/>
  <c r="BB94" i="8"/>
  <c r="AS41" i="20"/>
  <c r="AS49" i="20"/>
  <c r="AT63" i="20"/>
  <c r="AT77" i="20"/>
  <c r="AT83" i="20"/>
  <c r="AT91" i="20"/>
  <c r="AS98" i="20"/>
  <c r="AS105" i="20"/>
  <c r="AT47" i="20"/>
  <c r="AS33" i="20"/>
  <c r="AT39" i="20"/>
  <c r="AT82" i="20"/>
  <c r="AS101" i="20"/>
  <c r="AT108" i="20"/>
  <c r="AT58" i="20"/>
  <c r="AU20" i="20"/>
  <c r="AS85" i="20"/>
  <c r="BA99" i="8"/>
  <c r="AS70" i="20"/>
  <c r="AS65" i="20"/>
  <c r="AS75" i="20"/>
  <c r="AS81" i="20"/>
  <c r="AT87" i="20"/>
  <c r="AS94" i="20"/>
  <c r="BB104" i="8"/>
  <c r="AS45" i="20"/>
  <c r="AT40" i="20"/>
  <c r="AS48" i="20"/>
  <c r="AS86" i="20"/>
  <c r="AS97" i="20"/>
  <c r="AT104" i="20"/>
  <c r="AU52" i="20"/>
  <c r="AT59" i="20"/>
  <c r="AT21" i="20"/>
  <c r="AS38" i="20"/>
  <c r="AS32" i="20"/>
  <c r="AS90" i="20"/>
  <c r="AS103" i="20"/>
  <c r="BB114" i="8"/>
  <c r="BA109" i="8"/>
  <c r="AT42" i="20"/>
  <c r="AS69" i="20"/>
  <c r="AT64" i="20"/>
  <c r="AS74" i="20"/>
  <c r="AS80" i="20"/>
  <c r="AS93" i="20"/>
  <c r="AT107" i="20"/>
  <c r="AT53" i="20"/>
  <c r="AT60" i="20"/>
  <c r="AT23" i="20"/>
  <c r="AT42" i="4"/>
  <c r="AU42" i="4" s="1"/>
  <c r="Q79" i="11" a="1"/>
  <c r="Q79" i="11" s="1"/>
  <c r="M112" i="10"/>
  <c r="L80" i="10"/>
  <c r="L116" i="10"/>
  <c r="N116" i="10" s="1"/>
  <c r="L118" i="10"/>
  <c r="K112" i="10"/>
  <c r="L114" i="10"/>
  <c r="N114" i="10" s="1"/>
  <c r="M109" i="10"/>
  <c r="K109" i="10" s="1"/>
  <c r="M79" i="10"/>
  <c r="M78" i="10"/>
  <c r="AG38" i="20" a="1"/>
  <c r="AG38" i="20" s="1"/>
  <c r="AG37" i="20" a="1"/>
  <c r="AG37" i="20" s="1"/>
  <c r="AG35" i="20" a="1"/>
  <c r="AG35" i="20" s="1"/>
  <c r="AG33" i="20" a="1"/>
  <c r="AG33" i="20" s="1"/>
  <c r="AG32" i="20" a="1"/>
  <c r="AG32" i="20" s="1"/>
  <c r="AH31" i="20" a="1"/>
  <c r="AH31" i="20" s="1"/>
  <c r="AH34" i="20" a="1"/>
  <c r="AH34" i="20" s="1"/>
  <c r="AH36" i="20" a="1"/>
  <c r="AH36" i="20" s="1"/>
  <c r="AH39" i="20" a="1"/>
  <c r="AH39" i="20" s="1"/>
  <c r="AG45" i="20" a="1"/>
  <c r="AG45" i="20" s="1"/>
  <c r="AG44" i="20" a="1"/>
  <c r="AG44" i="20" s="1"/>
  <c r="AG43" i="20" a="1"/>
  <c r="AG43" i="20" s="1"/>
  <c r="AG41" i="20" a="1"/>
  <c r="AG41" i="20" s="1"/>
  <c r="AH40" i="20" a="1"/>
  <c r="AH40" i="20" s="1"/>
  <c r="AH42" i="20" a="1"/>
  <c r="AH42" i="20" s="1"/>
  <c r="AH46" i="20" a="1"/>
  <c r="AH46" i="20" s="1"/>
  <c r="AG50" i="20" a="1"/>
  <c r="AG50" i="20" s="1"/>
  <c r="AG49" i="20" a="1"/>
  <c r="AG49" i="20" s="1"/>
  <c r="AG48" i="20" a="1"/>
  <c r="AG48" i="20" s="1"/>
  <c r="AH47" i="20" a="1"/>
  <c r="AH47" i="20" s="1"/>
  <c r="AH51" i="20" a="1"/>
  <c r="AH51" i="20" s="1"/>
  <c r="AH57" i="20" a="1"/>
  <c r="AH57" i="20" s="1"/>
  <c r="AH63" i="20" a="1"/>
  <c r="AH63" i="20" s="1"/>
  <c r="AG70" i="20" a="1"/>
  <c r="AG70" i="20" s="1"/>
  <c r="AG69" i="20" a="1"/>
  <c r="AG69" i="20" s="1"/>
  <c r="AG68" i="20" a="1"/>
  <c r="AG68" i="20" s="1"/>
  <c r="AG67" i="20" a="1"/>
  <c r="AG67" i="20" s="1"/>
  <c r="AG65" i="20" a="1"/>
  <c r="AG65" i="20" s="1"/>
  <c r="AH64" i="20" a="1"/>
  <c r="AH64" i="20" s="1"/>
  <c r="AH66" i="20" a="1"/>
  <c r="AH66" i="20" s="1"/>
  <c r="AH71" i="20" a="1"/>
  <c r="AH71" i="20" s="1"/>
  <c r="AG76" i="20" a="1"/>
  <c r="AG76" i="20" s="1"/>
  <c r="AG75" i="20" a="1"/>
  <c r="AG75" i="20" s="1"/>
  <c r="AG74" i="20" a="1"/>
  <c r="AG74" i="20" s="1"/>
  <c r="AH72" i="20" a="1"/>
  <c r="AH72" i="20" s="1"/>
  <c r="AH73" i="20" a="1"/>
  <c r="AH73" i="20" s="1"/>
  <c r="AH77" i="20" a="1"/>
  <c r="AH77" i="20" s="1"/>
  <c r="AG81" i="20" a="1"/>
  <c r="AG81" i="20" s="1"/>
  <c r="AG80" i="20" a="1"/>
  <c r="AG80" i="20" s="1"/>
  <c r="AG79" i="20" a="1"/>
  <c r="AG79" i="20" s="1"/>
  <c r="AH78" i="20" a="1"/>
  <c r="AH78" i="20" s="1"/>
  <c r="AH82" i="20" a="1"/>
  <c r="AH82" i="20" s="1"/>
  <c r="AG86" i="20" a="1"/>
  <c r="AG86" i="20" s="1"/>
  <c r="AG85" i="20" a="1"/>
  <c r="AG85" i="20" s="1"/>
  <c r="AG84" i="20" a="1"/>
  <c r="AG84" i="20" s="1"/>
  <c r="AH83" i="20" a="1"/>
  <c r="AH83" i="20" s="1"/>
  <c r="AH87" i="20" a="1"/>
  <c r="AH87" i="20" s="1"/>
  <c r="AG90" i="20" a="1"/>
  <c r="AG90" i="20" s="1"/>
  <c r="AG89" i="20" a="1"/>
  <c r="AG89" i="20" s="1"/>
  <c r="AH88" i="20" a="1"/>
  <c r="AH88" i="20" s="1"/>
  <c r="AH91" i="20" a="1"/>
  <c r="AH91" i="20" s="1"/>
  <c r="AG94" i="20" a="1"/>
  <c r="AG94" i="20" s="1"/>
  <c r="AG93" i="20" a="1"/>
  <c r="AG93" i="20" s="1"/>
  <c r="AH92" i="20" a="1"/>
  <c r="AH92" i="20" s="1"/>
  <c r="AH95" i="20" a="1"/>
  <c r="AH95" i="20" s="1"/>
  <c r="AG98" i="20" a="1"/>
  <c r="AG98" i="20" s="1"/>
  <c r="AG97" i="20" a="1"/>
  <c r="AG97" i="20" s="1"/>
  <c r="AH96" i="20" a="1"/>
  <c r="AH96" i="20" s="1"/>
  <c r="AH99" i="20" a="1"/>
  <c r="AH99" i="20" s="1"/>
  <c r="AG102" i="20" a="1"/>
  <c r="AG102" i="20" s="1"/>
  <c r="AG101" i="20" a="1"/>
  <c r="AG101" i="20" s="1"/>
  <c r="AG103" i="20" a="1"/>
  <c r="AG103" i="20" s="1"/>
  <c r="AH100" i="20" a="1"/>
  <c r="AH100" i="20" s="1"/>
  <c r="AG106" i="20" a="1"/>
  <c r="AG106" i="20" s="1"/>
  <c r="AG105" i="20" a="1"/>
  <c r="AG105" i="20" s="1"/>
  <c r="AH104" i="20" a="1"/>
  <c r="AH104" i="20" s="1"/>
  <c r="AH107" i="20" a="1"/>
  <c r="AH107" i="20" s="1"/>
  <c r="AG110" i="20" a="1"/>
  <c r="AG110" i="20" s="1"/>
  <c r="AG109" i="20" a="1"/>
  <c r="AG109" i="20" s="1"/>
  <c r="AH108" i="20" a="1"/>
  <c r="AH108" i="20" s="1"/>
  <c r="AK52" i="20"/>
  <c r="AH53" i="20" a="1"/>
  <c r="AH53" i="20" s="1"/>
  <c r="AH54" i="20" a="1"/>
  <c r="AH54" i="20" s="1"/>
  <c r="AH55" i="20" a="1"/>
  <c r="AH55" i="20" s="1"/>
  <c r="AH56" i="20" a="1"/>
  <c r="AH56" i="20" s="1"/>
  <c r="AH58" i="20" a="1"/>
  <c r="AH58" i="20" s="1"/>
  <c r="AH59" i="20" a="1"/>
  <c r="AH59" i="20" s="1"/>
  <c r="AH60" i="20" a="1"/>
  <c r="AH60" i="20" s="1"/>
  <c r="AH61" i="20" a="1"/>
  <c r="AH61" i="20" s="1"/>
  <c r="AH62" i="20" a="1"/>
  <c r="AH62" i="20" s="1"/>
  <c r="AK22" i="20"/>
  <c r="AN20" i="20"/>
  <c r="AK20" i="20"/>
  <c r="AH21" i="20" a="1"/>
  <c r="AH21" i="20" s="1"/>
  <c r="AH23" i="20" a="1"/>
  <c r="AH23" i="20" s="1"/>
  <c r="AH24" i="20" a="1"/>
  <c r="AH24" i="20" s="1"/>
  <c r="AH25" i="20" a="1"/>
  <c r="AH25" i="20" s="1"/>
  <c r="AH26" i="20" a="1"/>
  <c r="AH26" i="20" s="1"/>
  <c r="BS105" i="13"/>
  <c r="BT105" i="13" s="1"/>
  <c r="BS107" i="13"/>
  <c r="BT107" i="13" s="1"/>
  <c r="BS70" i="13"/>
  <c r="BT70" i="13" s="1"/>
  <c r="BS76" i="13"/>
  <c r="BT76" i="13" s="1"/>
  <c r="BS73" i="13"/>
  <c r="BT73" i="13" s="1"/>
  <c r="BS104" i="13"/>
  <c r="BT104" i="13" s="1"/>
  <c r="BS40" i="13"/>
  <c r="BT40" i="13" s="1"/>
  <c r="BS39" i="13"/>
  <c r="BT39" i="13" s="1"/>
  <c r="BS54" i="13"/>
  <c r="BT54" i="13" s="1"/>
  <c r="BS109" i="13"/>
  <c r="BT109" i="13" s="1"/>
  <c r="AU109" i="13"/>
  <c r="BF109" i="13"/>
  <c r="AT109" i="13" s="1"/>
  <c r="BS61" i="13"/>
  <c r="BT61" i="13" s="1"/>
  <c r="BS53" i="13"/>
  <c r="BT53" i="13" s="1"/>
  <c r="BS72" i="13"/>
  <c r="BT72" i="13" s="1"/>
  <c r="BS77" i="13"/>
  <c r="BT77" i="13" s="1"/>
  <c r="BS79" i="13"/>
  <c r="BT79" i="13" s="1"/>
  <c r="BS80" i="13"/>
  <c r="BT80" i="13" s="1"/>
  <c r="BS82" i="13"/>
  <c r="BT82" i="13" s="1"/>
  <c r="BS85" i="13"/>
  <c r="BT85" i="13" s="1"/>
  <c r="BS88" i="13"/>
  <c r="BT88" i="13" s="1"/>
  <c r="BS89" i="13"/>
  <c r="BT89" i="13" s="1"/>
  <c r="BS101" i="13"/>
  <c r="BT101" i="13" s="1"/>
  <c r="BS103" i="13"/>
  <c r="BT103" i="13" s="1"/>
  <c r="BS48" i="13"/>
  <c r="BT48" i="13" s="1"/>
  <c r="AP94" i="8" a="1"/>
  <c r="AP94" i="8" s="1"/>
  <c r="AE95" i="4" s="1"/>
  <c r="H95" i="13" s="1" a="1"/>
  <c r="H95" i="13" s="1"/>
  <c r="AO89" i="8" a="1"/>
  <c r="AO89" i="8" s="1"/>
  <c r="AD94" i="4" s="1"/>
  <c r="G94" i="13" s="1" a="1"/>
  <c r="G94" i="13" s="1"/>
  <c r="BB23" i="8"/>
  <c r="BB60" i="8"/>
  <c r="BB88" i="8"/>
  <c r="BB31" i="8"/>
  <c r="BB55" i="8"/>
  <c r="BB108" i="8"/>
  <c r="BB53" i="8"/>
  <c r="BB61" i="8"/>
  <c r="BB83" i="8"/>
  <c r="BA107" i="8"/>
  <c r="BA76" i="8"/>
  <c r="BB56" i="8"/>
  <c r="BB73" i="8"/>
  <c r="BB24" i="8"/>
  <c r="BB98" i="8"/>
  <c r="BA70" i="8"/>
  <c r="BB34" i="8"/>
  <c r="BA91" i="8"/>
  <c r="BB40" i="8"/>
  <c r="BB103" i="8"/>
  <c r="P16" i="10"/>
  <c r="S16" i="10" s="1"/>
  <c r="BA69" i="8"/>
  <c r="BB72" i="8"/>
  <c r="Q18" i="10"/>
  <c r="Q22" i="10"/>
  <c r="Q23" i="10"/>
  <c r="Q20" i="10"/>
  <c r="BA67" i="8"/>
  <c r="BB66" i="8"/>
  <c r="BB47" i="8"/>
  <c r="BA90" i="8"/>
  <c r="Z103" i="11"/>
  <c r="Q103" i="11"/>
  <c r="R103" i="11" s="1"/>
  <c r="S103" i="11" s="1"/>
  <c r="T103" i="11" s="1"/>
  <c r="E96" i="11"/>
  <c r="AG42" i="10"/>
  <c r="E97" i="11" s="1"/>
  <c r="AF43" i="10"/>
  <c r="AG43" i="10" s="1"/>
  <c r="AD96" i="11"/>
  <c r="AF44" i="10"/>
  <c r="AG44" i="10" s="1"/>
  <c r="AD99" i="11"/>
  <c r="AE99" i="11" s="1"/>
  <c r="I63" i="4"/>
  <c r="N63" i="4" s="1"/>
  <c r="P82" i="4"/>
  <c r="L82" i="4"/>
  <c r="Q82" i="4" s="1"/>
  <c r="Q24" i="3"/>
  <c r="Q23" i="3"/>
  <c r="Q20" i="3"/>
  <c r="Q22" i="3"/>
  <c r="P16" i="3"/>
  <c r="S16" i="3" s="1"/>
  <c r="P134" i="4"/>
  <c r="P135" i="4"/>
  <c r="Q135" i="4"/>
  <c r="Q134" i="4"/>
  <c r="D41" i="11"/>
  <c r="AL42" i="10"/>
  <c r="D43" i="11"/>
  <c r="X102" i="11" s="1"/>
  <c r="Y102" i="11" s="1"/>
  <c r="P102" i="11" s="1"/>
  <c r="F99" i="11"/>
  <c r="G99" i="11" s="1"/>
  <c r="H99" i="11" s="1"/>
  <c r="I99" i="11" s="1"/>
  <c r="AM43" i="3"/>
  <c r="E100" i="11"/>
  <c r="Y100" i="11" s="1"/>
  <c r="P100" i="11" s="1"/>
  <c r="D42" i="11"/>
  <c r="X99" i="11" s="1"/>
  <c r="Y99" i="11" s="1"/>
  <c r="P99" i="11" s="1"/>
  <c r="AG42" i="3"/>
  <c r="F103" i="11"/>
  <c r="G103" i="11" s="1"/>
  <c r="H103" i="11" s="1"/>
  <c r="I103" i="11" s="1"/>
  <c r="AE103" i="11"/>
  <c r="AE104" i="11" s="1"/>
  <c r="BB59" i="8"/>
  <c r="BB62" i="8"/>
  <c r="BA48" i="8"/>
  <c r="BB21" i="8"/>
  <c r="BB113" i="8"/>
  <c r="BC20" i="8"/>
  <c r="BB93" i="8"/>
  <c r="F88" i="9"/>
  <c r="AD115" i="4"/>
  <c r="G45" i="13" s="1" a="1"/>
  <c r="G45" i="13" s="1"/>
  <c r="AD114" i="4"/>
  <c r="G47" i="13" s="1" a="1"/>
  <c r="G47" i="13" s="1"/>
  <c r="AP115" i="4"/>
  <c r="T45" i="13" s="1" a="1"/>
  <c r="T45" i="13" s="1"/>
  <c r="AP114" i="4"/>
  <c r="T47" i="13" s="1" a="1"/>
  <c r="T47" i="13" s="1"/>
  <c r="L127" i="4"/>
  <c r="Q127" i="4" s="1"/>
  <c r="P127" i="4"/>
  <c r="AP28" i="8" a="1"/>
  <c r="AP28" i="8" s="1"/>
  <c r="AD71" i="4"/>
  <c r="G33" i="13" s="1" a="1"/>
  <c r="G33" i="13" s="1"/>
  <c r="AP29" i="8" a="1"/>
  <c r="AP29" i="8" s="1"/>
  <c r="AD70" i="4"/>
  <c r="G32" i="13" s="1" a="1"/>
  <c r="G32" i="13" s="1"/>
  <c r="BC112" i="8"/>
  <c r="BC87" i="8"/>
  <c r="BB75" i="8"/>
  <c r="BC57" i="8"/>
  <c r="BB50" i="8"/>
  <c r="BB68" i="8"/>
  <c r="BC26" i="8"/>
  <c r="BC42" i="8"/>
  <c r="BC51" i="8"/>
  <c r="BB80" i="8"/>
  <c r="BB48" i="8"/>
  <c r="BC46" i="8"/>
  <c r="BC58" i="8"/>
  <c r="BC71" i="8"/>
  <c r="BC97" i="8"/>
  <c r="BC25" i="8"/>
  <c r="BC63" i="8"/>
  <c r="BB107" i="8"/>
  <c r="BC92" i="8"/>
  <c r="BC77" i="8"/>
  <c r="BC39" i="8"/>
  <c r="BC82" i="8"/>
  <c r="BB33" i="8"/>
  <c r="BC102" i="8"/>
  <c r="BB69" i="8"/>
  <c r="BC53" i="8"/>
  <c r="AO115" i="8" a="1"/>
  <c r="AO115" i="8" s="1"/>
  <c r="AD107" i="4" s="1"/>
  <c r="G107" i="13" s="1" a="1"/>
  <c r="G107" i="13" s="1"/>
  <c r="AP112" i="8" a="1"/>
  <c r="AP112" i="8" s="1"/>
  <c r="AO96" i="8" a="1"/>
  <c r="AO96" i="8" s="1"/>
  <c r="AD86" i="4" s="1"/>
  <c r="G86" i="13" s="1" a="1"/>
  <c r="G86" i="13" s="1"/>
  <c r="AO41" i="8" a="1"/>
  <c r="AO41" i="8" s="1"/>
  <c r="AD119" i="4" s="1"/>
  <c r="G50" i="13" s="1" a="1"/>
  <c r="G50" i="13" s="1"/>
  <c r="AP40" i="8" a="1"/>
  <c r="AP40" i="8" s="1"/>
  <c r="AE116" i="4" s="1"/>
  <c r="H46" i="13" s="1" a="1"/>
  <c r="H46" i="13" s="1"/>
  <c r="AO84" i="8" a="1"/>
  <c r="AO84" i="8" s="1"/>
  <c r="AD93" i="4" s="1"/>
  <c r="G93" i="13" s="1" a="1"/>
  <c r="G93" i="13" s="1"/>
  <c r="AO37" i="8" a="1"/>
  <c r="AO37" i="8" s="1"/>
  <c r="AD126" i="4" s="1"/>
  <c r="G23" i="13" s="1" a="1"/>
  <c r="G23" i="13" s="1"/>
  <c r="AP87" i="8" a="1"/>
  <c r="AP87" i="8" s="1"/>
  <c r="AP34" i="8" a="1"/>
  <c r="AP34" i="8" s="1"/>
  <c r="AE122" i="4" s="1"/>
  <c r="H18" i="13" s="1" a="1"/>
  <c r="H18" i="13" s="1"/>
  <c r="AP66" i="8" a="1"/>
  <c r="AP66" i="8" s="1"/>
  <c r="AE108" i="4" s="1"/>
  <c r="H65" i="13" s="1" a="1"/>
  <c r="H65" i="13" s="1"/>
  <c r="AO74" i="8" a="1"/>
  <c r="AO74" i="8" s="1"/>
  <c r="AD91" i="4" s="1"/>
  <c r="G91" i="13" s="1" a="1"/>
  <c r="G91" i="13" s="1"/>
  <c r="AO75" i="8" a="1"/>
  <c r="AO75" i="8" s="1"/>
  <c r="AP57" i="8" a="1"/>
  <c r="AP57" i="8" s="1"/>
  <c r="AO49" i="8" a="1"/>
  <c r="AO49" i="8" s="1"/>
  <c r="AD130" i="4" s="1"/>
  <c r="G37" i="13" s="1" a="1"/>
  <c r="G37" i="13" s="1"/>
  <c r="AP93" i="8" a="1"/>
  <c r="AP93" i="8" s="1"/>
  <c r="AE77" i="4" s="1"/>
  <c r="H77" i="13" s="1" a="1"/>
  <c r="H77" i="13" s="1"/>
  <c r="AP73" i="8" a="1"/>
  <c r="AP73" i="8" s="1"/>
  <c r="AE73" i="4" s="1"/>
  <c r="AO50" i="8" a="1"/>
  <c r="AO50" i="8" s="1"/>
  <c r="AO68" i="8" a="1"/>
  <c r="AO68" i="8" s="1"/>
  <c r="AD113" i="4" s="1"/>
  <c r="G70" i="13" s="1" a="1"/>
  <c r="G70" i="13" s="1"/>
  <c r="AP72" i="8" a="1"/>
  <c r="AP72" i="8" s="1"/>
  <c r="AE72" i="4" s="1"/>
  <c r="H72" i="13" s="1" a="1"/>
  <c r="H72" i="13" s="1"/>
  <c r="H73" i="13" s="1"/>
  <c r="AP26" i="8" a="1"/>
  <c r="AP26" i="8" s="1"/>
  <c r="AP61" i="8" a="1"/>
  <c r="AP61" i="8" s="1"/>
  <c r="AE135" i="4" s="1"/>
  <c r="H56" i="13" s="1" a="1"/>
  <c r="H56" i="13" s="1"/>
  <c r="AO67" i="8" a="1"/>
  <c r="AO67" i="8" s="1"/>
  <c r="AD109" i="4" s="1"/>
  <c r="G66" i="13" s="1" a="1"/>
  <c r="G66" i="13" s="1"/>
  <c r="AO95" i="8" a="1"/>
  <c r="AO95" i="8" s="1"/>
  <c r="AD103" i="4" s="1"/>
  <c r="G103" i="13" s="1" a="1"/>
  <c r="G103" i="13" s="1"/>
  <c r="AO35" i="8" a="1"/>
  <c r="AO35" i="8" s="1"/>
  <c r="AD121" i="4" s="1"/>
  <c r="G20" i="13" s="1" a="1"/>
  <c r="G20" i="13" s="1"/>
  <c r="AO91" i="8" a="1"/>
  <c r="AO91" i="8" s="1"/>
  <c r="AD85" i="4" s="1"/>
  <c r="G85" i="13" s="1" a="1"/>
  <c r="G85" i="13" s="1"/>
  <c r="AP88" i="8" a="1"/>
  <c r="AP88" i="8" s="1"/>
  <c r="AE76" i="4" s="1"/>
  <c r="H76" i="13" s="1" a="1"/>
  <c r="H76" i="13" s="1"/>
  <c r="AP113" i="8" a="1"/>
  <c r="AP113" i="8" s="1"/>
  <c r="AE81" i="4" s="1"/>
  <c r="H81" i="13" s="1" a="1"/>
  <c r="H81" i="13" s="1"/>
  <c r="AO76" i="8" a="1"/>
  <c r="AO76" i="8" s="1"/>
  <c r="AD82" i="4" s="1"/>
  <c r="G82" i="13" s="1" a="1"/>
  <c r="G82" i="13" s="1"/>
  <c r="AP42" i="8" a="1"/>
  <c r="AP42" i="8" s="1"/>
  <c r="AO32" i="8" a="1"/>
  <c r="AO32" i="8" s="1"/>
  <c r="AD123" i="4" s="1"/>
  <c r="G21" i="13" s="1" a="1"/>
  <c r="G21" i="13" s="1"/>
  <c r="AO100" i="8" a="1"/>
  <c r="AO100" i="8" s="1"/>
  <c r="AD104" i="4" s="1"/>
  <c r="G104" i="13" s="1" a="1"/>
  <c r="G104" i="13" s="1"/>
  <c r="AP60" i="8" a="1"/>
  <c r="AP60" i="8" s="1"/>
  <c r="AE133" i="4" s="1"/>
  <c r="H55" i="13" s="1" a="1"/>
  <c r="H55" i="13" s="1"/>
  <c r="AO65" i="8" a="1"/>
  <c r="AO65" i="8" s="1"/>
  <c r="AD111" i="4" s="1"/>
  <c r="G68" i="13" s="1" a="1"/>
  <c r="G68" i="13" s="1"/>
  <c r="AP62" i="8" a="1"/>
  <c r="AP62" i="8" s="1"/>
  <c r="AE132" i="4" s="1"/>
  <c r="H54" i="13" s="1" a="1"/>
  <c r="H54" i="13" s="1"/>
  <c r="AP36" i="8" a="1"/>
  <c r="AP36" i="8" s="1"/>
  <c r="AE128" i="4" s="1"/>
  <c r="H25" i="13" s="1" a="1"/>
  <c r="H25" i="13" s="1"/>
  <c r="AP78" i="8" a="1"/>
  <c r="AP78" i="8" s="1"/>
  <c r="AE74" i="4" s="1"/>
  <c r="H74" i="13" s="1" a="1"/>
  <c r="H74" i="13" s="1"/>
  <c r="AP51" i="8" a="1"/>
  <c r="AP51" i="8" s="1"/>
  <c r="AP31" i="8" a="1"/>
  <c r="AP31" i="8" s="1"/>
  <c r="AE124" i="4" s="1"/>
  <c r="H19" i="13" s="1" a="1"/>
  <c r="H19" i="13" s="1"/>
  <c r="AO101" i="8" a="1"/>
  <c r="AO101" i="8" s="1"/>
  <c r="AD87" i="4" s="1"/>
  <c r="G87" i="13" s="1" a="1"/>
  <c r="G87" i="13" s="1"/>
  <c r="AP98" i="8" a="1"/>
  <c r="AP98" i="8" s="1"/>
  <c r="AE78" i="4" s="1"/>
  <c r="H78" i="13" s="1" a="1"/>
  <c r="H78" i="13" s="1"/>
  <c r="AP64" i="8" a="1"/>
  <c r="AP64" i="8" s="1"/>
  <c r="AE110" i="4" s="1"/>
  <c r="H67" i="13" s="1" a="1"/>
  <c r="H67" i="13" s="1"/>
  <c r="AP54" i="8" a="1"/>
  <c r="AP54" i="8" s="1"/>
  <c r="AE63" i="4" s="1"/>
  <c r="H43" i="13" s="1" a="1"/>
  <c r="H43" i="13" s="1"/>
  <c r="AO80" i="8" a="1"/>
  <c r="AO80" i="8" s="1"/>
  <c r="AD100" i="4" s="1"/>
  <c r="G100" i="13" s="1" a="1"/>
  <c r="G100" i="13" s="1"/>
  <c r="AO81" i="8" a="1"/>
  <c r="AO81" i="8" s="1"/>
  <c r="AD83" i="4" s="1"/>
  <c r="G83" i="13" s="1" a="1"/>
  <c r="G83" i="13" s="1"/>
  <c r="AP103" i="8" a="1"/>
  <c r="AP103" i="8" s="1"/>
  <c r="AE79" i="4" s="1"/>
  <c r="H79" i="13" s="1" a="1"/>
  <c r="H79" i="13" s="1"/>
  <c r="AP59" i="8" a="1"/>
  <c r="AP59" i="8" s="1"/>
  <c r="AE134" i="4" s="1"/>
  <c r="H57" i="13" s="1" a="1"/>
  <c r="H57" i="13" s="1"/>
  <c r="AO48" i="8" a="1"/>
  <c r="AO48" i="8" s="1"/>
  <c r="AP46" i="8" a="1"/>
  <c r="AP46" i="8" s="1"/>
  <c r="AO111" i="8" a="1"/>
  <c r="AO111" i="8" s="1"/>
  <c r="AD89" i="4" s="1"/>
  <c r="G89" i="13" s="1" a="1"/>
  <c r="G89" i="13" s="1"/>
  <c r="AD131" i="4"/>
  <c r="G53" i="13" s="1" a="1"/>
  <c r="G53" i="13" s="1"/>
  <c r="AP58" i="8" a="1"/>
  <c r="AP58" i="8" s="1"/>
  <c r="AO116" i="8" a="1"/>
  <c r="AO116" i="8" s="1"/>
  <c r="AD90" i="4" s="1"/>
  <c r="G90" i="13" s="1" a="1"/>
  <c r="G90" i="13" s="1"/>
  <c r="AS20" i="8"/>
  <c r="AV20" i="8"/>
  <c r="AP71" i="8" a="1"/>
  <c r="AP71" i="8" s="1"/>
  <c r="AP97" i="8" a="1"/>
  <c r="AP97" i="8" s="1"/>
  <c r="AP25" i="8" a="1"/>
  <c r="AP25" i="8" s="1"/>
  <c r="AO90" i="8" a="1"/>
  <c r="AO90" i="8" s="1"/>
  <c r="AD102" i="4" s="1"/>
  <c r="G102" i="13" s="1" a="1"/>
  <c r="G102" i="13" s="1"/>
  <c r="AO44" i="8" a="1"/>
  <c r="AO44" i="8" s="1"/>
  <c r="AD118" i="4" s="1"/>
  <c r="G49" i="13" s="1" a="1"/>
  <c r="G49" i="13" s="1"/>
  <c r="AP23" i="8" a="1"/>
  <c r="AP23" i="8" s="1"/>
  <c r="AE66" i="4" s="1"/>
  <c r="H30" i="13" s="1" a="1"/>
  <c r="H30" i="13" s="1"/>
  <c r="AO105" i="8" a="1"/>
  <c r="AO105" i="8" s="1"/>
  <c r="AD105" i="4" s="1"/>
  <c r="G105" i="13" s="1" a="1"/>
  <c r="G105" i="13" s="1"/>
  <c r="AP63" i="8" a="1"/>
  <c r="AP63" i="8" s="1"/>
  <c r="AO110" i="8" a="1"/>
  <c r="AO110" i="8" s="1"/>
  <c r="AD106" i="4" s="1"/>
  <c r="G106" i="13" s="1" a="1"/>
  <c r="G106" i="13" s="1"/>
  <c r="AP24" i="8" a="1"/>
  <c r="AP24" i="8" s="1"/>
  <c r="AE64" i="4" s="1"/>
  <c r="H29" i="13" s="1" a="1"/>
  <c r="H29" i="13" s="1"/>
  <c r="AO70" i="8" a="1"/>
  <c r="AO70" i="8" s="1"/>
  <c r="AD112" i="4" s="1"/>
  <c r="G69" i="13" s="1" a="1"/>
  <c r="G69" i="13" s="1"/>
  <c r="AO86" i="8" a="1"/>
  <c r="AO86" i="8" s="1"/>
  <c r="AD84" i="4" s="1"/>
  <c r="G84" i="13" s="1" a="1"/>
  <c r="G84" i="13" s="1"/>
  <c r="AO107" i="8" a="1"/>
  <c r="AO107" i="8" s="1"/>
  <c r="AP92" i="8" a="1"/>
  <c r="AP92" i="8" s="1"/>
  <c r="AP77" i="8" a="1"/>
  <c r="AP77" i="8" s="1"/>
  <c r="AO43" i="8" a="1"/>
  <c r="AO43" i="8" s="1"/>
  <c r="AD120" i="4" s="1"/>
  <c r="G51" i="13" s="1" a="1"/>
  <c r="G51" i="13" s="1"/>
  <c r="AP39" i="8" a="1"/>
  <c r="AP39" i="8" s="1"/>
  <c r="AO79" i="8" a="1"/>
  <c r="AO79" i="8" s="1"/>
  <c r="AD92" i="4" s="1"/>
  <c r="G92" i="13" s="1" a="1"/>
  <c r="G92" i="13" s="1"/>
  <c r="AP108" i="8" a="1"/>
  <c r="AP108" i="8" s="1"/>
  <c r="AE80" i="4" s="1"/>
  <c r="H80" i="13" s="1" a="1"/>
  <c r="H80" i="13" s="1"/>
  <c r="AP82" i="8" a="1"/>
  <c r="AP82" i="8" s="1"/>
  <c r="AO85" i="8" a="1"/>
  <c r="AO85" i="8" s="1"/>
  <c r="AD101" i="4" s="1"/>
  <c r="G101" i="13" s="1" a="1"/>
  <c r="G101" i="13" s="1"/>
  <c r="AO33" i="8" a="1"/>
  <c r="AO33" i="8" s="1"/>
  <c r="AD127" i="4" s="1"/>
  <c r="G24" i="13" s="1" a="1"/>
  <c r="G24" i="13" s="1"/>
  <c r="AO38" i="8" a="1"/>
  <c r="AO38" i="8" s="1"/>
  <c r="AD125" i="4" s="1"/>
  <c r="G22" i="13" s="1" a="1"/>
  <c r="G22" i="13" s="1"/>
  <c r="AP55" i="8" a="1"/>
  <c r="AP55" i="8" s="1"/>
  <c r="AE61" i="4" s="1"/>
  <c r="H41" i="13" s="1" a="1"/>
  <c r="H41" i="13" s="1"/>
  <c r="AP56" i="8" a="1"/>
  <c r="AP56" i="8" s="1"/>
  <c r="AE60" i="4" s="1"/>
  <c r="H40" i="13" s="1" a="1"/>
  <c r="H40" i="13" s="1"/>
  <c r="AO106" i="8" a="1"/>
  <c r="AO106" i="8" s="1"/>
  <c r="AD88" i="4" s="1"/>
  <c r="G88" i="13" s="1" a="1"/>
  <c r="G88" i="13" s="1"/>
  <c r="AP21" i="8" a="1"/>
  <c r="AP21" i="8" s="1"/>
  <c r="AE68" i="4" s="1"/>
  <c r="H34" i="13" s="1" a="1"/>
  <c r="H34" i="13" s="1"/>
  <c r="AP102" i="8" a="1"/>
  <c r="AP102" i="8" s="1"/>
  <c r="AO45" i="8" a="1"/>
  <c r="AO45" i="8" s="1"/>
  <c r="AD117" i="4" s="1"/>
  <c r="G48" i="13" s="1" a="1"/>
  <c r="G48" i="13" s="1"/>
  <c r="AP47" i="8" a="1"/>
  <c r="AP47" i="8" s="1"/>
  <c r="AE129" i="4" s="1"/>
  <c r="H36" i="13" s="1" a="1"/>
  <c r="H36" i="13" s="1"/>
  <c r="AP83" i="8" a="1"/>
  <c r="AP83" i="8" s="1"/>
  <c r="AE75" i="4" s="1"/>
  <c r="H75" i="13" s="1" a="1"/>
  <c r="H75" i="13" s="1"/>
  <c r="AO69" i="8" a="1"/>
  <c r="AO69" i="8" s="1"/>
  <c r="AP53" i="8" a="1"/>
  <c r="AP53" i="8" s="1"/>
  <c r="AE62" i="4" s="1"/>
  <c r="H42" i="13" s="1" a="1"/>
  <c r="H42" i="13" s="1"/>
  <c r="AU107" i="7"/>
  <c r="AU74" i="7"/>
  <c r="AV39" i="7"/>
  <c r="AU67" i="7"/>
  <c r="BD52" i="8"/>
  <c r="AU109" i="7"/>
  <c r="AU77" i="7"/>
  <c r="AV45" i="7"/>
  <c r="AU68" i="7"/>
  <c r="AU93" i="7"/>
  <c r="AV52" i="7"/>
  <c r="AU105" i="7"/>
  <c r="AV32" i="7"/>
  <c r="AU65" i="7"/>
  <c r="AU108" i="7"/>
  <c r="AU79" i="7"/>
  <c r="AU78" i="7"/>
  <c r="AV36" i="7"/>
  <c r="AU75" i="7"/>
  <c r="AU80" i="7"/>
  <c r="AU94" i="7"/>
  <c r="AV47" i="7"/>
  <c r="AU76" i="7"/>
  <c r="AU99" i="7"/>
  <c r="AU73" i="7"/>
  <c r="AU87" i="7"/>
  <c r="AU103" i="7"/>
  <c r="AU71" i="7"/>
  <c r="AU84" i="7"/>
  <c r="AU106" i="7"/>
  <c r="AU83" i="7"/>
  <c r="AU98" i="7"/>
  <c r="AU102" i="7"/>
  <c r="AV55" i="7"/>
  <c r="AU90" i="7"/>
  <c r="AU96" i="7"/>
  <c r="AU72" i="7"/>
  <c r="AV59" i="7"/>
  <c r="AV34" i="7"/>
  <c r="AU100" i="7"/>
  <c r="AU89" i="7"/>
  <c r="AU91" i="7"/>
  <c r="AU81" i="7"/>
  <c r="AV48" i="7"/>
  <c r="AU95" i="7"/>
  <c r="AU82" i="7"/>
  <c r="AU86" i="7"/>
  <c r="AV31" i="7"/>
  <c r="AU64" i="7"/>
  <c r="AV44" i="7"/>
  <c r="AV37" i="7"/>
  <c r="AV50" i="7"/>
  <c r="AU85" i="7"/>
  <c r="AU104" i="7"/>
  <c r="AV56" i="7"/>
  <c r="AU70" i="7"/>
  <c r="AV35" i="7"/>
  <c r="AU92" i="7"/>
  <c r="AV54" i="7"/>
  <c r="AU110" i="7"/>
  <c r="AU101" i="7"/>
  <c r="AU97" i="7"/>
  <c r="AV41" i="7"/>
  <c r="AV27" i="7"/>
  <c r="AU69" i="7"/>
  <c r="AU88" i="7"/>
  <c r="AU66" i="7"/>
  <c r="AV62" i="7"/>
  <c r="AK74" i="7"/>
  <c r="AK93" i="7"/>
  <c r="AK105" i="7"/>
  <c r="AK65" i="7"/>
  <c r="AK108" i="7"/>
  <c r="AL42" i="3"/>
  <c r="AK67" i="7"/>
  <c r="AK75" i="7"/>
  <c r="AK80" i="7"/>
  <c r="AK94" i="7"/>
  <c r="AK78" i="7"/>
  <c r="AK99" i="7"/>
  <c r="AK73" i="7"/>
  <c r="AK103" i="7"/>
  <c r="AK71" i="7"/>
  <c r="AK84" i="7"/>
  <c r="AK76" i="7"/>
  <c r="AK87" i="7"/>
  <c r="AK106" i="7"/>
  <c r="AK83" i="7"/>
  <c r="AK98" i="7"/>
  <c r="AK102" i="7"/>
  <c r="AK90" i="7"/>
  <c r="AK96" i="7"/>
  <c r="AH122" i="8"/>
  <c r="AK100" i="7"/>
  <c r="AK89" i="7"/>
  <c r="AK91" i="7"/>
  <c r="AK81" i="7"/>
  <c r="AK66" i="7"/>
  <c r="AK109" i="7"/>
  <c r="AK85" i="7"/>
  <c r="AK104" i="7"/>
  <c r="AK64" i="7"/>
  <c r="AK88" i="7"/>
  <c r="AK86" i="7"/>
  <c r="AK101" i="7"/>
  <c r="AK95" i="7"/>
  <c r="AK82" i="7"/>
  <c r="AK70" i="7"/>
  <c r="AK92" i="7"/>
  <c r="AK110" i="7"/>
  <c r="AK97" i="7"/>
  <c r="AQ78" i="4"/>
  <c r="U78" i="13" s="1" a="1"/>
  <c r="U78" i="13" s="1"/>
  <c r="AQ90" i="4"/>
  <c r="U90" i="13" s="1" a="1"/>
  <c r="U90" i="13" s="1"/>
  <c r="AQ89" i="4"/>
  <c r="U89" i="13" s="1" a="1"/>
  <c r="U89" i="13" s="1"/>
  <c r="AQ105" i="4"/>
  <c r="U105" i="13" s="1" a="1"/>
  <c r="U105" i="13" s="1"/>
  <c r="AQ87" i="4"/>
  <c r="U87" i="13" s="1" a="1"/>
  <c r="U87" i="13" s="1"/>
  <c r="AQ103" i="4"/>
  <c r="U103" i="13" s="1" a="1"/>
  <c r="U103" i="13" s="1"/>
  <c r="AQ102" i="4"/>
  <c r="U102" i="13" s="1" a="1"/>
  <c r="U102" i="13" s="1"/>
  <c r="AQ84" i="4"/>
  <c r="U84" i="13" s="1" a="1"/>
  <c r="U84" i="13" s="1"/>
  <c r="AQ106" i="4"/>
  <c r="U106" i="13" s="1" a="1"/>
  <c r="U106" i="13" s="1"/>
  <c r="AQ91" i="4"/>
  <c r="U91" i="13" s="1" a="1"/>
  <c r="U91" i="13" s="1"/>
  <c r="AQ88" i="4"/>
  <c r="U88" i="13" s="1" a="1"/>
  <c r="U88" i="13" s="1"/>
  <c r="AQ80" i="4"/>
  <c r="U80" i="13" s="1" a="1"/>
  <c r="U80" i="13" s="1"/>
  <c r="AQ77" i="4"/>
  <c r="U77" i="13" s="1" a="1"/>
  <c r="U77" i="13" s="1"/>
  <c r="AQ85" i="4"/>
  <c r="U85" i="13" s="1" a="1"/>
  <c r="U85" i="13" s="1"/>
  <c r="AQ76" i="4"/>
  <c r="U76" i="13" s="1" a="1"/>
  <c r="U76" i="13" s="1"/>
  <c r="AQ101" i="4"/>
  <c r="U101" i="13" s="1" a="1"/>
  <c r="U101" i="13" s="1"/>
  <c r="AQ82" i="4"/>
  <c r="U82" i="13" s="1" a="1"/>
  <c r="U82" i="13" s="1"/>
  <c r="AQ81" i="4"/>
  <c r="U81" i="13" s="1" a="1"/>
  <c r="U81" i="13" s="1"/>
  <c r="AQ83" i="4"/>
  <c r="U83" i="13" s="1" a="1"/>
  <c r="U83" i="13" s="1"/>
  <c r="AQ86" i="4"/>
  <c r="U86" i="13" s="1" a="1"/>
  <c r="U86" i="13" s="1"/>
  <c r="AQ107" i="4"/>
  <c r="U107" i="13" s="1" a="1"/>
  <c r="U107" i="13" s="1"/>
  <c r="AQ113" i="4"/>
  <c r="U70" i="13" s="1" a="1"/>
  <c r="U70" i="13" s="1"/>
  <c r="AQ111" i="4"/>
  <c r="U68" i="13" s="1" a="1"/>
  <c r="U68" i="13" s="1"/>
  <c r="AQ92" i="4"/>
  <c r="U92" i="13" s="1" a="1"/>
  <c r="U92" i="13" s="1"/>
  <c r="AQ135" i="4"/>
  <c r="U56" i="13" s="1" a="1"/>
  <c r="U56" i="13" s="1"/>
  <c r="AQ73" i="4"/>
  <c r="U73" i="13" s="1" a="1"/>
  <c r="U73" i="13" s="1"/>
  <c r="AQ75" i="4"/>
  <c r="U75" i="13" s="1" a="1"/>
  <c r="U75" i="13" s="1"/>
  <c r="AQ109" i="4"/>
  <c r="U66" i="13" s="1" a="1"/>
  <c r="U66" i="13" s="1"/>
  <c r="AQ133" i="4"/>
  <c r="U55" i="13" s="1" a="1"/>
  <c r="U55" i="13" s="1"/>
  <c r="AQ100" i="4"/>
  <c r="U100" i="13" s="1" a="1"/>
  <c r="U100" i="13" s="1"/>
  <c r="AQ134" i="4"/>
  <c r="U57" i="13" s="1" a="1"/>
  <c r="U57" i="13" s="1"/>
  <c r="AQ131" i="4"/>
  <c r="U53" i="13" s="1" a="1"/>
  <c r="U53" i="13" s="1"/>
  <c r="AQ93" i="4"/>
  <c r="U93" i="13" s="1" a="1"/>
  <c r="U93" i="13" s="1"/>
  <c r="AQ110" i="4"/>
  <c r="U67" i="13" s="1" a="1"/>
  <c r="U67" i="13" s="1"/>
  <c r="AQ117" i="4"/>
  <c r="U48" i="13" s="1" a="1"/>
  <c r="U48" i="13" s="1"/>
  <c r="AQ104" i="4"/>
  <c r="U104" i="13" s="1" a="1"/>
  <c r="U104" i="13" s="1"/>
  <c r="AQ132" i="4"/>
  <c r="U54" i="13" s="1" a="1"/>
  <c r="U54" i="13" s="1"/>
  <c r="AQ60" i="4"/>
  <c r="U40" i="13" s="1" a="1"/>
  <c r="U40" i="13" s="1"/>
  <c r="AQ118" i="4"/>
  <c r="U49" i="13" s="1" a="1"/>
  <c r="U49" i="13" s="1"/>
  <c r="AQ79" i="4"/>
  <c r="U79" i="13" s="1" a="1"/>
  <c r="U79" i="13" s="1"/>
  <c r="AQ112" i="4"/>
  <c r="U69" i="13" s="1" a="1"/>
  <c r="U69" i="13" s="1"/>
  <c r="AQ119" i="4"/>
  <c r="U50" i="13" s="1" a="1"/>
  <c r="U50" i="13" s="1"/>
  <c r="AQ74" i="4"/>
  <c r="U74" i="13" s="1" a="1"/>
  <c r="U74" i="13" s="1"/>
  <c r="AQ130" i="4"/>
  <c r="U37" i="13" s="1" a="1"/>
  <c r="U37" i="13" s="1"/>
  <c r="AQ125" i="4"/>
  <c r="U22" i="13" s="1" a="1"/>
  <c r="U22" i="13" s="1"/>
  <c r="AQ123" i="4"/>
  <c r="U21" i="13" s="1" a="1"/>
  <c r="U21" i="13" s="1"/>
  <c r="AQ72" i="4"/>
  <c r="U72" i="13" s="1" a="1"/>
  <c r="U72" i="13" s="1"/>
  <c r="AQ67" i="4"/>
  <c r="U28" i="13" s="1" a="1"/>
  <c r="U28" i="13" s="1"/>
  <c r="AQ59" i="4"/>
  <c r="U39" i="13" s="1" a="1"/>
  <c r="U39" i="13" s="1"/>
  <c r="AQ120" i="4"/>
  <c r="U51" i="13" s="1" a="1"/>
  <c r="U51" i="13" s="1"/>
  <c r="AQ126" i="4"/>
  <c r="U23" i="13" s="1" a="1"/>
  <c r="U23" i="13" s="1"/>
  <c r="AQ124" i="4"/>
  <c r="U19" i="13" s="1" a="1"/>
  <c r="U19" i="13" s="1"/>
  <c r="AQ71" i="4"/>
  <c r="U33" i="13" s="1" a="1"/>
  <c r="U33" i="13" s="1"/>
  <c r="AQ121" i="4"/>
  <c r="U20" i="13" s="1" a="1"/>
  <c r="U20" i="13" s="1"/>
  <c r="AQ108" i="4"/>
  <c r="U65" i="13" s="1" a="1"/>
  <c r="U65" i="13" s="1"/>
  <c r="AQ61" i="4"/>
  <c r="U41" i="13" s="1" a="1"/>
  <c r="U41" i="13" s="1"/>
  <c r="AQ129" i="4"/>
  <c r="U36" i="13" s="1" a="1"/>
  <c r="U36" i="13" s="1"/>
  <c r="AQ116" i="4"/>
  <c r="U46" i="13" s="1" a="1"/>
  <c r="U46" i="13" s="1"/>
  <c r="AQ122" i="4"/>
  <c r="U18" i="13" s="1" a="1"/>
  <c r="U18" i="13" s="1"/>
  <c r="AQ65" i="4"/>
  <c r="U27" i="13" s="1" a="1"/>
  <c r="U27" i="13" s="1"/>
  <c r="AQ62" i="4"/>
  <c r="U42" i="13" s="1" a="1"/>
  <c r="U42" i="13" s="1"/>
  <c r="AQ63" i="4"/>
  <c r="U43" i="13" s="1" a="1"/>
  <c r="U43" i="13" s="1"/>
  <c r="AQ66" i="4"/>
  <c r="U30" i="13" s="1" a="1"/>
  <c r="U30" i="13" s="1"/>
  <c r="AQ64" i="4"/>
  <c r="U29" i="13" s="1" a="1"/>
  <c r="U29" i="13" s="1"/>
  <c r="AQ128" i="4"/>
  <c r="U25" i="13" s="1" a="1"/>
  <c r="U25" i="13" s="1"/>
  <c r="AQ70" i="4"/>
  <c r="U32" i="13" s="1" a="1"/>
  <c r="U32" i="13" s="1"/>
  <c r="AQ68" i="4"/>
  <c r="U34" i="13" s="1" a="1"/>
  <c r="U34" i="13" s="1"/>
  <c r="AQ127" i="4"/>
  <c r="U24" i="13" s="1" a="1"/>
  <c r="U24" i="13" s="1"/>
  <c r="AK69" i="7"/>
  <c r="AK77" i="7"/>
  <c r="AK107" i="7"/>
  <c r="AK72" i="7"/>
  <c r="AK68" i="7"/>
  <c r="AK79" i="7"/>
  <c r="X71" i="4"/>
  <c r="X126" i="4" s="1"/>
  <c r="W126" i="4"/>
  <c r="AA137" i="4"/>
  <c r="AB136" i="4"/>
  <c r="AC42" i="4"/>
  <c r="K112" i="3"/>
  <c r="L114" i="3"/>
  <c r="N114" i="3" s="1"/>
  <c r="P100" i="4"/>
  <c r="K92" i="4"/>
  <c r="P92" i="4" s="1"/>
  <c r="L100" i="4"/>
  <c r="Q83" i="4"/>
  <c r="P111" i="4"/>
  <c r="L111" i="4"/>
  <c r="Q111" i="4" s="1"/>
  <c r="I117" i="3"/>
  <c r="P62" i="4"/>
  <c r="L62" i="4"/>
  <c r="Q62" i="4" s="1"/>
  <c r="L116" i="3"/>
  <c r="N116" i="3" s="1"/>
  <c r="O68" i="4"/>
  <c r="K68" i="4"/>
  <c r="M109" i="3"/>
  <c r="K109" i="3" s="1"/>
  <c r="W61" i="4"/>
  <c r="W135" i="4" s="1"/>
  <c r="X60" i="4"/>
  <c r="X61" i="4" s="1"/>
  <c r="X135" i="4" s="1"/>
  <c r="P112" i="4"/>
  <c r="L112" i="4"/>
  <c r="Q112" i="4" s="1"/>
  <c r="P118" i="4"/>
  <c r="L118" i="4"/>
  <c r="Q118" i="4" s="1"/>
  <c r="L80" i="3"/>
  <c r="M79" i="3" s="1"/>
  <c r="M112" i="3"/>
  <c r="O128" i="4"/>
  <c r="K128" i="4"/>
  <c r="O126" i="4"/>
  <c r="K126" i="4"/>
  <c r="P121" i="4"/>
  <c r="L121" i="4"/>
  <c r="Q121" i="4" s="1"/>
  <c r="K119" i="4"/>
  <c r="O119" i="4"/>
  <c r="I80" i="3"/>
  <c r="M118" i="3" s="1"/>
  <c r="O120" i="4"/>
  <c r="K120" i="4"/>
  <c r="P71" i="4"/>
  <c r="N71" i="4"/>
  <c r="M71" i="4"/>
  <c r="R71" i="4" s="1"/>
  <c r="Q71" i="4"/>
  <c r="O71" i="4"/>
  <c r="O61" i="4"/>
  <c r="K61" i="4"/>
  <c r="Q101" i="4"/>
  <c r="L93" i="4"/>
  <c r="Q93" i="4" s="1"/>
  <c r="L67" i="4"/>
  <c r="Q67" i="4" s="1"/>
  <c r="P67" i="4"/>
  <c r="I122" i="3"/>
  <c r="AU24" i="20" a="1"/>
  <c r="BB89" i="8" a="1"/>
  <c r="AV91" i="7" a="1"/>
  <c r="AV69" i="7" a="1"/>
  <c r="AV66" i="7" a="1"/>
  <c r="AV89" i="7" a="1"/>
  <c r="AV108" i="7" a="1"/>
  <c r="BB84" i="8" a="1"/>
  <c r="BB115" i="8" a="1"/>
  <c r="AV96" i="7" a="1"/>
  <c r="BC23" i="8" a="1"/>
  <c r="BB38" i="8" a="1"/>
  <c r="BC40" i="8" a="1"/>
  <c r="BB81" i="8" a="1"/>
  <c r="AV64" i="7" a="1"/>
  <c r="BC75" i="8" a="1"/>
  <c r="AV72" i="7" a="1"/>
  <c r="BC54" i="8" a="1"/>
  <c r="AV95" i="7" a="1"/>
  <c r="BC21" i="8" a="1"/>
  <c r="AT37" i="20" a="1"/>
  <c r="AU36" i="20" a="1"/>
  <c r="AU40" i="20" a="1"/>
  <c r="AU47" i="20" a="1"/>
  <c r="AT68" i="20" a="1"/>
  <c r="AT76" i="20" a="1"/>
  <c r="AT81" i="20" a="1"/>
  <c r="AT85" i="20" a="1"/>
  <c r="AU88" i="20" a="1"/>
  <c r="AT98" i="20" a="1"/>
  <c r="AT103" i="20" a="1"/>
  <c r="AT110" i="20" a="1"/>
  <c r="AU55" i="20" a="1"/>
  <c r="AU62" i="20" a="1"/>
  <c r="BD97" i="8" a="1"/>
  <c r="BB106" i="8" a="1"/>
  <c r="AV105" i="7" a="1"/>
  <c r="AV110" i="7" a="1"/>
  <c r="BC88" i="8" a="1"/>
  <c r="BD71" i="8" a="1"/>
  <c r="BD64" i="8" a="1"/>
  <c r="BC72" i="8" a="1"/>
  <c r="BC50" i="8" a="1"/>
  <c r="BD46" i="8" a="1"/>
  <c r="BD112" i="8" a="1"/>
  <c r="BD66" i="8" a="1"/>
  <c r="BB45" i="8" a="1"/>
  <c r="BB86" i="8" a="1"/>
  <c r="BB65" i="8" a="1"/>
  <c r="BC36" i="8" a="1"/>
  <c r="AV22" i="20" a="1"/>
  <c r="AU25" i="20" a="1"/>
  <c r="AV99" i="7" a="1"/>
  <c r="AV104" i="7" a="1"/>
  <c r="BC108" i="8" a="1"/>
  <c r="BC83" i="8" a="1"/>
  <c r="BB111" i="8" a="1"/>
  <c r="BB44" i="8" a="1"/>
  <c r="BC66" i="8" a="1"/>
  <c r="AV80" i="7" a="1"/>
  <c r="AV73" i="7" a="1"/>
  <c r="BC55" i="8" a="1"/>
  <c r="BD25" i="8" a="1"/>
  <c r="AV86" i="7" a="1"/>
  <c r="BC64" i="8" a="1"/>
  <c r="BD102" i="8" a="1"/>
  <c r="AT35" i="20" a="1"/>
  <c r="AU39" i="20" a="1"/>
  <c r="AU42" i="20" a="1"/>
  <c r="AU51" i="20" a="1"/>
  <c r="AT67" i="20" a="1"/>
  <c r="AT75" i="20" a="1"/>
  <c r="AT80" i="20" a="1"/>
  <c r="AT84" i="20" a="1"/>
  <c r="AU91" i="20" a="1"/>
  <c r="AT97" i="20" a="1"/>
  <c r="AU100" i="20" a="1"/>
  <c r="AT109" i="20" a="1"/>
  <c r="AU56" i="20" a="1"/>
  <c r="BB37" i="8" a="1"/>
  <c r="BC93" i="8" a="1"/>
  <c r="AV83" i="7" a="1"/>
  <c r="BD58" i="8" a="1"/>
  <c r="AV81" i="7" a="1"/>
  <c r="BB91" i="8" a="1"/>
  <c r="BC84" i="8" a="1"/>
  <c r="BC60" i="8" a="1"/>
  <c r="BD62" i="8" a="1"/>
  <c r="BD42" i="8" a="1"/>
  <c r="AU26" i="20" a="1"/>
  <c r="AV98" i="7" a="1"/>
  <c r="AV106" i="7" a="1"/>
  <c r="AV100" i="7" a="1"/>
  <c r="BC61" i="8" a="1"/>
  <c r="AV65" i="7" a="1"/>
  <c r="AV76" i="7" a="1"/>
  <c r="BB32" i="8" a="1"/>
  <c r="AV71" i="7" a="1"/>
  <c r="BC62" i="8" a="1"/>
  <c r="AV84" i="7" a="1"/>
  <c r="BD82" i="8" a="1"/>
  <c r="BC31" i="8" a="1"/>
  <c r="AV67" i="7" a="1"/>
  <c r="BC56" i="8" a="1"/>
  <c r="BB41" i="8" a="1"/>
  <c r="BD103" i="8" a="1"/>
  <c r="BB49" i="8" a="1"/>
  <c r="BC103" i="8" a="1"/>
  <c r="AV93" i="7" a="1"/>
  <c r="AT33" i="20" a="1"/>
  <c r="AT45" i="20" a="1"/>
  <c r="AU46" i="20" a="1"/>
  <c r="AU57" i="20" a="1"/>
  <c r="AT65" i="20" a="1"/>
  <c r="AT74" i="20" a="1"/>
  <c r="AT79" i="20" a="1"/>
  <c r="AU83" i="20" a="1"/>
  <c r="AT94" i="20" a="1"/>
  <c r="AU96" i="20" a="1"/>
  <c r="AT106" i="20" a="1"/>
  <c r="AU108" i="20" a="1"/>
  <c r="AU58" i="20" a="1"/>
  <c r="AV20" i="20" a="1"/>
  <c r="AV74" i="7" a="1"/>
  <c r="AV75" i="7" a="1"/>
  <c r="AV97" i="7" a="1"/>
  <c r="AV92" i="7" a="1"/>
  <c r="AV70" i="7" a="1"/>
  <c r="BB101" i="8" a="1"/>
  <c r="BD23" i="8" a="1"/>
  <c r="BC59" i="8" a="1"/>
  <c r="BD63" i="8" a="1"/>
  <c r="BD77" i="8" a="1"/>
  <c r="AV52" i="20" a="1"/>
  <c r="BC114" i="8" a="1"/>
  <c r="AV109" i="7" a="1"/>
  <c r="BD57" i="8" a="1"/>
  <c r="AT32" i="20" a="1"/>
  <c r="AT44" i="20" a="1"/>
  <c r="AT50" i="20" a="1"/>
  <c r="AU63" i="20" a="1"/>
  <c r="AU64" i="20" a="1"/>
  <c r="AU72" i="20" a="1"/>
  <c r="AU78" i="20" a="1"/>
  <c r="AU87" i="20" a="1"/>
  <c r="AT93" i="20" a="1"/>
  <c r="AU99" i="20" a="1"/>
  <c r="AT105" i="20" a="1"/>
  <c r="AU59" i="20" a="1"/>
  <c r="BB109" i="8" a="1"/>
  <c r="AV87" i="7" a="1"/>
  <c r="BB96" i="8" a="1"/>
  <c r="BC113" i="8" a="1"/>
  <c r="BC24" i="8" a="1"/>
  <c r="BB76" i="8" a="1"/>
  <c r="AV103" i="7" a="1"/>
  <c r="BC70" i="8" a="1"/>
  <c r="BB79" i="8" a="1"/>
  <c r="BB67" i="8" a="1"/>
  <c r="BB85" i="8" a="1"/>
  <c r="AV82" i="7" a="1"/>
  <c r="BD26" i="8" a="1"/>
  <c r="AU77" i="20" a="1"/>
  <c r="AU54" i="20" a="1"/>
  <c r="AU21" i="20" a="1"/>
  <c r="BC104" i="8" a="1"/>
  <c r="BD92" i="8" a="1"/>
  <c r="AV78" i="7" a="1"/>
  <c r="BC47" i="8" a="1"/>
  <c r="BB35" i="8" a="1"/>
  <c r="BC73" i="8" a="1"/>
  <c r="BC101" i="8" a="1"/>
  <c r="BB90" i="8" a="1"/>
  <c r="BD20" i="8" a="1"/>
  <c r="AV79" i="7" a="1"/>
  <c r="BC34" i="8" a="1"/>
  <c r="AV88" i="7" a="1"/>
  <c r="BD51" i="8" a="1"/>
  <c r="AV68" i="7" a="1"/>
  <c r="BB100" i="8" a="1"/>
  <c r="BC98" i="8" a="1"/>
  <c r="AV85" i="7" a="1"/>
  <c r="BB105" i="8" a="1"/>
  <c r="BB74" i="8" a="1"/>
  <c r="BB110" i="8" a="1"/>
  <c r="BD87" i="8" a="1"/>
  <c r="BD59" i="8" a="1"/>
  <c r="BC78" i="8" a="1"/>
  <c r="AT38" i="20" a="1"/>
  <c r="AT41" i="20" a="1"/>
  <c r="AT48" i="20" a="1"/>
  <c r="AU71" i="20" a="1"/>
  <c r="AT89" i="20" a="1"/>
  <c r="AU107" i="20" a="1"/>
  <c r="BB116" i="8" a="1"/>
  <c r="AU31" i="20" a="1"/>
  <c r="AT43" i="20" a="1"/>
  <c r="AT49" i="20" a="1"/>
  <c r="AT70" i="20" a="1"/>
  <c r="AU66" i="20" a="1"/>
  <c r="AU73" i="20" a="1"/>
  <c r="AU82" i="20" a="1"/>
  <c r="AT90" i="20" a="1"/>
  <c r="AU92" i="20" a="1"/>
  <c r="AT102" i="20" a="1"/>
  <c r="AU104" i="20" a="1"/>
  <c r="AU53" i="20" a="1"/>
  <c r="AU60" i="20" a="1"/>
  <c r="BB99" i="8" a="1"/>
  <c r="AV77" i="7" a="1"/>
  <c r="BB70" i="8" a="1"/>
  <c r="AV94" i="7" a="1"/>
  <c r="AV90" i="7" a="1"/>
  <c r="AV107" i="7" a="1"/>
  <c r="BC67" i="8" a="1"/>
  <c r="AV102" i="7" a="1"/>
  <c r="BC69" i="8" a="1"/>
  <c r="BC107" i="8" a="1"/>
  <c r="AV101" i="7" a="1"/>
  <c r="BB95" i="8" a="1"/>
  <c r="AU34" i="20" a="1"/>
  <c r="AT69" i="20" a="1"/>
  <c r="AT86" i="20" a="1"/>
  <c r="AT101" i="20" a="1"/>
  <c r="AU61" i="20" a="1"/>
  <c r="BB43" i="8" a="1"/>
  <c r="AU23" i="20" a="1"/>
  <c r="BC94" i="8" a="1"/>
  <c r="AU95" i="20" a="1"/>
  <c r="BD39" i="8" a="1"/>
  <c r="BC48" i="8" a="1"/>
  <c r="AU95" i="20" l="1"/>
  <c r="BC94" i="8"/>
  <c r="AU23" i="20"/>
  <c r="BB43" i="8"/>
  <c r="AU61" i="20"/>
  <c r="AT101" i="20"/>
  <c r="AT86" i="20"/>
  <c r="AT69" i="20"/>
  <c r="AU34" i="20"/>
  <c r="BB99" i="8"/>
  <c r="AU60" i="20"/>
  <c r="AU53" i="20"/>
  <c r="AU104" i="20"/>
  <c r="AT102" i="20"/>
  <c r="AU92" i="20"/>
  <c r="AT90" i="20"/>
  <c r="AU82" i="20"/>
  <c r="AU73" i="20"/>
  <c r="AU66" i="20"/>
  <c r="AT70" i="20"/>
  <c r="AT49" i="20"/>
  <c r="AT43" i="20"/>
  <c r="AU31" i="20"/>
  <c r="BB116" i="8"/>
  <c r="AU107" i="20"/>
  <c r="AT89" i="20"/>
  <c r="AU71" i="20"/>
  <c r="AT48" i="20"/>
  <c r="AT41" i="20"/>
  <c r="AT38" i="20"/>
  <c r="BC104" i="8"/>
  <c r="AU21" i="20"/>
  <c r="AU54" i="20"/>
  <c r="AU77" i="20"/>
  <c r="BB109" i="8"/>
  <c r="AU59" i="20"/>
  <c r="AT105" i="20"/>
  <c r="AU99" i="20"/>
  <c r="AT93" i="20"/>
  <c r="AU87" i="20"/>
  <c r="AU78" i="20"/>
  <c r="AU72" i="20"/>
  <c r="AU64" i="20"/>
  <c r="AU63" i="20"/>
  <c r="AT50" i="20"/>
  <c r="AT44" i="20"/>
  <c r="AT32" i="20"/>
  <c r="BC114" i="8"/>
  <c r="AV52" i="20"/>
  <c r="AV20" i="20"/>
  <c r="AU58" i="20"/>
  <c r="AU108" i="20"/>
  <c r="AT106" i="20"/>
  <c r="AU96" i="20"/>
  <c r="AT94" i="20"/>
  <c r="AU83" i="20"/>
  <c r="AT79" i="20"/>
  <c r="AT74" i="20"/>
  <c r="AT65" i="20"/>
  <c r="AU57" i="20"/>
  <c r="AU46" i="20"/>
  <c r="AT45" i="20"/>
  <c r="AT33" i="20"/>
  <c r="AU26" i="20"/>
  <c r="AU56" i="20"/>
  <c r="AT109" i="20"/>
  <c r="AU100" i="20"/>
  <c r="AT97" i="20"/>
  <c r="AU91" i="20"/>
  <c r="AT84" i="20"/>
  <c r="AT80" i="20"/>
  <c r="AT75" i="20"/>
  <c r="AT67" i="20"/>
  <c r="AU51" i="20"/>
  <c r="AU42" i="20"/>
  <c r="AU39" i="20"/>
  <c r="AT35" i="20"/>
  <c r="AU25" i="20"/>
  <c r="AV22" i="20"/>
  <c r="AU62" i="20"/>
  <c r="AU55" i="20"/>
  <c r="AT110" i="20"/>
  <c r="AT103" i="20"/>
  <c r="AT98" i="20"/>
  <c r="AU88" i="20"/>
  <c r="AT85" i="20"/>
  <c r="AT81" i="20"/>
  <c r="AT76" i="20"/>
  <c r="AT68" i="20"/>
  <c r="AU47" i="20"/>
  <c r="AU40" i="20"/>
  <c r="AU36" i="20"/>
  <c r="AT37" i="20"/>
  <c r="BB89" i="8"/>
  <c r="AU24" i="20"/>
  <c r="AK26" i="20"/>
  <c r="AK25" i="20"/>
  <c r="AK24" i="20"/>
  <c r="AK23" i="20"/>
  <c r="AK21" i="20"/>
  <c r="AK62" i="20"/>
  <c r="AK61" i="20"/>
  <c r="AK60" i="20"/>
  <c r="AK59" i="20"/>
  <c r="AK58" i="20"/>
  <c r="AK56" i="20"/>
  <c r="AK55" i="20"/>
  <c r="AK54" i="20"/>
  <c r="AK53" i="20"/>
  <c r="AK108" i="20"/>
  <c r="AH109" i="20" a="1"/>
  <c r="AH109" i="20" s="1"/>
  <c r="AH110" i="20" a="1"/>
  <c r="AH110" i="20" s="1"/>
  <c r="AK107" i="20"/>
  <c r="AK104" i="20"/>
  <c r="AH105" i="20" a="1"/>
  <c r="AH105" i="20" s="1"/>
  <c r="AH106" i="20" a="1"/>
  <c r="AH106" i="20" s="1"/>
  <c r="AK100" i="20"/>
  <c r="AH103" i="20" a="1"/>
  <c r="AH103" i="20" s="1"/>
  <c r="AH101" i="20" a="1"/>
  <c r="AH101" i="20" s="1"/>
  <c r="AH102" i="20" a="1"/>
  <c r="AH102" i="20" s="1"/>
  <c r="AK99" i="20"/>
  <c r="AK96" i="20"/>
  <c r="AH97" i="20" a="1"/>
  <c r="AH97" i="20" s="1"/>
  <c r="AH98" i="20" a="1"/>
  <c r="AH98" i="20" s="1"/>
  <c r="AK95" i="20"/>
  <c r="AK92" i="20"/>
  <c r="AH93" i="20" a="1"/>
  <c r="AH93" i="20" s="1"/>
  <c r="AH94" i="20" a="1"/>
  <c r="AH94" i="20" s="1"/>
  <c r="AK91" i="20"/>
  <c r="AK88" i="20"/>
  <c r="AH89" i="20" a="1"/>
  <c r="AH89" i="20" s="1"/>
  <c r="AH90" i="20" a="1"/>
  <c r="AH90" i="20" s="1"/>
  <c r="AK87" i="20"/>
  <c r="AK83" i="20"/>
  <c r="AH84" i="20" a="1"/>
  <c r="AH84" i="20" s="1"/>
  <c r="AH85" i="20" a="1"/>
  <c r="AH85" i="20" s="1"/>
  <c r="AH86" i="20" a="1"/>
  <c r="AH86" i="20" s="1"/>
  <c r="AK82" i="20"/>
  <c r="AK78" i="20"/>
  <c r="AH79" i="20" a="1"/>
  <c r="AH79" i="20" s="1"/>
  <c r="AH80" i="20" a="1"/>
  <c r="AH80" i="20" s="1"/>
  <c r="AH81" i="20" a="1"/>
  <c r="AH81" i="20" s="1"/>
  <c r="AK77" i="20"/>
  <c r="AK73" i="20"/>
  <c r="AK72" i="20"/>
  <c r="AH74" i="20" a="1"/>
  <c r="AH74" i="20" s="1"/>
  <c r="AH75" i="20" a="1"/>
  <c r="AH75" i="20" s="1"/>
  <c r="AH76" i="20" a="1"/>
  <c r="AH76" i="20" s="1"/>
  <c r="AK71" i="20"/>
  <c r="AK66" i="20"/>
  <c r="AK64" i="20"/>
  <c r="AH65" i="20" a="1"/>
  <c r="AH65" i="20" s="1"/>
  <c r="AH67" i="20" a="1"/>
  <c r="AH67" i="20" s="1"/>
  <c r="AH68" i="20" a="1"/>
  <c r="AH68" i="20" s="1"/>
  <c r="AH69" i="20" a="1"/>
  <c r="AH69" i="20" s="1"/>
  <c r="AH70" i="20" a="1"/>
  <c r="AH70" i="20" s="1"/>
  <c r="AK63" i="20"/>
  <c r="AK57" i="20"/>
  <c r="AK51" i="20"/>
  <c r="AK47" i="20"/>
  <c r="AH48" i="20" a="1"/>
  <c r="AH48" i="20" s="1"/>
  <c r="AH49" i="20" a="1"/>
  <c r="AH49" i="20" s="1"/>
  <c r="AH50" i="20" a="1"/>
  <c r="AH50" i="20" s="1"/>
  <c r="AK46" i="20"/>
  <c r="AK42" i="20"/>
  <c r="AK40" i="20"/>
  <c r="AH41" i="20" a="1"/>
  <c r="AH41" i="20" s="1"/>
  <c r="AH43" i="20" a="1"/>
  <c r="AH43" i="20" s="1"/>
  <c r="AH44" i="20" a="1"/>
  <c r="AH44" i="20" s="1"/>
  <c r="AH45" i="20" a="1"/>
  <c r="AH45" i="20" s="1"/>
  <c r="AK39" i="20"/>
  <c r="AK36" i="20"/>
  <c r="AK34" i="20"/>
  <c r="AK31" i="20"/>
  <c r="AH32" i="20" a="1"/>
  <c r="AH32" i="20" s="1"/>
  <c r="AH33" i="20" a="1"/>
  <c r="AH33" i="20" s="1"/>
  <c r="AH35" i="20" a="1"/>
  <c r="AH35" i="20" s="1"/>
  <c r="AH37" i="20" a="1"/>
  <c r="AH37" i="20" s="1"/>
  <c r="AH38" i="20" a="1"/>
  <c r="AH38" i="20" s="1"/>
  <c r="L109" i="10"/>
  <c r="K111" i="10"/>
  <c r="K107" i="10"/>
  <c r="L110" i="10"/>
  <c r="K115" i="10"/>
  <c r="L115" i="10" s="1"/>
  <c r="L113" i="10"/>
  <c r="L112" i="10"/>
  <c r="N112" i="10" s="1"/>
  <c r="M77" i="10"/>
  <c r="M108" i="10"/>
  <c r="AK42" i="4"/>
  <c r="R79" i="11" s="1" a="1"/>
  <c r="R79" i="11" s="1"/>
  <c r="AV42" i="4"/>
  <c r="AS114" i="8"/>
  <c r="AS104" i="8"/>
  <c r="AS94" i="8"/>
  <c r="AP89" i="8" a="1"/>
  <c r="AP89" i="8" s="1"/>
  <c r="AE94" i="4" s="1"/>
  <c r="H94" i="13" s="1" a="1"/>
  <c r="H94" i="13" s="1"/>
  <c r="BC34" i="8"/>
  <c r="BC23" i="8"/>
  <c r="BC31" i="8"/>
  <c r="BC55" i="8"/>
  <c r="BC88" i="8"/>
  <c r="BC36" i="8"/>
  <c r="BB38" i="8"/>
  <c r="BB105" i="8"/>
  <c r="BB81" i="8"/>
  <c r="BB106" i="8"/>
  <c r="BB35" i="8"/>
  <c r="BB76" i="8"/>
  <c r="BC103" i="8"/>
  <c r="BB86" i="8"/>
  <c r="BB115" i="8"/>
  <c r="BB70" i="8"/>
  <c r="BC62" i="8"/>
  <c r="BB95" i="8"/>
  <c r="BB96" i="8"/>
  <c r="BB90" i="8"/>
  <c r="BC113" i="8"/>
  <c r="BB101" i="8"/>
  <c r="BC24" i="8"/>
  <c r="BC93" i="8"/>
  <c r="BB85" i="8"/>
  <c r="BB44" i="8"/>
  <c r="BB32" i="8"/>
  <c r="BB79" i="8"/>
  <c r="BC21" i="8"/>
  <c r="BC98" i="8"/>
  <c r="BC72" i="8"/>
  <c r="BD20" i="8"/>
  <c r="BC83" i="8"/>
  <c r="BC47" i="8"/>
  <c r="BB37" i="8"/>
  <c r="BB49" i="8"/>
  <c r="BB110" i="8"/>
  <c r="Z100" i="11"/>
  <c r="Q100" i="11"/>
  <c r="R100" i="11" s="1"/>
  <c r="S100" i="11" s="1"/>
  <c r="T100" i="11" s="1"/>
  <c r="Z102" i="11"/>
  <c r="Q102" i="11"/>
  <c r="R102" i="11" s="1"/>
  <c r="Z99" i="11"/>
  <c r="Q99" i="11"/>
  <c r="R99" i="11" s="1"/>
  <c r="AL43" i="10"/>
  <c r="J63" i="4"/>
  <c r="F100" i="11"/>
  <c r="G100" i="11" s="1"/>
  <c r="H100" i="11" s="1"/>
  <c r="I100" i="11" s="1"/>
  <c r="AE100" i="11"/>
  <c r="AE101" i="11" s="1"/>
  <c r="AL44" i="10"/>
  <c r="F96" i="11"/>
  <c r="G96" i="11" s="1"/>
  <c r="H96" i="11" s="1"/>
  <c r="I96" i="11" s="1"/>
  <c r="AE96" i="11"/>
  <c r="AM42" i="3"/>
  <c r="Y97" i="11"/>
  <c r="P97" i="11" s="1"/>
  <c r="X96" i="11"/>
  <c r="Y96" i="11" s="1"/>
  <c r="P96" i="11" s="1"/>
  <c r="D44" i="11"/>
  <c r="BC54" i="8"/>
  <c r="BC78" i="8"/>
  <c r="BC59" i="8"/>
  <c r="BB74" i="8"/>
  <c r="BB41" i="8"/>
  <c r="BC66" i="8"/>
  <c r="BC61" i="8"/>
  <c r="BC60" i="8"/>
  <c r="BB100" i="8"/>
  <c r="BC64" i="8"/>
  <c r="BB91" i="8"/>
  <c r="BB65" i="8"/>
  <c r="BB111" i="8"/>
  <c r="BB84" i="8"/>
  <c r="BB45" i="8"/>
  <c r="BC40" i="8"/>
  <c r="BC108" i="8"/>
  <c r="BC73" i="8"/>
  <c r="BC56" i="8"/>
  <c r="BB67" i="8"/>
  <c r="G88" i="9"/>
  <c r="AE115" i="4"/>
  <c r="H45" i="13" s="1" a="1"/>
  <c r="H45" i="13" s="1"/>
  <c r="AE114" i="4"/>
  <c r="H47" i="13" s="1" a="1"/>
  <c r="H47" i="13" s="1"/>
  <c r="AQ115" i="4"/>
  <c r="U45" i="13" s="1" a="1"/>
  <c r="U45" i="13" s="1"/>
  <c r="AQ114" i="4"/>
  <c r="U47" i="13" s="1" a="1"/>
  <c r="U47" i="13" s="1"/>
  <c r="AS28" i="8"/>
  <c r="AE71" i="4"/>
  <c r="H33" i="13" s="1" a="1"/>
  <c r="H33" i="13" s="1"/>
  <c r="AI122" i="8"/>
  <c r="AQ69" i="4"/>
  <c r="U31" i="13" s="1" a="1"/>
  <c r="U31" i="13" s="1"/>
  <c r="AS29" i="8"/>
  <c r="AE70" i="4"/>
  <c r="H32" i="13" s="1" a="1"/>
  <c r="H32" i="13" s="1"/>
  <c r="BD39" i="8"/>
  <c r="BC48" i="8"/>
  <c r="BD77" i="8"/>
  <c r="BD25" i="8"/>
  <c r="BD103" i="8"/>
  <c r="BD102" i="8"/>
  <c r="BD92" i="8"/>
  <c r="BD97" i="8"/>
  <c r="BD26" i="8"/>
  <c r="BD87" i="8"/>
  <c r="BD66" i="8"/>
  <c r="BC107" i="8"/>
  <c r="BD71" i="8"/>
  <c r="BD62" i="8"/>
  <c r="BC84" i="8"/>
  <c r="BD59" i="8"/>
  <c r="BC70" i="8"/>
  <c r="BD64" i="8"/>
  <c r="BD42" i="8"/>
  <c r="BC50" i="8"/>
  <c r="BC67" i="8"/>
  <c r="BD58" i="8"/>
  <c r="BC101" i="8"/>
  <c r="BD63" i="8"/>
  <c r="BD112" i="8"/>
  <c r="BD82" i="8"/>
  <c r="BD51" i="8"/>
  <c r="BD57" i="8"/>
  <c r="BC69" i="8"/>
  <c r="BD23" i="8"/>
  <c r="BD46" i="8"/>
  <c r="BC75" i="8"/>
  <c r="AP45" i="8" a="1"/>
  <c r="AP45" i="8" s="1"/>
  <c r="AE117" i="4" s="1"/>
  <c r="H48" i="13" s="1" a="1"/>
  <c r="H48" i="13" s="1"/>
  <c r="AS39" i="8"/>
  <c r="AP44" i="8" a="1"/>
  <c r="AP44" i="8" s="1"/>
  <c r="AE118" i="4" s="1"/>
  <c r="H49" i="13" s="1" a="1"/>
  <c r="H49" i="13" s="1"/>
  <c r="AP48" i="8" a="1"/>
  <c r="AP48" i="8" s="1"/>
  <c r="AS36" i="8"/>
  <c r="AP95" i="8" a="1"/>
  <c r="AP95" i="8" s="1"/>
  <c r="AE103" i="4" s="1"/>
  <c r="H103" i="13" s="1" a="1"/>
  <c r="H103" i="13" s="1"/>
  <c r="AP74" i="8" a="1"/>
  <c r="AP74" i="8" s="1"/>
  <c r="AE91" i="4" s="1"/>
  <c r="H91" i="13" s="1" a="1"/>
  <c r="H91" i="13" s="1"/>
  <c r="AP43" i="8" a="1"/>
  <c r="AP43" i="8" s="1"/>
  <c r="AE120" i="4" s="1"/>
  <c r="H51" i="13" s="1" a="1"/>
  <c r="H51" i="13" s="1"/>
  <c r="AS21" i="8"/>
  <c r="AS77" i="8"/>
  <c r="AS25" i="8"/>
  <c r="AS103" i="8"/>
  <c r="AP65" i="8" a="1"/>
  <c r="AP65" i="8" s="1"/>
  <c r="AE111" i="4" s="1"/>
  <c r="H68" i="13" s="1" a="1"/>
  <c r="H68" i="13" s="1"/>
  <c r="AS61" i="8"/>
  <c r="AS34" i="8"/>
  <c r="AS102" i="8"/>
  <c r="AP106" i="8" a="1"/>
  <c r="AP106" i="8" s="1"/>
  <c r="AE88" i="4" s="1"/>
  <c r="H88" i="13" s="1" a="1"/>
  <c r="H88" i="13" s="1"/>
  <c r="AS92" i="8"/>
  <c r="AS97" i="8"/>
  <c r="AP81" i="8" a="1"/>
  <c r="AP81" i="8" s="1"/>
  <c r="AE83" i="4" s="1"/>
  <c r="H83" i="13" s="1" a="1"/>
  <c r="H83" i="13" s="1"/>
  <c r="AS60" i="8"/>
  <c r="AS26" i="8"/>
  <c r="AS87" i="8"/>
  <c r="M78" i="3"/>
  <c r="AS66" i="8"/>
  <c r="AS56" i="8"/>
  <c r="AP107" i="8" a="1"/>
  <c r="AP107" i="8" s="1"/>
  <c r="AS71" i="8"/>
  <c r="AP80" i="8" a="1"/>
  <c r="AP80" i="8" s="1"/>
  <c r="AE100" i="4" s="1"/>
  <c r="H100" i="13" s="1" a="1"/>
  <c r="H100" i="13" s="1"/>
  <c r="AP100" i="8" a="1"/>
  <c r="AP100" i="8" s="1"/>
  <c r="AE104" i="4" s="1"/>
  <c r="H104" i="13" s="1" a="1"/>
  <c r="H104" i="13" s="1"/>
  <c r="AS72" i="8"/>
  <c r="AP37" i="8" a="1"/>
  <c r="AP37" i="8" s="1"/>
  <c r="AE126" i="4" s="1"/>
  <c r="H23" i="13" s="1" a="1"/>
  <c r="H23" i="13" s="1"/>
  <c r="AS62" i="8"/>
  <c r="AS55" i="8"/>
  <c r="AP86" i="8" a="1"/>
  <c r="AP86" i="8" s="1"/>
  <c r="AE84" i="4" s="1"/>
  <c r="H84" i="13" s="1" a="1"/>
  <c r="H84" i="13" s="1"/>
  <c r="AS54" i="8"/>
  <c r="AP32" i="8" a="1"/>
  <c r="AP32" i="8" s="1"/>
  <c r="AE123" i="4" s="1"/>
  <c r="H21" i="13" s="1" a="1"/>
  <c r="H21" i="13" s="1"/>
  <c r="AP68" i="8" a="1"/>
  <c r="AP68" i="8" s="1"/>
  <c r="AE113" i="4" s="1"/>
  <c r="H70" i="13" s="1" a="1"/>
  <c r="H70" i="13" s="1"/>
  <c r="AP84" i="8" a="1"/>
  <c r="AP84" i="8" s="1"/>
  <c r="AE93" i="4" s="1"/>
  <c r="H93" i="13" s="1" a="1"/>
  <c r="H93" i="13" s="1"/>
  <c r="AS59" i="8"/>
  <c r="AP38" i="8" a="1"/>
  <c r="AP38" i="8" s="1"/>
  <c r="AE125" i="4" s="1"/>
  <c r="H22" i="13" s="1" a="1"/>
  <c r="H22" i="13" s="1"/>
  <c r="AP70" i="8" a="1"/>
  <c r="AP70" i="8" s="1"/>
  <c r="AE112" i="4" s="1"/>
  <c r="H69" i="13" s="1" a="1"/>
  <c r="H69" i="13" s="1"/>
  <c r="AS64" i="8"/>
  <c r="AS42" i="8"/>
  <c r="AP50" i="8" a="1"/>
  <c r="AP50" i="8" s="1"/>
  <c r="AS40" i="8"/>
  <c r="AP90" i="8" a="1"/>
  <c r="AP90" i="8" s="1"/>
  <c r="AE102" i="4" s="1"/>
  <c r="H102" i="13" s="1" a="1"/>
  <c r="H102" i="13" s="1"/>
  <c r="AP33" i="8" a="1"/>
  <c r="AP33" i="8" s="1"/>
  <c r="AE127" i="4" s="1"/>
  <c r="H24" i="13" s="1" a="1"/>
  <c r="H24" i="13" s="1"/>
  <c r="AS24" i="8"/>
  <c r="AP116" i="8" a="1"/>
  <c r="AP116" i="8" s="1"/>
  <c r="AE90" i="4" s="1"/>
  <c r="H90" i="13" s="1" a="1"/>
  <c r="H90" i="13" s="1"/>
  <c r="AS98" i="8"/>
  <c r="AP76" i="8" a="1"/>
  <c r="AP76" i="8" s="1"/>
  <c r="AE82" i="4" s="1"/>
  <c r="H82" i="13" s="1" a="1"/>
  <c r="H82" i="13" s="1"/>
  <c r="AS73" i="8"/>
  <c r="AP41" i="8" a="1"/>
  <c r="AP41" i="8" s="1"/>
  <c r="AE119" i="4" s="1"/>
  <c r="H50" i="13" s="1" a="1"/>
  <c r="H50" i="13" s="1"/>
  <c r="AP67" i="8" a="1"/>
  <c r="AP67" i="8" s="1"/>
  <c r="AE109" i="4" s="1"/>
  <c r="H66" i="13" s="1" a="1"/>
  <c r="H66" i="13" s="1"/>
  <c r="AS53" i="8"/>
  <c r="AP85" i="8" a="1"/>
  <c r="AP85" i="8" s="1"/>
  <c r="AE101" i="4" s="1"/>
  <c r="H101" i="13" s="1" a="1"/>
  <c r="H101" i="13" s="1"/>
  <c r="AP110" i="8" a="1"/>
  <c r="AP110" i="8" s="1"/>
  <c r="AE106" i="4" s="1"/>
  <c r="H106" i="13" s="1" a="1"/>
  <c r="H106" i="13" s="1"/>
  <c r="AE131" i="4"/>
  <c r="H53" i="13" s="1" a="1"/>
  <c r="H53" i="13" s="1"/>
  <c r="AS58" i="8"/>
  <c r="AP101" i="8" a="1"/>
  <c r="AP101" i="8" s="1"/>
  <c r="AE87" i="4" s="1"/>
  <c r="H87" i="13" s="1" a="1"/>
  <c r="H87" i="13" s="1"/>
  <c r="AS113" i="8"/>
  <c r="AS93" i="8"/>
  <c r="AP96" i="8" a="1"/>
  <c r="AP96" i="8" s="1"/>
  <c r="AE86" i="4" s="1"/>
  <c r="H86" i="13" s="1" a="1"/>
  <c r="H86" i="13" s="1"/>
  <c r="AS63" i="8"/>
  <c r="AS31" i="8"/>
  <c r="AS88" i="8"/>
  <c r="AP49" i="8" a="1"/>
  <c r="AP49" i="8" s="1"/>
  <c r="AE130" i="4" s="1"/>
  <c r="H37" i="13" s="1" a="1"/>
  <c r="H37" i="13" s="1"/>
  <c r="AS112" i="8"/>
  <c r="AS82" i="8"/>
  <c r="AS83" i="8"/>
  <c r="AS108" i="8"/>
  <c r="AP105" i="8" a="1"/>
  <c r="AP105" i="8" s="1"/>
  <c r="AE105" i="4" s="1"/>
  <c r="H105" i="13" s="1" a="1"/>
  <c r="H105" i="13" s="1"/>
  <c r="AP111" i="8" a="1"/>
  <c r="AP111" i="8" s="1"/>
  <c r="AE89" i="4" s="1"/>
  <c r="H89" i="13" s="1" a="1"/>
  <c r="H89" i="13" s="1"/>
  <c r="AS51" i="8"/>
  <c r="AP91" i="8" a="1"/>
  <c r="AP91" i="8" s="1"/>
  <c r="AE85" i="4" s="1"/>
  <c r="H85" i="13" s="1" a="1"/>
  <c r="H85" i="13" s="1"/>
  <c r="AS57" i="8"/>
  <c r="AP115" i="8" a="1"/>
  <c r="AP115" i="8" s="1"/>
  <c r="AE107" i="4" s="1"/>
  <c r="H107" i="13" s="1" a="1"/>
  <c r="H107" i="13" s="1"/>
  <c r="AP69" i="8" a="1"/>
  <c r="AP69" i="8" s="1"/>
  <c r="AS47" i="8"/>
  <c r="AP79" i="8" a="1"/>
  <c r="AP79" i="8" s="1"/>
  <c r="AE92" i="4" s="1"/>
  <c r="H92" i="13" s="1" a="1"/>
  <c r="H92" i="13" s="1"/>
  <c r="AS23" i="8"/>
  <c r="AS46" i="8"/>
  <c r="AS78" i="8"/>
  <c r="AP35" i="8" a="1"/>
  <c r="AP35" i="8" s="1"/>
  <c r="AE121" i="4" s="1"/>
  <c r="H20" i="13" s="1" a="1"/>
  <c r="H20" i="13" s="1"/>
  <c r="AP75" i="8" a="1"/>
  <c r="AP75" i="8" s="1"/>
  <c r="AV92" i="7"/>
  <c r="AV88" i="7"/>
  <c r="AV81" i="7"/>
  <c r="AV65" i="7"/>
  <c r="AV71" i="7"/>
  <c r="AV102" i="7"/>
  <c r="AV84" i="7"/>
  <c r="AV94" i="7"/>
  <c r="AV79" i="7"/>
  <c r="AV70" i="7"/>
  <c r="AV64" i="7"/>
  <c r="AV91" i="7"/>
  <c r="AV105" i="7"/>
  <c r="AV82" i="7"/>
  <c r="AV104" i="7"/>
  <c r="AV89" i="7"/>
  <c r="AV93" i="7"/>
  <c r="AV83" i="7"/>
  <c r="AV103" i="7"/>
  <c r="AV75" i="7"/>
  <c r="AV95" i="7"/>
  <c r="AV85" i="7"/>
  <c r="AV100" i="7"/>
  <c r="AV74" i="7"/>
  <c r="AV98" i="7"/>
  <c r="AV80" i="7"/>
  <c r="AV72" i="7"/>
  <c r="AV106" i="7"/>
  <c r="AV73" i="7"/>
  <c r="AV67" i="7"/>
  <c r="AV107" i="7"/>
  <c r="AV97" i="7"/>
  <c r="AV101" i="7"/>
  <c r="AV109" i="7"/>
  <c r="AV68" i="7"/>
  <c r="AV96" i="7"/>
  <c r="AV87" i="7"/>
  <c r="AV99" i="7"/>
  <c r="AV77" i="7"/>
  <c r="AV110" i="7"/>
  <c r="AV86" i="7"/>
  <c r="AV66" i="7"/>
  <c r="AV108" i="7"/>
  <c r="AV69" i="7"/>
  <c r="AV90" i="7"/>
  <c r="AV76" i="7"/>
  <c r="AV78" i="7"/>
  <c r="X118" i="4"/>
  <c r="K115" i="3"/>
  <c r="L115" i="3" s="1"/>
  <c r="L112" i="3"/>
  <c r="N112" i="3" s="1"/>
  <c r="L113" i="3"/>
  <c r="AB137" i="4"/>
  <c r="E61" i="13" s="1" a="1"/>
  <c r="E61" i="13" s="1"/>
  <c r="AC136" i="4"/>
  <c r="P119" i="4"/>
  <c r="L119" i="4"/>
  <c r="Q119" i="4" s="1"/>
  <c r="AD42" i="4"/>
  <c r="M77" i="3"/>
  <c r="P61" i="4"/>
  <c r="L61" i="4"/>
  <c r="Q61" i="4" s="1"/>
  <c r="I118" i="3"/>
  <c r="P128" i="4"/>
  <c r="L128" i="4"/>
  <c r="Q128" i="4" s="1"/>
  <c r="P120" i="4"/>
  <c r="L120" i="4"/>
  <c r="Q120" i="4" s="1"/>
  <c r="K107" i="3"/>
  <c r="K111" i="3"/>
  <c r="L109" i="3"/>
  <c r="L110" i="3"/>
  <c r="L92" i="4"/>
  <c r="Q92" i="4" s="1"/>
  <c r="Q100" i="4"/>
  <c r="P126" i="4"/>
  <c r="L126" i="4"/>
  <c r="Q126" i="4" s="1"/>
  <c r="P68" i="4"/>
  <c r="L68" i="4"/>
  <c r="Q68" i="4" s="1"/>
  <c r="M108" i="3"/>
  <c r="BD36" i="8" a="1"/>
  <c r="AV88" i="20" a="1"/>
  <c r="AV47" i="20" a="1"/>
  <c r="AV40" i="20" a="1"/>
  <c r="AV36" i="20" a="1"/>
  <c r="BD56" i="8" a="1"/>
  <c r="BD60" i="8" a="1"/>
  <c r="BC86" i="8" a="1"/>
  <c r="BC111" i="8" a="1"/>
  <c r="BD95" i="8" a="1"/>
  <c r="BD108" i="8" a="1"/>
  <c r="BC35" i="8" a="1"/>
  <c r="BC76" i="8" a="1"/>
  <c r="BC81" i="8" a="1"/>
  <c r="BD53" i="8" a="1"/>
  <c r="BD113" i="8" a="1"/>
  <c r="BD47" i="8" a="1"/>
  <c r="BC95" i="8" a="1"/>
  <c r="AV21" i="20" a="1"/>
  <c r="AV56" i="20" a="1"/>
  <c r="AU110" i="20" a="1"/>
  <c r="AU103" i="20" a="1"/>
  <c r="AU98" i="20" a="1"/>
  <c r="AU85" i="20" a="1"/>
  <c r="AU81" i="20" a="1"/>
  <c r="AU76" i="20" a="1"/>
  <c r="AU68" i="20" a="1"/>
  <c r="AU37" i="20" a="1"/>
  <c r="BC68" i="8" a="1"/>
  <c r="BD72" i="8" a="1"/>
  <c r="BD55" i="8" a="1"/>
  <c r="BC115" i="8" a="1"/>
  <c r="BC49" i="8" a="1"/>
  <c r="BC38" i="8" a="1"/>
  <c r="BD48" i="8" a="1"/>
  <c r="BC74" i="8" a="1"/>
  <c r="AV107" i="20" a="1"/>
  <c r="AV95" i="20" a="1"/>
  <c r="AV77" i="20" a="1"/>
  <c r="AV71" i="20" a="1"/>
  <c r="AV34" i="20" a="1"/>
  <c r="BD78" i="8" a="1"/>
  <c r="BC96" i="8" a="1"/>
  <c r="BC85" i="8" a="1"/>
  <c r="BC45" i="8" a="1"/>
  <c r="AV62" i="20" a="1"/>
  <c r="AV55" i="20" a="1"/>
  <c r="AU101" i="20" a="1"/>
  <c r="AU89" i="20" a="1"/>
  <c r="AU86" i="20" a="1"/>
  <c r="AU69" i="20" a="1"/>
  <c r="AU48" i="20" a="1"/>
  <c r="AU41" i="20" a="1"/>
  <c r="AU38" i="20" a="1"/>
  <c r="BD114" i="8" a="1"/>
  <c r="BC105" i="8" a="1"/>
  <c r="BC91" i="8" a="1"/>
  <c r="BC116" i="8" a="1"/>
  <c r="BC90" i="8" a="1"/>
  <c r="AV104" i="20" a="1"/>
  <c r="AV92" i="20" a="1"/>
  <c r="AV82" i="20" a="1"/>
  <c r="AV73" i="20" a="1"/>
  <c r="AV66" i="20" a="1"/>
  <c r="AV31" i="20" a="1"/>
  <c r="AV23" i="20" a="1"/>
  <c r="AU109" i="20" a="1"/>
  <c r="AU75" i="20" a="1"/>
  <c r="AU35" i="20" a="1"/>
  <c r="AV26" i="20" a="1"/>
  <c r="AV61" i="20" a="1"/>
  <c r="AV54" i="20" a="1"/>
  <c r="AU102" i="20" a="1"/>
  <c r="AU90" i="20" a="1"/>
  <c r="AU70" i="20" a="1"/>
  <c r="AU49" i="20" a="1"/>
  <c r="AU43" i="20" a="1"/>
  <c r="BC109" i="8" a="1"/>
  <c r="BC37" i="8" a="1"/>
  <c r="BD54" i="8" a="1"/>
  <c r="BC100" i="8" a="1"/>
  <c r="BC33" i="8" a="1"/>
  <c r="BC32" i="8" a="1"/>
  <c r="BC43" i="8" a="1"/>
  <c r="BD83" i="8" a="1"/>
  <c r="BC80" i="8" a="1"/>
  <c r="BD24" i="8" a="1"/>
  <c r="BD110" i="8" a="1"/>
  <c r="BD61" i="8" a="1"/>
  <c r="BD34" i="8" a="1"/>
  <c r="BC44" i="8" a="1"/>
  <c r="AU84" i="20" a="1"/>
  <c r="AU67" i="20" a="1"/>
  <c r="BC89" i="8" a="1"/>
  <c r="BD107" i="8" a="1"/>
  <c r="AV99" i="20" a="1"/>
  <c r="AV87" i="20" a="1"/>
  <c r="AV78" i="20" a="1"/>
  <c r="AV72" i="20" a="1"/>
  <c r="AV64" i="20" a="1"/>
  <c r="AV63" i="20" a="1"/>
  <c r="BD104" i="8" a="1"/>
  <c r="BC79" i="8" a="1"/>
  <c r="AV25" i="20" a="1"/>
  <c r="AV60" i="20" a="1"/>
  <c r="AV53" i="20" a="1"/>
  <c r="AU105" i="20" a="1"/>
  <c r="AU93" i="20" a="1"/>
  <c r="AU50" i="20" a="1"/>
  <c r="AU44" i="20" a="1"/>
  <c r="AU32" i="20" a="1"/>
  <c r="BD73" i="8" a="1"/>
  <c r="BD31" i="8" a="1"/>
  <c r="BD88" i="8" a="1"/>
  <c r="AV58" i="20" a="1"/>
  <c r="AU97" i="20" a="1"/>
  <c r="AU80" i="20" a="1"/>
  <c r="AV108" i="20" a="1"/>
  <c r="AV96" i="20" a="1"/>
  <c r="AV83" i="20" a="1"/>
  <c r="AV57" i="20" a="1"/>
  <c r="AV46" i="20" a="1"/>
  <c r="BC99" i="8" a="1"/>
  <c r="BC110" i="8" a="1"/>
  <c r="AV24" i="20" a="1"/>
  <c r="AV59" i="20" a="1"/>
  <c r="AU106" i="20" a="1"/>
  <c r="AU94" i="20" a="1"/>
  <c r="AU79" i="20" a="1"/>
  <c r="AU74" i="20" a="1"/>
  <c r="AU65" i="20" a="1"/>
  <c r="AU45" i="20" a="1"/>
  <c r="AU33" i="20" a="1"/>
  <c r="BD94" i="8" a="1"/>
  <c r="BD98" i="8" a="1"/>
  <c r="BC106" i="8" a="1"/>
  <c r="BD40" i="8" a="1"/>
  <c r="BC41" i="8" a="1"/>
  <c r="BD93" i="8" a="1"/>
  <c r="AV100" i="20" a="1"/>
  <c r="AV91" i="20" a="1"/>
  <c r="AV51" i="20" a="1"/>
  <c r="AV42" i="20" a="1"/>
  <c r="AV39" i="20" a="1"/>
  <c r="BC65" i="8" a="1"/>
  <c r="BD21" i="8" a="1"/>
  <c r="BD50" i="8" a="1"/>
  <c r="BD69" i="8" a="1"/>
  <c r="BD75" i="8" a="1"/>
  <c r="AV39" i="20" l="1"/>
  <c r="AV42" i="20"/>
  <c r="AV51" i="20"/>
  <c r="AV91" i="20"/>
  <c r="AV100" i="20"/>
  <c r="BD94" i="8"/>
  <c r="AU33" i="20"/>
  <c r="AU45" i="20"/>
  <c r="AU65" i="20"/>
  <c r="AU74" i="20"/>
  <c r="AU79" i="20"/>
  <c r="AU94" i="20"/>
  <c r="AU106" i="20"/>
  <c r="AV59" i="20"/>
  <c r="AV24" i="20"/>
  <c r="BC99" i="8"/>
  <c r="AV46" i="20"/>
  <c r="AV57" i="20"/>
  <c r="AV83" i="20"/>
  <c r="AV96" i="20"/>
  <c r="AV108" i="20"/>
  <c r="AU80" i="20"/>
  <c r="AU97" i="20"/>
  <c r="AV58" i="20"/>
  <c r="AU32" i="20"/>
  <c r="AU44" i="20"/>
  <c r="AU50" i="20"/>
  <c r="AU93" i="20"/>
  <c r="AU105" i="20"/>
  <c r="AV53" i="20"/>
  <c r="AV60" i="20"/>
  <c r="AV25" i="20"/>
  <c r="BD104" i="8"/>
  <c r="AV63" i="20"/>
  <c r="AV64" i="20"/>
  <c r="AV72" i="20"/>
  <c r="AV78" i="20"/>
  <c r="AV87" i="20"/>
  <c r="AV99" i="20"/>
  <c r="BC89" i="8"/>
  <c r="AU67" i="20"/>
  <c r="AU84" i="20"/>
  <c r="BC44" i="8"/>
  <c r="BC109" i="8"/>
  <c r="AU43" i="20"/>
  <c r="AU49" i="20"/>
  <c r="AU70" i="20"/>
  <c r="AU90" i="20"/>
  <c r="AU102" i="20"/>
  <c r="AV54" i="20"/>
  <c r="AV61" i="20"/>
  <c r="AV26" i="20"/>
  <c r="AU35" i="20"/>
  <c r="AU75" i="20"/>
  <c r="AU109" i="20"/>
  <c r="AV23" i="20"/>
  <c r="AV31" i="20"/>
  <c r="AV66" i="20"/>
  <c r="AV73" i="20"/>
  <c r="AV82" i="20"/>
  <c r="AV92" i="20"/>
  <c r="AV104" i="20"/>
  <c r="BD114" i="8"/>
  <c r="AU38" i="20"/>
  <c r="AU41" i="20"/>
  <c r="AU48" i="20"/>
  <c r="AU69" i="20"/>
  <c r="AU86" i="20"/>
  <c r="AU89" i="20"/>
  <c r="AU101" i="20"/>
  <c r="AV55" i="20"/>
  <c r="AV62" i="20"/>
  <c r="BC45" i="8"/>
  <c r="AV34" i="20"/>
  <c r="AV71" i="20"/>
  <c r="AV77" i="20"/>
  <c r="AV95" i="20"/>
  <c r="AV107" i="20"/>
  <c r="BC74" i="8"/>
  <c r="AU37" i="20"/>
  <c r="AU68" i="20"/>
  <c r="AU76" i="20"/>
  <c r="AU81" i="20"/>
  <c r="AU85" i="20"/>
  <c r="AU98" i="20"/>
  <c r="AU103" i="20"/>
  <c r="AU110" i="20"/>
  <c r="AV56" i="20"/>
  <c r="AV21" i="20"/>
  <c r="BC95" i="8"/>
  <c r="AV36" i="20"/>
  <c r="AV40" i="20"/>
  <c r="AV47" i="20"/>
  <c r="AV88" i="20"/>
  <c r="BD36" i="8"/>
  <c r="AW42" i="4"/>
  <c r="AM42" i="4" s="1"/>
  <c r="T79" i="11" s="1" a="1"/>
  <c r="T79" i="11" s="1"/>
  <c r="AL42" i="4"/>
  <c r="S79" i="11" s="1" a="1"/>
  <c r="S79" i="11" s="1"/>
  <c r="M113" i="10"/>
  <c r="N108" i="10"/>
  <c r="K117" i="10"/>
  <c r="L117" i="10" s="1"/>
  <c r="N117" i="10" s="1"/>
  <c r="L111" i="10"/>
  <c r="AK38" i="20"/>
  <c r="AK37" i="20"/>
  <c r="AK35" i="20"/>
  <c r="AK33" i="20"/>
  <c r="AK32" i="20"/>
  <c r="AK45" i="20"/>
  <c r="AK44" i="20"/>
  <c r="AK43" i="20"/>
  <c r="AK41" i="20"/>
  <c r="AK50" i="20"/>
  <c r="AK49" i="20"/>
  <c r="AK48" i="20"/>
  <c r="AK70" i="20"/>
  <c r="AK69" i="20"/>
  <c r="AK68" i="20"/>
  <c r="AK67" i="20"/>
  <c r="AK65" i="20"/>
  <c r="AK76" i="20"/>
  <c r="AK75" i="20"/>
  <c r="AK74" i="20"/>
  <c r="AK81" i="20"/>
  <c r="AK80" i="20"/>
  <c r="AK79" i="20"/>
  <c r="AK86" i="20"/>
  <c r="AK85" i="20"/>
  <c r="AK84" i="20"/>
  <c r="AK90" i="20"/>
  <c r="AK89" i="20"/>
  <c r="AK94" i="20"/>
  <c r="AK93" i="20"/>
  <c r="AK98" i="20"/>
  <c r="AK97" i="20"/>
  <c r="AK102" i="20"/>
  <c r="AK101" i="20"/>
  <c r="AK103" i="20"/>
  <c r="AK106" i="20"/>
  <c r="AK105" i="20"/>
  <c r="AK110" i="20"/>
  <c r="AK109" i="20"/>
  <c r="AS109" i="8"/>
  <c r="AS99" i="8"/>
  <c r="AS89" i="8"/>
  <c r="BD40" i="8"/>
  <c r="BC90" i="8"/>
  <c r="BD78" i="8"/>
  <c r="BC38" i="8"/>
  <c r="BD54" i="8"/>
  <c r="BC33" i="8"/>
  <c r="BD47" i="8"/>
  <c r="BD88" i="8"/>
  <c r="BD83" i="8"/>
  <c r="BC111" i="8"/>
  <c r="BC91" i="8"/>
  <c r="BC105" i="8"/>
  <c r="BC115" i="8"/>
  <c r="BD108" i="8"/>
  <c r="BC35" i="8"/>
  <c r="BC79" i="8"/>
  <c r="BC32" i="8"/>
  <c r="BD55" i="8"/>
  <c r="BC80" i="8"/>
  <c r="BD113" i="8"/>
  <c r="BC110" i="8"/>
  <c r="BD93" i="8"/>
  <c r="BC96" i="8"/>
  <c r="BC43" i="8"/>
  <c r="BD53" i="8"/>
  <c r="BC116" i="8"/>
  <c r="BC85" i="8"/>
  <c r="BC68" i="8"/>
  <c r="BC86" i="8"/>
  <c r="BC100" i="8"/>
  <c r="Z97" i="11"/>
  <c r="Q97" i="11"/>
  <c r="R97" i="11" s="1"/>
  <c r="S97" i="11" s="1"/>
  <c r="T97" i="11" s="1"/>
  <c r="Z96" i="11"/>
  <c r="Q96" i="11"/>
  <c r="O63" i="4"/>
  <c r="K63" i="4"/>
  <c r="E111" i="13"/>
  <c r="E115" i="13"/>
  <c r="E113" i="13"/>
  <c r="AM44" i="10"/>
  <c r="D52" i="11"/>
  <c r="D55" i="11"/>
  <c r="X112" i="11"/>
  <c r="AE97" i="11"/>
  <c r="AE98" i="11" s="1"/>
  <c r="F97" i="11"/>
  <c r="G97" i="11" s="1"/>
  <c r="H97" i="11" s="1"/>
  <c r="I97" i="11" s="1"/>
  <c r="AM42" i="10"/>
  <c r="AM43" i="10"/>
  <c r="BD31" i="8"/>
  <c r="BD24" i="8"/>
  <c r="BC41" i="8"/>
  <c r="BD98" i="8"/>
  <c r="BD73" i="8"/>
  <c r="BC76" i="8"/>
  <c r="BC49" i="8"/>
  <c r="BC106" i="8"/>
  <c r="BC37" i="8"/>
  <c r="BD72" i="8"/>
  <c r="BD56" i="8"/>
  <c r="BD61" i="8"/>
  <c r="BC65" i="8"/>
  <c r="BD21" i="8"/>
  <c r="BD34" i="8"/>
  <c r="BC81" i="8"/>
  <c r="BD60" i="8"/>
  <c r="BD75" i="8"/>
  <c r="BD50" i="8"/>
  <c r="BD110" i="8"/>
  <c r="BD69" i="8"/>
  <c r="BD95" i="8"/>
  <c r="BD48" i="8"/>
  <c r="BD107" i="8"/>
  <c r="AS84" i="8"/>
  <c r="AS75" i="8"/>
  <c r="AS33" i="8"/>
  <c r="AS86" i="8"/>
  <c r="AS50" i="8"/>
  <c r="AS79" i="8"/>
  <c r="AS85" i="8"/>
  <c r="AS49" i="8"/>
  <c r="AS37" i="8"/>
  <c r="AS81" i="8"/>
  <c r="AS43" i="8"/>
  <c r="AS110" i="8"/>
  <c r="AS69" i="8"/>
  <c r="AS67" i="8"/>
  <c r="AS74" i="8"/>
  <c r="AS90" i="8"/>
  <c r="AS115" i="8"/>
  <c r="AS41" i="8"/>
  <c r="AS70" i="8"/>
  <c r="AS100" i="8"/>
  <c r="AS95" i="8"/>
  <c r="AS38" i="8"/>
  <c r="AS80" i="8"/>
  <c r="AS106" i="8"/>
  <c r="AS76" i="8"/>
  <c r="AS48" i="8"/>
  <c r="AS91" i="8"/>
  <c r="AS44" i="8"/>
  <c r="AS96" i="8"/>
  <c r="AS111" i="8"/>
  <c r="AS68" i="8"/>
  <c r="AS107" i="8"/>
  <c r="AS116" i="8"/>
  <c r="AS35" i="8"/>
  <c r="AS105" i="8"/>
  <c r="AS101" i="8"/>
  <c r="AS32" i="8"/>
  <c r="AS65" i="8"/>
  <c r="AS45" i="8"/>
  <c r="M113" i="3"/>
  <c r="N108" i="3"/>
  <c r="AD136" i="4"/>
  <c r="AC137" i="4"/>
  <c r="F61" i="13" s="1" a="1"/>
  <c r="F61" i="13" s="1"/>
  <c r="L111" i="3"/>
  <c r="K117" i="3"/>
  <c r="L117" i="3" s="1"/>
  <c r="N117" i="3" s="1"/>
  <c r="AE42" i="4"/>
  <c r="I120" i="3"/>
  <c r="L118" i="3"/>
  <c r="N118" i="3" s="1"/>
  <c r="AV33" i="20" a="1"/>
  <c r="AV50" i="20" a="1"/>
  <c r="AV67" i="20" a="1"/>
  <c r="AV80" i="20" a="1"/>
  <c r="AV89" i="20" a="1"/>
  <c r="AV101" i="20" a="1"/>
  <c r="BD44" i="8" a="1"/>
  <c r="BD38" i="8" a="1"/>
  <c r="BD41" i="8" a="1"/>
  <c r="AV79" i="20" a="1"/>
  <c r="BD65" i="8" a="1"/>
  <c r="BD76" i="8" a="1"/>
  <c r="AV32" i="20" a="1"/>
  <c r="AV49" i="20" a="1"/>
  <c r="AV65" i="20" a="1"/>
  <c r="AV103" i="20" a="1"/>
  <c r="BD89" i="8" a="1"/>
  <c r="BD116" i="8" a="1"/>
  <c r="BD96" i="8" a="1"/>
  <c r="AV48" i="20" a="1"/>
  <c r="AV76" i="20" a="1"/>
  <c r="AV86" i="20" a="1"/>
  <c r="AV93" i="20" a="1"/>
  <c r="BD81" i="8" a="1"/>
  <c r="BD106" i="8" a="1"/>
  <c r="BD105" i="8" a="1"/>
  <c r="AV45" i="20" a="1"/>
  <c r="AV106" i="20" a="1"/>
  <c r="BD37" i="8" a="1"/>
  <c r="AV38" i="20" a="1"/>
  <c r="AV44" i="20" a="1"/>
  <c r="AV70" i="20" a="1"/>
  <c r="AV75" i="20" a="1"/>
  <c r="AV85" i="20" a="1"/>
  <c r="AV98" i="20" a="1"/>
  <c r="AV105" i="20" a="1"/>
  <c r="BD101" i="8" a="1"/>
  <c r="BD49" i="8" a="1"/>
  <c r="BD45" i="8" a="1"/>
  <c r="AV109" i="20" a="1"/>
  <c r="BD91" i="8" a="1"/>
  <c r="AV94" i="20" a="1"/>
  <c r="BD74" i="8" a="1"/>
  <c r="BD86" i="8" a="1"/>
  <c r="BD79" i="8" a="1"/>
  <c r="AV68" i="20" a="1"/>
  <c r="AV102" i="20" a="1"/>
  <c r="BD109" i="8" a="1"/>
  <c r="BD115" i="8" a="1"/>
  <c r="BD100" i="8" a="1"/>
  <c r="BD35" i="8" a="1"/>
  <c r="BD99" i="8" a="1"/>
  <c r="BD80" i="8" a="1"/>
  <c r="BD111" i="8" a="1"/>
  <c r="BD70" i="8" a="1"/>
  <c r="AV37" i="20" a="1"/>
  <c r="AV43" i="20" a="1"/>
  <c r="AV69" i="20" a="1"/>
  <c r="AV74" i="20" a="1"/>
  <c r="AV84" i="20" a="1"/>
  <c r="AV97" i="20" a="1"/>
  <c r="AV110" i="20" a="1"/>
  <c r="BD33" i="8" a="1"/>
  <c r="BD32" i="8" a="1"/>
  <c r="BD68" i="8" a="1"/>
  <c r="AV41" i="20" a="1"/>
  <c r="BD84" i="8" a="1"/>
  <c r="BD90" i="8" a="1"/>
  <c r="BD43" i="8" a="1"/>
  <c r="AV35" i="20" a="1"/>
  <c r="AV81" i="20" a="1"/>
  <c r="AV90" i="20" a="1"/>
  <c r="BD67" i="8" a="1"/>
  <c r="BD85" i="8" a="1"/>
  <c r="AV90" i="20" l="1"/>
  <c r="AV81" i="20"/>
  <c r="AV35" i="20"/>
  <c r="AV41" i="20"/>
  <c r="AV110" i="20"/>
  <c r="AV97" i="20"/>
  <c r="AV84" i="20"/>
  <c r="AV74" i="20"/>
  <c r="AV69" i="20"/>
  <c r="AV43" i="20"/>
  <c r="AV37" i="20"/>
  <c r="BD99" i="8"/>
  <c r="BD109" i="8"/>
  <c r="AV102" i="20"/>
  <c r="AV68" i="20"/>
  <c r="AV94" i="20"/>
  <c r="AV109" i="20"/>
  <c r="AV105" i="20"/>
  <c r="AV98" i="20"/>
  <c r="AV85" i="20"/>
  <c r="AV75" i="20"/>
  <c r="AV70" i="20"/>
  <c r="AV44" i="20"/>
  <c r="AV38" i="20"/>
  <c r="AV106" i="20"/>
  <c r="AV45" i="20"/>
  <c r="AV93" i="20"/>
  <c r="AV86" i="20"/>
  <c r="AV76" i="20"/>
  <c r="AV48" i="20"/>
  <c r="BD89" i="8"/>
  <c r="AV103" i="20"/>
  <c r="AV65" i="20"/>
  <c r="AV49" i="20"/>
  <c r="AV32" i="20"/>
  <c r="AV79" i="20"/>
  <c r="AV101" i="20"/>
  <c r="AV89" i="20"/>
  <c r="AV80" i="20"/>
  <c r="AV67" i="20"/>
  <c r="AV50" i="20"/>
  <c r="AV33" i="20"/>
  <c r="BD80" i="8"/>
  <c r="BD74" i="8"/>
  <c r="BD65" i="8"/>
  <c r="BD33" i="8"/>
  <c r="BD100" i="8"/>
  <c r="BD106" i="8"/>
  <c r="BD41" i="8"/>
  <c r="L63" i="4"/>
  <c r="Q63" i="4" s="1"/>
  <c r="P63" i="4"/>
  <c r="J28" i="15"/>
  <c r="AF99" i="11"/>
  <c r="AB99" i="11"/>
  <c r="F115" i="13"/>
  <c r="G115" i="13" s="1"/>
  <c r="H115" i="13" s="1"/>
  <c r="CL115" i="13"/>
  <c r="CM115" i="13"/>
  <c r="Y98" i="11"/>
  <c r="Y104" i="11"/>
  <c r="CL111" i="13"/>
  <c r="F111" i="13"/>
  <c r="G111" i="13" s="1"/>
  <c r="H111" i="13" s="1"/>
  <c r="CM111" i="13"/>
  <c r="B55" i="11"/>
  <c r="D54" i="11"/>
  <c r="AB96" i="11"/>
  <c r="D7" i="11"/>
  <c r="P52" i="11"/>
  <c r="F113" i="13"/>
  <c r="G113" i="13" s="1"/>
  <c r="H113" i="13" s="1"/>
  <c r="CL113" i="13"/>
  <c r="CM113" i="13"/>
  <c r="AF102" i="11"/>
  <c r="AB102" i="11"/>
  <c r="Y101" i="11"/>
  <c r="BD86" i="8"/>
  <c r="BD68" i="8"/>
  <c r="BD111" i="8"/>
  <c r="BD38" i="8"/>
  <c r="BD101" i="8"/>
  <c r="BD67" i="8"/>
  <c r="BD116" i="8"/>
  <c r="BD76" i="8"/>
  <c r="BD90" i="8"/>
  <c r="BD84" i="8"/>
  <c r="BD45" i="8"/>
  <c r="BD70" i="8"/>
  <c r="BD32" i="8"/>
  <c r="BD44" i="8"/>
  <c r="BD105" i="8"/>
  <c r="BD35" i="8"/>
  <c r="BD96" i="8"/>
  <c r="BD91" i="8"/>
  <c r="BD79" i="8"/>
  <c r="BD115" i="8"/>
  <c r="BD85" i="8"/>
  <c r="BD43" i="8"/>
  <c r="BD81" i="8"/>
  <c r="BD37" i="8"/>
  <c r="BD49" i="8"/>
  <c r="AD137" i="4"/>
  <c r="G61" i="13" s="1" a="1"/>
  <c r="G61" i="13" s="1"/>
  <c r="AE136" i="4"/>
  <c r="AE137" i="4" s="1"/>
  <c r="H61" i="13" s="1" a="1"/>
  <c r="H61" i="13" s="1"/>
  <c r="AF96" i="11" l="1"/>
  <c r="Z98" i="11"/>
  <c r="AB98" i="11" s="1"/>
  <c r="AB97" i="11"/>
  <c r="D16" i="11"/>
  <c r="M7" i="11"/>
  <c r="J29" i="15"/>
  <c r="J30" i="15"/>
  <c r="Z109" i="4"/>
  <c r="Z111" i="4"/>
  <c r="AF97" i="11" l="1"/>
  <c r="AF98" i="11" s="1"/>
  <c r="AB100" i="11"/>
  <c r="AF103" i="11"/>
  <c r="AF104" i="11" s="1"/>
  <c r="AB103" i="11"/>
  <c r="Z104" i="11"/>
  <c r="AB104" i="11" s="1"/>
  <c r="AF100" i="11"/>
  <c r="AF101" i="11" s="1"/>
  <c r="Z128" i="4"/>
  <c r="Z125" i="4"/>
  <c r="Z91" i="4"/>
  <c r="Z120" i="4"/>
  <c r="Z132" i="4"/>
  <c r="Z105" i="4"/>
  <c r="Z119" i="4"/>
  <c r="Z134" i="4"/>
  <c r="Z107" i="4"/>
  <c r="Z69" i="4" l="1"/>
  <c r="Z106" i="4"/>
  <c r="Z124" i="4"/>
  <c r="Z113" i="4"/>
  <c r="Z101" i="4"/>
  <c r="Z131" i="4"/>
  <c r="Z104" i="4"/>
  <c r="Z103" i="4"/>
  <c r="Z92" i="4"/>
  <c r="Z63" i="4"/>
  <c r="Z118" i="4"/>
  <c r="Z114" i="4"/>
  <c r="Z115" i="4"/>
  <c r="Z129" i="4"/>
  <c r="Z133" i="4"/>
  <c r="Z102" i="4"/>
  <c r="Z112" i="4"/>
  <c r="Z117" i="4"/>
  <c r="Z135" i="4"/>
  <c r="Z93" i="4"/>
  <c r="Z130" i="4"/>
  <c r="Z100" i="4"/>
  <c r="Z116" i="4"/>
  <c r="Z127" i="4"/>
  <c r="Z126" i="4"/>
  <c r="Z122" i="4"/>
  <c r="Z121" i="4" l="1"/>
  <c r="Z123" i="4"/>
  <c r="AU64" i="4"/>
  <c r="AU68" i="4"/>
  <c r="AU66" i="4"/>
  <c r="AU65" i="4"/>
  <c r="AV64" i="4" l="1"/>
  <c r="V29" i="13" s="1" a="1"/>
  <c r="V29" i="13" s="1"/>
  <c r="AV68" i="4"/>
  <c r="V34" i="13" s="1" a="1"/>
  <c r="V34" i="13" s="1"/>
  <c r="AV66" i="4"/>
  <c r="V30" i="13" s="1" a="1"/>
  <c r="V30" i="13" s="1"/>
  <c r="AV65" i="4"/>
  <c r="V27" i="13" s="1" a="1"/>
  <c r="V27" i="13" s="1"/>
  <c r="AV67" i="4" l="1"/>
  <c r="V28" i="13" s="1" a="1"/>
  <c r="V28" i="13" s="1"/>
  <c r="L75" i="3" l="1"/>
  <c r="AW64" i="4"/>
  <c r="W29" i="13" s="1" a="1"/>
  <c r="W29" i="13" s="1"/>
  <c r="AW65" i="4"/>
  <c r="W27" i="13" s="1" a="1"/>
  <c r="W27" i="13" s="1"/>
  <c r="AW70" i="4"/>
  <c r="W32" i="13" s="1" a="1"/>
  <c r="W32" i="13" s="1"/>
  <c r="AW69" i="4"/>
  <c r="W31" i="13" s="1" a="1"/>
  <c r="W31" i="13" s="1"/>
  <c r="AW71" i="4"/>
  <c r="W33" i="13" s="1" a="1"/>
  <c r="W33" i="13" s="1"/>
  <c r="AW68" i="4"/>
  <c r="W34" i="13" s="1" a="1"/>
  <c r="W34" i="13" s="1"/>
  <c r="AW67" i="4"/>
  <c r="W28" i="13" s="1" a="1"/>
  <c r="W28" i="13" s="1"/>
  <c r="AW66" i="4"/>
  <c r="W30" i="13" s="1" a="1"/>
  <c r="W30" i="13" s="1"/>
  <c r="M106" i="3" l="1"/>
  <c r="N106" i="3" s="1"/>
  <c r="N120" i="3" s="1"/>
  <c r="M71" i="3"/>
  <c r="M72" i="3"/>
  <c r="L81" i="3"/>
  <c r="M73" i="3"/>
  <c r="N71" i="3" l="1"/>
  <c r="N77" i="3"/>
  <c r="N72" i="3"/>
  <c r="N73" i="3"/>
  <c r="AX64" i="4"/>
  <c r="X29" i="13" s="1" a="1"/>
  <c r="X29" i="13" s="1"/>
  <c r="AX71" i="4"/>
  <c r="X33" i="13" s="1" a="1"/>
  <c r="X33" i="13" s="1"/>
  <c r="AX67" i="4"/>
  <c r="X28" i="13" s="1" a="1"/>
  <c r="X28" i="13" s="1"/>
  <c r="AX65" i="4"/>
  <c r="X27" i="13" s="1" a="1"/>
  <c r="X27" i="13" s="1"/>
  <c r="AX69" i="4"/>
  <c r="X31" i="13" s="1" a="1"/>
  <c r="X31" i="13" s="1"/>
  <c r="AX70" i="4"/>
  <c r="X32" i="13" s="1" a="1"/>
  <c r="X32" i="13" s="1"/>
  <c r="AX66" i="4"/>
  <c r="X30" i="13" s="1" a="1"/>
  <c r="X30" i="13" s="1"/>
  <c r="AX68" i="4"/>
  <c r="X34" i="13" s="1" a="1"/>
  <c r="X34" i="13" s="1"/>
  <c r="AU69" i="4" l="1"/>
  <c r="AY66" i="4"/>
  <c r="Y30" i="13" s="1" a="1"/>
  <c r="Y30" i="13" s="1"/>
  <c r="AY65" i="4"/>
  <c r="Y27" i="13" s="1" a="1"/>
  <c r="Y27" i="13" s="1"/>
  <c r="AY70" i="4"/>
  <c r="Y32" i="13" s="1" a="1"/>
  <c r="Y32" i="13" s="1"/>
  <c r="AY67" i="4"/>
  <c r="Y28" i="13" s="1" a="1"/>
  <c r="Y28" i="13" s="1"/>
  <c r="AY68" i="4"/>
  <c r="Y34" i="13" s="1" a="1"/>
  <c r="Y34" i="13" s="1"/>
  <c r="AY71" i="4"/>
  <c r="Y33" i="13" s="1" a="1"/>
  <c r="Y33" i="13" s="1"/>
  <c r="AY69" i="4"/>
  <c r="Y31" i="13" s="1" a="1"/>
  <c r="Y31" i="13" s="1"/>
  <c r="AY64" i="4"/>
  <c r="Y29" i="13" s="1" a="1"/>
  <c r="Y29" i="13" s="1"/>
  <c r="AV69" i="4" l="1"/>
  <c r="V31" i="13" s="1" a="1"/>
  <c r="V31" i="13" s="1"/>
  <c r="AU71" i="4"/>
  <c r="AV71" i="4"/>
  <c r="V33" i="13" s="1" a="1"/>
  <c r="V33" i="13" s="1"/>
  <c r="AV70" i="4" l="1"/>
  <c r="V32" i="13" s="1" a="1"/>
  <c r="V32" i="13" s="1"/>
  <c r="AU70" i="4"/>
  <c r="AX111" i="4" l="1"/>
  <c r="X68" i="13" s="1" a="1"/>
  <c r="X68" i="13" s="1"/>
  <c r="AW127" i="4"/>
  <c r="W24" i="13" s="1" a="1"/>
  <c r="W24" i="13" s="1"/>
  <c r="AV75" i="4"/>
  <c r="V75" i="13" s="1" a="1"/>
  <c r="V75" i="13" s="1"/>
  <c r="AX90" i="4"/>
  <c r="X90" i="13" s="1" a="1"/>
  <c r="X90" i="13" s="1"/>
  <c r="AX75" i="4" l="1"/>
  <c r="X75" i="13" s="1" a="1"/>
  <c r="X75" i="13" s="1"/>
  <c r="AV110" i="4"/>
  <c r="V67" i="13" s="1" a="1"/>
  <c r="V67" i="13" s="1"/>
  <c r="AU91" i="4"/>
  <c r="AU73" i="4"/>
  <c r="AU72" i="4"/>
  <c r="AX91" i="4"/>
  <c r="X91" i="13" s="1" a="1"/>
  <c r="X91" i="13" s="1"/>
  <c r="AW91" i="4"/>
  <c r="W91" i="13" s="1" a="1"/>
  <c r="W91" i="13" s="1"/>
  <c r="AV73" i="4"/>
  <c r="V73" i="13" s="1" a="1"/>
  <c r="V73" i="13" s="1"/>
  <c r="AV91" i="4"/>
  <c r="V91" i="13" s="1" a="1"/>
  <c r="V91" i="13" s="1"/>
  <c r="AW73" i="4"/>
  <c r="W73" i="13" s="1" a="1"/>
  <c r="W73" i="13" s="1"/>
  <c r="AY91" i="4"/>
  <c r="Y91" i="13" s="1" a="1"/>
  <c r="Y91" i="13" s="1"/>
  <c r="AX73" i="4"/>
  <c r="X73" i="13" s="1" a="1"/>
  <c r="X73" i="13" s="1"/>
  <c r="AY73" i="4"/>
  <c r="Y73" i="13" s="1" a="1"/>
  <c r="Y73" i="13" s="1"/>
  <c r="AW134" i="4"/>
  <c r="W57" i="13" s="1" a="1"/>
  <c r="W57" i="13" s="1"/>
  <c r="AW86" i="4"/>
  <c r="W86" i="13" s="1" a="1"/>
  <c r="W86" i="13" s="1"/>
  <c r="AX129" i="4"/>
  <c r="X36" i="13" s="1" a="1"/>
  <c r="X36" i="13" s="1"/>
  <c r="AV109" i="4"/>
  <c r="V66" i="13" s="1" a="1"/>
  <c r="V66" i="13" s="1"/>
  <c r="AV72" i="4"/>
  <c r="V72" i="13" s="1" a="1"/>
  <c r="V72" i="13" s="1"/>
  <c r="AV123" i="4"/>
  <c r="V21" i="13" s="1" a="1"/>
  <c r="V21" i="13" s="1"/>
  <c r="AV78" i="4"/>
  <c r="V78" i="13" s="1" a="1"/>
  <c r="V78" i="13" s="1"/>
  <c r="AV117" i="4"/>
  <c r="V48" i="13" s="1" a="1"/>
  <c r="V48" i="13" s="1"/>
  <c r="AV60" i="4"/>
  <c r="V40" i="13" s="1" a="1"/>
  <c r="V40" i="13" s="1"/>
  <c r="AV134" i="4"/>
  <c r="V57" i="13" s="1" a="1"/>
  <c r="V57" i="13" s="1"/>
  <c r="AV76" i="4"/>
  <c r="V76" i="13" s="1" a="1"/>
  <c r="V76" i="13" s="1"/>
  <c r="AV86" i="4"/>
  <c r="V86" i="13" s="1" a="1"/>
  <c r="V86" i="13" s="1"/>
  <c r="AV128" i="4"/>
  <c r="V25" i="13" s="1" a="1"/>
  <c r="V25" i="13" s="1"/>
  <c r="AV61" i="4"/>
  <c r="V41" i="13" s="1" a="1"/>
  <c r="V41" i="13" s="1"/>
  <c r="AV120" i="4"/>
  <c r="V51" i="13" s="1" a="1"/>
  <c r="V51" i="13" s="1"/>
  <c r="AU106" i="4"/>
  <c r="AV116" i="4"/>
  <c r="V46" i="13" s="1" a="1"/>
  <c r="V46" i="13" s="1"/>
  <c r="AV113" i="4"/>
  <c r="V70" i="13" s="1" a="1"/>
  <c r="V70" i="13" s="1"/>
  <c r="AV133" i="4"/>
  <c r="V55" i="13" s="1" a="1"/>
  <c r="V55" i="13" s="1"/>
  <c r="AV92" i="4"/>
  <c r="V92" i="13" s="1" a="1"/>
  <c r="V92" i="13" s="1"/>
  <c r="AV126" i="4"/>
  <c r="V23" i="13" s="1" a="1"/>
  <c r="V23" i="13" s="1"/>
  <c r="AV108" i="4"/>
  <c r="V65" i="13" s="1" a="1"/>
  <c r="V65" i="13" s="1"/>
  <c r="AU107" i="4"/>
  <c r="AV124" i="4"/>
  <c r="V19" i="13" s="1" a="1"/>
  <c r="V19" i="13" s="1"/>
  <c r="AX108" i="4"/>
  <c r="X65" i="13" s="1" a="1"/>
  <c r="X65" i="13" s="1"/>
  <c r="AY74" i="4"/>
  <c r="Y74" i="13" s="1" a="1"/>
  <c r="Y74" i="13" s="1"/>
  <c r="AY89" i="4"/>
  <c r="Y89" i="13" s="1" a="1"/>
  <c r="Y89" i="13" s="1"/>
  <c r="AY75" i="4"/>
  <c r="Y75" i="13" s="1" a="1"/>
  <c r="Y75" i="13" s="1"/>
  <c r="AV118" i="4"/>
  <c r="V49" i="13" s="1" a="1"/>
  <c r="V49" i="13" s="1"/>
  <c r="AU82" i="4"/>
  <c r="AX81" i="4"/>
  <c r="X81" i="13" s="1" a="1"/>
  <c r="X81" i="13" s="1"/>
  <c r="AY86" i="4"/>
  <c r="Y86" i="13" s="1" a="1"/>
  <c r="Y86" i="13" s="1"/>
  <c r="AY78" i="4"/>
  <c r="Y78" i="13" s="1" a="1"/>
  <c r="Y78" i="13" s="1"/>
  <c r="AY84" i="4"/>
  <c r="Y84" i="13" s="1" a="1"/>
  <c r="Y84" i="13" s="1"/>
  <c r="AW84" i="4"/>
  <c r="W84" i="13" s="1" a="1"/>
  <c r="W84" i="13" s="1"/>
  <c r="AV59" i="4"/>
  <c r="V39" i="13" s="1" a="1"/>
  <c r="V39" i="13" s="1"/>
  <c r="AW110" i="4"/>
  <c r="W67" i="13" s="1" a="1"/>
  <c r="W67" i="13" s="1"/>
  <c r="AU89" i="4"/>
  <c r="AV122" i="4"/>
  <c r="V18" i="13" s="1" a="1"/>
  <c r="V18" i="13" s="1"/>
  <c r="AU126" i="4"/>
  <c r="AU112" i="4"/>
  <c r="AW80" i="4"/>
  <c r="W80" i="13" s="1" a="1"/>
  <c r="W80" i="13" s="1"/>
  <c r="AX77" i="4"/>
  <c r="X77" i="13" s="1" a="1"/>
  <c r="X77" i="13" s="1"/>
  <c r="AX79" i="4"/>
  <c r="X79" i="13" s="1" a="1"/>
  <c r="X79" i="13" s="1"/>
  <c r="AU75" i="4"/>
  <c r="AX74" i="4"/>
  <c r="X74" i="13" s="1" a="1"/>
  <c r="X74" i="13" s="1"/>
  <c r="AY60" i="4"/>
  <c r="Y40" i="13" s="1" a="1"/>
  <c r="Y40" i="13" s="1"/>
  <c r="AW108" i="4"/>
  <c r="W65" i="13" s="1" a="1"/>
  <c r="W65" i="13" s="1"/>
  <c r="AX86" i="4"/>
  <c r="X86" i="13" s="1" a="1"/>
  <c r="X86" i="13" s="1"/>
  <c r="AY105" i="4"/>
  <c r="Y105" i="13" s="1" a="1"/>
  <c r="Y105" i="13" s="1"/>
  <c r="AU130" i="4"/>
  <c r="AU102" i="4"/>
  <c r="AX62" i="4"/>
  <c r="X42" i="13" s="1" a="1"/>
  <c r="X42" i="13" s="1"/>
  <c r="AV106" i="4"/>
  <c r="V106" i="13" s="1" a="1"/>
  <c r="V106" i="13" s="1"/>
  <c r="AY128" i="4"/>
  <c r="Y25" i="13" s="1" a="1"/>
  <c r="Y25" i="13" s="1"/>
  <c r="AW122" i="4"/>
  <c r="W18" i="13" s="1" a="1"/>
  <c r="W18" i="13" s="1"/>
  <c r="AV132" i="4"/>
  <c r="V54" i="13" s="1" a="1"/>
  <c r="V54" i="13" s="1"/>
  <c r="AV79" i="4"/>
  <c r="V79" i="13" s="1" a="1"/>
  <c r="V79" i="13" s="1"/>
  <c r="AY113" i="4"/>
  <c r="Y70" i="13" s="1" a="1"/>
  <c r="Y70" i="13" s="1"/>
  <c r="AW83" i="4"/>
  <c r="W83" i="13" s="1" a="1"/>
  <c r="W83" i="13" s="1"/>
  <c r="AY87" i="4"/>
  <c r="Y87" i="13" s="1" a="1"/>
  <c r="Y87" i="13" s="1"/>
  <c r="AW113" i="4"/>
  <c r="W70" i="13" s="1" a="1"/>
  <c r="W70" i="13" s="1"/>
  <c r="AX135" i="4"/>
  <c r="X56" i="13" s="1" a="1"/>
  <c r="X56" i="13" s="1"/>
  <c r="AW126" i="4"/>
  <c r="W23" i="13" s="1" a="1"/>
  <c r="W23" i="13" s="1"/>
  <c r="AW93" i="4"/>
  <c r="W93" i="13" s="1" a="1"/>
  <c r="W93" i="13" s="1"/>
  <c r="AX126" i="4"/>
  <c r="X23" i="13" s="1" a="1"/>
  <c r="X23" i="13" s="1"/>
  <c r="AV63" i="4"/>
  <c r="V43" i="13" s="1" a="1"/>
  <c r="V43" i="13" s="1"/>
  <c r="AV107" i="4"/>
  <c r="V107" i="13" s="1" a="1"/>
  <c r="V107" i="13" s="1"/>
  <c r="AU93" i="4"/>
  <c r="AW89" i="4"/>
  <c r="W89" i="13" s="1" a="1"/>
  <c r="W89" i="13" s="1"/>
  <c r="AX104" i="4"/>
  <c r="X104" i="13" s="1" a="1"/>
  <c r="X104" i="13" s="1"/>
  <c r="AX123" i="4"/>
  <c r="X21" i="13" s="1" a="1"/>
  <c r="X21" i="13" s="1"/>
  <c r="AU74" i="4"/>
  <c r="AW132" i="4"/>
  <c r="W54" i="13" s="1" a="1"/>
  <c r="W54" i="13" s="1"/>
  <c r="AW104" i="4"/>
  <c r="W104" i="13" s="1" a="1"/>
  <c r="W104" i="13" s="1"/>
  <c r="AW105" i="4"/>
  <c r="W105" i="13" s="1" a="1"/>
  <c r="W105" i="13" s="1"/>
  <c r="AU101" i="4"/>
  <c r="AW119" i="4"/>
  <c r="W50" i="13" s="1" a="1"/>
  <c r="W50" i="13" s="1"/>
  <c r="AY116" i="4"/>
  <c r="Y46" i="13" s="1" a="1"/>
  <c r="Y46" i="13" s="1"/>
  <c r="AU86" i="4"/>
  <c r="AW75" i="4"/>
  <c r="W75" i="13" s="1" a="1"/>
  <c r="W75" i="13" s="1"/>
  <c r="AW85" i="4"/>
  <c r="W85" i="13" s="1" a="1"/>
  <c r="W85" i="13" s="1"/>
  <c r="AX122" i="4"/>
  <c r="X18" i="13" s="1" a="1"/>
  <c r="X18" i="13" s="1"/>
  <c r="AW123" i="4"/>
  <c r="W21" i="13" s="1" a="1"/>
  <c r="W21" i="13" s="1"/>
  <c r="AV85" i="4"/>
  <c r="V85" i="13" s="1" a="1"/>
  <c r="V85" i="13" s="1"/>
  <c r="AY100" i="4"/>
  <c r="Y100" i="13" s="1" a="1"/>
  <c r="Y100" i="13" s="1"/>
  <c r="AX107" i="4"/>
  <c r="X107" i="13" s="1" a="1"/>
  <c r="X107" i="13" s="1"/>
  <c r="AY106" i="4"/>
  <c r="Y106" i="13" s="1" a="1"/>
  <c r="Y106" i="13" s="1"/>
  <c r="AW101" i="4"/>
  <c r="W101" i="13" s="1" a="1"/>
  <c r="W101" i="13" s="1"/>
  <c r="AW112" i="4"/>
  <c r="W69" i="13" s="1" a="1"/>
  <c r="W69" i="13" s="1"/>
  <c r="AY103" i="4"/>
  <c r="Y103" i="13" s="1" a="1"/>
  <c r="Y103" i="13" s="1"/>
  <c r="AW76" i="4"/>
  <c r="W76" i="13" s="1" a="1"/>
  <c r="W76" i="13" s="1"/>
  <c r="AV119" i="4"/>
  <c r="V50" i="13" s="1" a="1"/>
  <c r="V50" i="13" s="1"/>
  <c r="AW118" i="4"/>
  <c r="W49" i="13" s="1" a="1"/>
  <c r="W49" i="13" s="1"/>
  <c r="AY127" i="4"/>
  <c r="Y24" i="13" s="1" a="1"/>
  <c r="Y24" i="13" s="1"/>
  <c r="AY81" i="4"/>
  <c r="Y81" i="13" s="1" a="1"/>
  <c r="Y81" i="13" s="1"/>
  <c r="AX127" i="4"/>
  <c r="X24" i="13" s="1" a="1"/>
  <c r="X24" i="13" s="1"/>
  <c r="AV88" i="4"/>
  <c r="V88" i="13" s="1" a="1"/>
  <c r="V88" i="13" s="1"/>
  <c r="AY119" i="4"/>
  <c r="Y50" i="13" s="1" a="1"/>
  <c r="Y50" i="13" s="1"/>
  <c r="AW125" i="4"/>
  <c r="W22" i="13" s="1" a="1"/>
  <c r="W22" i="13" s="1"/>
  <c r="AU132" i="4"/>
  <c r="AW109" i="4"/>
  <c r="W66" i="13" s="1" a="1"/>
  <c r="W66" i="13" s="1"/>
  <c r="AU109" i="4"/>
  <c r="AX72" i="4"/>
  <c r="X72" i="13" s="1" a="1"/>
  <c r="X72" i="13" s="1"/>
  <c r="AV112" i="4"/>
  <c r="V69" i="13" s="1" a="1"/>
  <c r="V69" i="13" s="1"/>
  <c r="AX84" i="4"/>
  <c r="X84" i="13" s="1" a="1"/>
  <c r="X84" i="13" s="1"/>
  <c r="AU88" i="4"/>
  <c r="AU119" i="4"/>
  <c r="AU129" i="4"/>
  <c r="AY121" i="4"/>
  <c r="Y20" i="13" s="1" a="1"/>
  <c r="Y20" i="13" s="1"/>
  <c r="AX101" i="4"/>
  <c r="X101" i="13" s="1" a="1"/>
  <c r="X101" i="13" s="1"/>
  <c r="AX80" i="4"/>
  <c r="X80" i="13" s="1" a="1"/>
  <c r="X80" i="13" s="1"/>
  <c r="AU127" i="4"/>
  <c r="AX112" i="4"/>
  <c r="X69" i="13" s="1" a="1"/>
  <c r="X69" i="13" s="1"/>
  <c r="AX117" i="4"/>
  <c r="X48" i="13" s="1" a="1"/>
  <c r="X48" i="13" s="1"/>
  <c r="AV100" i="4"/>
  <c r="V100" i="13" s="1" a="1"/>
  <c r="V100" i="13" s="1"/>
  <c r="AU113" i="4"/>
  <c r="AY93" i="4"/>
  <c r="Y93" i="13" s="1" a="1"/>
  <c r="Y93" i="13" s="1"/>
  <c r="AW131" i="4"/>
  <c r="W53" i="13" s="1" a="1"/>
  <c r="W53" i="13" s="1"/>
  <c r="AV104" i="4"/>
  <c r="V104" i="13" s="1" a="1"/>
  <c r="V104" i="13" s="1"/>
  <c r="AU60" i="4"/>
  <c r="AU116" i="4"/>
  <c r="AU100" i="4"/>
  <c r="AW103" i="4"/>
  <c r="W103" i="13" s="1" a="1"/>
  <c r="W103" i="13" s="1"/>
  <c r="AX60" i="4"/>
  <c r="X40" i="13" s="1" a="1"/>
  <c r="X40" i="13" s="1"/>
  <c r="AY62" i="4"/>
  <c r="Y42" i="13" s="1" a="1"/>
  <c r="Y42" i="13" s="1"/>
  <c r="AW72" i="4"/>
  <c r="W72" i="13" s="1" a="1"/>
  <c r="W72" i="13" s="1"/>
  <c r="AW116" i="4"/>
  <c r="W46" i="13" s="1" a="1"/>
  <c r="W46" i="13" s="1"/>
  <c r="AV127" i="4"/>
  <c r="V24" i="13" s="1" a="1"/>
  <c r="V24" i="13" s="1"/>
  <c r="AY122" i="4"/>
  <c r="Y18" i="13" s="1" a="1"/>
  <c r="Y18" i="13" s="1"/>
  <c r="AW59" i="4"/>
  <c r="W39" i="13" s="1" a="1"/>
  <c r="W39" i="13" s="1"/>
  <c r="AW92" i="4"/>
  <c r="W92" i="13" s="1" a="1"/>
  <c r="W92" i="13" s="1"/>
  <c r="AV82" i="4"/>
  <c r="V82" i="13" s="1" a="1"/>
  <c r="V82" i="13" s="1"/>
  <c r="AU103" i="4"/>
  <c r="AX120" i="4"/>
  <c r="X51" i="13" s="1" a="1"/>
  <c r="X51" i="13" s="1"/>
  <c r="AX82" i="4"/>
  <c r="X82" i="13" s="1" a="1"/>
  <c r="X82" i="13" s="1"/>
  <c r="AY80" i="4"/>
  <c r="Y80" i="13" s="1" a="1"/>
  <c r="Y80" i="13" s="1"/>
  <c r="AU81" i="4"/>
  <c r="AX118" i="4"/>
  <c r="X49" i="13" s="1" a="1"/>
  <c r="X49" i="13" s="1"/>
  <c r="AX130" i="4"/>
  <c r="X37" i="13" s="1" a="1"/>
  <c r="X37" i="13" s="1"/>
  <c r="AU59" i="4"/>
  <c r="AX92" i="4"/>
  <c r="X92" i="13" s="1" a="1"/>
  <c r="X92" i="13" s="1"/>
  <c r="AV77" i="4"/>
  <c r="V77" i="13" s="1" a="1"/>
  <c r="V77" i="13" s="1"/>
  <c r="AX121" i="4"/>
  <c r="X20" i="13" s="1" a="1"/>
  <c r="X20" i="13" s="1"/>
  <c r="AU133" i="4"/>
  <c r="AU78" i="4"/>
  <c r="AX78" i="4"/>
  <c r="X78" i="13" s="1" a="1"/>
  <c r="X78" i="13" s="1"/>
  <c r="AW81" i="4"/>
  <c r="W81" i="13" s="1" a="1"/>
  <c r="W81" i="13" s="1"/>
  <c r="AW88" i="4"/>
  <c r="W88" i="13" s="1" a="1"/>
  <c r="W88" i="13" s="1"/>
  <c r="AY85" i="4"/>
  <c r="Y85" i="13" s="1" a="1"/>
  <c r="Y85" i="13" s="1"/>
  <c r="AV103" i="4"/>
  <c r="V103" i="13" s="1" a="1"/>
  <c r="V103" i="13" s="1"/>
  <c r="AX76" i="4"/>
  <c r="X76" i="13" s="1" a="1"/>
  <c r="X76" i="13" s="1"/>
  <c r="AY132" i="4"/>
  <c r="Y54" i="13" s="1" a="1"/>
  <c r="Y54" i="13" s="1"/>
  <c r="AW121" i="4"/>
  <c r="W20" i="13" s="1" a="1"/>
  <c r="W20" i="13" s="1"/>
  <c r="AX85" i="4"/>
  <c r="X85" i="13" s="1" a="1"/>
  <c r="X85" i="13" s="1"/>
  <c r="AV125" i="4"/>
  <c r="V22" i="13" s="1" a="1"/>
  <c r="V22" i="13" s="1"/>
  <c r="AU110" i="4"/>
  <c r="AV102" i="4"/>
  <c r="V102" i="13" s="1" a="1"/>
  <c r="V102" i="13" s="1"/>
  <c r="AW130" i="4"/>
  <c r="W37" i="13" s="1" a="1"/>
  <c r="W37" i="13" s="1"/>
  <c r="AU80" i="4"/>
  <c r="AY126" i="4"/>
  <c r="Y23" i="13" s="1" a="1"/>
  <c r="Y23" i="13" s="1"/>
  <c r="AY107" i="4"/>
  <c r="Y107" i="13" s="1" a="1"/>
  <c r="Y107" i="13" s="1"/>
  <c r="AW133" i="4"/>
  <c r="W55" i="13" s="1" a="1"/>
  <c r="W55" i="13" s="1"/>
  <c r="AY131" i="4"/>
  <c r="Y53" i="13" s="1" a="1"/>
  <c r="Y53" i="13" s="1"/>
  <c r="AX125" i="4"/>
  <c r="X22" i="13" s="1" a="1"/>
  <c r="X22" i="13" s="1"/>
  <c r="AX61" i="4"/>
  <c r="X41" i="13" s="1" a="1"/>
  <c r="X41" i="13" s="1"/>
  <c r="AY135" i="4"/>
  <c r="Y56" i="13" s="1" a="1"/>
  <c r="Y56" i="13" s="1"/>
  <c r="AX83" i="4"/>
  <c r="X83" i="13" s="1" a="1"/>
  <c r="X83" i="13" s="1"/>
  <c r="AY120" i="4"/>
  <c r="Y51" i="13" s="1" a="1"/>
  <c r="Y51" i="13" s="1"/>
  <c r="AU61" i="4"/>
  <c r="AX87" i="4"/>
  <c r="X87" i="13" s="1" a="1"/>
  <c r="X87" i="13" s="1"/>
  <c r="AY124" i="4"/>
  <c r="Y19" i="13" s="1" a="1"/>
  <c r="Y19" i="13" s="1"/>
  <c r="AU108" i="4"/>
  <c r="AW124" i="4"/>
  <c r="W19" i="13" s="1" a="1"/>
  <c r="W19" i="13" s="1"/>
  <c r="AW90" i="4"/>
  <c r="W90" i="13" s="1" a="1"/>
  <c r="W90" i="13" s="1"/>
  <c r="AU77" i="4"/>
  <c r="AW107" i="4"/>
  <c r="W107" i="13" s="1" a="1"/>
  <c r="W107" i="13" s="1"/>
  <c r="AV93" i="4"/>
  <c r="V93" i="13" s="1" a="1"/>
  <c r="V93" i="13" s="1"/>
  <c r="AW62" i="4"/>
  <c r="W42" i="13" s="1" a="1"/>
  <c r="W42" i="13" s="1"/>
  <c r="AX113" i="4"/>
  <c r="X70" i="13" s="1" a="1"/>
  <c r="X70" i="13" s="1"/>
  <c r="AV105" i="4"/>
  <c r="V105" i="13" s="1" a="1"/>
  <c r="V105" i="13" s="1"/>
  <c r="AX100" i="4"/>
  <c r="X100" i="13" s="1" a="1"/>
  <c r="X100" i="13" s="1"/>
  <c r="AU87" i="4"/>
  <c r="AY108" i="4"/>
  <c r="Y65" i="13" s="1" a="1"/>
  <c r="Y65" i="13" s="1"/>
  <c r="AY79" i="4"/>
  <c r="Y79" i="13" s="1" a="1"/>
  <c r="Y79" i="13" s="1"/>
  <c r="AY63" i="4"/>
  <c r="Y43" i="13" s="1" a="1"/>
  <c r="Y43" i="13" s="1"/>
  <c r="AU85" i="4"/>
  <c r="AU135" i="4"/>
  <c r="AU92" i="4"/>
  <c r="AW128" i="4"/>
  <c r="W25" i="13" s="1" a="1"/>
  <c r="W25" i="13" s="1"/>
  <c r="AU122" i="4"/>
  <c r="AU90" i="4"/>
  <c r="AX134" i="4"/>
  <c r="X57" i="13" s="1" a="1"/>
  <c r="X57" i="13" s="1"/>
  <c r="AX110" i="4"/>
  <c r="X67" i="13" s="1" a="1"/>
  <c r="X67" i="13" s="1"/>
  <c r="AV87" i="4"/>
  <c r="V87" i="13" s="1" a="1"/>
  <c r="V87" i="13" s="1"/>
  <c r="AV80" i="4"/>
  <c r="V80" i="13" s="1" a="1"/>
  <c r="V80" i="13" s="1"/>
  <c r="AX93" i="4"/>
  <c r="X93" i="13" s="1" a="1"/>
  <c r="X93" i="13" s="1"/>
  <c r="AV121" i="4"/>
  <c r="V20" i="13" s="1" a="1"/>
  <c r="V20" i="13" s="1"/>
  <c r="AY112" i="4"/>
  <c r="Y69" i="13" s="1" a="1"/>
  <c r="Y69" i="13" s="1"/>
  <c r="AX106" i="4"/>
  <c r="X106" i="13" s="1" a="1"/>
  <c r="X106" i="13" s="1"/>
  <c r="AU121" i="4"/>
  <c r="AU84" i="4"/>
  <c r="AW120" i="4"/>
  <c r="W51" i="13" s="1" a="1"/>
  <c r="W51" i="13" s="1"/>
  <c r="AY88" i="4"/>
  <c r="Y88" i="13" s="1" a="1"/>
  <c r="Y88" i="13" s="1"/>
  <c r="AY110" i="4"/>
  <c r="Y67" i="13" s="1" a="1"/>
  <c r="Y67" i="13" s="1"/>
  <c r="AV129" i="4"/>
  <c r="V36" i="13" s="1" a="1"/>
  <c r="V36" i="13" s="1"/>
  <c r="AX105" i="4"/>
  <c r="X105" i="13" s="1" a="1"/>
  <c r="X105" i="13" s="1"/>
  <c r="AU79" i="4"/>
  <c r="AX109" i="4"/>
  <c r="X66" i="13" s="1" a="1"/>
  <c r="X66" i="13" s="1"/>
  <c r="AW106" i="4"/>
  <c r="W106" i="13" s="1" a="1"/>
  <c r="W106" i="13" s="1"/>
  <c r="AX59" i="4"/>
  <c r="X39" i="13" s="1" a="1"/>
  <c r="X39" i="13" s="1"/>
  <c r="AY77" i="4"/>
  <c r="Y77" i="13" s="1" a="1"/>
  <c r="Y77" i="13" s="1"/>
  <c r="AU118" i="4"/>
  <c r="AW129" i="4"/>
  <c r="W36" i="13" s="1" a="1"/>
  <c r="W36" i="13" s="1"/>
  <c r="AY111" i="4"/>
  <c r="Y68" i="13" s="1" a="1"/>
  <c r="Y68" i="13" s="1"/>
  <c r="AY83" i="4"/>
  <c r="Y83" i="13" s="1" a="1"/>
  <c r="Y83" i="13" s="1"/>
  <c r="AX89" i="4"/>
  <c r="X89" i="13" s="1" a="1"/>
  <c r="X89" i="13" s="1"/>
  <c r="AV81" i="4"/>
  <c r="V81" i="13" s="1" a="1"/>
  <c r="V81" i="13" s="1"/>
  <c r="AY82" i="4"/>
  <c r="Y82" i="13" s="1" a="1"/>
  <c r="Y82" i="13" s="1"/>
  <c r="AW74" i="4"/>
  <c r="W74" i="13" s="1" a="1"/>
  <c r="W74" i="13" s="1"/>
  <c r="AY133" i="4"/>
  <c r="Y55" i="13" s="1" a="1"/>
  <c r="Y55" i="13" s="1"/>
  <c r="AX119" i="4"/>
  <c r="X50" i="13" s="1" a="1"/>
  <c r="X50" i="13" s="1"/>
  <c r="AY123" i="4"/>
  <c r="Y21" i="13" s="1" a="1"/>
  <c r="Y21" i="13" s="1"/>
  <c r="AW117" i="4"/>
  <c r="W48" i="13" s="1" a="1"/>
  <c r="W48" i="13" s="1"/>
  <c r="AU117" i="4"/>
  <c r="AY134" i="4"/>
  <c r="Y57" i="13" s="1" a="1"/>
  <c r="Y57" i="13" s="1"/>
  <c r="AX88" i="4"/>
  <c r="X88" i="13" s="1" a="1"/>
  <c r="X88" i="13" s="1"/>
  <c r="AV74" i="4"/>
  <c r="V74" i="13" s="1" a="1"/>
  <c r="V74" i="13" s="1"/>
  <c r="AW135" i="4"/>
  <c r="W56" i="13" s="1" a="1"/>
  <c r="W56" i="13" s="1"/>
  <c r="AY102" i="4"/>
  <c r="Y102" i="13" s="1" a="1"/>
  <c r="Y102" i="13" s="1"/>
  <c r="AW100" i="4"/>
  <c r="W100" i="13" s="1" a="1"/>
  <c r="W100" i="13" s="1"/>
  <c r="AU124" i="4"/>
  <c r="AU123" i="4"/>
  <c r="AY101" i="4"/>
  <c r="Y101" i="13" s="1" a="1"/>
  <c r="Y101" i="13" s="1"/>
  <c r="AY90" i="4"/>
  <c r="Y90" i="13" s="1" a="1"/>
  <c r="Y90" i="13" s="1"/>
  <c r="AV130" i="4"/>
  <c r="V37" i="13" s="1" a="1"/>
  <c r="V37" i="13" s="1"/>
  <c r="AY118" i="4"/>
  <c r="Y49" i="13" s="1" a="1"/>
  <c r="Y49" i="13" s="1"/>
  <c r="AW87" i="4"/>
  <c r="W87" i="13" s="1" a="1"/>
  <c r="W87" i="13" s="1"/>
  <c r="AY117" i="4"/>
  <c r="Y48" i="13" s="1" a="1"/>
  <c r="Y48" i="13" s="1"/>
  <c r="AX128" i="4"/>
  <c r="X25" i="13" s="1" a="1"/>
  <c r="X25" i="13" s="1"/>
  <c r="AW82" i="4"/>
  <c r="W82" i="13" s="1" a="1"/>
  <c r="W82" i="13" s="1"/>
  <c r="AX103" i="4"/>
  <c r="X103" i="13" s="1" a="1"/>
  <c r="X103" i="13" s="1"/>
  <c r="AU83" i="4"/>
  <c r="AW63" i="4"/>
  <c r="W43" i="13" s="1" a="1"/>
  <c r="W43" i="13" s="1"/>
  <c r="AV135" i="4"/>
  <c r="V56" i="13" s="1" a="1"/>
  <c r="V56" i="13" s="1"/>
  <c r="AY130" i="4"/>
  <c r="Y37" i="13" s="1" a="1"/>
  <c r="Y37" i="13" s="1"/>
  <c r="AV101" i="4"/>
  <c r="V101" i="13" s="1" a="1"/>
  <c r="V101" i="13" s="1"/>
  <c r="AY76" i="4"/>
  <c r="Y76" i="13" s="1" a="1"/>
  <c r="Y76" i="13" s="1"/>
  <c r="AX132" i="4"/>
  <c r="X54" i="13" s="1" a="1"/>
  <c r="X54" i="13" s="1"/>
  <c r="AY104" i="4"/>
  <c r="Y104" i="13" s="1" a="1"/>
  <c r="Y104" i="13" s="1"/>
  <c r="AW78" i="4"/>
  <c r="W78" i="13" s="1" a="1"/>
  <c r="W78" i="13" s="1"/>
  <c r="AV89" i="4"/>
  <c r="V89" i="13" s="1" a="1"/>
  <c r="V89" i="13" s="1"/>
  <c r="AV111" i="4"/>
  <c r="V68" i="13" s="1" a="1"/>
  <c r="V68" i="13" s="1"/>
  <c r="AU62" i="4"/>
  <c r="AU120" i="4"/>
  <c r="AY61" i="4"/>
  <c r="Y41" i="13" s="1" a="1"/>
  <c r="Y41" i="13" s="1"/>
  <c r="AU125" i="4"/>
  <c r="AX116" i="4"/>
  <c r="X46" i="13" s="1" a="1"/>
  <c r="X46" i="13" s="1"/>
  <c r="AU134" i="4"/>
  <c r="AY59" i="4"/>
  <c r="Y39" i="13" s="1" a="1"/>
  <c r="Y39" i="13" s="1"/>
  <c r="AV90" i="4"/>
  <c r="V90" i="13" s="1" a="1"/>
  <c r="V90" i="13" s="1"/>
  <c r="AU104" i="4"/>
  <c r="AW61" i="4"/>
  <c r="W41" i="13" s="1" a="1"/>
  <c r="W41" i="13" s="1"/>
  <c r="AU76" i="4"/>
  <c r="AY109" i="4"/>
  <c r="Y66" i="13" s="1" a="1"/>
  <c r="Y66" i="13" s="1"/>
  <c r="AV84" i="4"/>
  <c r="V84" i="13" s="1" a="1"/>
  <c r="V84" i="13" s="1"/>
  <c r="AX124" i="4"/>
  <c r="X19" i="13" s="1" a="1"/>
  <c r="X19" i="13" s="1"/>
  <c r="AY129" i="4"/>
  <c r="Y36" i="13" s="1" a="1"/>
  <c r="Y36" i="13" s="1"/>
  <c r="AV131" i="4"/>
  <c r="V53" i="13" s="1" a="1"/>
  <c r="V53" i="13" s="1"/>
  <c r="AW111" i="4"/>
  <c r="W68" i="13" s="1" a="1"/>
  <c r="W68" i="13" s="1"/>
  <c r="AU128" i="4"/>
  <c r="AU105" i="4"/>
  <c r="AX102" i="4"/>
  <c r="X102" i="13" s="1" a="1"/>
  <c r="X102" i="13" s="1"/>
  <c r="AW102" i="4"/>
  <c r="W102" i="13" s="1" a="1"/>
  <c r="W102" i="13" s="1"/>
  <c r="AY72" i="4"/>
  <c r="Y72" i="13" s="1" a="1"/>
  <c r="Y72" i="13" s="1"/>
  <c r="AU63" i="4"/>
  <c r="AY125" i="4"/>
  <c r="Y22" i="13" s="1" a="1"/>
  <c r="Y22" i="13" s="1"/>
  <c r="AW77" i="4"/>
  <c r="W77" i="13" s="1" a="1"/>
  <c r="W77" i="13" s="1"/>
  <c r="AW60" i="4"/>
  <c r="W40" i="13" s="1" a="1"/>
  <c r="W40" i="13" s="1"/>
  <c r="AV62" i="4"/>
  <c r="V42" i="13" s="1" a="1"/>
  <c r="V42" i="13" s="1"/>
  <c r="AW79" i="4"/>
  <c r="W79" i="13" s="1" a="1"/>
  <c r="W79" i="13" s="1"/>
  <c r="AX133" i="4"/>
  <c r="X55" i="13" s="1" a="1"/>
  <c r="X55" i="13" s="1"/>
  <c r="AX63" i="4"/>
  <c r="X43" i="13" s="1" a="1"/>
  <c r="X43" i="13" s="1"/>
  <c r="AU111" i="4"/>
  <c r="AX131" i="4"/>
  <c r="X53" i="13" s="1" a="1"/>
  <c r="X53" i="13" s="1"/>
  <c r="AY92" i="4"/>
  <c r="Y92" i="13" s="1" a="1"/>
  <c r="Y92" i="13" s="1"/>
  <c r="AV83" i="4"/>
  <c r="V83" i="13" s="1" a="1"/>
  <c r="V83" i="13" s="1"/>
  <c r="AU131" i="4"/>
  <c r="AY114" i="4" l="1"/>
  <c r="Y47" i="13" s="1" a="1"/>
  <c r="Y47" i="13" s="1"/>
  <c r="AY115" i="4"/>
  <c r="Y45" i="13" s="1" a="1"/>
  <c r="Y45" i="13" s="1"/>
  <c r="AX114" i="4"/>
  <c r="X47" i="13" s="1" a="1"/>
  <c r="X47" i="13" s="1"/>
  <c r="AX115" i="4"/>
  <c r="X45" i="13" s="1" a="1"/>
  <c r="X45" i="13" s="1"/>
  <c r="AU114" i="4"/>
  <c r="AU115" i="4"/>
  <c r="AV114" i="4"/>
  <c r="V47" i="13" s="1" a="1"/>
  <c r="V47" i="13" s="1"/>
  <c r="AV115" i="4"/>
  <c r="V45" i="13" s="1" a="1"/>
  <c r="V45" i="13" s="1"/>
  <c r="AW114" i="4"/>
  <c r="W47" i="13" s="1" a="1"/>
  <c r="W47" i="13" s="1"/>
  <c r="AW115" i="4"/>
  <c r="W45" i="13" s="1" a="1"/>
  <c r="W45" i="13" s="1"/>
  <c r="AU67" i="4" l="1"/>
  <c r="Y79" i="11" l="1"/>
  <c r="L73" i="10" s="1"/>
  <c r="E59" i="13"/>
  <c r="F59" i="13" s="1"/>
  <c r="G59" i="13" s="1"/>
  <c r="H59" i="13" s="1"/>
  <c r="L75" i="10" l="1"/>
  <c r="M73" i="10" s="1"/>
  <c r="Z79" i="11"/>
  <c r="AB79" i="11" l="1"/>
  <c r="J15" i="15"/>
  <c r="M72" i="10"/>
  <c r="M71" i="10"/>
  <c r="M106" i="10"/>
  <c r="N106" i="10" s="1"/>
  <c r="L81" i="10"/>
  <c r="N71" i="10" l="1"/>
  <c r="N77" i="10"/>
  <c r="N72" i="10"/>
  <c r="N73" i="10"/>
  <c r="I8" i="10"/>
  <c r="I80" i="10"/>
  <c r="M118" i="10"/>
  <c r="N118" i="10"/>
  <c r="N120"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tc={6DE995B6-F559-4996-B648-53D1CEB9C4AD}</author>
  </authors>
  <commentList>
    <comment ref="J7" authorId="0" shapeId="0" xr:uid="{00000000-0006-0000-1A00-000001000000}">
      <text>
        <r>
          <rPr>
            <b/>
            <sz val="8"/>
            <color indexed="81"/>
            <rFont val="Tahoma"/>
            <family val="2"/>
          </rPr>
          <t>Bruno Merven:</t>
        </r>
        <r>
          <rPr>
            <sz val="8"/>
            <color indexed="81"/>
            <rFont val="Tahoma"/>
            <family val="2"/>
          </rPr>
          <t xml:space="preserve">
LPG balance is suspicious</t>
        </r>
      </text>
    </comment>
    <comment ref="K7" authorId="0" shapeId="0" xr:uid="{00000000-0006-0000-1A00-000002000000}">
      <text>
        <r>
          <rPr>
            <b/>
            <sz val="8"/>
            <color indexed="81"/>
            <rFont val="Tahoma"/>
            <family val="2"/>
          </rPr>
          <t>Bruno Merven:</t>
        </r>
        <r>
          <rPr>
            <sz val="8"/>
            <color indexed="81"/>
            <rFont val="Tahoma"/>
            <family val="2"/>
          </rPr>
          <t xml:space="preserve">
LPG balance is suspicious</t>
        </r>
      </text>
    </comment>
    <comment ref="L7" authorId="0" shapeId="0" xr:uid="{00000000-0006-0000-1A00-000003000000}">
      <text>
        <r>
          <rPr>
            <b/>
            <sz val="8"/>
            <color indexed="81"/>
            <rFont val="Tahoma"/>
            <family val="2"/>
          </rPr>
          <t>Bruno Merven:</t>
        </r>
        <r>
          <rPr>
            <sz val="8"/>
            <color indexed="81"/>
            <rFont val="Tahoma"/>
            <family val="2"/>
          </rPr>
          <t xml:space="preserve">
LPG balance is suspicious</t>
        </r>
      </text>
    </comment>
    <comment ref="E79" authorId="1" shapeId="0" xr:uid="{6DE995B6-F559-4996-B648-53D1CEB9C4AD}">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tc={DB81384D-3BAD-4118-B14D-DA4081D615BC}</author>
  </authors>
  <commentList>
    <comment ref="D3" authorId="0" shapeId="0" xr:uid="{DB81384D-3BAD-4118-B14D-DA4081D615BC}">
      <text>
        <t>[Threaded comment]
Your version of Excel allows you to read this threaded comment; however, any edits to it will get removed if the file is opened in a newer version of Excel. Learn more: https://go.microsoft.com/fwlink/?linkid=870924
Comment:
    Using Sector defaults in SysSettings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Adrian Stone</author>
    <author>tc={72E22EBC-6F1C-44E6-9D37-6A2EDC68C4EF}</author>
    <author>tc={68365649-69BE-42E1-A3D3-7826C339A4A4}</author>
    <author>tc={78C9CCF7-1AE4-47F9-BE3C-84B6FCC19C48}</author>
    <author>tc={B5986BBB-6093-45C3-916A-D12C4DF390D0}</author>
    <author>tc={64B612B0-D55B-494B-89E6-694DC15724C6}</author>
  </authors>
  <commentList>
    <comment ref="J7" authorId="0" shapeId="0" xr:uid="{00000000-0006-0000-2700-000001000000}">
      <text>
        <r>
          <rPr>
            <b/>
            <sz val="8"/>
            <color indexed="81"/>
            <rFont val="Tahoma"/>
            <family val="2"/>
          </rPr>
          <t>Bruno Merven:</t>
        </r>
        <r>
          <rPr>
            <sz val="8"/>
            <color indexed="81"/>
            <rFont val="Tahoma"/>
            <family val="2"/>
          </rPr>
          <t xml:space="preserve">
LPG balance is suspicious</t>
        </r>
      </text>
    </comment>
    <comment ref="AA14" authorId="0" shapeId="0" xr:uid="{00000000-0006-0000-2700-000002000000}">
      <text>
        <r>
          <rPr>
            <b/>
            <sz val="8"/>
            <color indexed="81"/>
            <rFont val="Tahoma"/>
            <family val="2"/>
          </rPr>
          <t>Bruno Merven:</t>
        </r>
        <r>
          <rPr>
            <sz val="8"/>
            <color indexed="81"/>
            <rFont val="Tahoma"/>
            <family val="2"/>
          </rPr>
          <t xml:space="preserve">
This was erroneously set to the average age from fleet model.
This has now been adjusted to the average age implied by the scrapping curve.</t>
        </r>
      </text>
    </comment>
    <comment ref="J18" authorId="0" shapeId="0" xr:uid="{00000000-0006-0000-2700-000003000000}">
      <text>
        <r>
          <rPr>
            <b/>
            <sz val="11"/>
            <color indexed="81"/>
            <rFont val="Tahoma"/>
            <family val="2"/>
          </rPr>
          <t>Bruno Merven:</t>
        </r>
        <r>
          <rPr>
            <sz val="11"/>
            <color indexed="81"/>
            <rFont val="Tahoma"/>
            <family val="2"/>
          </rPr>
          <t xml:space="preserve">
to capture people driving less in demand projection scenario. This only applies to private vehicles.</t>
        </r>
      </text>
    </comment>
    <comment ref="AB23" authorId="1" shapeId="0" xr:uid="{00000000-0006-0000-2700-000004000000}">
      <text>
        <r>
          <rPr>
            <b/>
            <sz val="9"/>
            <color indexed="81"/>
            <rFont val="Tahoma"/>
            <family val="2"/>
          </rPr>
          <t>Adrian Stone:</t>
        </r>
        <r>
          <rPr>
            <sz val="9"/>
            <color indexed="81"/>
            <rFont val="Tahoma"/>
            <family val="2"/>
          </rPr>
          <t xml:space="preserve">
This has to synchronise with the availability of hydrogen in TCH_SUP</t>
        </r>
      </text>
    </comment>
    <comment ref="AB24" authorId="2" shapeId="0" xr:uid="{72E22EBC-6F1C-44E6-9D37-6A2EDC68C4EF}">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33" authorId="1" shapeId="0" xr:uid="{00000000-0006-0000-2700-000005000000}">
      <text>
        <r>
          <rPr>
            <b/>
            <sz val="9"/>
            <color indexed="81"/>
            <rFont val="Tahoma"/>
            <family val="2"/>
          </rPr>
          <t>Adrian Stone:</t>
        </r>
        <r>
          <rPr>
            <sz val="9"/>
            <color indexed="81"/>
            <rFont val="Tahoma"/>
            <family val="2"/>
          </rPr>
          <t xml:space="preserve">
This has to synchronise with the availability of hydrogen in TCH_SUP</t>
        </r>
      </text>
    </comment>
    <comment ref="AB34" authorId="3" shapeId="0" xr:uid="{68365649-69BE-42E1-A3D3-7826C339A4A4}">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42" authorId="4" shapeId="0" xr:uid="{78C9CCF7-1AE4-47F9-BE3C-84B6FCC19C48}">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50" authorId="5" shapeId="0" xr:uid="{B5986BBB-6093-45C3-916A-D12C4DF390D0}">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 ref="AB57" authorId="6" shapeId="0" xr:uid="{64B612B0-D55B-494B-89E6-694DC15724C6}">
      <text>
        <t>[Threaded comment]
Your version of Excel allows you to read this threaded comment; however, any edits to it will get removed if the file is opened in a newer version of Excel. Learn more: https://go.microsoft.com/fwlink/?linkid=870924
Comment:
    Turned off for now until biofuel supply chain is put back into model.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tc={E43AA2CA-B5FD-4AAC-835C-3AD884B9CD3C}</author>
    <author>tc={19A277FB-E588-48E8-93FB-CDAEB3F0AD44}</author>
  </authors>
  <commentList>
    <comment ref="J14" authorId="0" shapeId="0" xr:uid="{E43AA2CA-B5FD-4AAC-835C-3AD884B9CD3C}">
      <text>
        <t>[Threaded comment]
Your version of Excel allows you to read this threaded comment; however, any edits to it will get removed if the file is opened in a newer version of Excel. Learn more: https://go.microsoft.com/fwlink/?linkid=870924
Comment:
    Taken from DMD_PRJ</t>
      </text>
    </comment>
    <comment ref="J16" authorId="1" shapeId="0" xr:uid="{19A277FB-E588-48E8-93FB-CDAEB3F0AD44}">
      <text>
        <t>[Threaded comment]
Your version of Excel allows you to read this threaded comment; however, any edits to it will get removed if the file is opened in a newer version of Excel. Learn more: https://go.microsoft.com/fwlink/?linkid=870924
Comment:
    Taken from DMD_PRJ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FAF44D12-FABA-4A88-8B5F-4283DCE5F67A}">
      <text>
        <r>
          <rPr>
            <b/>
            <sz val="9"/>
            <color indexed="81"/>
            <rFont val="Tahoma"/>
            <family val="2"/>
          </rPr>
          <t>Fadiel:</t>
        </r>
        <r>
          <rPr>
            <sz val="9"/>
            <color indexed="81"/>
            <rFont val="Tahoma"/>
            <family val="2"/>
          </rPr>
          <t xml:space="preserve">
Paste from Analytica
</t>
        </r>
      </text>
    </comment>
    <comment ref="M35" authorId="1" shapeId="0" xr:uid="{00000000-0006-0000-1800-000001000000}">
      <text>
        <r>
          <rPr>
            <b/>
            <sz val="8"/>
            <color indexed="81"/>
            <rFont val="Tahoma"/>
            <family val="2"/>
          </rPr>
          <t>Bruno Merven:</t>
        </r>
        <r>
          <rPr>
            <sz val="8"/>
            <color indexed="81"/>
            <rFont val="Tahoma"/>
            <family val="2"/>
          </rPr>
          <t xml:space="preserve">
A. Stone/LTMS</t>
        </r>
      </text>
    </comment>
    <comment ref="AE35" authorId="1" shapeId="0" xr:uid="{00000000-0006-0000-1800-000002000000}">
      <text>
        <r>
          <rPr>
            <b/>
            <sz val="8"/>
            <color indexed="81"/>
            <rFont val="Tahoma"/>
            <family val="2"/>
          </rPr>
          <t>Bruno Merven:</t>
        </r>
        <r>
          <rPr>
            <sz val="8"/>
            <color indexed="81"/>
            <rFont val="Tahoma"/>
            <family val="2"/>
          </rPr>
          <t xml:space="preserve">
SOL rural+urban - seems a bit high!
</t>
        </r>
      </text>
    </comment>
    <comment ref="M36" authorId="1" shapeId="0" xr:uid="{00000000-0006-0000-1800-000003000000}">
      <text>
        <r>
          <rPr>
            <b/>
            <sz val="8"/>
            <color indexed="81"/>
            <rFont val="Tahoma"/>
            <family val="2"/>
          </rPr>
          <t>Bruno Merven:</t>
        </r>
        <r>
          <rPr>
            <sz val="8"/>
            <color indexed="81"/>
            <rFont val="Tahoma"/>
            <family val="2"/>
          </rPr>
          <t xml:space="preserve">
A. Stone/LTMS</t>
        </r>
      </text>
    </comment>
    <comment ref="AE38" authorId="1" shapeId="0" xr:uid="{00000000-0006-0000-1800-000004000000}">
      <text>
        <r>
          <rPr>
            <b/>
            <sz val="8"/>
            <color indexed="81"/>
            <rFont val="Tahoma"/>
            <family val="2"/>
          </rPr>
          <t>Bruno Merven:</t>
        </r>
        <r>
          <rPr>
            <sz val="8"/>
            <color indexed="81"/>
            <rFont val="Tahoma"/>
            <family val="2"/>
          </rPr>
          <t xml:space="preserve">
SOL (urban+rural)</t>
        </r>
      </text>
    </comment>
    <comment ref="P41" authorId="0" shapeId="0" xr:uid="{D2A237CB-438E-4187-AB4E-E8D78BCCDC54}">
      <text>
        <r>
          <rPr>
            <b/>
            <sz val="9"/>
            <color indexed="81"/>
            <rFont val="Tahoma"/>
            <family val="2"/>
          </rPr>
          <t>Fadiel:</t>
        </r>
        <r>
          <rPr>
            <sz val="9"/>
            <color indexed="81"/>
            <rFont val="Tahoma"/>
            <family val="2"/>
          </rPr>
          <t xml:space="preserve">
calculated from Transnet ARs
</t>
        </r>
      </text>
    </comment>
    <comment ref="AD41" authorId="1" shapeId="0" xr:uid="{00000000-0006-0000-1800-000007000000}">
      <text>
        <r>
          <rPr>
            <b/>
            <sz val="8"/>
            <color indexed="81"/>
            <rFont val="Tahoma"/>
            <family val="2"/>
          </rPr>
          <t>Bruno Merven:</t>
        </r>
        <r>
          <rPr>
            <sz val="8"/>
            <color indexed="81"/>
            <rFont val="Tahoma"/>
            <family val="2"/>
          </rPr>
          <t xml:space="preserve">
SOL</t>
        </r>
      </text>
    </comment>
    <comment ref="AE44" authorId="2" shapeId="0" xr:uid="{00000000-0006-0000-1800-000008000000}">
      <text>
        <r>
          <rPr>
            <b/>
            <sz val="12"/>
            <color indexed="81"/>
            <rFont val="Tahoma"/>
            <family val="2"/>
          </rPr>
          <t>fadiel:</t>
        </r>
        <r>
          <rPr>
            <sz val="12"/>
            <color indexed="81"/>
            <rFont val="Tahoma"/>
            <family val="2"/>
          </rPr>
          <t xml:space="preserve">
from transnet 2011/12 AR</t>
        </r>
      </text>
    </comment>
    <comment ref="L73" authorId="1" shapeId="0" xr:uid="{00000000-0006-0000-1800-000009000000}">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00000000-0006-0000-1800-00000A000000}">
      <text>
        <r>
          <rPr>
            <b/>
            <sz val="8"/>
            <color indexed="81"/>
            <rFont val="Tahoma"/>
            <family val="2"/>
          </rPr>
          <t>Bruno Merven:</t>
        </r>
        <r>
          <rPr>
            <sz val="8"/>
            <color indexed="81"/>
            <rFont val="Tahoma"/>
            <family val="2"/>
          </rPr>
          <t xml:space="preserve">
World Bank 2007</t>
        </r>
      </text>
    </comment>
    <comment ref="K74" authorId="1" shapeId="0" xr:uid="{00000000-0006-0000-1800-00000B000000}">
      <text>
        <r>
          <rPr>
            <b/>
            <sz val="8"/>
            <color indexed="81"/>
            <rFont val="Tahoma"/>
            <family val="2"/>
          </rPr>
          <t>Bruno Merven:</t>
        </r>
        <r>
          <rPr>
            <sz val="8"/>
            <color indexed="81"/>
            <rFont val="Tahoma"/>
            <family val="2"/>
          </rPr>
          <t xml:space="preserve">
rough guess</t>
        </r>
      </text>
    </comment>
    <comment ref="L75" authorId="1" shapeId="0" xr:uid="{00000000-0006-0000-1800-00000C000000}">
      <text>
        <r>
          <rPr>
            <b/>
            <sz val="8"/>
            <color indexed="81"/>
            <rFont val="Tahoma"/>
            <family val="2"/>
          </rPr>
          <t>Bruno Merven:</t>
        </r>
        <r>
          <rPr>
            <sz val="8"/>
            <color indexed="81"/>
            <rFont val="Tahoma"/>
            <family val="2"/>
          </rPr>
          <t xml:space="preserve">
currently excludes pkm by air</t>
        </r>
      </text>
    </comment>
    <comment ref="H86" authorId="1" shapeId="0" xr:uid="{00000000-0006-0000-1800-00000D000000}">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00000000-0006-0000-1800-00000E000000}">
      <text>
        <r>
          <rPr>
            <b/>
            <sz val="8"/>
            <color indexed="81"/>
            <rFont val="Tahoma"/>
            <family val="2"/>
          </rPr>
          <t>Bruno Merven:</t>
        </r>
        <r>
          <rPr>
            <sz val="8"/>
            <color indexed="81"/>
            <rFont val="Tahoma"/>
            <family val="2"/>
          </rPr>
          <t xml:space="preserve">
household survey</t>
        </r>
      </text>
    </comment>
    <comment ref="M86" authorId="1" shapeId="0" xr:uid="{00000000-0006-0000-1800-00000F000000}">
      <text>
        <r>
          <rPr>
            <b/>
            <sz val="8"/>
            <color indexed="81"/>
            <rFont val="Tahoma"/>
            <family val="2"/>
          </rPr>
          <t>Bruno Merven:</t>
        </r>
        <r>
          <rPr>
            <sz val="8"/>
            <color indexed="81"/>
            <rFont val="Tahoma"/>
            <family val="2"/>
          </rPr>
          <t xml:space="preserve">
hh travel survey 2013 reports 28% of hh witha car </t>
        </r>
      </text>
    </comment>
    <comment ref="J89" authorId="1" shapeId="0" xr:uid="{00000000-0006-0000-1800-000010000000}">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00000000-0006-0000-1800-000011000000}">
      <text>
        <r>
          <rPr>
            <b/>
            <sz val="8"/>
            <color indexed="81"/>
            <rFont val="Tahoma"/>
            <family val="2"/>
          </rPr>
          <t>ESAP PC:</t>
        </r>
        <r>
          <rPr>
            <sz val="8"/>
            <color indexed="81"/>
            <rFont val="Tahoma"/>
            <family val="2"/>
          </rPr>
          <t xml:space="preserve">
tkm scenarios_v3</t>
        </r>
      </text>
    </comment>
    <comment ref="A151" authorId="2" shapeId="0" xr:uid="{00000000-0006-0000-1800-000012000000}">
      <text>
        <r>
          <rPr>
            <b/>
            <sz val="8"/>
            <color indexed="81"/>
            <rFont val="Tahoma"/>
            <family val="2"/>
          </rPr>
          <t>ESAP PC:</t>
        </r>
        <r>
          <rPr>
            <sz val="8"/>
            <color indexed="81"/>
            <rFont val="Tahoma"/>
            <family val="2"/>
          </rPr>
          <t xml:space="preserve">
SATIM FDM DOE SAPIA Calibration_v2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tc={45C2A14A-B8D5-4605-A709-8EF0953E0F6A}</author>
    <author>tc={669BCC52-1FB5-4CC5-98D7-3E790FD3CD48}</author>
    <author>tc={A6B8E6FA-85ED-4700-AD91-B23BA75C01C6}</author>
    <author>tc={75A3EE4F-C2DD-44EA-811F-D2F17C67983C}</author>
    <author>tc={D1495310-FAB4-48D1-8FE6-7B8AFD5A8D1A}</author>
    <author>tc={1C443AC1-3374-4835-9606-52C0B9EE4125}</author>
    <author>Fadiel Ahjum</author>
    <author>Fadiel</author>
    <author>tc={9C0011DF-DB8A-4C02-8858-5758245A62D4}</author>
  </authors>
  <commentList>
    <comment ref="AI69" authorId="0" shapeId="0" xr:uid="{45C2A14A-B8D5-4605-A709-8EF0953E0F6A}">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69BCC52-1FB5-4CC5-98D7-3E790FD3CD48}">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A6B8E6FA-85ED-4700-AD91-B23BA75C01C6}">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75A3EE4F-C2DD-44EA-811F-D2F17C67983C}">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D1495310-FAB4-48D1-8FE6-7B8AFD5A8D1A}">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1C443AC1-3374-4835-9606-52C0B9EE4125}">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00000000-0006-0000-0200-000003000000}">
      <text>
        <r>
          <rPr>
            <b/>
            <sz val="9"/>
            <color indexed="81"/>
            <rFont val="Tahoma"/>
            <family val="2"/>
          </rPr>
          <t>Fadiel Ahjum:</t>
        </r>
        <r>
          <rPr>
            <sz val="9"/>
            <color indexed="81"/>
            <rFont val="Tahoma"/>
            <family val="2"/>
          </rPr>
          <t xml:space="preserve">
</t>
        </r>
      </text>
    </comment>
    <comment ref="BL126" authorId="7" shapeId="0" xr:uid="{3AA41FC9-4FB1-41F0-BD68-A5C72E8A7AC0}">
      <text>
        <r>
          <rPr>
            <b/>
            <sz val="9"/>
            <color indexed="81"/>
            <rFont val="Tahoma"/>
            <family val="2"/>
          </rPr>
          <t>Fadiel:</t>
        </r>
        <r>
          <rPr>
            <sz val="9"/>
            <color indexed="81"/>
            <rFont val="Tahoma"/>
            <family val="2"/>
          </rPr>
          <t xml:space="preserve">
Transnet SR (2017)</t>
        </r>
      </text>
    </comment>
    <comment ref="BM126" authorId="6" shapeId="0" xr:uid="{00000000-0006-0000-0200-000004000000}">
      <text>
        <r>
          <rPr>
            <b/>
            <sz val="9"/>
            <color indexed="81"/>
            <rFont val="Tahoma"/>
            <family val="2"/>
          </rPr>
          <t>Fadiel Ahjum:</t>
        </r>
        <r>
          <rPr>
            <sz val="9"/>
            <color indexed="81"/>
            <rFont val="Tahoma"/>
            <family val="2"/>
          </rPr>
          <t xml:space="preserve">
Transnet 2019 AR</t>
        </r>
      </text>
    </comment>
    <comment ref="BK127" authorId="7" shapeId="0" xr:uid="{ACB40CD2-FE09-4BCC-95DB-61C61D028D34}">
      <text>
        <r>
          <rPr>
            <b/>
            <sz val="9"/>
            <color indexed="81"/>
            <rFont val="Tahoma"/>
            <family val="2"/>
          </rPr>
          <t>Fadiel:</t>
        </r>
        <r>
          <rPr>
            <sz val="9"/>
            <color indexed="81"/>
            <rFont val="Tahoma"/>
            <family val="2"/>
          </rPr>
          <t xml:space="preserve">
Transnet SR (2017)</t>
        </r>
      </text>
    </comment>
    <comment ref="BK129" authorId="7" shapeId="0" xr:uid="{474C9FA5-2542-4211-9465-43725453D5CF}">
      <text>
        <r>
          <rPr>
            <b/>
            <sz val="9"/>
            <color indexed="81"/>
            <rFont val="Tahoma"/>
            <family val="2"/>
          </rPr>
          <t>Fadiel:</t>
        </r>
        <r>
          <rPr>
            <sz val="9"/>
            <color indexed="81"/>
            <rFont val="Tahoma"/>
            <family val="2"/>
          </rPr>
          <t xml:space="preserve">
Transnet SR (2017)</t>
        </r>
      </text>
    </comment>
    <comment ref="BH132" authorId="8" shapeId="0" xr:uid="{9C0011DF-DB8A-4C02-8858-5758245A62D4}">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tc={41BF8AC2-2D84-49A8-AC29-622C839BA631}</author>
    <author>Fadiel</author>
    <author>fadiel</author>
    <author>ESAP PC</author>
    <author>TiisetsoM</author>
    <author>Fadiel Ahjum</author>
    <author>Adrian Stone</author>
    <author>Bruno Merven</author>
  </authors>
  <commentList>
    <comment ref="AU12" authorId="0" shapeId="0" xr:uid="{41BF8AC2-2D84-49A8-AC29-622C839BA631}">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C3DAD1CB-CAAC-4DF9-84CC-CEB1FFB70ABE}">
      <text>
        <r>
          <rPr>
            <b/>
            <sz val="9"/>
            <color indexed="81"/>
            <rFont val="Tahoma"/>
            <family val="2"/>
          </rPr>
          <t>Fadiel:</t>
        </r>
        <r>
          <rPr>
            <sz val="9"/>
            <color indexed="81"/>
            <rFont val="Tahoma"/>
            <family val="2"/>
          </rPr>
          <t xml:space="preserve">
Manually adjusted for zero residual capacity in 2050</t>
        </r>
      </text>
    </comment>
    <comment ref="AQ14" authorId="2" shapeId="0" xr:uid="{00000000-0006-0000-2300-000001000000}">
      <text>
        <r>
          <rPr>
            <b/>
            <sz val="9"/>
            <color indexed="81"/>
            <rFont val="Tahoma"/>
            <family val="2"/>
          </rPr>
          <t>fadiel:</t>
        </r>
        <r>
          <rPr>
            <sz val="9"/>
            <color indexed="81"/>
            <rFont val="Tahoma"/>
            <family val="2"/>
          </rPr>
          <t xml:space="preserve">
NAAMSA Aggregated National ?</t>
        </r>
      </text>
    </comment>
    <comment ref="AZ14" authorId="2" shapeId="0" xr:uid="{00000000-0006-0000-2300-000002000000}">
      <text>
        <r>
          <rPr>
            <b/>
            <sz val="9"/>
            <color indexed="81"/>
            <rFont val="Tahoma"/>
            <family val="2"/>
          </rPr>
          <t>fadiel:</t>
        </r>
        <r>
          <rPr>
            <sz val="9"/>
            <color indexed="81"/>
            <rFont val="Tahoma"/>
            <family val="2"/>
          </rPr>
          <t xml:space="preserve">
NAAMSA Aggregated National &amp; Analytica</t>
        </r>
      </text>
    </comment>
    <comment ref="H16" authorId="3" shapeId="0" xr:uid="{00000000-0006-0000-2300-000003000000}">
      <text>
        <r>
          <rPr>
            <b/>
            <sz val="8"/>
            <color indexed="81"/>
            <rFont val="Tahoma"/>
            <family val="2"/>
          </rPr>
          <t>fadiel</t>
        </r>
        <r>
          <rPr>
            <sz val="12"/>
            <color indexed="81"/>
            <rFont val="Tahoma"/>
            <family val="2"/>
          </rPr>
          <t xml:space="preserve">
duplicate years  to account for  external ly linked formulae</t>
        </r>
      </text>
    </comment>
    <comment ref="Y53" authorId="4" shapeId="0" xr:uid="{00000000-0006-0000-2300-000004000000}">
      <text>
        <r>
          <rPr>
            <b/>
            <sz val="9"/>
            <color indexed="81"/>
            <rFont val="Tahoma"/>
            <family val="2"/>
          </rPr>
          <t>TiisetsoM:</t>
        </r>
        <r>
          <rPr>
            <sz val="9"/>
            <color indexed="81"/>
            <rFont val="Tahoma"/>
            <family val="2"/>
          </rPr>
          <t xml:space="preserve">
reference
</t>
        </r>
      </text>
    </comment>
    <comment ref="Z53" authorId="3" shapeId="0" xr:uid="{00000000-0006-0000-2300-000005000000}">
      <text>
        <r>
          <rPr>
            <b/>
            <sz val="9"/>
            <color indexed="81"/>
            <rFont val="Tahoma"/>
            <family val="2"/>
          </rPr>
          <t>ESAP PC:</t>
        </r>
        <r>
          <rPr>
            <sz val="9"/>
            <color indexed="81"/>
            <rFont val="Tahoma"/>
            <family val="2"/>
          </rPr>
          <t xml:space="preserve">
EFF scenario</t>
        </r>
      </text>
    </comment>
    <comment ref="AX55" authorId="5" shapeId="0" xr:uid="{00000000-0006-0000-2300-000006000000}">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00000000-0006-0000-2300-000007000000}">
      <text>
        <r>
          <rPr>
            <b/>
            <sz val="9"/>
            <color indexed="81"/>
            <rFont val="Tahoma"/>
            <family val="2"/>
          </rPr>
          <t>Fadiel Ahjum:</t>
        </r>
        <r>
          <rPr>
            <sz val="9"/>
            <color indexed="81"/>
            <rFont val="Tahoma"/>
            <family val="2"/>
          </rPr>
          <t xml:space="preserve">
search parameter
</t>
        </r>
      </text>
    </comment>
    <comment ref="AX56" authorId="5" shapeId="0" xr:uid="{00000000-0006-0000-2300-000008000000}">
      <text>
        <r>
          <rPr>
            <sz val="9"/>
            <color indexed="81"/>
            <rFont val="Tahoma"/>
            <family val="2"/>
          </rPr>
          <t>fadiel:
Adrian's worksheet:EV OM Costs_v2 (maintenance)</t>
        </r>
      </text>
    </comment>
    <comment ref="Y57" authorId="4" shapeId="0" xr:uid="{00000000-0006-0000-2300-000009000000}">
      <text>
        <r>
          <rPr>
            <b/>
            <sz val="9"/>
            <color indexed="81"/>
            <rFont val="Tahoma"/>
            <family val="2"/>
          </rPr>
          <t>TiisetsoM:</t>
        </r>
        <r>
          <rPr>
            <sz val="9"/>
            <color indexed="81"/>
            <rFont val="Tahoma"/>
            <family val="2"/>
          </rPr>
          <t xml:space="preserve">
reference
</t>
        </r>
      </text>
    </comment>
    <comment ref="Z57" authorId="3" shapeId="0" xr:uid="{00000000-0006-0000-2300-00000A000000}">
      <text>
        <r>
          <rPr>
            <b/>
            <sz val="9"/>
            <color indexed="81"/>
            <rFont val="Tahoma"/>
            <family val="2"/>
          </rPr>
          <t>ESAP PC:</t>
        </r>
        <r>
          <rPr>
            <sz val="9"/>
            <color indexed="81"/>
            <rFont val="Tahoma"/>
            <family val="2"/>
          </rPr>
          <t xml:space="preserve">
EFF scenario</t>
        </r>
      </text>
    </comment>
    <comment ref="AA58" authorId="2" shapeId="0" xr:uid="{00000000-0006-0000-2300-00000B000000}">
      <text>
        <r>
          <rPr>
            <b/>
            <sz val="9"/>
            <color indexed="81"/>
            <rFont val="Tahoma"/>
            <family val="2"/>
          </rPr>
          <t>fadiel:</t>
        </r>
        <r>
          <rPr>
            <sz val="9"/>
            <color indexed="81"/>
            <rFont val="Tahoma"/>
            <family val="2"/>
          </rPr>
          <t xml:space="preserve">
using AEA 2010 values
</t>
        </r>
      </text>
    </comment>
    <comment ref="S61" authorId="6" shapeId="0" xr:uid="{00000000-0006-0000-2300-00000C000000}">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00000000-0006-0000-2300-00000D000000}">
      <text>
        <r>
          <rPr>
            <b/>
            <sz val="9"/>
            <color indexed="81"/>
            <rFont val="Tahoma"/>
            <family val="2"/>
          </rPr>
          <t xml:space="preserve">fadiel:
Adrian's WIDER study.
</t>
        </r>
      </text>
    </comment>
    <comment ref="S64" authorId="7" shapeId="0" xr:uid="{00000000-0006-0000-2300-00000E000000}">
      <text>
        <r>
          <rPr>
            <b/>
            <sz val="8"/>
            <color indexed="81"/>
            <rFont val="Tahoma"/>
            <family val="2"/>
          </rPr>
          <t>Bruno Merven:</t>
        </r>
        <r>
          <rPr>
            <sz val="8"/>
            <color indexed="81"/>
            <rFont val="Tahoma"/>
            <family val="2"/>
          </rPr>
          <t xml:space="preserve">
based on US data</t>
        </r>
      </text>
    </comment>
    <comment ref="S65" authorId="6" shapeId="0" xr:uid="{00000000-0006-0000-2300-00000F000000}">
      <text>
        <r>
          <rPr>
            <b/>
            <sz val="9"/>
            <color indexed="81"/>
            <rFont val="Tahoma"/>
            <family val="2"/>
          </rPr>
          <t>Adrian Stone:</t>
        </r>
        <r>
          <rPr>
            <sz val="9"/>
            <color indexed="81"/>
            <rFont val="Tahoma"/>
            <family val="2"/>
          </rPr>
          <t xml:space="preserve">
l/100km diesel</t>
        </r>
      </text>
    </comment>
    <comment ref="S66" authorId="7" shapeId="0" xr:uid="{00000000-0006-0000-2300-000010000000}">
      <text>
        <r>
          <rPr>
            <b/>
            <sz val="8"/>
            <color indexed="81"/>
            <rFont val="Tahoma"/>
            <family val="2"/>
          </rPr>
          <t>Bruno Merven:</t>
        </r>
        <r>
          <rPr>
            <sz val="8"/>
            <color indexed="81"/>
            <rFont val="Tahoma"/>
            <family val="2"/>
          </rPr>
          <t xml:space="preserve">
based on US data</t>
        </r>
      </text>
    </comment>
    <comment ref="S68" authorId="3" shapeId="0" xr:uid="{00000000-0006-0000-2300-000011000000}">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00000000-0006-0000-2300-000012000000}">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00000000-0006-0000-2300-000013000000}">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00000000-0006-0000-2300-000014000000}">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00000000-0006-0000-2300-000015000000}">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00000000-0006-0000-2300-000016000000}">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00000000-0006-0000-2300-000017000000}">
      <text>
        <r>
          <rPr>
            <b/>
            <sz val="9"/>
            <color indexed="81"/>
            <rFont val="Tahoma"/>
            <family val="2"/>
          </rPr>
          <t>TiisetsoM:</t>
        </r>
        <r>
          <rPr>
            <sz val="9"/>
            <color indexed="81"/>
            <rFont val="Tahoma"/>
            <family val="2"/>
          </rPr>
          <t xml:space="preserve">
Based on US Data
</t>
        </r>
      </text>
    </comment>
    <comment ref="S83" authorId="4" shapeId="0" xr:uid="{00000000-0006-0000-2300-000018000000}">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0000000-0006-0000-2300-000019000000}">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8" authorId="7" shapeId="0" xr:uid="{00000000-0006-0000-2300-00001A000000}">
      <text>
        <r>
          <rPr>
            <b/>
            <sz val="8"/>
            <color indexed="81"/>
            <rFont val="Tahoma"/>
            <family val="2"/>
          </rPr>
          <t>Bruno Merven:</t>
        </r>
        <r>
          <rPr>
            <sz val="8"/>
            <color indexed="81"/>
            <rFont val="Tahoma"/>
            <family val="2"/>
          </rPr>
          <t xml:space="preserve">
Adjusted manually to match SUV ratios</t>
        </r>
      </text>
    </comment>
    <comment ref="AH108" authorId="7" shapeId="0" xr:uid="{00000000-0006-0000-2300-00001B000000}">
      <text>
        <r>
          <rPr>
            <b/>
            <sz val="8"/>
            <color indexed="81"/>
            <rFont val="Tahoma"/>
            <family val="2"/>
          </rPr>
          <t>Bruno Merven:</t>
        </r>
        <r>
          <rPr>
            <sz val="8"/>
            <color indexed="81"/>
            <rFont val="Tahoma"/>
            <family val="2"/>
          </rPr>
          <t xml:space="preserve">
Adjusted Manually to Match SUVs</t>
        </r>
      </text>
    </comment>
    <comment ref="S113" authorId="3" shapeId="0" xr:uid="{00000000-0006-0000-2300-00001C000000}">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14" authorId="7" shapeId="0" xr:uid="{00000000-0006-0000-2300-00001D000000}">
      <text>
        <r>
          <rPr>
            <b/>
            <sz val="8"/>
            <color indexed="81"/>
            <rFont val="Tahoma"/>
            <family val="2"/>
          </rPr>
          <t>Bruno Merven:</t>
        </r>
        <r>
          <rPr>
            <sz val="8"/>
            <color indexed="81"/>
            <rFont val="Tahoma"/>
            <family val="2"/>
          </rPr>
          <t xml:space="preserve">
based on US data</t>
        </r>
      </text>
    </comment>
    <comment ref="S118" authorId="6" shapeId="0" xr:uid="{00000000-0006-0000-2300-00001E000000}">
      <text>
        <r>
          <rPr>
            <b/>
            <sz val="9"/>
            <color indexed="81"/>
            <rFont val="Tahoma"/>
            <family val="2"/>
          </rPr>
          <t>Adrian Stone:</t>
        </r>
        <r>
          <rPr>
            <sz val="9"/>
            <color indexed="81"/>
            <rFont val="Tahoma"/>
            <family val="2"/>
          </rPr>
          <t xml:space="preserve">
No Data - assumed proportional to relative fuel economy of FCV pass cars</t>
        </r>
      </text>
    </comment>
    <comment ref="S121" authorId="7" shapeId="0" xr:uid="{00000000-0006-0000-2300-00001F000000}">
      <text>
        <r>
          <rPr>
            <b/>
            <sz val="8"/>
            <color indexed="81"/>
            <rFont val="Tahoma"/>
            <family val="2"/>
          </rPr>
          <t>Bruno Merven:</t>
        </r>
        <r>
          <rPr>
            <sz val="8"/>
            <color indexed="81"/>
            <rFont val="Tahoma"/>
            <family val="2"/>
          </rPr>
          <t xml:space="preserve">
based on US data</t>
        </r>
      </text>
    </comment>
    <comment ref="S125" authorId="6" shapeId="0" xr:uid="{00000000-0006-0000-2300-000020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6" authorId="6" shapeId="0" xr:uid="{00000000-0006-0000-2300-000021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33" authorId="7" shapeId="0" xr:uid="{00000000-0006-0000-2300-000022000000}">
      <text>
        <r>
          <rPr>
            <b/>
            <sz val="8"/>
            <color indexed="81"/>
            <rFont val="Tahoma"/>
            <family val="2"/>
          </rPr>
          <t>Bruno Merven:</t>
        </r>
        <r>
          <rPr>
            <sz val="8"/>
            <color indexed="81"/>
            <rFont val="Tahoma"/>
            <family val="2"/>
          </rPr>
          <t xml:space="preserve">
scaled from Cars</t>
        </r>
      </text>
    </comment>
    <comment ref="S135" authorId="7" shapeId="0" xr:uid="{00000000-0006-0000-2300-000023000000}">
      <text>
        <r>
          <rPr>
            <b/>
            <sz val="8"/>
            <color indexed="81"/>
            <rFont val="Tahoma"/>
            <family val="2"/>
          </rPr>
          <t>Bruno Merven:</t>
        </r>
        <r>
          <rPr>
            <sz val="8"/>
            <color indexed="81"/>
            <rFont val="Tahoma"/>
            <family val="2"/>
          </rPr>
          <t xml:space="preserve">
scaled from Cars</t>
        </r>
      </text>
    </comment>
    <comment ref="U135" authorId="7" shapeId="0" xr:uid="{00000000-0006-0000-2300-000024000000}">
      <text>
        <r>
          <rPr>
            <b/>
            <sz val="8"/>
            <color indexed="81"/>
            <rFont val="Tahoma"/>
            <family val="2"/>
          </rPr>
          <t>Bruno Merven:</t>
        </r>
        <r>
          <rPr>
            <sz val="8"/>
            <color indexed="81"/>
            <rFont val="Tahoma"/>
            <family val="2"/>
          </rPr>
          <t xml:space="preserve">
scaled from Cars</t>
        </r>
      </text>
    </comment>
    <comment ref="V135" authorId="7" shapeId="0" xr:uid="{00000000-0006-0000-2300-000025000000}">
      <text>
        <r>
          <rPr>
            <b/>
            <sz val="8"/>
            <color indexed="81"/>
            <rFont val="Tahoma"/>
            <family val="2"/>
          </rPr>
          <t>Bruno Merven:</t>
        </r>
        <r>
          <rPr>
            <sz val="8"/>
            <color indexed="81"/>
            <rFont val="Tahoma"/>
            <family val="2"/>
          </rPr>
          <t xml:space="preserve">
scaled from Cars</t>
        </r>
      </text>
    </comment>
    <comment ref="W135" authorId="7" shapeId="0" xr:uid="{00000000-0006-0000-2300-000026000000}">
      <text>
        <r>
          <rPr>
            <b/>
            <sz val="8"/>
            <color indexed="81"/>
            <rFont val="Tahoma"/>
            <family val="2"/>
          </rPr>
          <t>Bruno Merven:</t>
        </r>
        <r>
          <rPr>
            <sz val="8"/>
            <color indexed="81"/>
            <rFont val="Tahoma"/>
            <family val="2"/>
          </rPr>
          <t xml:space="preserve">
scaled from Cars</t>
        </r>
      </text>
    </comment>
    <comment ref="X135" authorId="7" shapeId="0" xr:uid="{00000000-0006-0000-2300-000027000000}">
      <text>
        <r>
          <rPr>
            <b/>
            <sz val="8"/>
            <color indexed="81"/>
            <rFont val="Tahoma"/>
            <family val="2"/>
          </rPr>
          <t>Bruno Merven:</t>
        </r>
        <r>
          <rPr>
            <sz val="8"/>
            <color indexed="81"/>
            <rFont val="Tahoma"/>
            <family val="2"/>
          </rPr>
          <t xml:space="preserve">
scaled from Cars</t>
        </r>
      </text>
    </comment>
    <comment ref="B137" authorId="3" shapeId="0" xr:uid="{00000000-0006-0000-2300-000028000000}">
      <text>
        <r>
          <rPr>
            <b/>
            <sz val="9"/>
            <color indexed="81"/>
            <rFont val="Tahoma"/>
            <family val="2"/>
          </rPr>
          <t>ESAP PC:</t>
        </r>
        <r>
          <rPr>
            <sz val="9"/>
            <color indexed="81"/>
            <rFont val="Tahoma"/>
            <family val="2"/>
          </rPr>
          <t xml:space="preserve">
Get data from Adrian (treasury study)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tc={9E8C28E8-1EF5-4168-8CAC-1B464E32FBF2}</author>
    <author>tc={1C205545-4B1D-460F-B600-73A6AF8C13A5}</author>
    <author>tc={C06AB8DB-BF19-45BB-9878-3BEF31AF4D3B}</author>
    <author>tc={B145FC4B-A8C0-4D98-A708-25F02365CC9C}</author>
    <author>tc={3DD77A3B-7073-4DBD-8F36-00840457D557}</author>
    <author>tc={7555FA29-3561-4436-BC88-FA817888949B}</author>
    <author>tc={E24D87DA-40FF-48A0-95B8-D43BC7C38EF3}</author>
    <author>tc={8CA81508-80A8-4300-9A10-0FFA993D4FCD}</author>
  </authors>
  <commentList>
    <comment ref="AL6" authorId="0" shapeId="0" xr:uid="{410CC55C-456E-416E-A564-21128D6501A1}">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Q6" authorId="1" shapeId="0" xr:uid="{0D210A22-F54B-4D6F-AB3F-3BDCAC052E64}">
      <text>
        <r>
          <rPr>
            <b/>
            <sz val="9"/>
            <color indexed="81"/>
            <rFont val="Tahoma"/>
            <family val="2"/>
          </rPr>
          <t>Fadiel:</t>
        </r>
        <r>
          <rPr>
            <sz val="9"/>
            <color indexed="81"/>
            <rFont val="Tahoma"/>
            <family val="2"/>
          </rPr>
          <t xml:space="preserve">
</t>
        </r>
      </text>
    </comment>
    <comment ref="AL7" authorId="2" shapeId="0" xr:uid="{F95DA8E9-3010-47AD-B110-3F6ADF84BFBD}">
      <text>
        <r>
          <rPr>
            <b/>
            <sz val="9"/>
            <color indexed="81"/>
            <rFont val="Tahoma"/>
            <family val="2"/>
          </rPr>
          <t>ESAP PC:</t>
        </r>
        <r>
          <rPr>
            <sz val="9"/>
            <color indexed="81"/>
            <rFont val="Tahoma"/>
            <family val="2"/>
          </rPr>
          <t xml:space="preserve">
EFF scenario</t>
        </r>
      </text>
    </comment>
    <comment ref="AQ7" authorId="1" shapeId="0" xr:uid="{5E14DC95-F96C-4E84-9A43-2BD6510A0AD3}">
      <text>
        <r>
          <rPr>
            <b/>
            <sz val="9"/>
            <color indexed="81"/>
            <rFont val="Tahoma"/>
            <family val="2"/>
          </rPr>
          <t>Fadiel:</t>
        </r>
        <r>
          <rPr>
            <sz val="9"/>
            <color indexed="81"/>
            <rFont val="Tahoma"/>
            <family val="2"/>
          </rPr>
          <t xml:space="preserve">
</t>
        </r>
      </text>
    </comment>
    <comment ref="AQ11" authorId="1" shapeId="0" xr:uid="{01157E26-C0A2-4877-A7F9-420DB97ADFD9}">
      <text>
        <r>
          <rPr>
            <b/>
            <sz val="9"/>
            <color indexed="81"/>
            <rFont val="Tahoma"/>
            <family val="2"/>
          </rPr>
          <t>Fadiel:</t>
        </r>
        <r>
          <rPr>
            <sz val="9"/>
            <color indexed="81"/>
            <rFont val="Tahoma"/>
            <family val="2"/>
          </rPr>
          <t xml:space="preserve">
</t>
        </r>
      </text>
    </comment>
    <comment ref="AL12" authorId="2" shapeId="0" xr:uid="{3B86BC4A-7429-48B1-A634-7223AE84AB7D}">
      <text>
        <r>
          <rPr>
            <b/>
            <sz val="9"/>
            <color indexed="81"/>
            <rFont val="Tahoma"/>
            <family val="2"/>
          </rPr>
          <t>ESAP PC:</t>
        </r>
        <r>
          <rPr>
            <sz val="9"/>
            <color indexed="81"/>
            <rFont val="Tahoma"/>
            <family val="2"/>
          </rPr>
          <t xml:space="preserve">
EFF scenario</t>
        </r>
      </text>
    </comment>
    <comment ref="AQ12" authorId="1" shapeId="0" xr:uid="{6083C985-A3A4-45F5-A4E2-FB80041A7D74}">
      <text>
        <r>
          <rPr>
            <b/>
            <sz val="9"/>
            <color indexed="81"/>
            <rFont val="Tahoma"/>
            <family val="2"/>
          </rPr>
          <t>Fadiel:</t>
        </r>
        <r>
          <rPr>
            <sz val="9"/>
            <color indexed="81"/>
            <rFont val="Tahoma"/>
            <family val="2"/>
          </rPr>
          <t xml:space="preserve">
</t>
        </r>
      </text>
    </comment>
    <comment ref="AD15" authorId="3" shapeId="0" xr:uid="{E722CC56-DC96-4929-9EC0-A66E9B73ABC7}">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L15" authorId="3" shapeId="0" xr:uid="{DC5B2C6D-A074-4DFA-A34C-57D870BF1FDB}">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V19" authorId="4" shapeId="0" xr:uid="{9E8C28E8-1EF5-4168-8CAC-1B464E32FBF2}">
      <text>
        <t>[Threaded comment]
Your version of Excel allows you to read this threaded comment; however, any edits to it will get removed if the file is opened in a newer version of Excel. Learn more: https://go.microsoft.com/fwlink/?linkid=870924
Comment:
    Should be multiple of 5</t>
      </text>
    </comment>
    <comment ref="I20" authorId="2" shapeId="0" xr:uid="{B5C00BB0-E771-4F7B-AD4C-19CA1BDD46FC}">
      <text>
        <r>
          <rPr>
            <b/>
            <sz val="9"/>
            <color indexed="81"/>
            <rFont val="Tahoma"/>
            <family val="2"/>
          </rPr>
          <t>fadiel ESAP PC:</t>
        </r>
        <r>
          <rPr>
            <sz val="9"/>
            <color indexed="81"/>
            <rFont val="Tahoma"/>
            <family val="2"/>
          </rPr>
          <t xml:space="preserve">
?data  from NAAMSA 2006?
1.03 in AEA data (2012)</t>
        </r>
      </text>
    </comment>
    <comment ref="I21" authorId="3" shapeId="0" xr:uid="{BEDB6854-DFBC-4A1E-8DB9-D87704910D40}">
      <text>
        <r>
          <rPr>
            <b/>
            <sz val="9"/>
            <color indexed="81"/>
            <rFont val="Tahoma"/>
            <family val="2"/>
          </rPr>
          <t>Fadiel Ahjum:</t>
        </r>
        <r>
          <rPr>
            <sz val="9"/>
            <color indexed="81"/>
            <rFont val="Tahoma"/>
            <family val="2"/>
          </rPr>
          <t xml:space="preserve">
http://www.vw.co.za/en/models/polo/prices-and-options.html
midrange ~ R250k (2017)</t>
        </r>
      </text>
    </comment>
    <comment ref="AD22" authorId="2" shapeId="0" xr:uid="{B112A9CD-2C97-41E6-92B1-3DC0601F432A}">
      <text>
        <r>
          <rPr>
            <b/>
            <sz val="9"/>
            <color indexed="81"/>
            <rFont val="Tahoma"/>
            <family val="2"/>
          </rPr>
          <t>fadiel ESAP PC:</t>
        </r>
        <r>
          <rPr>
            <sz val="9"/>
            <color indexed="81"/>
            <rFont val="Tahoma"/>
            <family val="2"/>
          </rPr>
          <t xml:space="preserve">
1.03 in AEA data (2012)</t>
        </r>
      </text>
    </comment>
    <comment ref="U25" authorId="2" shapeId="0" xr:uid="{6FB9AD9C-072C-43A2-B4FC-7873F71D856D}">
      <text>
        <r>
          <rPr>
            <b/>
            <sz val="9"/>
            <color indexed="81"/>
            <rFont val="Tahoma"/>
            <family val="2"/>
          </rPr>
          <t>fadiel ESAP PC:</t>
        </r>
        <r>
          <rPr>
            <sz val="9"/>
            <color indexed="81"/>
            <rFont val="Tahoma"/>
            <family val="2"/>
          </rPr>
          <t xml:space="preserve">
how to model plugin-hybrids?</t>
        </r>
      </text>
    </comment>
    <comment ref="H26" authorId="2" shapeId="0" xr:uid="{6A18D7DF-49D6-4D6E-B5EE-3A4598C31DAE}">
      <text>
        <r>
          <rPr>
            <sz val="14"/>
            <color indexed="81"/>
            <rFont val="Tahoma"/>
            <family val="2"/>
          </rPr>
          <t>Entry level Nissan LEAF (2018)</t>
        </r>
      </text>
    </comment>
    <comment ref="I26" authorId="3" shapeId="0" xr:uid="{9EC7FD43-2D36-4074-9E26-3076A2A45788}">
      <text>
        <r>
          <rPr>
            <b/>
            <sz val="9"/>
            <color indexed="81"/>
            <rFont val="Tahoma"/>
            <family val="2"/>
          </rPr>
          <t>Fadiel Ahjum:</t>
        </r>
        <r>
          <rPr>
            <sz val="9"/>
            <color indexed="81"/>
            <rFont val="Tahoma"/>
            <family val="2"/>
          </rPr>
          <t xml:space="preserve">
https://www.carmag.co.za/new-cars/Nissan/Leaf/Prices-Specs</t>
        </r>
      </text>
    </comment>
    <comment ref="H27" authorId="2" shapeId="0" xr:uid="{845086A4-8821-46FA-A207-F372A9E3D077}">
      <text>
        <r>
          <rPr>
            <sz val="12"/>
            <color indexed="81"/>
            <rFont val="Tahoma"/>
            <family val="2"/>
          </rPr>
          <t>https://www.vw.co.za/en/models/polo.html
entry level polo  (2018)</t>
        </r>
      </text>
    </comment>
    <comment ref="AK27" authorId="1" shapeId="0" xr:uid="{C6A97AB0-7AE8-47DE-B943-80873A435542}">
      <text>
        <r>
          <rPr>
            <b/>
            <sz val="9"/>
            <color indexed="81"/>
            <rFont val="Tahoma"/>
            <family val="2"/>
          </rPr>
          <t>Fadiel:</t>
        </r>
        <r>
          <rPr>
            <sz val="9"/>
            <color indexed="81"/>
            <rFont val="Tahoma"/>
            <family val="2"/>
          </rPr>
          <t xml:space="preserve">
~15.8kwh/km
</t>
        </r>
      </text>
    </comment>
    <comment ref="AM27" authorId="3" shapeId="0" xr:uid="{FAA0AE67-D230-436E-B7CB-FBC3D77B0AC8}">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3A662200-B58A-49D3-8202-E08A5893990C}">
      <text>
        <r>
          <rPr>
            <b/>
            <sz val="9"/>
            <color indexed="81"/>
            <rFont val="Tahoma"/>
            <family val="2"/>
          </rPr>
          <t>Fadiel Ahjum:</t>
        </r>
        <r>
          <rPr>
            <sz val="9"/>
            <color indexed="81"/>
            <rFont val="Tahoma"/>
            <family val="2"/>
          </rPr>
          <t xml:space="preserve">
2017zar
</t>
        </r>
      </text>
    </comment>
    <comment ref="Q31" authorId="2" shapeId="0" xr:uid="{579AE9DF-AE48-43F8-BABD-588B3327F369}">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9B26337-BFD1-43E6-85E2-5C1E84F9ED8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5C5D6C51-37F0-4B7E-96DF-A3A1B8ED8202}">
      <text>
        <r>
          <rPr>
            <b/>
            <sz val="9"/>
            <color indexed="81"/>
            <rFont val="Tahoma"/>
            <family val="2"/>
          </rPr>
          <t>fadiel:</t>
        </r>
        <r>
          <rPr>
            <sz val="9"/>
            <color indexed="81"/>
            <rFont val="Tahoma"/>
            <family val="2"/>
          </rPr>
          <t xml:space="preserve">
Veh Parc Calibration TM.xls
NAAMSA Aggregated National</t>
        </r>
      </text>
    </comment>
    <comment ref="S60" authorId="3" shapeId="0" xr:uid="{6ACAABCF-A51C-446D-8264-CC87219CE79D}">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971993E6-CF1B-4BBE-B43F-08071FC7056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 ref="AE72" authorId="5" shapeId="0" xr:uid="{1C205545-4B1D-460F-B600-73A6AF8C13A5}">
      <text>
        <t>[Threaded comment]
Your version of Excel allows you to read this threaded comment; however, any edits to it will get removed if the file is opened in a newer version of Excel. Learn more: https://go.microsoft.com/fwlink/?linkid=870924
Comment:
    Hard coded fixes here for diesel small HCVs which are already cheaper than petrol</t>
      </text>
    </comment>
    <comment ref="AL89" authorId="6" shapeId="0" xr:uid="{C06AB8DB-BF19-45BB-9878-3BEF31AF4D3B}">
      <text>
        <t>[Threaded comment]
Your version of Excel allows you to read this threaded comment; however, any edits to it will get removed if the file is opened in a newer version of Excel. Learn more: https://go.microsoft.com/fwlink/?linkid=870924
Comment:
    Calibrated to HCV3 to save time… these spreadsheets need a comprehensive overhaul</t>
      </text>
    </comment>
    <comment ref="AL94" authorId="7" shapeId="0" xr:uid="{B145FC4B-A8C0-4D98-A708-25F02365CC9C}">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99" authorId="8" shapeId="0" xr:uid="{3DD77A3B-7073-4DBD-8F36-00840457D557}">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104" authorId="9" shapeId="0" xr:uid="{7555FA29-3561-4436-BC88-FA817888949B}">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109" authorId="10" shapeId="0" xr:uid="{E24D87DA-40FF-48A0-95B8-D43BC7C38EF3}">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 ref="AL114" authorId="11" shapeId="0" xr:uid="{8CA81508-80A8-4300-9A10-0FFA993D4FCD}">
      <text>
        <t>[Threaded comment]
Your version of Excel allows you to read this threaded comment; however, any edits to it will get removed if the file is opened in a newer version of Excel. Learn more: https://go.microsoft.com/fwlink/?linkid=870924
Comment:
    Hard coded to save time… these worksheets are a nightmare!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00000000-0006-0000-1500-000001000000}">
      <text>
        <r>
          <rPr>
            <sz val="12"/>
            <color indexed="81"/>
            <rFont val="Tahoma"/>
            <family val="2"/>
          </rPr>
          <t>Currency base year  converison occurs in TIMES import sheets</t>
        </r>
      </text>
    </comment>
    <comment ref="AI3" authorId="1" shapeId="0" xr:uid="{00000000-0006-0000-1500-000002000000}">
      <text>
        <r>
          <rPr>
            <b/>
            <sz val="9"/>
            <color indexed="81"/>
            <rFont val="Tahoma"/>
            <family val="2"/>
          </rPr>
          <t>Fadiel Ahjum:</t>
        </r>
        <r>
          <rPr>
            <sz val="9"/>
            <color indexed="81"/>
            <rFont val="Tahoma"/>
            <family val="2"/>
          </rPr>
          <t xml:space="preserve">
my assumption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tc={B91C91E8-4285-4F9B-92CE-677D1E14B3EB}</author>
    <author>tc={8C138D64-8B2E-493C-B8EA-A18E6CDA7FB2}</author>
    <author>tc={28A0C789-F0A0-4DCC-9169-B681EC4CA001}</author>
    <author>tc={2A72AB36-7B99-4B94-BFCB-98BA88DC5043}</author>
    <author>tc={498C836D-0208-45A8-8FCD-863043A61A47}</author>
    <author>tc={3424B723-874F-43F8-9FAA-590CD2A5EEE0}</author>
    <author>tc={8516D355-3956-4B06-BBED-4AF55E35E6DF}</author>
  </authors>
  <commentList>
    <comment ref="X23" authorId="0" shapeId="0" xr:uid="{B91C91E8-4285-4F9B-92CE-677D1E14B3EB}">
      <text>
        <t>[Threaded comment]
Your version of Excel allows you to read this threaded comment; however, any edits to it will get removed if the file is opened in a newer version of Excel. Learn more: https://go.microsoft.com/fwlink/?linkid=870924
Comment:
    Adjusted</t>
      </text>
    </comment>
    <comment ref="V62" authorId="1" shapeId="0" xr:uid="{8C138D64-8B2E-493C-B8EA-A18E6CDA7FB2}">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62" authorId="2" shapeId="0" xr:uid="{28A0C789-F0A0-4DCC-9169-B681EC4CA001}">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V74" authorId="3" shapeId="0" xr:uid="{2A72AB36-7B99-4B94-BFCB-98BA88DC5043}">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74" authorId="4" shapeId="0" xr:uid="{498C836D-0208-45A8-8FCD-863043A61A47}">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V86" authorId="5" shapeId="0" xr:uid="{3424B723-874F-43F8-9FAA-590CD2A5EEE0}">
      <text>
        <t>[Threaded comment]
Your version of Excel allows you to read this threaded comment; however, any edits to it will get removed if the file is opened in a newer version of Excel. Learn more: https://go.microsoft.com/fwlink/?linkid=870924
Comment:
    Calibrated backwards to 2010 based on Bus BEV</t>
      </text>
    </comment>
    <comment ref="W86" authorId="6" shapeId="0" xr:uid="{8516D355-3956-4B06-BBED-4AF55E35E6DF}">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A396723-4D1E-4533-A916-0F60CE900D34}">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8387EEBF-D470-48F3-8982-F8209ADC0F6C}">
      <text>
        <r>
          <rPr>
            <b/>
            <sz val="9"/>
            <color indexed="81"/>
            <rFont val="Tahoma"/>
            <family val="2"/>
          </rPr>
          <t>Fadiel:</t>
        </r>
        <r>
          <rPr>
            <sz val="9"/>
            <color indexed="81"/>
            <rFont val="Tahoma"/>
            <family val="2"/>
          </rPr>
          <t xml:space="preserve">
</t>
        </r>
      </text>
    </comment>
    <comment ref="AD7" authorId="2" shapeId="0" xr:uid="{B62E8AC7-2B5A-416E-B0EE-DF75E612FAA4}">
      <text>
        <r>
          <rPr>
            <b/>
            <sz val="9"/>
            <color indexed="81"/>
            <rFont val="Tahoma"/>
            <family val="2"/>
          </rPr>
          <t>ESAP PC:</t>
        </r>
        <r>
          <rPr>
            <sz val="9"/>
            <color indexed="81"/>
            <rFont val="Tahoma"/>
            <family val="2"/>
          </rPr>
          <t xml:space="preserve">
EFF scenario</t>
        </r>
      </text>
    </comment>
    <comment ref="AI7" authorId="1" shapeId="0" xr:uid="{07D1CF6F-95BB-47C2-BEA1-A6A501777724}">
      <text>
        <r>
          <rPr>
            <b/>
            <sz val="9"/>
            <color indexed="81"/>
            <rFont val="Tahoma"/>
            <family val="2"/>
          </rPr>
          <t>Fadiel:</t>
        </r>
        <r>
          <rPr>
            <sz val="9"/>
            <color indexed="81"/>
            <rFont val="Tahoma"/>
            <family val="2"/>
          </rPr>
          <t xml:space="preserve">
</t>
        </r>
      </text>
    </comment>
    <comment ref="AI11" authorId="1" shapeId="0" xr:uid="{B96F8731-C04F-412F-99C8-0B6B5DE61E73}">
      <text>
        <r>
          <rPr>
            <b/>
            <sz val="9"/>
            <color indexed="81"/>
            <rFont val="Tahoma"/>
            <family val="2"/>
          </rPr>
          <t>Fadiel:</t>
        </r>
        <r>
          <rPr>
            <sz val="9"/>
            <color indexed="81"/>
            <rFont val="Tahoma"/>
            <family val="2"/>
          </rPr>
          <t xml:space="preserve">
</t>
        </r>
      </text>
    </comment>
    <comment ref="AD12" authorId="2" shapeId="0" xr:uid="{8450796B-FF1C-4231-B49C-E0C3F45AD0E4}">
      <text>
        <r>
          <rPr>
            <b/>
            <sz val="9"/>
            <color indexed="81"/>
            <rFont val="Tahoma"/>
            <family val="2"/>
          </rPr>
          <t>ESAP PC:</t>
        </r>
        <r>
          <rPr>
            <sz val="9"/>
            <color indexed="81"/>
            <rFont val="Tahoma"/>
            <family val="2"/>
          </rPr>
          <t xml:space="preserve">
EFF scenario</t>
        </r>
      </text>
    </comment>
    <comment ref="AI12" authorId="1" shapeId="0" xr:uid="{B143B2F0-6087-48B3-B624-4BFF6E693E8B}">
      <text>
        <r>
          <rPr>
            <b/>
            <sz val="9"/>
            <color indexed="81"/>
            <rFont val="Tahoma"/>
            <family val="2"/>
          </rPr>
          <t>Fadiel:</t>
        </r>
        <r>
          <rPr>
            <sz val="9"/>
            <color indexed="81"/>
            <rFont val="Tahoma"/>
            <family val="2"/>
          </rPr>
          <t xml:space="preserve">
</t>
        </r>
      </text>
    </comment>
    <comment ref="V15" authorId="3" shapeId="0" xr:uid="{D1C0982A-8BA8-4A0C-B63F-66762CDEE6BC}">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CE3A4C0D-582B-4AC7-A67E-3FFF7B5FE64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9F4B92E2-9762-44AF-8D8B-DFBBF829178C}">
      <text>
        <r>
          <rPr>
            <b/>
            <sz val="9"/>
            <color indexed="81"/>
            <rFont val="Tahoma"/>
            <family val="2"/>
          </rPr>
          <t>fadiel ESAP PC:</t>
        </r>
        <r>
          <rPr>
            <sz val="9"/>
            <color indexed="81"/>
            <rFont val="Tahoma"/>
            <family val="2"/>
          </rPr>
          <t xml:space="preserve">
?data  from NAAMSA 2006?
1.03 in AEA data (2012)</t>
        </r>
      </text>
    </comment>
    <comment ref="I21" authorId="3" shapeId="0" xr:uid="{9B4AE50B-5662-4503-953C-E66D20AEFBC5}">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D59606F3-093B-42AF-B03C-2AA40FA7AABD}">
      <text>
        <r>
          <rPr>
            <b/>
            <sz val="9"/>
            <color indexed="81"/>
            <rFont val="Tahoma"/>
            <family val="2"/>
          </rPr>
          <t>fadiel ESAP PC:</t>
        </r>
        <r>
          <rPr>
            <sz val="9"/>
            <color indexed="81"/>
            <rFont val="Tahoma"/>
            <family val="2"/>
          </rPr>
          <t xml:space="preserve">
1.03 in AEA data (2012)</t>
        </r>
      </text>
    </comment>
    <comment ref="U25" authorId="2" shapeId="0" xr:uid="{0FF2BEC8-A201-49C4-840A-A956D20D0FEC}">
      <text>
        <r>
          <rPr>
            <b/>
            <sz val="9"/>
            <color indexed="81"/>
            <rFont val="Tahoma"/>
            <family val="2"/>
          </rPr>
          <t>fadiel ESAP PC:</t>
        </r>
        <r>
          <rPr>
            <sz val="9"/>
            <color indexed="81"/>
            <rFont val="Tahoma"/>
            <family val="2"/>
          </rPr>
          <t xml:space="preserve">
how to model plugin-hybrids?</t>
        </r>
      </text>
    </comment>
    <comment ref="H26" authorId="2" shapeId="0" xr:uid="{12DAE7AD-959A-4898-A63D-AC317CFA2613}">
      <text>
        <r>
          <rPr>
            <sz val="14"/>
            <color indexed="81"/>
            <rFont val="Tahoma"/>
            <family val="2"/>
          </rPr>
          <t>Entry level Nissan LEAF (2018)</t>
        </r>
      </text>
    </comment>
    <comment ref="I26" authorId="3" shapeId="0" xr:uid="{E76B0761-9F39-435F-84B6-3615D303D76C}">
      <text>
        <r>
          <rPr>
            <b/>
            <sz val="9"/>
            <color indexed="81"/>
            <rFont val="Tahoma"/>
            <family val="2"/>
          </rPr>
          <t>Fadiel Ahjum:</t>
        </r>
        <r>
          <rPr>
            <sz val="9"/>
            <color indexed="81"/>
            <rFont val="Tahoma"/>
            <family val="2"/>
          </rPr>
          <t xml:space="preserve">
https://www.carmag.co.za/new-cars/Nissan/Leaf/Prices-Specs</t>
        </r>
      </text>
    </comment>
    <comment ref="H27" authorId="2" shapeId="0" xr:uid="{BD31816B-3D82-4831-8D9F-F75F68023671}">
      <text>
        <r>
          <rPr>
            <sz val="12"/>
            <color indexed="81"/>
            <rFont val="Tahoma"/>
            <family val="2"/>
          </rPr>
          <t>https://www.vw.co.za/en/models/polo.html
entry level polo  (2018)</t>
        </r>
      </text>
    </comment>
    <comment ref="AC27" authorId="1" shapeId="0" xr:uid="{58C1A557-74E9-41BB-B6F3-BAE45D814B4D}">
      <text>
        <r>
          <rPr>
            <b/>
            <sz val="9"/>
            <color indexed="81"/>
            <rFont val="Tahoma"/>
            <family val="2"/>
          </rPr>
          <t>Fadiel:</t>
        </r>
        <r>
          <rPr>
            <sz val="9"/>
            <color indexed="81"/>
            <rFont val="Tahoma"/>
            <family val="2"/>
          </rPr>
          <t xml:space="preserve">
~15.8kwh/km
</t>
        </r>
      </text>
    </comment>
    <comment ref="AE27" authorId="3" shapeId="0" xr:uid="{1A007A34-9AA9-4D09-9544-4304B91D3804}">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ED0EE059-7A03-4F91-9ADD-68910BDD11BF}">
      <text>
        <r>
          <rPr>
            <b/>
            <sz val="9"/>
            <color indexed="81"/>
            <rFont val="Tahoma"/>
            <family val="2"/>
          </rPr>
          <t>Fadiel Ahjum:</t>
        </r>
        <r>
          <rPr>
            <sz val="9"/>
            <color indexed="81"/>
            <rFont val="Tahoma"/>
            <family val="2"/>
          </rPr>
          <t xml:space="preserve">
2017zar
</t>
        </r>
      </text>
    </comment>
    <comment ref="Q31" authorId="2" shapeId="0" xr:uid="{FA79FF04-116E-49A6-860C-B4A5A502021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C9E66B5A-7B3E-4A28-A49A-99F353E8D09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13CC1B38-07F8-4B0F-816D-924B32E541EE}">
      <text>
        <r>
          <rPr>
            <b/>
            <sz val="9"/>
            <color indexed="81"/>
            <rFont val="Tahoma"/>
            <family val="2"/>
          </rPr>
          <t>fadiel:</t>
        </r>
        <r>
          <rPr>
            <sz val="9"/>
            <color indexed="81"/>
            <rFont val="Tahoma"/>
            <family val="2"/>
          </rPr>
          <t xml:space="preserve">
Veh Parc Calibration TM.xls
NAAMSA Aggregated National</t>
        </r>
      </text>
    </comment>
    <comment ref="S60" authorId="3" shapeId="0" xr:uid="{AE634CB3-6ED1-4A2E-8BA1-41108C2DB0B8}">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54F3FE49-2E50-4F39-A77B-E978A97E11F8}">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AE23073C-3B4B-49E4-9510-5F5FD2D63FE6}">
      <text>
        <r>
          <rPr>
            <sz val="12"/>
            <color indexed="81"/>
            <rFont val="Tahoma"/>
            <family val="2"/>
          </rPr>
          <t>Currency base year  converison occurs in TIMES import sheets</t>
        </r>
      </text>
    </comment>
    <comment ref="AI3" authorId="1" shapeId="0" xr:uid="{74379144-D238-4DA0-BAA4-0BF6E4951DEE}">
      <text>
        <r>
          <rPr>
            <b/>
            <sz val="9"/>
            <color indexed="81"/>
            <rFont val="Tahoma"/>
            <family val="2"/>
          </rPr>
          <t>Fadiel Ahjum:</t>
        </r>
        <r>
          <rPr>
            <sz val="9"/>
            <color indexed="81"/>
            <rFont val="Tahoma"/>
            <family val="2"/>
          </rPr>
          <t xml:space="preserve">
my assumption</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fadiel</author>
    <author>TiisetsoM</author>
    <author>ESAP PC</author>
    <author>Fadiel Ahjum</author>
    <author>Fadiel</author>
  </authors>
  <commentList>
    <comment ref="AD6" authorId="0" shapeId="0" xr:uid="{8A1D1A85-85F1-4B01-AFFC-646E6225A815}">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H6" authorId="1" shapeId="0" xr:uid="{893F48F1-2AFE-4A0B-A950-4D801C032165}">
      <text>
        <r>
          <rPr>
            <b/>
            <sz val="9"/>
            <color indexed="81"/>
            <rFont val="Tahoma"/>
            <family val="2"/>
          </rPr>
          <t>TiisetsoM:</t>
        </r>
        <r>
          <rPr>
            <sz val="9"/>
            <color indexed="81"/>
            <rFont val="Tahoma"/>
            <family val="2"/>
          </rPr>
          <t xml:space="preserve">
reference
</t>
        </r>
      </text>
    </comment>
    <comment ref="AD7" authorId="2" shapeId="0" xr:uid="{5A0D2566-7F75-4110-9167-73B911B5F374}">
      <text>
        <r>
          <rPr>
            <b/>
            <sz val="9"/>
            <color indexed="81"/>
            <rFont val="Tahoma"/>
            <family val="2"/>
          </rPr>
          <t>ESAP PC:</t>
        </r>
        <r>
          <rPr>
            <sz val="9"/>
            <color indexed="81"/>
            <rFont val="Tahoma"/>
            <family val="2"/>
          </rPr>
          <t xml:space="preserve">
EFF scenario</t>
        </r>
      </text>
    </comment>
    <comment ref="AD12" authorId="2" shapeId="0" xr:uid="{F8C5404E-96F6-4140-AEED-7A5B08A7BBF4}">
      <text>
        <r>
          <rPr>
            <b/>
            <sz val="9"/>
            <color indexed="81"/>
            <rFont val="Tahoma"/>
            <family val="2"/>
          </rPr>
          <t>ESAP PC:</t>
        </r>
        <r>
          <rPr>
            <sz val="9"/>
            <color indexed="81"/>
            <rFont val="Tahoma"/>
            <family val="2"/>
          </rPr>
          <t xml:space="preserve">
EFF scenario</t>
        </r>
      </text>
    </comment>
    <comment ref="V15" authorId="3" shapeId="0" xr:uid="{2D8D0C14-7CC8-452A-A005-99858C377EB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E4BB8C9C-B65C-402D-93F1-4DC65438147D}">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7D0BBB00-EBAB-4442-BAE0-53BCD9D129C7}">
      <text>
        <r>
          <rPr>
            <b/>
            <sz val="9"/>
            <color indexed="81"/>
            <rFont val="Tahoma"/>
            <family val="2"/>
          </rPr>
          <t>fadiel ESAP PC:</t>
        </r>
        <r>
          <rPr>
            <sz val="9"/>
            <color indexed="81"/>
            <rFont val="Tahoma"/>
            <family val="2"/>
          </rPr>
          <t xml:space="preserve">
?data  from NAAMSA 2006?
1.03 in AEA data (2012)</t>
        </r>
      </text>
    </comment>
    <comment ref="I21" authorId="3" shapeId="0" xr:uid="{62A0E344-D4E6-4326-B437-2EA0C45BE837}">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F077FAAE-EDF5-4AB2-BD95-E8A3D2FF77CE}">
      <text>
        <r>
          <rPr>
            <b/>
            <sz val="9"/>
            <color indexed="81"/>
            <rFont val="Tahoma"/>
            <family val="2"/>
          </rPr>
          <t>fadiel ESAP PC:</t>
        </r>
        <r>
          <rPr>
            <sz val="9"/>
            <color indexed="81"/>
            <rFont val="Tahoma"/>
            <family val="2"/>
          </rPr>
          <t xml:space="preserve">
1.03 in AEA data (2012)</t>
        </r>
      </text>
    </comment>
    <comment ref="U25" authorId="2" shapeId="0" xr:uid="{6B808174-33BE-474D-BA91-612D3F862E15}">
      <text>
        <r>
          <rPr>
            <b/>
            <sz val="9"/>
            <color indexed="81"/>
            <rFont val="Tahoma"/>
            <family val="2"/>
          </rPr>
          <t>fadiel ESAP PC:</t>
        </r>
        <r>
          <rPr>
            <sz val="9"/>
            <color indexed="81"/>
            <rFont val="Tahoma"/>
            <family val="2"/>
          </rPr>
          <t xml:space="preserve">
how to model plugin-hybrids?</t>
        </r>
      </text>
    </comment>
    <comment ref="H26" authorId="2" shapeId="0" xr:uid="{1BB50657-03A6-4CBD-9D5B-4B5AD5B66DAD}">
      <text>
        <r>
          <rPr>
            <sz val="14"/>
            <color indexed="81"/>
            <rFont val="Tahoma"/>
            <family val="2"/>
          </rPr>
          <t>Entry level Nissan LEAF (2018)</t>
        </r>
      </text>
    </comment>
    <comment ref="I26" authorId="3" shapeId="0" xr:uid="{767EFDA4-EEA0-4E0F-9DDF-2C5125ECCD47}">
      <text>
        <r>
          <rPr>
            <b/>
            <sz val="9"/>
            <color indexed="81"/>
            <rFont val="Tahoma"/>
            <family val="2"/>
          </rPr>
          <t>Fadiel Ahjum:</t>
        </r>
        <r>
          <rPr>
            <sz val="9"/>
            <color indexed="81"/>
            <rFont val="Tahoma"/>
            <family val="2"/>
          </rPr>
          <t xml:space="preserve">
https://www.carmag.co.za/new-cars/Nissan/Leaf/Prices-Specs</t>
        </r>
      </text>
    </comment>
    <comment ref="H27" authorId="2" shapeId="0" xr:uid="{25F6500A-449D-4C70-BD67-43C342EA9A90}">
      <text>
        <r>
          <rPr>
            <sz val="12"/>
            <color indexed="81"/>
            <rFont val="Tahoma"/>
            <family val="2"/>
          </rPr>
          <t>https://www.vw.co.za/en/models/polo.html
entry level polo  (2018)</t>
        </r>
      </text>
    </comment>
    <comment ref="AC27" authorId="4" shapeId="0" xr:uid="{138E8B2C-30CA-4139-9376-49E5785ED238}">
      <text>
        <r>
          <rPr>
            <b/>
            <sz val="9"/>
            <color indexed="81"/>
            <rFont val="Tahoma"/>
            <family val="2"/>
          </rPr>
          <t>Fadiel:</t>
        </r>
        <r>
          <rPr>
            <sz val="9"/>
            <color indexed="81"/>
            <rFont val="Tahoma"/>
            <family val="2"/>
          </rPr>
          <t xml:space="preserve">
~15.8kwh/km
</t>
        </r>
      </text>
    </comment>
    <comment ref="AE27" authorId="3" shapeId="0" xr:uid="{3D24F22B-DBDF-462D-A02E-F2A7A41CB947}">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DB23F104-432B-4DD2-A020-5E817F371DB3}">
      <text>
        <r>
          <rPr>
            <b/>
            <sz val="9"/>
            <color indexed="81"/>
            <rFont val="Tahoma"/>
            <family val="2"/>
          </rPr>
          <t>Fadiel Ahjum:</t>
        </r>
        <r>
          <rPr>
            <sz val="9"/>
            <color indexed="81"/>
            <rFont val="Tahoma"/>
            <family val="2"/>
          </rPr>
          <t xml:space="preserve">
2017zar
</t>
        </r>
      </text>
    </comment>
    <comment ref="Q31" authorId="2" shapeId="0" xr:uid="{D9A977C0-E52A-477C-B98D-EB357C3EA4C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436110F-82B8-436F-8A35-81DCE6EFF903}">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S60" authorId="3" shapeId="0" xr:uid="{D2395A79-E691-422F-9D25-BA1D51E9D876}">
      <text>
        <r>
          <rPr>
            <b/>
            <sz val="9"/>
            <color indexed="81"/>
            <rFont val="Tahoma"/>
            <family val="2"/>
          </rPr>
          <t>Fadiel Ahjum:</t>
        </r>
        <r>
          <rPr>
            <sz val="9"/>
            <color indexed="81"/>
            <rFont val="Tahoma"/>
            <family val="2"/>
          </rPr>
          <t xml:space="preserve">
 (2017) 
CCT myciti BYD estimate
EV OM Costs_v2 (maintenance).xls</t>
        </r>
      </text>
    </comment>
    <comment ref="D168" authorId="0" shapeId="0" xr:uid="{A31ED9DE-4EE3-4C18-9177-5C30E20E4B5B}">
      <text>
        <r>
          <rPr>
            <b/>
            <sz val="9"/>
            <color indexed="81"/>
            <rFont val="Tahoma"/>
            <family val="2"/>
          </rPr>
          <t>fadiel:</t>
        </r>
        <r>
          <rPr>
            <sz val="9"/>
            <color indexed="81"/>
            <rFont val="Tahoma"/>
            <family val="2"/>
          </rPr>
          <t xml:space="preserve">
Veh Parc Calibration TM.xls
NAAMSA Aggregated National</t>
        </r>
      </text>
    </comment>
    <comment ref="A172" authorId="0" shapeId="0" xr:uid="{8DDDC679-8254-424F-B157-59377BB2214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EBBC9A17-D5A5-4F0F-8B21-4007AFF18080}">
      <text>
        <r>
          <rPr>
            <b/>
            <sz val="9"/>
            <color indexed="81"/>
            <rFont val="Tahoma"/>
            <family val="2"/>
          </rPr>
          <t>Fadiel:</t>
        </r>
        <r>
          <rPr>
            <sz val="9"/>
            <color indexed="81"/>
            <rFont val="Tahoma"/>
            <family val="2"/>
          </rPr>
          <t xml:space="preserve">
Paste from Analytica
</t>
        </r>
      </text>
    </comment>
    <comment ref="M35" authorId="1" shapeId="0" xr:uid="{7C81AC12-DB28-4782-A153-8DF7B760CFC4}">
      <text>
        <r>
          <rPr>
            <b/>
            <sz val="8"/>
            <color indexed="81"/>
            <rFont val="Tahoma"/>
            <family val="2"/>
          </rPr>
          <t>Bruno Merven:</t>
        </r>
        <r>
          <rPr>
            <sz val="8"/>
            <color indexed="81"/>
            <rFont val="Tahoma"/>
            <family val="2"/>
          </rPr>
          <t xml:space="preserve">
A. Stone/LTMS</t>
        </r>
      </text>
    </comment>
    <comment ref="AE35" authorId="1" shapeId="0" xr:uid="{FF59A57F-D9D1-4866-BF02-422473CF0C46}">
      <text>
        <r>
          <rPr>
            <b/>
            <sz val="8"/>
            <color indexed="81"/>
            <rFont val="Tahoma"/>
            <family val="2"/>
          </rPr>
          <t>Bruno Merven:</t>
        </r>
        <r>
          <rPr>
            <sz val="8"/>
            <color indexed="81"/>
            <rFont val="Tahoma"/>
            <family val="2"/>
          </rPr>
          <t xml:space="preserve">
SOL rural+urban - seems a bit high!
</t>
        </r>
      </text>
    </comment>
    <comment ref="M36" authorId="1" shapeId="0" xr:uid="{2D192011-89B3-4E4B-8588-1631CE2D775E}">
      <text>
        <r>
          <rPr>
            <b/>
            <sz val="8"/>
            <color indexed="81"/>
            <rFont val="Tahoma"/>
            <family val="2"/>
          </rPr>
          <t>Bruno Merven:</t>
        </r>
        <r>
          <rPr>
            <sz val="8"/>
            <color indexed="81"/>
            <rFont val="Tahoma"/>
            <family val="2"/>
          </rPr>
          <t xml:space="preserve">
A. Stone/LTMS</t>
        </r>
      </text>
    </comment>
    <comment ref="AE38" authorId="1" shapeId="0" xr:uid="{E07EE54F-8492-46DE-B889-51B52C17935B}">
      <text>
        <r>
          <rPr>
            <b/>
            <sz val="8"/>
            <color indexed="81"/>
            <rFont val="Tahoma"/>
            <family val="2"/>
          </rPr>
          <t>Bruno Merven:</t>
        </r>
        <r>
          <rPr>
            <sz val="8"/>
            <color indexed="81"/>
            <rFont val="Tahoma"/>
            <family val="2"/>
          </rPr>
          <t xml:space="preserve">
SOL (urban+rural)</t>
        </r>
      </text>
    </comment>
    <comment ref="P41" authorId="0" shapeId="0" xr:uid="{0A42B964-21A2-41E0-A671-9909C8A0D973}">
      <text>
        <r>
          <rPr>
            <b/>
            <sz val="9"/>
            <color indexed="81"/>
            <rFont val="Tahoma"/>
            <family val="2"/>
          </rPr>
          <t>Fadiel:</t>
        </r>
        <r>
          <rPr>
            <sz val="9"/>
            <color indexed="81"/>
            <rFont val="Tahoma"/>
            <family val="2"/>
          </rPr>
          <t xml:space="preserve">
calculated from Transnet ARs
</t>
        </r>
      </text>
    </comment>
    <comment ref="AD41" authorId="1" shapeId="0" xr:uid="{77095310-8D1E-4227-9308-FDDA47476C28}">
      <text>
        <r>
          <rPr>
            <b/>
            <sz val="8"/>
            <color indexed="81"/>
            <rFont val="Tahoma"/>
            <family val="2"/>
          </rPr>
          <t>Bruno Merven:</t>
        </r>
        <r>
          <rPr>
            <sz val="8"/>
            <color indexed="81"/>
            <rFont val="Tahoma"/>
            <family val="2"/>
          </rPr>
          <t xml:space="preserve">
SOL</t>
        </r>
      </text>
    </comment>
    <comment ref="AE44" authorId="2" shapeId="0" xr:uid="{37A69633-5D43-426F-A625-554E99CD7389}">
      <text>
        <r>
          <rPr>
            <b/>
            <sz val="12"/>
            <color indexed="81"/>
            <rFont val="Tahoma"/>
            <family val="2"/>
          </rPr>
          <t>fadiel:</t>
        </r>
        <r>
          <rPr>
            <sz val="12"/>
            <color indexed="81"/>
            <rFont val="Tahoma"/>
            <family val="2"/>
          </rPr>
          <t xml:space="preserve">
from transnet 2011/12 AR</t>
        </r>
      </text>
    </comment>
    <comment ref="L73" authorId="1" shapeId="0" xr:uid="{0B4D821B-8FDB-437A-9446-13F405E10375}">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9EE0EF65-1965-4C36-A6D1-7C2DE23614B0}">
      <text>
        <r>
          <rPr>
            <b/>
            <sz val="8"/>
            <color indexed="81"/>
            <rFont val="Tahoma"/>
            <family val="2"/>
          </rPr>
          <t>Bruno Merven:</t>
        </r>
        <r>
          <rPr>
            <sz val="8"/>
            <color indexed="81"/>
            <rFont val="Tahoma"/>
            <family val="2"/>
          </rPr>
          <t xml:space="preserve">
World Bank 2007</t>
        </r>
      </text>
    </comment>
    <comment ref="K74" authorId="1" shapeId="0" xr:uid="{D6A39BA8-DFC4-4273-8066-FB0DB3205524}">
      <text>
        <r>
          <rPr>
            <b/>
            <sz val="8"/>
            <color indexed="81"/>
            <rFont val="Tahoma"/>
            <family val="2"/>
          </rPr>
          <t>Bruno Merven:</t>
        </r>
        <r>
          <rPr>
            <sz val="8"/>
            <color indexed="81"/>
            <rFont val="Tahoma"/>
            <family val="2"/>
          </rPr>
          <t xml:space="preserve">
rough guess</t>
        </r>
      </text>
    </comment>
    <comment ref="L75" authorId="1" shapeId="0" xr:uid="{86B507B4-3E88-4DEB-921F-FA733CBCD922}">
      <text>
        <r>
          <rPr>
            <b/>
            <sz val="8"/>
            <color indexed="81"/>
            <rFont val="Tahoma"/>
            <family val="2"/>
          </rPr>
          <t>Bruno Merven:</t>
        </r>
        <r>
          <rPr>
            <sz val="8"/>
            <color indexed="81"/>
            <rFont val="Tahoma"/>
            <family val="2"/>
          </rPr>
          <t xml:space="preserve">
currently excludes pkm by air</t>
        </r>
      </text>
    </comment>
    <comment ref="H86" authorId="1" shapeId="0" xr:uid="{489D8994-E972-451F-878A-E209036FC98C}">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84BA67E0-1FA9-4714-99BF-27FAFD5942BA}">
      <text>
        <r>
          <rPr>
            <b/>
            <sz val="8"/>
            <color indexed="81"/>
            <rFont val="Tahoma"/>
            <family val="2"/>
          </rPr>
          <t>Bruno Merven:</t>
        </r>
        <r>
          <rPr>
            <sz val="8"/>
            <color indexed="81"/>
            <rFont val="Tahoma"/>
            <family val="2"/>
          </rPr>
          <t xml:space="preserve">
household survey</t>
        </r>
      </text>
    </comment>
    <comment ref="M86" authorId="1" shapeId="0" xr:uid="{8D51DE5F-6894-49E9-9B29-95F64FB58637}">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3D0CD938-04A7-4DB3-ACA7-0DC0209448AF}">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2A7BD3B0-4D7E-40E3-8055-E667B00E195A}">
      <text>
        <r>
          <rPr>
            <b/>
            <sz val="8"/>
            <color indexed="81"/>
            <rFont val="Tahoma"/>
            <family val="2"/>
          </rPr>
          <t>ESAP PC:</t>
        </r>
        <r>
          <rPr>
            <sz val="8"/>
            <color indexed="81"/>
            <rFont val="Tahoma"/>
            <family val="2"/>
          </rPr>
          <t xml:space="preserve">
tkm scenarios_v3</t>
        </r>
      </text>
    </comment>
    <comment ref="A151" authorId="2" shapeId="0" xr:uid="{11FCB370-106E-4397-A3D6-9A8518DA758D}">
      <text>
        <r>
          <rPr>
            <b/>
            <sz val="8"/>
            <color indexed="81"/>
            <rFont val="Tahoma"/>
            <family val="2"/>
          </rPr>
          <t>ESAP PC:</t>
        </r>
        <r>
          <rPr>
            <sz val="8"/>
            <color indexed="81"/>
            <rFont val="Tahoma"/>
            <family val="2"/>
          </rPr>
          <t xml:space="preserve">
SATIM FDM DOE SAPIA Calibration_v2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<sst xmlns="http://schemas.openxmlformats.org/spreadsheetml/2006/main" count="6200" uniqueCount="1466">
  <si>
    <t>Diesel oil: kg CO2/TJ</t>
  </si>
  <si>
    <t>http://www.eskom.co.za/OurCompany/SustainableDevelopment/Pages/CDM_Calculations.aspx</t>
  </si>
  <si>
    <t>rail</t>
  </si>
  <si>
    <t>diesel TJ</t>
  </si>
  <si>
    <t>ktCO2</t>
  </si>
  <si>
    <t>% rail-diesel</t>
  </si>
  <si>
    <t>% rail-elc</t>
  </si>
  <si>
    <t>% pipeline</t>
  </si>
  <si>
    <t>elec TJ</t>
  </si>
  <si>
    <t>pipelines</t>
  </si>
  <si>
    <t>diesel%</t>
  </si>
  <si>
    <t>elec%</t>
  </si>
  <si>
    <t>diesel (TJ)</t>
  </si>
  <si>
    <t>diesel (l)</t>
  </si>
  <si>
    <t>MJ/L (LHV)</t>
  </si>
  <si>
    <t>elec (TJ)</t>
  </si>
  <si>
    <t>elec (MWh)</t>
  </si>
  <si>
    <t>2017</t>
  </si>
  <si>
    <t>2011/12</t>
  </si>
  <si>
    <t>Transnet AR</t>
  </si>
  <si>
    <t>PJ</t>
  </si>
  <si>
    <t>GWh</t>
  </si>
  <si>
    <t>TJ</t>
  </si>
  <si>
    <t>MJ</t>
  </si>
  <si>
    <t xml:space="preserve"> Memo: Energy use for Other Mining</t>
  </si>
  <si>
    <t xml:space="preserve"> Memo: Energy use for Gold Mining</t>
  </si>
  <si>
    <t xml:space="preserve"> Memo: Gas flared</t>
  </si>
  <si>
    <t xml:space="preserve"> Memo: Gas vented</t>
  </si>
  <si>
    <t xml:space="preserve"> Pumped Hydro Production</t>
  </si>
  <si>
    <t xml:space="preserve"> Heat Output in TJ</t>
  </si>
  <si>
    <t xml:space="preserve"> Heat Output-autoprod. heat plant</t>
  </si>
  <si>
    <t xml:space="preserve"> Heat Output-public heat plant</t>
  </si>
  <si>
    <t xml:space="preserve"> Heat Output-autoproducer CHP plant</t>
  </si>
  <si>
    <t xml:space="preserve"> Heat Output-public CHP plant</t>
  </si>
  <si>
    <t xml:space="preserve"> Elect.Output-autoprod. CHP plant</t>
  </si>
  <si>
    <t xml:space="preserve"> Elect.Output-public CHP plant</t>
  </si>
  <si>
    <t xml:space="preserve"> Elect.Output-autoprod. elec. plant</t>
  </si>
  <si>
    <t xml:space="preserve"> Elect.Output-public elec. plant</t>
  </si>
  <si>
    <t xml:space="preserve"> Elect.Output in GWh</t>
  </si>
  <si>
    <t xml:space="preserve"> Memo:Feedst.Use in Petchem. Ind.</t>
  </si>
  <si>
    <t xml:space="preserve"> Memo:Non-Energy Use in Oth.Sect.</t>
  </si>
  <si>
    <t xml:space="preserve"> Memo:Non-Energy Use in Transport</t>
  </si>
  <si>
    <t xml:space="preserve"> Memo:Non-Energy Use Ind/Transf/Ener</t>
  </si>
  <si>
    <t xml:space="preserve"> Non-Energy Use</t>
  </si>
  <si>
    <t xml:space="preserve"> Non-specified (Other)</t>
  </si>
  <si>
    <t xml:space="preserve"> Residential</t>
  </si>
  <si>
    <t xml:space="preserve"> Commerce and Public Services</t>
  </si>
  <si>
    <t xml:space="preserve"> Agriculture</t>
  </si>
  <si>
    <t xml:space="preserve"> Other Sectors</t>
  </si>
  <si>
    <t xml:space="preserve"> Non-specified (Transport)</t>
  </si>
  <si>
    <t xml:space="preserve"> Internal Navigation</t>
  </si>
  <si>
    <t xml:space="preserve"> Pipeline Transport</t>
  </si>
  <si>
    <t>Freight</t>
  </si>
  <si>
    <t>metro</t>
  </si>
  <si>
    <t>inter-city</t>
  </si>
  <si>
    <t>Passenger</t>
  </si>
  <si>
    <t xml:space="preserve"> Rail</t>
  </si>
  <si>
    <t>Urban/Rural (MCV)</t>
  </si>
  <si>
    <t>Corridor (HCV)</t>
  </si>
  <si>
    <t>BRT</t>
  </si>
  <si>
    <t>Bus</t>
  </si>
  <si>
    <t>MBT</t>
  </si>
  <si>
    <t>Car</t>
  </si>
  <si>
    <t>LCV</t>
  </si>
  <si>
    <t xml:space="preserve"> Road</t>
  </si>
  <si>
    <t xml:space="preserve"> Domestic Air Transport</t>
  </si>
  <si>
    <t xml:space="preserve"> International Civil Aviation</t>
  </si>
  <si>
    <t xml:space="preserve"> Transport Sector</t>
  </si>
  <si>
    <t xml:space="preserve"> Non-specified (Industry)</t>
  </si>
  <si>
    <t xml:space="preserve"> Textile and Leather</t>
  </si>
  <si>
    <t xml:space="preserve"> Construction</t>
  </si>
  <si>
    <t xml:space="preserve"> Wood and Wood Products</t>
  </si>
  <si>
    <t xml:space="preserve"> Paper Pulp and Print</t>
  </si>
  <si>
    <t xml:space="preserve"> Food and Tobacco</t>
  </si>
  <si>
    <t xml:space="preserve"> Mining and Quarrying</t>
  </si>
  <si>
    <t xml:space="preserve"> Machinery</t>
  </si>
  <si>
    <t xml:space="preserve"> Transport Equipment</t>
  </si>
  <si>
    <t xml:space="preserve"> Non-Metallic Minerals</t>
  </si>
  <si>
    <t xml:space="preserve"> Non-Ferrous Metals</t>
  </si>
  <si>
    <t xml:space="preserve"> Chemical and Petrochemical</t>
  </si>
  <si>
    <t xml:space="preserve"> Iron and Steel</t>
  </si>
  <si>
    <t xml:space="preserve"> Industry Sector</t>
  </si>
  <si>
    <t xml:space="preserve"> Final Consumption</t>
  </si>
  <si>
    <t xml:space="preserve"> Distribution Losses</t>
  </si>
  <si>
    <t xml:space="preserve"> Non-specified (Energy)</t>
  </si>
  <si>
    <t xml:space="preserve"> Nuclear Industry</t>
  </si>
  <si>
    <t xml:space="preserve"> Used for Pump Storage</t>
  </si>
  <si>
    <t xml:space="preserve"> Ownuse in Elec., CHP and Heat plant</t>
  </si>
  <si>
    <t xml:space="preserve"> Oil Refineries</t>
  </si>
  <si>
    <t xml:space="preserve"> BKB</t>
  </si>
  <si>
    <t xml:space="preserve"> Gas Works</t>
  </si>
  <si>
    <t xml:space="preserve"> Coke Ovens</t>
  </si>
  <si>
    <t xml:space="preserve"> Patent Fuel Plants</t>
  </si>
  <si>
    <t xml:space="preserve"> Oil and Gas Extraction</t>
  </si>
  <si>
    <t xml:space="preserve"> Coal Mines</t>
  </si>
  <si>
    <t xml:space="preserve"> Energy Sector</t>
  </si>
  <si>
    <t xml:space="preserve"> Non-specified (Transformation)</t>
  </si>
  <si>
    <t xml:space="preserve"> Liquefaction</t>
  </si>
  <si>
    <t xml:space="preserve"> For BKB</t>
  </si>
  <si>
    <t xml:space="preserve"> Petrochemical Industry</t>
  </si>
  <si>
    <t xml:space="preserve"> For Blast Furnace Gas</t>
  </si>
  <si>
    <t xml:space="preserve"> Electric Boilers</t>
  </si>
  <si>
    <t xml:space="preserve"> Heat pumps</t>
  </si>
  <si>
    <t xml:space="preserve"> Autoproducer Heat Plant</t>
  </si>
  <si>
    <t xml:space="preserve"> Public Heat Plant</t>
  </si>
  <si>
    <t xml:space="preserve"> Autoproducer CHP Plant</t>
  </si>
  <si>
    <t xml:space="preserve"> Public CHP Plant</t>
  </si>
  <si>
    <t xml:space="preserve"> Autoproducer Electricity Plant</t>
  </si>
  <si>
    <t xml:space="preserve"> Public Electricity Plant</t>
  </si>
  <si>
    <t xml:space="preserve"> Transformation Sector</t>
  </si>
  <si>
    <t xml:space="preserve"> </t>
  </si>
  <si>
    <t xml:space="preserve"> Statistical Differences</t>
  </si>
  <si>
    <t xml:space="preserve"> Transfers</t>
  </si>
  <si>
    <t xml:space="preserve"> Domestic Supply</t>
  </si>
  <si>
    <t xml:space="preserve"> Stock Changes</t>
  </si>
  <si>
    <t xml:space="preserve"> Intl. Marine Bunkers</t>
  </si>
  <si>
    <t xml:space="preserve"> Export</t>
  </si>
  <si>
    <t xml:space="preserve"> Import</t>
  </si>
  <si>
    <t xml:space="preserve"> From Other Sources</t>
  </si>
  <si>
    <t xml:space="preserve"> Indigenous Production</t>
  </si>
  <si>
    <t>Crude</t>
  </si>
  <si>
    <t>Coal</t>
  </si>
  <si>
    <t>VERSION:</t>
  </si>
  <si>
    <t>oil products</t>
  </si>
  <si>
    <t>Coke</t>
  </si>
  <si>
    <t>Wax</t>
  </si>
  <si>
    <t>Spirit</t>
  </si>
  <si>
    <t>Fuel</t>
  </si>
  <si>
    <t>Kerosene</t>
  </si>
  <si>
    <t>Gasoline</t>
  </si>
  <si>
    <t>Gas</t>
  </si>
  <si>
    <t>Conventional</t>
  </si>
  <si>
    <t>Feedstocks</t>
  </si>
  <si>
    <t>+ Feedstocks</t>
  </si>
  <si>
    <t>Waste</t>
  </si>
  <si>
    <t>&amp; Waste</t>
  </si>
  <si>
    <t>Furnace Gas</t>
  </si>
  <si>
    <t>coke</t>
  </si>
  <si>
    <t>Bituminous</t>
  </si>
  <si>
    <t>Heat</t>
  </si>
  <si>
    <t>Electricity</t>
  </si>
  <si>
    <t>Other</t>
  </si>
  <si>
    <t>Boilers</t>
  </si>
  <si>
    <t>Heatpumps</t>
  </si>
  <si>
    <t>Wind</t>
  </si>
  <si>
    <t>Tide</t>
  </si>
  <si>
    <t>Solar</t>
  </si>
  <si>
    <t>Geothermal</t>
  </si>
  <si>
    <t>Hydro</t>
  </si>
  <si>
    <t>Nuclear</t>
  </si>
  <si>
    <t xml:space="preserve"> NONSPEC</t>
  </si>
  <si>
    <t>Non-specified</t>
  </si>
  <si>
    <t>Petroleum</t>
  </si>
  <si>
    <t>Parrafin</t>
  </si>
  <si>
    <t>Bitumen</t>
  </si>
  <si>
    <t>Lubricants</t>
  </si>
  <si>
    <t>White</t>
  </si>
  <si>
    <t>Naphtha</t>
  </si>
  <si>
    <t>Residual</t>
  </si>
  <si>
    <t>Gas Diesel</t>
  </si>
  <si>
    <t>Jet</t>
  </si>
  <si>
    <t>Aviation</t>
  </si>
  <si>
    <t>Motor</t>
  </si>
  <si>
    <t xml:space="preserve">     LPG</t>
  </si>
  <si>
    <t>Ethane</t>
  </si>
  <si>
    <t>Refinery</t>
  </si>
  <si>
    <t>Non-</t>
  </si>
  <si>
    <t>Additives</t>
  </si>
  <si>
    <t>NGLs</t>
  </si>
  <si>
    <t>Crude Oil</t>
  </si>
  <si>
    <t>Crude + NGLs</t>
  </si>
  <si>
    <t>Natural</t>
  </si>
  <si>
    <t xml:space="preserve">   GLBIO</t>
  </si>
  <si>
    <t>Muncipal</t>
  </si>
  <si>
    <t>Industrial</t>
  </si>
  <si>
    <t>SBIOMASS</t>
  </si>
  <si>
    <t>Renewables</t>
  </si>
  <si>
    <t>Oxygen</t>
  </si>
  <si>
    <t>Blast</t>
  </si>
  <si>
    <t>Coke oven</t>
  </si>
  <si>
    <t>Gasworks</t>
  </si>
  <si>
    <t xml:space="preserve">     BKB</t>
  </si>
  <si>
    <t>Gas Coke</t>
  </si>
  <si>
    <t>Patent</t>
  </si>
  <si>
    <t>Peat</t>
  </si>
  <si>
    <t>Lignite</t>
  </si>
  <si>
    <t>Sub-</t>
  </si>
  <si>
    <t>Coking</t>
  </si>
  <si>
    <t>Brown</t>
  </si>
  <si>
    <t>Hard</t>
  </si>
  <si>
    <t>(TJ)</t>
  </si>
  <si>
    <t>Rail</t>
  </si>
  <si>
    <t>Mt</t>
  </si>
  <si>
    <t>Total</t>
  </si>
  <si>
    <t>Road</t>
  </si>
  <si>
    <t>GTG-EL</t>
  </si>
  <si>
    <t>GTG-PE</t>
  </si>
  <si>
    <t>GTG-BTG</t>
  </si>
  <si>
    <t>CPT-GTG</t>
  </si>
  <si>
    <t>DBN-GTG</t>
  </si>
  <si>
    <t>Value</t>
  </si>
  <si>
    <t>Year</t>
  </si>
  <si>
    <t>Category</t>
  </si>
  <si>
    <t>Metric</t>
  </si>
  <si>
    <t>Route</t>
  </si>
  <si>
    <t>Corridor traffic</t>
  </si>
  <si>
    <t>Corridor</t>
  </si>
  <si>
    <t>Rural</t>
  </si>
  <si>
    <t>Metro</t>
  </si>
  <si>
    <t>Export Total</t>
  </si>
  <si>
    <t>Corridor Total</t>
  </si>
  <si>
    <t>Rural Total</t>
  </si>
  <si>
    <t>Metro total</t>
  </si>
  <si>
    <t>taken from: NATMAP2050 2017 7_FreightTransport2017</t>
  </si>
  <si>
    <t>Shares</t>
  </si>
  <si>
    <t>Growths</t>
  </si>
  <si>
    <t>Corridor %</t>
  </si>
  <si>
    <t>All Rail</t>
  </si>
  <si>
    <t>Rail Share ex Bulk</t>
  </si>
  <si>
    <t>Rail share</t>
  </si>
  <si>
    <t>Road share</t>
  </si>
  <si>
    <t>Corridor tonkm</t>
  </si>
  <si>
    <t>Export</t>
  </si>
  <si>
    <t>SOL2013</t>
  </si>
  <si>
    <t>SOL2012</t>
  </si>
  <si>
    <t>SOL2011</t>
  </si>
  <si>
    <t>SOL2010</t>
  </si>
  <si>
    <t>SOL2009</t>
  </si>
  <si>
    <t>SOL2008</t>
  </si>
  <si>
    <t>SOL2007</t>
  </si>
  <si>
    <t>SOL2006</t>
  </si>
  <si>
    <t>SOL2005</t>
  </si>
  <si>
    <t>SOL2004</t>
  </si>
  <si>
    <t>Billion Tonkm</t>
  </si>
  <si>
    <t>https://www.csir.co.za/state-logistics-survey-south-africa-gearing-change</t>
  </si>
  <si>
    <t>Taken from CSIR State of Logistics Reports Downloaded from http://www.csir.co.za/sol/</t>
  </si>
  <si>
    <t>5: Output of Vehicle Parc Model - NAAMSA Sales Data is Calibrated to eNatis Registration database using Scrapping Curves (Weibull distribution)</t>
  </si>
  <si>
    <t>ERROR (%):</t>
  </si>
  <si>
    <t>GAIN (published in SOL):</t>
  </si>
  <si>
    <t>4: Output of vehicle Parc Model - Annual mileage is assumed to decay from the start value in Column H with age. e.g. For Class HCV6 vehicles aged 0-5 years cover 66% of total vehicle km and  vehicles age 0 - 10 years cover 92% of vehicle km of the class.</t>
  </si>
  <si>
    <t>SATIM:</t>
  </si>
  <si>
    <t>3: Weighted Average of Rigid and Articulated Maximum Payloads</t>
  </si>
  <si>
    <t>Check tkm Calibration</t>
  </si>
  <si>
    <t>2: Load Factor = Average Payload/Maximum Payload</t>
  </si>
  <si>
    <t>1: Includes Truck-tractors, rigids, tippers etc so GCM and payload capacity varies widely within these categories for larger GVM</t>
  </si>
  <si>
    <t>&lt;3,000</t>
  </si>
  <si>
    <t>LCVGasoline</t>
  </si>
  <si>
    <t>LCVDiesel</t>
  </si>
  <si>
    <t>&gt;50,000</t>
  </si>
  <si>
    <t>HCV9Diesel</t>
  </si>
  <si>
    <t>40,001 – 50,000</t>
  </si>
  <si>
    <t>HCV8Diesel</t>
  </si>
  <si>
    <t>32,001 – 40,000</t>
  </si>
  <si>
    <t>HCV7Diesel</t>
  </si>
  <si>
    <t>24,001 – 32,000</t>
  </si>
  <si>
    <t>HCV6Diesel</t>
  </si>
  <si>
    <t>20,001 – 24,000</t>
  </si>
  <si>
    <t>HCV5Diesel</t>
  </si>
  <si>
    <t>16,001 – 20,000</t>
  </si>
  <si>
    <t>HCV4Diesel</t>
  </si>
  <si>
    <t>12,001 – 16,000</t>
  </si>
  <si>
    <t>HCV3Diesel</t>
  </si>
  <si>
    <t>7,501 – 12,000</t>
  </si>
  <si>
    <t>HCV2Diesel</t>
  </si>
  <si>
    <t>3,000 -7,500</t>
  </si>
  <si>
    <t>HCV1Gasoline</t>
  </si>
  <si>
    <t>HCV1Diesel</t>
  </si>
  <si>
    <t>Rural (tkm)</t>
  </si>
  <si>
    <t>Metropolitan (tkm)</t>
  </si>
  <si>
    <t>Corridor (tkm)</t>
  </si>
  <si>
    <t>Share of ton-km</t>
  </si>
  <si>
    <t>Freight Output (tkm)</t>
  </si>
  <si>
    <t>Count of Operating Vehicles 5</t>
  </si>
  <si>
    <t>Average Fleet Annual Mileage (km)4</t>
  </si>
  <si>
    <t>Assumed Weighted Average Payload Capacity of Class [tons]3</t>
  </si>
  <si>
    <t>Assumed Share of tkm that is Rural</t>
  </si>
  <si>
    <t>Assumed Share of tkm that is Metro</t>
  </si>
  <si>
    <t>Assumed Share of tkm that is Corridor</t>
  </si>
  <si>
    <t>Assumed New Vehicle Mileage (km)</t>
  </si>
  <si>
    <t>Assumed Share of tons moved (Artic)</t>
  </si>
  <si>
    <t>Assumed Share of tons moved (Rigid)</t>
  </si>
  <si>
    <t>Assumed Average Payload Capacity - Artic [tons]</t>
  </si>
  <si>
    <t>Assumed Average Payload Capacity - Rigid [tons]</t>
  </si>
  <si>
    <t>Assumed Load Factors2</t>
  </si>
  <si>
    <t>NAAMSA GVM1</t>
  </si>
  <si>
    <t>SATIM Vehicle Class</t>
  </si>
  <si>
    <t>ton.km Results</t>
  </si>
  <si>
    <t>Model Outputs</t>
  </si>
  <si>
    <t>Assumptions</t>
  </si>
  <si>
    <t>Classification</t>
  </si>
  <si>
    <t>1. ton-km Calibration of SATIM with GAIN FDM as published in the Logistics Barometer for 2014</t>
  </si>
  <si>
    <t>Reconciliation of SATIM, GAIN FDM and Department of Energy/SAPIA</t>
  </si>
  <si>
    <t>Adrian calibration:</t>
  </si>
  <si>
    <t>Eskom</t>
  </si>
  <si>
    <t>Total Error</t>
  </si>
  <si>
    <t>SUVGasoline</t>
  </si>
  <si>
    <t>SAPIA 2013 (dis-Aggregate)</t>
  </si>
  <si>
    <t>Error</t>
  </si>
  <si>
    <t>SUVHybridGasoline</t>
  </si>
  <si>
    <t>SAPIA 2013 (Aggregate)</t>
  </si>
  <si>
    <t>GAIN</t>
  </si>
  <si>
    <t>SUVDiesel</t>
  </si>
  <si>
    <t>Road Transport</t>
  </si>
  <si>
    <t>SATIM</t>
  </si>
  <si>
    <t>MBTGasoline</t>
  </si>
  <si>
    <t>MBTDiesel</t>
  </si>
  <si>
    <t>57 ton GVM is 25% of corridor - GAIN</t>
  </si>
  <si>
    <t>Corrected Diesel</t>
  </si>
  <si>
    <t>Corrected MJ/tkm</t>
  </si>
  <si>
    <t>Corrected l/1000tkm</t>
  </si>
  <si>
    <t>Corrected'</t>
  </si>
  <si>
    <t>Analytica Fuel Economies</t>
  </si>
  <si>
    <t>MJ/tkm</t>
  </si>
  <si>
    <t>Litres/1000tkm</t>
  </si>
  <si>
    <t>litres</t>
  </si>
  <si>
    <t>Error Rigid Artic Share</t>
  </si>
  <si>
    <t>Error Share Corridor etc</t>
  </si>
  <si>
    <t>tkm Share</t>
  </si>
  <si>
    <t>Total tkm</t>
  </si>
  <si>
    <t>Average Load</t>
  </si>
  <si>
    <t>Share Artic</t>
  </si>
  <si>
    <t>Share Rigid</t>
  </si>
  <si>
    <t>Adjusted (Artic)</t>
  </si>
  <si>
    <t>Adjusted (Rigid)</t>
  </si>
  <si>
    <t>CarElectric</t>
  </si>
  <si>
    <t>New Cal</t>
  </si>
  <si>
    <t>Time budget check</t>
  </si>
  <si>
    <t>'000 veh-km/veh</t>
  </si>
  <si>
    <t>veh-km per veh</t>
  </si>
  <si>
    <t>Total veh km</t>
  </si>
  <si>
    <t>million veh</t>
  </si>
  <si>
    <t>Total veh</t>
  </si>
  <si>
    <t>Checks</t>
  </si>
  <si>
    <t>pers/veh</t>
  </si>
  <si>
    <t>Adj occupancy</t>
  </si>
  <si>
    <t>billion veh-km</t>
  </si>
  <si>
    <t>car km</t>
  </si>
  <si>
    <t>Car/Suv Occupancy</t>
  </si>
  <si>
    <t>billion pkm</t>
  </si>
  <si>
    <t>pkm by car</t>
  </si>
  <si>
    <t>moto km</t>
  </si>
  <si>
    <t>moto occupancy</t>
  </si>
  <si>
    <t>pkm by moto</t>
  </si>
  <si>
    <t>Total pkm by priv.veh</t>
  </si>
  <si>
    <t>'000 pkm/pers</t>
  </si>
  <si>
    <t>pkm by priv.veh/pers with a priv.veh</t>
  </si>
  <si>
    <t>Total Public</t>
  </si>
  <si>
    <t>pkm by public/pers with a car</t>
  </si>
  <si>
    <t>Travel time budget split (car+moto) for pers with car</t>
  </si>
  <si>
    <t>pkm by public/pers without a car</t>
  </si>
  <si>
    <t>km/h</t>
  </si>
  <si>
    <t>Average Speed car</t>
  </si>
  <si>
    <t>Average Speed public</t>
  </si>
  <si>
    <t>%</t>
  </si>
  <si>
    <t>Waiting/walking time public</t>
  </si>
  <si>
    <t>million hours/yr</t>
  </si>
  <si>
    <t>Total travel time</t>
  </si>
  <si>
    <t>hours/yr/pers</t>
  </si>
  <si>
    <t>Total travel time/pers</t>
  </si>
  <si>
    <t>days/year/pers</t>
  </si>
  <si>
    <t>Traveling days</t>
  </si>
  <si>
    <t>hours/day/pers</t>
  </si>
  <si>
    <t>Travel time budget</t>
  </si>
  <si>
    <t>million pers</t>
  </si>
  <si>
    <t>pers without a priv.veh</t>
  </si>
  <si>
    <t>pers with a priv.veh</t>
  </si>
  <si>
    <t>veh/pers</t>
  </si>
  <si>
    <t>Adj veh/pers</t>
  </si>
  <si>
    <t>pers with a priv. veh.</t>
  </si>
  <si>
    <t>Share of pers with motos w both cars+motos</t>
  </si>
  <si>
    <t>million motos</t>
  </si>
  <si>
    <t>Total motos</t>
  </si>
  <si>
    <t>% of pers</t>
  </si>
  <si>
    <t>Moto ownership</t>
  </si>
  <si>
    <t>Total cars</t>
  </si>
  <si>
    <t>cars/pers</t>
  </si>
  <si>
    <t>cars per pers</t>
  </si>
  <si>
    <t>Household community survey</t>
  </si>
  <si>
    <t>Car Ownership/access</t>
  </si>
  <si>
    <t>Demand workbook (CGE model-income expenditure survey)</t>
  </si>
  <si>
    <t>million</t>
  </si>
  <si>
    <t>Population</t>
  </si>
  <si>
    <t>2005 R/yr</t>
  </si>
  <si>
    <t>Annual Income (percentile)</t>
  </si>
  <si>
    <t>Source</t>
  </si>
  <si>
    <t>Check</t>
  </si>
  <si>
    <t>Total/avg</t>
  </si>
  <si>
    <t>Company/Gov/Car rental</t>
  </si>
  <si>
    <t>High</t>
  </si>
  <si>
    <t>Middle</t>
  </si>
  <si>
    <t>Low</t>
  </si>
  <si>
    <t>Unit</t>
  </si>
  <si>
    <t>Income Level</t>
  </si>
  <si>
    <t>Motos</t>
  </si>
  <si>
    <t>SUV's</t>
  </si>
  <si>
    <t>Cars</t>
  </si>
  <si>
    <t>Private</t>
  </si>
  <si>
    <t>Total excluding air</t>
  </si>
  <si>
    <t>Air</t>
  </si>
  <si>
    <t>Trains</t>
  </si>
  <si>
    <t>MBTs</t>
  </si>
  <si>
    <t>Busses</t>
  </si>
  <si>
    <t>Modal share (pass-trips) 2005</t>
  </si>
  <si>
    <t>billion seat km</t>
  </si>
  <si>
    <t>'000 km</t>
  </si>
  <si>
    <t>Natmap Modeling report 2009 tble 6.5</t>
  </si>
  <si>
    <t>Share</t>
  </si>
  <si>
    <t>Total pkm</t>
  </si>
  <si>
    <t>Occupancy</t>
  </si>
  <si>
    <t>Seat km</t>
  </si>
  <si>
    <t>km per veh</t>
  </si>
  <si>
    <t>Total veh-km</t>
  </si>
  <si>
    <t>Total Veh</t>
  </si>
  <si>
    <t>Public</t>
  </si>
  <si>
    <t>million pkm by rail 2008: WB</t>
  </si>
  <si>
    <t>SOL-total</t>
  </si>
  <si>
    <t>ENaTis</t>
  </si>
  <si>
    <t>Total Vehicle Parc</t>
  </si>
  <si>
    <t>Export - coal/iron ore line</t>
  </si>
  <si>
    <t>Other (Urban/Rural)</t>
  </si>
  <si>
    <t>SOL-rail</t>
  </si>
  <si>
    <t xml:space="preserve"> Rail EB</t>
  </si>
  <si>
    <t>LCVdiesel</t>
  </si>
  <si>
    <t>TFLCVODS-E</t>
  </si>
  <si>
    <t>Urban/Rural (LCV)</t>
  </si>
  <si>
    <t>TFLCVOGS-E</t>
  </si>
  <si>
    <t>TFHCV1ODS-E</t>
  </si>
  <si>
    <t>Urban/Rural (HCV1)</t>
  </si>
  <si>
    <t>TFHCV1OGS-E</t>
  </si>
  <si>
    <t>TFHCV9ODS-E</t>
  </si>
  <si>
    <t>Corridor (HCV9)</t>
  </si>
  <si>
    <t>TFHCV8ODS-E</t>
  </si>
  <si>
    <t>Corridor (HCV8)</t>
  </si>
  <si>
    <t>TFHCV7ODS-E</t>
  </si>
  <si>
    <t>Corridor (HCV7)</t>
  </si>
  <si>
    <t>TFHCV6ODS-E</t>
  </si>
  <si>
    <t>Corridor (HCV6)</t>
  </si>
  <si>
    <t>TFHCV5ODS-E</t>
  </si>
  <si>
    <t>Corridor (HCV5)</t>
  </si>
  <si>
    <t>TFHCV4ODS-E</t>
  </si>
  <si>
    <t>Corridor (HCV4)</t>
  </si>
  <si>
    <t>TFHCV3ODS-E</t>
  </si>
  <si>
    <t>Corridor (HCV3)</t>
  </si>
  <si>
    <t>TFHCV2ODS-E</t>
  </si>
  <si>
    <t>Corridor (HCV2)</t>
  </si>
  <si>
    <t>SOL-road</t>
  </si>
  <si>
    <t>original sum</t>
  </si>
  <si>
    <t>scaling factor</t>
  </si>
  <si>
    <t>TPPUBUSODS-E</t>
  </si>
  <si>
    <t>TPPUMBTODS-E</t>
  </si>
  <si>
    <t>TPPUMBTOGS-E</t>
  </si>
  <si>
    <t>Moto</t>
  </si>
  <si>
    <t>TPPRMOTOGS-E</t>
  </si>
  <si>
    <t>Car Hybrid</t>
  </si>
  <si>
    <t>TPPRCAROGSH-E</t>
  </si>
  <si>
    <t>TPPRCARODS-E</t>
  </si>
  <si>
    <t>TPPRCAROGS-E</t>
  </si>
  <si>
    <t>SUV Hyrbid</t>
  </si>
  <si>
    <t>TPPRSUVOGSH-E</t>
  </si>
  <si>
    <t>TPPRSUVODS-E</t>
  </si>
  <si>
    <t>SUV</t>
  </si>
  <si>
    <t>TPPRSUVOGS-E</t>
  </si>
  <si>
    <t>Sum Check</t>
  </si>
  <si>
    <t xml:space="preserve"> Road EB</t>
  </si>
  <si>
    <t>btonkm/PJ</t>
  </si>
  <si>
    <t>billion</t>
  </si>
  <si>
    <t>MJ/pkm</t>
  </si>
  <si>
    <t>MJ/km</t>
  </si>
  <si>
    <t>l/100km</t>
  </si>
  <si>
    <t>km/yr</t>
  </si>
  <si>
    <t>btonkm</t>
  </si>
  <si>
    <t>Intensity</t>
  </si>
  <si>
    <t>ton-km</t>
  </si>
  <si>
    <t>avg tons</t>
  </si>
  <si>
    <t>tons</t>
  </si>
  <si>
    <t>Adjusted average load</t>
  </si>
  <si>
    <t>Adjusted load factors</t>
  </si>
  <si>
    <t>Diesel</t>
  </si>
  <si>
    <t>Total parc mileage</t>
  </si>
  <si>
    <t>Vehicle Parc</t>
  </si>
  <si>
    <t>Fuel Economy</t>
  </si>
  <si>
    <t>Annual Mileage</t>
  </si>
  <si>
    <t>Total Consumption</t>
  </si>
  <si>
    <t>Useful Energy</t>
  </si>
  <si>
    <t>Petrol</t>
  </si>
  <si>
    <t>Trucks</t>
  </si>
  <si>
    <t>2006 Energy Balance for Transport</t>
  </si>
  <si>
    <t>Eff petrol cars</t>
  </si>
  <si>
    <t>Ratio of SUV to Car mileage</t>
  </si>
  <si>
    <t>MJ/l</t>
  </si>
  <si>
    <t>Diesel calorific</t>
  </si>
  <si>
    <t>weighted avg km</t>
  </si>
  <si>
    <t>Ratio of Diesel to Gasoline fuel economy</t>
  </si>
  <si>
    <t>Petrol calorific</t>
  </si>
  <si>
    <t>SAPIA/NAAMSA</t>
  </si>
  <si>
    <t>LTMS</t>
  </si>
  <si>
    <t>References</t>
  </si>
  <si>
    <t>This worksheet is only used temporarily to populate freight rail energy values for 2017. Need to clean and consolodate calib_1011.</t>
  </si>
  <si>
    <t>MOTElectric</t>
  </si>
  <si>
    <t>SUVElectric</t>
  </si>
  <si>
    <t>MBTElectric</t>
  </si>
  <si>
    <t>ELC</t>
  </si>
  <si>
    <t>BRTHydrogen</t>
  </si>
  <si>
    <t>TPPUBRT</t>
  </si>
  <si>
    <t>HGN</t>
  </si>
  <si>
    <t>BRTGasolineFFV</t>
  </si>
  <si>
    <t>BGS</t>
  </si>
  <si>
    <t>BRTElectric</t>
  </si>
  <si>
    <t>BRTGas</t>
  </si>
  <si>
    <t>GAS</t>
  </si>
  <si>
    <t>BRTDiesel</t>
  </si>
  <si>
    <t>ODS</t>
  </si>
  <si>
    <t>TPPRMOT</t>
  </si>
  <si>
    <t>MotoGasoline</t>
  </si>
  <si>
    <t>TPPRMOTOGS-N</t>
  </si>
  <si>
    <t>BRT same as BUS</t>
  </si>
  <si>
    <t>TPPRSUV</t>
  </si>
  <si>
    <t>SUVHydrogen</t>
  </si>
  <si>
    <t>SUVGas</t>
  </si>
  <si>
    <t>OGSH</t>
  </si>
  <si>
    <t>SUVHybridDiesel</t>
  </si>
  <si>
    <t>ODSH</t>
  </si>
  <si>
    <t>Minibus</t>
  </si>
  <si>
    <t>TPPUMBT</t>
  </si>
  <si>
    <t>CNG</t>
  </si>
  <si>
    <t>MBTCNG</t>
  </si>
  <si>
    <t>MBTHybridDiesel</t>
  </si>
  <si>
    <t>TFLCV</t>
  </si>
  <si>
    <t>LCVCNG</t>
  </si>
  <si>
    <t>LCVHybridGasoline</t>
  </si>
  <si>
    <t>LCVHybridDiesel</t>
  </si>
  <si>
    <t>Fuel Cell</t>
  </si>
  <si>
    <t>?</t>
  </si>
  <si>
    <t>Electric</t>
  </si>
  <si>
    <t>HCV9CNG</t>
  </si>
  <si>
    <t>TFHCV9</t>
  </si>
  <si>
    <t>HCV8CNG</t>
  </si>
  <si>
    <t>TFHCV8</t>
  </si>
  <si>
    <t>HCV7CNG</t>
  </si>
  <si>
    <t>TFHCV7</t>
  </si>
  <si>
    <t>HCV6CNG</t>
  </si>
  <si>
    <t>TFHCV6</t>
  </si>
  <si>
    <t>HCV5CNG</t>
  </si>
  <si>
    <t>TFHCV5</t>
  </si>
  <si>
    <t>HCV4CNG</t>
  </si>
  <si>
    <t>TFHCV4</t>
  </si>
  <si>
    <t>HCV3CNG</t>
  </si>
  <si>
    <t>TFHCV3</t>
  </si>
  <si>
    <t>HCV2CNG</t>
  </si>
  <si>
    <t>TFHCV2</t>
  </si>
  <si>
    <t>HCV1CNG</t>
  </si>
  <si>
    <t>TFHCV1</t>
  </si>
  <si>
    <t>HCV1Petrol</t>
  </si>
  <si>
    <t>CarHydrogen</t>
  </si>
  <si>
    <t>TPPRCAR</t>
  </si>
  <si>
    <t>CAR</t>
  </si>
  <si>
    <t>CarCNG</t>
  </si>
  <si>
    <t>GasolineFFV</t>
  </si>
  <si>
    <t>CarGasolineFFV</t>
  </si>
  <si>
    <t>CarGasoline</t>
  </si>
  <si>
    <t>CARHybridGasoline</t>
  </si>
  <si>
    <t>CarDiesel</t>
  </si>
  <si>
    <t>CARHybridDiesel</t>
  </si>
  <si>
    <t>BUS</t>
  </si>
  <si>
    <t>BusElectric</t>
  </si>
  <si>
    <t>TPPUBUS</t>
  </si>
  <si>
    <t>BusGasolineFFV</t>
  </si>
  <si>
    <t>BusFCV</t>
  </si>
  <si>
    <t>BusCNG</t>
  </si>
  <si>
    <t>BusDiesel</t>
  </si>
  <si>
    <t>NAAMSA</t>
  </si>
  <si>
    <t>Diffference</t>
  </si>
  <si>
    <t>mR/'000 veh</t>
  </si>
  <si>
    <t>OGS</t>
  </si>
  <si>
    <t>km/MJ</t>
  </si>
  <si>
    <t>Base-year sales shares</t>
  </si>
  <si>
    <t>ICE</t>
  </si>
  <si>
    <t>CNG cost ratio</t>
  </si>
  <si>
    <t>Learning on Hybrid/elc</t>
  </si>
  <si>
    <t>Investment Cost</t>
  </si>
  <si>
    <t>Hybrid/Elc?</t>
  </si>
  <si>
    <t>Efficiency</t>
  </si>
  <si>
    <t>EV</t>
  </si>
  <si>
    <t>Maintenance Cost</t>
  </si>
  <si>
    <t>CNG/Diesel Commercial Vehicle Fuel Economy Ratio:</t>
  </si>
  <si>
    <t>Diesel/Gasoline Car Economy ratio:</t>
  </si>
  <si>
    <t>Scenario</t>
  </si>
  <si>
    <t>Annual Improvement</t>
  </si>
  <si>
    <t>New Vehicles Data</t>
  </si>
  <si>
    <t>Gasoline/Diesel  HCV1 Economy ratio:</t>
  </si>
  <si>
    <t>Reference Passenger</t>
  </si>
  <si>
    <t>Reference Freight</t>
  </si>
  <si>
    <t>FOM</t>
  </si>
  <si>
    <t>CAPEX</t>
  </si>
  <si>
    <t>EFF</t>
  </si>
  <si>
    <t>AFA</t>
  </si>
  <si>
    <t>CapUnit</t>
  </si>
  <si>
    <t>HCVGAS</t>
  </si>
  <si>
    <t>TFHCV1OGS-R</t>
  </si>
  <si>
    <t>LCVGAS</t>
  </si>
  <si>
    <t>TFLCVOGS-R</t>
  </si>
  <si>
    <t>BUSGAS</t>
  </si>
  <si>
    <t>TPPUBUSODS-R</t>
  </si>
  <si>
    <t>MBTGAS</t>
  </si>
  <si>
    <t>TPPUMBTOGS-R</t>
  </si>
  <si>
    <t>CARGAS</t>
  </si>
  <si>
    <t>TPPRCAROGS-R</t>
  </si>
  <si>
    <t>SUVGAS</t>
  </si>
  <si>
    <t>TPPRSUVOGS-R</t>
  </si>
  <si>
    <t>Metrorail</t>
  </si>
  <si>
    <t>TPPUMERELC-E</t>
  </si>
  <si>
    <t>HybridPetrol</t>
  </si>
  <si>
    <t>LCV/MBT</t>
  </si>
  <si>
    <t>PAS</t>
  </si>
  <si>
    <t>HybridDiesel</t>
  </si>
  <si>
    <t>MCV</t>
  </si>
  <si>
    <t>XHV</t>
  </si>
  <si>
    <t>HCV</t>
  </si>
  <si>
    <t>Fuel Type</t>
  </si>
  <si>
    <t>Market</t>
  </si>
  <si>
    <t>CarHybridGasoline</t>
  </si>
  <si>
    <t>NAAMSA Aggregated National</t>
  </si>
  <si>
    <t>CarHybridDiesel</t>
  </si>
  <si>
    <t>retrofit</t>
  </si>
  <si>
    <t>CapAct</t>
  </si>
  <si>
    <t>Analytica "SALES"</t>
  </si>
  <si>
    <t>Analytica</t>
  </si>
  <si>
    <t>000 Vehicles</t>
  </si>
  <si>
    <t>m.km/yr</t>
  </si>
  <si>
    <t>mileage start</t>
  </si>
  <si>
    <t>Baseyear sales calibration</t>
  </si>
  <si>
    <t>Baseyear sales</t>
  </si>
  <si>
    <t>Fuel Consumption PJ</t>
  </si>
  <si>
    <t>Stock (Existing Fleet)</t>
  </si>
  <si>
    <t>Fuel Efficiency (Existing Fleet)</t>
  </si>
  <si>
    <t>Economy</t>
  </si>
  <si>
    <t>Availability</t>
  </si>
  <si>
    <t>Mileage (Existing Fleet)</t>
  </si>
  <si>
    <t>Mileage Start</t>
  </si>
  <si>
    <t>Analytica Model Name</t>
  </si>
  <si>
    <t>TIMES Demand</t>
  </si>
  <si>
    <t>TIMES Fuel</t>
  </si>
  <si>
    <t>TIMES model name</t>
  </si>
  <si>
    <t>analytica</t>
  </si>
  <si>
    <t>RESID</t>
  </si>
  <si>
    <t>TSHARE</t>
  </si>
  <si>
    <t>Final Energy</t>
  </si>
  <si>
    <t>Existing Fleet Data</t>
  </si>
  <si>
    <t>Vehicle Parc Calibration_v9.0.3-tchtra</t>
  </si>
  <si>
    <t>Data from Analytica Transport Model</t>
  </si>
  <si>
    <t>TPPUBRTODS-N</t>
  </si>
  <si>
    <t>AEA eff. data overidden</t>
  </si>
  <si>
    <t>reference</t>
  </si>
  <si>
    <t>FRE</t>
  </si>
  <si>
    <t>eff_0</t>
  </si>
  <si>
    <t>IEA (2018) historic until 2020 and ~ NPS until 2040</t>
  </si>
  <si>
    <t>eff_2</t>
  </si>
  <si>
    <t xml:space="preserve"> placeoholder (use GFEi data): https://www.globalfueleconomy.org/data-and-research/publications/gfei-working-paper-20</t>
  </si>
  <si>
    <t>Capital Cost per Vehicle</t>
  </si>
  <si>
    <t>Efficiency, MJ/km</t>
  </si>
  <si>
    <t>Vehicle minus battery CAPEX adjustment factor</t>
  </si>
  <si>
    <t>Energy Efficiency 2018, (IEA draft)</t>
  </si>
  <si>
    <t>Capex Convergence Year</t>
  </si>
  <si>
    <t>Overall vehicle</t>
  </si>
  <si>
    <t>efficiency improvement</t>
  </si>
  <si>
    <t>BEV-petrol (L/100km)</t>
  </si>
  <si>
    <t>CV.hhv</t>
  </si>
  <si>
    <t>domestic price check</t>
  </si>
  <si>
    <t>Tech Fuel</t>
  </si>
  <si>
    <t>Class</t>
  </si>
  <si>
    <t>SATIM Tech Class</t>
  </si>
  <si>
    <t>Tech Match criterion</t>
  </si>
  <si>
    <t>Capex Comparator1</t>
  </si>
  <si>
    <t>local price estimate</t>
  </si>
  <si>
    <t>AEA2012 Class</t>
  </si>
  <si>
    <t>AEA2012 Fuel Tech</t>
  </si>
  <si>
    <t>2010/20</t>
  </si>
  <si>
    <t>2020/50</t>
  </si>
  <si>
    <t>https://inflationcalc.co.za/</t>
  </si>
  <si>
    <t>Entry level passenger car</t>
  </si>
  <si>
    <t>Petrol ICE</t>
  </si>
  <si>
    <t>Passenger Car</t>
  </si>
  <si>
    <t>CAROGS</t>
  </si>
  <si>
    <t>inflation</t>
  </si>
  <si>
    <t>ZAR2010-June30</t>
  </si>
  <si>
    <t>Polo Vivo (entrymodel)</t>
  </si>
  <si>
    <t>ZAR2020-Dec31</t>
  </si>
  <si>
    <t>Diesel ICE</t>
  </si>
  <si>
    <t>Petrol HEV</t>
  </si>
  <si>
    <t>Diesel HEV</t>
  </si>
  <si>
    <t>OGSP</t>
  </si>
  <si>
    <t>Petrol PHEV</t>
  </si>
  <si>
    <t>BEV</t>
  </si>
  <si>
    <t>Nissan Leaf</t>
  </si>
  <si>
    <t>ODSP</t>
  </si>
  <si>
    <t>Diesel PHEV</t>
  </si>
  <si>
    <t>Polo 66kW</t>
  </si>
  <si>
    <t>car</t>
  </si>
  <si>
    <t>Polo 1.4l  TDI 55kW Trendline Manual</t>
  </si>
  <si>
    <t>H2FC</t>
  </si>
  <si>
    <t>NG ICE</t>
  </si>
  <si>
    <t xml:space="preserve">Van / LCV </t>
  </si>
  <si>
    <t>Road Vehicle Cost and Efficiency Calculation Framework 2010-2050 (2012) #ED57444 with 8% drate</t>
  </si>
  <si>
    <t>1,2,3</t>
  </si>
  <si>
    <t>Small rigid</t>
  </si>
  <si>
    <t>Total vehicle gross vehicle weight (kg)</t>
  </si>
  <si>
    <t>All</t>
  </si>
  <si>
    <t>5,6</t>
  </si>
  <si>
    <t>Large rigid</t>
  </si>
  <si>
    <t>7,8,9</t>
  </si>
  <si>
    <t>Articulated</t>
  </si>
  <si>
    <t>Construction</t>
  </si>
  <si>
    <t>Coach</t>
  </si>
  <si>
    <t>Total vehicle kerb weight (kg)</t>
  </si>
  <si>
    <t>MOT</t>
  </si>
  <si>
    <t>Motorcycle or Moped</t>
  </si>
  <si>
    <t>Av-Motorcycle</t>
  </si>
  <si>
    <t>total</t>
  </si>
  <si>
    <t>Myciti BRT</t>
  </si>
  <si>
    <t>Heavy Commercial Vehicles</t>
  </si>
  <si>
    <t>Special vehicles</t>
  </si>
  <si>
    <t>MyCiti BRT (BYD) EV</t>
  </si>
  <si>
    <r>
      <t xml:space="preserve">Table 18 </t>
    </r>
    <r>
      <rPr>
        <b/>
        <sz val="8.5"/>
        <color rgb="FF4F82BD"/>
        <rFont val="Cambria"/>
        <family val="1"/>
      </rPr>
      <t>Vehicle class as a fraction of the freight road vehicle parc for2010</t>
    </r>
  </si>
  <si>
    <t>anaalytica</t>
  </si>
  <si>
    <t>HCV1</t>
  </si>
  <si>
    <t>Small Rigid Truck</t>
  </si>
  <si>
    <t>TOTAL</t>
  </si>
  <si>
    <t>* This total is not calibrated to include the ‘Other self-propelled vehicles’ category in the eNaTiS registrationdatabase</t>
  </si>
  <si>
    <t>HCV2</t>
  </si>
  <si>
    <t>rescale   HCV2+</t>
  </si>
  <si>
    <t>HCV2+</t>
  </si>
  <si>
    <t>HCV3</t>
  </si>
  <si>
    <t>HCV4</t>
  </si>
  <si>
    <t>Construction Truck</t>
  </si>
  <si>
    <t>HCV5</t>
  </si>
  <si>
    <t>Large Rigid Truck</t>
  </si>
  <si>
    <t>diesel vs petrol (USA)</t>
  </si>
  <si>
    <t>mpg</t>
  </si>
  <si>
    <t>cost</t>
  </si>
  <si>
    <t>capex</t>
  </si>
  <si>
    <t>fom</t>
  </si>
  <si>
    <t>HCV6</t>
  </si>
  <si>
    <t>p</t>
  </si>
  <si>
    <t>d</t>
  </si>
  <si>
    <t>p/d</t>
  </si>
  <si>
    <t>Pickup Trucks</t>
  </si>
  <si>
    <t>HCV7</t>
  </si>
  <si>
    <t>Articulated Truck</t>
  </si>
  <si>
    <t>Total Cost of Ownership: A Diesel Versus Gasoline Comparison (2012-2013)</t>
  </si>
  <si>
    <t>https://deepblue.lib.umich.edu/bitstream/handle/2027.42/111893/103193.pdf</t>
  </si>
  <si>
    <t>HCV8</t>
  </si>
  <si>
    <t>Average MPG</t>
  </si>
  <si>
    <t>Average MSRP</t>
  </si>
  <si>
    <t>Vehicle</t>
  </si>
  <si>
    <t>Gasoline Vehicles</t>
  </si>
  <si>
    <t>Diesel Vehicles</t>
  </si>
  <si>
    <t>Passenger Cars</t>
  </si>
  <si>
    <t>HCV9</t>
  </si>
  <si>
    <t>Audi A3</t>
  </si>
  <si>
    <t>BMW 3 Series</t>
  </si>
  <si>
    <t>$44,922</t>
  </si>
  <si>
    <t>$45,228</t>
  </si>
  <si>
    <t>Mercedes E Class</t>
  </si>
  <si>
    <t>$53,855</t>
  </si>
  <si>
    <t>$53,642</t>
  </si>
  <si>
    <t>Volkswagen Golf</t>
  </si>
  <si>
    <t>$19,805</t>
  </si>
  <si>
    <t>$24,529</t>
  </si>
  <si>
    <t>Volkswagen Jetta</t>
  </si>
  <si>
    <t>$20,923</t>
  </si>
  <si>
    <t>$24,509</t>
  </si>
  <si>
    <t>Volkswagen Jetta Sportwagen</t>
  </si>
  <si>
    <t>$22,440</t>
  </si>
  <si>
    <t>$26,620</t>
  </si>
  <si>
    <t>Volkswagen Passat</t>
  </si>
  <si>
    <t>$30,270</t>
  </si>
  <si>
    <t>$30,808</t>
  </si>
  <si>
    <t>SUVs</t>
  </si>
  <si>
    <t>Audi Q7</t>
  </si>
  <si>
    <t>$51,601</t>
  </si>
  <si>
    <t>$59,790</t>
  </si>
  <si>
    <t>BMW X5</t>
  </si>
  <si>
    <t>$60,850</t>
  </si>
  <si>
    <t>$54,969</t>
  </si>
  <si>
    <t>Mercedes GL Class</t>
  </si>
  <si>
    <t>$64,878</t>
  </si>
  <si>
    <t>$61,769</t>
  </si>
  <si>
    <t>Passenger Car (BEV)</t>
  </si>
  <si>
    <t>Mercedes M Class</t>
  </si>
  <si>
    <t>$46,219</t>
  </si>
  <si>
    <t>$50,871</t>
  </si>
  <si>
    <t>Capital Cost, £</t>
  </si>
  <si>
    <t>Volkswagen Touareg</t>
  </si>
  <si>
    <t>$42,234</t>
  </si>
  <si>
    <t>$50,220</t>
  </si>
  <si>
    <t>Glider</t>
  </si>
  <si>
    <t>Powertrain</t>
  </si>
  <si>
    <t>Chevrolet Silverado 2500</t>
  </si>
  <si>
    <t>$34,278</t>
  </si>
  <si>
    <t>$43,323</t>
  </si>
  <si>
    <t>Energy storage</t>
  </si>
  <si>
    <t>Dodge Ram 2500</t>
  </si>
  <si>
    <t>$36,170</t>
  </si>
  <si>
    <t>$44,700</t>
  </si>
  <si>
    <t>Powertrain efficiency</t>
  </si>
  <si>
    <t>Ford F250</t>
  </si>
  <si>
    <t>$34,132</t>
  </si>
  <si>
    <t>$45,139</t>
  </si>
  <si>
    <t>Aerodynamics</t>
  </si>
  <si>
    <t>GMC Sierra 2500</t>
  </si>
  <si>
    <t>$37,063</t>
  </si>
  <si>
    <t>$46,620</t>
  </si>
  <si>
    <t>Rolling resistance</t>
  </si>
  <si>
    <t>Vehicle weight</t>
  </si>
  <si>
    <t>Other options</t>
  </si>
  <si>
    <t/>
  </si>
  <si>
    <t>Real-World</t>
  </si>
  <si>
    <t>Passenger Car (BEV) (Real-World)</t>
  </si>
  <si>
    <t>Core technology improvement</t>
  </si>
  <si>
    <t>Uplift</t>
  </si>
  <si>
    <t>%battery</t>
  </si>
  <si>
    <t>Clean this mess!</t>
  </si>
  <si>
    <t>2016USD-&gt;ZAR</t>
  </si>
  <si>
    <t>2016-&gt;2015 ZAR</t>
  </si>
  <si>
    <t>BNEF</t>
  </si>
  <si>
    <t>data</t>
  </si>
  <si>
    <t>AEA</t>
  </si>
  <si>
    <t>DNG ICE</t>
  </si>
  <si>
    <t>Diesel HHV</t>
  </si>
  <si>
    <t>Diesel FHV</t>
  </si>
  <si>
    <t>Construction Truck (2050) (Real-World)</t>
  </si>
  <si>
    <t>D.Rate:</t>
  </si>
  <si>
    <t>Excl. Fuel</t>
  </si>
  <si>
    <t>Articulated Truck (2010) (Real-World)</t>
  </si>
  <si>
    <t>Net MJ/km (RW)</t>
  </si>
  <si>
    <t>Small Rigid Truck (2010) (Real-World)</t>
  </si>
  <si>
    <t>H2FC REEV</t>
  </si>
  <si>
    <t>H2FC PHEV</t>
  </si>
  <si>
    <t>Diesel REEV</t>
  </si>
  <si>
    <t>Petrol REEV</t>
  </si>
  <si>
    <t>Motorcycle or Moped (2010) (Real-World)</t>
  </si>
  <si>
    <t>%petrol</t>
  </si>
  <si>
    <t>2010ZAR</t>
  </si>
  <si>
    <t>Average</t>
  </si>
  <si>
    <t>check:</t>
  </si>
  <si>
    <t>Eff of refuelling system</t>
  </si>
  <si>
    <t>British Pound to South African Rand (GBP ZAR) for 31 December 2012 (31/12/2012)</t>
  </si>
  <si>
    <t>Efficiency, Net MJ/km (real world)</t>
  </si>
  <si>
    <t>TPPUMERELC-N</t>
  </si>
  <si>
    <t>TPPUGATELC-N</t>
  </si>
  <si>
    <t>UCL</t>
  </si>
  <si>
    <t>2010-12</t>
  </si>
  <si>
    <t>Hybrid Gasoline / Conventional Gasoline Differential</t>
  </si>
  <si>
    <t>Fuel Cell / Conventional Gasoline Differential</t>
  </si>
  <si>
    <t>BEV / Conventional Gasoline Differential</t>
  </si>
  <si>
    <t>O&amp;M Costs</t>
  </si>
  <si>
    <t>EPA</t>
  </si>
  <si>
    <t>SATIM (2012)</t>
  </si>
  <si>
    <t>(extrapolated)</t>
  </si>
  <si>
    <r>
      <rPr>
        <sz val="10"/>
        <rFont val="Calibri"/>
        <family val="34"/>
      </rPr>
      <t>Flexi-fuel vehicle for
E85</t>
    </r>
  </si>
  <si>
    <r>
      <rPr>
        <sz val="10"/>
        <rFont val="Calibri"/>
        <family val="34"/>
      </rPr>
      <t>E85Flexfuel</t>
    </r>
  </si>
  <si>
    <r>
      <rPr>
        <sz val="10"/>
        <rFont val="Calibri"/>
        <family val="34"/>
      </rPr>
      <t>LPG vehicle</t>
    </r>
  </si>
  <si>
    <r>
      <rPr>
        <sz val="10"/>
        <rFont val="Calibri"/>
        <family val="34"/>
      </rPr>
      <t>LPG</t>
    </r>
  </si>
  <si>
    <r>
      <rPr>
        <sz val="10"/>
        <rFont val="Calibri"/>
        <family val="34"/>
      </rPr>
      <t>Compressed natural
gas vehicle</t>
    </r>
  </si>
  <si>
    <r>
      <rPr>
        <sz val="10"/>
        <rFont val="Calibri"/>
        <family val="34"/>
      </rPr>
      <t>CNG</t>
    </r>
  </si>
  <si>
    <r>
      <rPr>
        <sz val="10"/>
        <rFont val="Calibri"/>
        <family val="34"/>
      </rPr>
      <t>H2 ICE Hybrid</t>
    </r>
  </si>
  <si>
    <r>
      <rPr>
        <sz val="10"/>
        <rFont val="Calibri"/>
        <family val="34"/>
      </rPr>
      <t>HICEH</t>
    </r>
  </si>
  <si>
    <r>
      <rPr>
        <sz val="10"/>
        <rFont val="Calibri"/>
        <family val="34"/>
      </rPr>
      <t>Battery electric
vehicle</t>
    </r>
  </si>
  <si>
    <r>
      <rPr>
        <sz val="10"/>
        <rFont val="Calibri"/>
        <family val="34"/>
      </rPr>
      <t>BEV</t>
    </r>
  </si>
  <si>
    <r>
      <rPr>
        <sz val="10"/>
        <rFont val="Calibri"/>
        <family val="34"/>
      </rPr>
      <t>Plug-in hybrid FCV</t>
    </r>
  </si>
  <si>
    <r>
      <rPr>
        <sz val="10"/>
        <rFont val="Calibri"/>
        <family val="34"/>
      </rPr>
      <t>FCV PHEV</t>
    </r>
  </si>
  <si>
    <r>
      <rPr>
        <sz val="10"/>
        <rFont val="Calibri"/>
        <family val="34"/>
      </rPr>
      <t>Hybrid FCV, with
40% DOH and 60kW
fuel cell</t>
    </r>
  </si>
  <si>
    <r>
      <rPr>
        <sz val="10"/>
        <rFont val="Calibri"/>
        <family val="34"/>
      </rPr>
      <t>FCHV</t>
    </r>
  </si>
  <si>
    <r>
      <rPr>
        <sz val="10"/>
        <rFont val="Calibri"/>
        <family val="34"/>
      </rPr>
      <t>FCV - not hybrid</t>
    </r>
  </si>
  <si>
    <r>
      <rPr>
        <sz val="10"/>
        <rFont val="Calibri"/>
        <family val="34"/>
      </rPr>
      <t>FCV NH</t>
    </r>
  </si>
  <si>
    <r>
      <rPr>
        <sz val="10"/>
        <rFont val="Calibri"/>
        <family val="34"/>
      </rPr>
      <t>Diesel Plug in
hybrid, 40 mile AER, blended operation</t>
    </r>
  </si>
  <si>
    <r>
      <rPr>
        <sz val="10"/>
        <rFont val="Calibri"/>
        <family val="34"/>
      </rPr>
      <t>Diesel PHEV</t>
    </r>
  </si>
  <si>
    <r>
      <rPr>
        <sz val="10"/>
        <rFont val="Calibri"/>
        <family val="34"/>
      </rPr>
      <t>Petrol Plug in
hybrid, 40 mile AER, blended operation</t>
    </r>
  </si>
  <si>
    <r>
      <rPr>
        <sz val="10"/>
        <rFont val="Calibri"/>
        <family val="34"/>
      </rPr>
      <t>Petrol PHEV</t>
    </r>
  </si>
  <si>
    <r>
      <rPr>
        <sz val="10"/>
        <rFont val="Calibri"/>
        <family val="34"/>
      </rPr>
      <t>Diesel Hybrid</t>
    </r>
  </si>
  <si>
    <r>
      <rPr>
        <sz val="10"/>
        <rFont val="Calibri"/>
        <family val="34"/>
      </rPr>
      <t>Diesel HEV</t>
    </r>
  </si>
  <si>
    <r>
      <rPr>
        <sz val="10"/>
        <rFont val="Calibri"/>
        <family val="34"/>
      </rPr>
      <t>Petrol Hybrid</t>
    </r>
  </si>
  <si>
    <r>
      <rPr>
        <sz val="10"/>
        <rFont val="Calibri"/>
        <family val="34"/>
      </rPr>
      <t>Petrol HEV</t>
    </r>
  </si>
  <si>
    <r>
      <rPr>
        <sz val="10"/>
        <rFont val="Calibri"/>
        <family val="34"/>
      </rPr>
      <t>Diesel non-hybrid</t>
    </r>
  </si>
  <si>
    <r>
      <rPr>
        <sz val="10"/>
        <rFont val="Calibri"/>
        <family val="34"/>
      </rPr>
      <t>Diesel ICE NH</t>
    </r>
  </si>
  <si>
    <r>
      <rPr>
        <sz val="10"/>
        <rFont val="Calibri"/>
        <family val="34"/>
      </rPr>
      <t>Petrol non-hybrid</t>
    </r>
  </si>
  <si>
    <r>
      <rPr>
        <sz val="10"/>
        <rFont val="Calibri"/>
        <family val="34"/>
      </rPr>
      <t>Petrol ICE NH</t>
    </r>
  </si>
  <si>
    <r>
      <rPr>
        <sz val="10"/>
        <rFont val="Calibri"/>
        <family val="34"/>
      </rPr>
      <t>kW</t>
    </r>
  </si>
  <si>
    <r>
      <rPr>
        <sz val="10"/>
        <rFont val="Calibri"/>
        <family val="34"/>
      </rPr>
      <t>kWh</t>
    </r>
  </si>
  <si>
    <r>
      <rPr>
        <b/>
        <sz val="10"/>
        <rFont val="Calibri"/>
        <family val="34"/>
      </rPr>
      <t>Fuel cell system</t>
    </r>
  </si>
  <si>
    <r>
      <rPr>
        <b/>
        <sz val="10"/>
        <rFont val="Calibri"/>
        <family val="34"/>
      </rPr>
      <t>ICE size</t>
    </r>
  </si>
  <si>
    <r>
      <rPr>
        <b/>
        <sz val="10"/>
        <rFont val="Calibri"/>
        <family val="34"/>
      </rPr>
      <t>Battery size</t>
    </r>
  </si>
  <si>
    <r>
      <rPr>
        <b/>
        <sz val="10"/>
        <rFont val="Calibri"/>
        <family val="34"/>
      </rPr>
      <t>Electric motor</t>
    </r>
  </si>
  <si>
    <r>
      <rPr>
        <b/>
        <sz val="10"/>
        <rFont val="Calibri"/>
        <family val="34"/>
      </rPr>
      <t>Vehicle peak power</t>
    </r>
  </si>
  <si>
    <r>
      <rPr>
        <b/>
        <sz val="10"/>
        <rFont val="Calibri"/>
        <family val="34"/>
      </rPr>
      <t>Description</t>
    </r>
  </si>
  <si>
    <r>
      <rPr>
        <b/>
        <sz val="10"/>
        <rFont val="Calibri"/>
        <family val="34"/>
      </rPr>
      <t>Vehicle name</t>
    </r>
  </si>
  <si>
    <r>
      <rPr>
        <b/>
        <sz val="10"/>
        <color rgb="FF4F81BC"/>
        <rFont val="Calibri"/>
        <family val="34"/>
      </rPr>
      <t>Table 1. Specification of representative passenger cars</t>
    </r>
  </si>
  <si>
    <t>- Taxes (current tax structure, which rewards low-emissions vehicles, is assumed to be maintained, i.e. always zero for zero emissions vehicles; progressively higher for higher emitting vehicles. Rates based on Budget 2011; see HM Treasury 2011).</t>
  </si>
  <si>
    <t>- Running costs (Tyres, service, parts and labour, assumed same for all vehicle types, data based on AA 2011).</t>
  </si>
  <si>
    <t>- Insurance (calculated as annual cost of 5.9% of vehicle capital cost, based on AA 2011)</t>
  </si>
  <si>
    <t>O&amp;M costs are represented as fixed costs per unit of energy service (i.e. GBP per billion vehicle kilometres). O&amp;M costs comprise the following elements (following the approach used in AEA 2006):</t>
  </si>
  <si>
    <t>Percent Change</t>
  </si>
  <si>
    <t>(bvkm/PJ)/(bvkm/PJ)</t>
  </si>
  <si>
    <t>(%/%)</t>
  </si>
  <si>
    <t>Honda (see below)</t>
  </si>
  <si>
    <r>
      <rPr>
        <b/>
        <sz val="10"/>
        <rFont val="Calibri Light"/>
        <family val="1"/>
        <scheme val="major"/>
      </rPr>
      <t>BEV</t>
    </r>
  </si>
  <si>
    <r>
      <rPr>
        <b/>
        <sz val="10"/>
        <rFont val="Calibri Light"/>
        <family val="1"/>
        <scheme val="major"/>
      </rPr>
      <t>FC PHEV</t>
    </r>
  </si>
  <si>
    <r>
      <rPr>
        <b/>
        <sz val="10"/>
        <rFont val="Calibri Light"/>
        <family val="1"/>
        <scheme val="major"/>
      </rPr>
      <t>FCHV</t>
    </r>
  </si>
  <si>
    <r>
      <rPr>
        <b/>
        <sz val="10"/>
        <rFont val="Calibri Light"/>
        <family val="1"/>
        <scheme val="major"/>
      </rPr>
      <t>FCV NH</t>
    </r>
  </si>
  <si>
    <r>
      <rPr>
        <b/>
        <sz val="10"/>
        <rFont val="Calibri Light"/>
        <family val="1"/>
        <scheme val="major"/>
      </rPr>
      <t>Diesel
PHEV</t>
    </r>
  </si>
  <si>
    <r>
      <rPr>
        <b/>
        <sz val="10"/>
        <rFont val="Calibri Light"/>
        <family val="1"/>
        <scheme val="major"/>
      </rPr>
      <t>Petrol
PHEV</t>
    </r>
  </si>
  <si>
    <r>
      <rPr>
        <b/>
        <sz val="10"/>
        <rFont val="Calibri Light"/>
        <family val="1"/>
        <scheme val="major"/>
      </rPr>
      <t>Diesel
HEV</t>
    </r>
  </si>
  <si>
    <r>
      <rPr>
        <b/>
        <sz val="10"/>
        <rFont val="Calibri Light"/>
        <family val="1"/>
        <scheme val="major"/>
      </rPr>
      <t>Petrol
HEV</t>
    </r>
  </si>
  <si>
    <r>
      <rPr>
        <b/>
        <sz val="10"/>
        <rFont val="Calibri Light"/>
        <family val="1"/>
        <scheme val="major"/>
      </rPr>
      <t>Diesel
ICE NH</t>
    </r>
  </si>
  <si>
    <r>
      <rPr>
        <b/>
        <sz val="10"/>
        <rFont val="Calibri Light"/>
        <family val="1"/>
        <scheme val="major"/>
      </rPr>
      <t>Petrol
ICE NH</t>
    </r>
  </si>
  <si>
    <t>Fuel Cell / Conventional Gasoline Differential - Honda Estimate (see graph below)</t>
  </si>
  <si>
    <r>
      <rPr>
        <b/>
        <sz val="10"/>
        <rFont val="Calibri"/>
        <family val="34"/>
      </rPr>
      <t xml:space="preserve">FIXOM in £/bvkm </t>
    </r>
    <r>
      <rPr>
        <sz val="10"/>
        <rFont val="Calibri"/>
        <family val="34"/>
      </rPr>
      <t>in year 2000 GBP</t>
    </r>
  </si>
  <si>
    <r>
      <rPr>
        <b/>
        <sz val="10"/>
        <color rgb="FF4F81BC"/>
        <rFont val="Calibri"/>
        <family val="34"/>
      </rPr>
      <t>Table 8. Fixed operating and maintenance costs (FIXOM) data for models</t>
    </r>
  </si>
  <si>
    <t>[000 km/GJ]/[000 km/GJ]</t>
  </si>
  <si>
    <t>% p.a.</t>
  </si>
  <si>
    <t>% Change</t>
  </si>
  <si>
    <t>BEV / Conventional Gasoline Differential - SATIM Estimate for 2012</t>
  </si>
  <si>
    <t>vs Electric</t>
  </si>
  <si>
    <t>vs Hybrid</t>
  </si>
  <si>
    <t>vs high-end mid-range gasoline sedan</t>
  </si>
  <si>
    <t>vs mid-range gasoline sedan</t>
  </si>
  <si>
    <t>E/100km</t>
  </si>
  <si>
    <t>vs Diesel Hatch</t>
  </si>
  <si>
    <t>vs Compact car</t>
  </si>
  <si>
    <r>
      <rPr>
        <sz val="10"/>
        <rFont val="Calibri Light"/>
        <family val="1"/>
        <scheme val="major"/>
      </rPr>
      <t>BEV</t>
    </r>
  </si>
  <si>
    <r>
      <rPr>
        <sz val="10"/>
        <rFont val="Calibri Light"/>
        <family val="1"/>
        <scheme val="major"/>
      </rPr>
      <t>FC PHEV</t>
    </r>
  </si>
  <si>
    <r>
      <rPr>
        <sz val="10"/>
        <rFont val="Calibri Light"/>
        <family val="1"/>
        <scheme val="major"/>
      </rPr>
      <t>FCHV</t>
    </r>
  </si>
  <si>
    <r>
      <rPr>
        <sz val="10"/>
        <rFont val="Calibri Light"/>
        <family val="1"/>
        <scheme val="major"/>
      </rPr>
      <t>FCV NH</t>
    </r>
  </si>
  <si>
    <r>
      <rPr>
        <sz val="10"/>
        <rFont val="Calibri Light"/>
        <family val="1"/>
        <scheme val="major"/>
      </rPr>
      <t>Diesel
PHEV</t>
    </r>
  </si>
  <si>
    <r>
      <rPr>
        <sz val="10"/>
        <rFont val="Calibri Light"/>
        <family val="1"/>
        <scheme val="major"/>
      </rPr>
      <t>Petrol
PHEV</t>
    </r>
  </si>
  <si>
    <r>
      <rPr>
        <sz val="10"/>
        <rFont val="Calibri Light"/>
        <family val="1"/>
        <scheme val="major"/>
      </rPr>
      <t>Diesel
HEV</t>
    </r>
  </si>
  <si>
    <r>
      <rPr>
        <sz val="10"/>
        <rFont val="Calibri Light"/>
        <family val="1"/>
        <scheme val="major"/>
      </rPr>
      <t>Petrol
HEV</t>
    </r>
  </si>
  <si>
    <r>
      <rPr>
        <sz val="10"/>
        <rFont val="Calibri Light"/>
        <family val="1"/>
        <scheme val="major"/>
      </rPr>
      <t>Diesel
ICE NH</t>
    </r>
  </si>
  <si>
    <r>
      <rPr>
        <sz val="10"/>
        <rFont val="Calibri Light"/>
        <family val="1"/>
        <scheme val="major"/>
      </rPr>
      <t>Petrol
ICE NH</t>
    </r>
  </si>
  <si>
    <r>
      <rPr>
        <sz val="10"/>
        <rFont val="Calibri Light"/>
        <family val="1"/>
        <scheme val="major"/>
      </rPr>
      <t>Year</t>
    </r>
  </si>
  <si>
    <t>km/E</t>
  </si>
  <si>
    <t>Range</t>
  </si>
  <si>
    <t>Comparison Vehicle</t>
  </si>
  <si>
    <r>
      <rPr>
        <b/>
        <sz val="10"/>
        <rFont val="Calibri Light"/>
        <family val="1"/>
        <scheme val="major"/>
      </rPr>
      <t>Vehicle efficiency data for models (bvkm/PJ)</t>
    </r>
  </si>
  <si>
    <r>
      <rPr>
        <b/>
        <sz val="10"/>
        <color rgb="FF4F81BC"/>
        <rFont val="Calibri"/>
        <family val="34"/>
      </rPr>
      <t>not shown, for brevity. Full data are available in the corresponding spreadsheet.</t>
    </r>
  </si>
  <si>
    <r>
      <rPr>
        <b/>
        <sz val="10"/>
        <color rgb="FF4F81BC"/>
        <rFont val="Calibri"/>
        <family val="34"/>
      </rPr>
      <t>Table 7. Efficiency (EFF) data for models. Data for hydrogen internal combustion vehicles, CNG, LPG and flex-fuel E85 vehicles</t>
    </r>
  </si>
  <si>
    <t>1: all converted to litres/100 km diesel equivalent as measured on the EPA Federal Test Procedure</t>
  </si>
  <si>
    <t>39015-49750</t>
  </si>
  <si>
    <t>Gasoline ICE / SUV</t>
  </si>
  <si>
    <t>2012 Cadillac CTS Wagon 6.2 L</t>
  </si>
  <si>
    <t>47500-57700</t>
  </si>
  <si>
    <t>2012 BMW X5 xDrive 35i 3.0L</t>
  </si>
  <si>
    <t>Diesel ICE / SUV</t>
  </si>
  <si>
    <t>2012 BMW X5 xDrive 35d 3.0L</t>
  </si>
  <si>
    <t>Gasoline ICE/mid-size sedan</t>
  </si>
  <si>
    <t>2012 Mercedes Benz C250 1.8l</t>
  </si>
  <si>
    <t>Diesel ICE/mid-size sedan</t>
  </si>
  <si>
    <t>2012 VW Golf 2.0 Diesel</t>
  </si>
  <si>
    <t>NG ICE/mid-size sedan</t>
  </si>
  <si>
    <t>2012 Honda Civic Natural Gas</t>
  </si>
  <si>
    <t>2012 Honda Civic</t>
  </si>
  <si>
    <t>Gasoline ICE/ Compact</t>
  </si>
  <si>
    <t>2012 SMART fortwo 1.0 l</t>
  </si>
  <si>
    <t>Gasoline Hybrid EV/mid-size sedan</t>
  </si>
  <si>
    <t>2012 Honda Civic Hybrid</t>
  </si>
  <si>
    <t>H2 FCV/ Hatch</t>
  </si>
  <si>
    <t>Mercedes-Benz B-Class F-CELL</t>
  </si>
  <si>
    <t>leased</t>
  </si>
  <si>
    <t>H2 FCV /mid-size sedan</t>
  </si>
  <si>
    <t>Honda FCX Clarity</t>
  </si>
  <si>
    <t>2012 Nissan Verso</t>
  </si>
  <si>
    <t>BEV/ compact</t>
  </si>
  <si>
    <t>2012 Nissan Leaf</t>
  </si>
  <si>
    <t>2013 Ford Focus FWD</t>
  </si>
  <si>
    <t>2013 Ford Focus BEV</t>
  </si>
  <si>
    <r>
      <rPr>
        <b/>
        <sz val="10"/>
        <rFont val="Calibri Light"/>
        <family val="1"/>
        <scheme val="major"/>
      </rPr>
      <t>FCV
NH</t>
    </r>
  </si>
  <si>
    <r>
      <rPr>
        <b/>
        <sz val="10"/>
        <rFont val="Calibri Light"/>
        <family val="1"/>
        <scheme val="major"/>
      </rPr>
      <t>Year</t>
    </r>
  </si>
  <si>
    <r>
      <t>litres/ 100km</t>
    </r>
    <r>
      <rPr>
        <vertAlign val="superscript"/>
        <sz val="10"/>
        <color rgb="FF000000"/>
        <rFont val="Calibri Light"/>
        <family val="1"/>
        <scheme val="major"/>
      </rPr>
      <t>1</t>
    </r>
  </si>
  <si>
    <t>(US$)</t>
  </si>
  <si>
    <t>(km)</t>
  </si>
  <si>
    <r>
      <rPr>
        <b/>
        <sz val="10"/>
        <rFont val="Calibri Light"/>
        <family val="1"/>
        <scheme val="major"/>
      </rPr>
      <t xml:space="preserve">INVCOST </t>
    </r>
    <r>
      <rPr>
        <sz val="10"/>
        <rFont val="Calibri Light"/>
        <family val="1"/>
        <scheme val="major"/>
      </rPr>
      <t>in millions of year 2000 GBP per billion vkm</t>
    </r>
  </si>
  <si>
    <t>Fuel Con.</t>
  </si>
  <si>
    <r>
      <rPr>
        <b/>
        <sz val="10"/>
        <color rgb="FF4F81BC"/>
        <rFont val="Calibri Light"/>
        <family val="1"/>
        <scheme val="major"/>
      </rPr>
      <t>Table 7. INVCOST data for models in UKSHEC II</t>
    </r>
  </si>
  <si>
    <t>Relative to MB C250</t>
  </si>
  <si>
    <t>Urban Driving Penalty</t>
  </si>
  <si>
    <t>Highway</t>
  </si>
  <si>
    <t>Urban</t>
  </si>
  <si>
    <t>Comb. Fuel Con.</t>
  </si>
  <si>
    <t>Upper Price</t>
  </si>
  <si>
    <t>Lower Price</t>
  </si>
  <si>
    <t>Engine / Type</t>
  </si>
  <si>
    <t>Vehicle Model</t>
  </si>
  <si>
    <t>www.fueleconomy.gov data:</t>
  </si>
  <si>
    <t>UCL Data</t>
  </si>
  <si>
    <t>HCV2Electric</t>
  </si>
  <si>
    <t>HCV3Electric</t>
  </si>
  <si>
    <t>HCV2Hydrogen</t>
  </si>
  <si>
    <t>HCV3Hydrogen</t>
  </si>
  <si>
    <t>HCV4Hydrogen</t>
  </si>
  <si>
    <t>HCV5Hydrogen</t>
  </si>
  <si>
    <t>HCV6Hydrogen</t>
  </si>
  <si>
    <t>HCV7Hydrogen</t>
  </si>
  <si>
    <t>HCV8Hydrogen</t>
  </si>
  <si>
    <t>HCV9Hydrogen</t>
  </si>
  <si>
    <t>LCVElectric</t>
  </si>
  <si>
    <t>MBTHydrogen</t>
  </si>
  <si>
    <t>MBTOil Blended Gasoline-Ethanol-E85</t>
  </si>
  <si>
    <t>SUVOil Blended Gasoline-Ethanol-E85</t>
  </si>
  <si>
    <t>Calibration is here</t>
  </si>
  <si>
    <t>\I: Total number of tech entries</t>
  </si>
  <si>
    <t>\I: Share Check &amp; sub-totals Electricity</t>
  </si>
  <si>
    <t>\I: Share Check &amp; sub-totals Gasoline</t>
  </si>
  <si>
    <t>\I: Share Check &amp; sub-totals Diesel</t>
  </si>
  <si>
    <t>\I:</t>
  </si>
  <si>
    <t>\I: Other Transport</t>
  </si>
  <si>
    <t>tonkm</t>
  </si>
  <si>
    <t>\I: Freight Transport</t>
  </si>
  <si>
    <t>\I: Share Check &amp; sub-totals</t>
  </si>
  <si>
    <t>t</t>
  </si>
  <si>
    <t>\I: Passenger Transport</t>
  </si>
  <si>
    <t>(PJ)</t>
  </si>
  <si>
    <t>eps</t>
  </si>
  <si>
    <t>billion veh km</t>
  </si>
  <si>
    <t>(%)</t>
  </si>
  <si>
    <t>000 veh</t>
  </si>
  <si>
    <t>m km/yr</t>
  </si>
  <si>
    <t>\I: Units</t>
  </si>
  <si>
    <t>Useful Energy Check</t>
  </si>
  <si>
    <t>2017PJ</t>
  </si>
  <si>
    <t>Model BY check</t>
  </si>
  <si>
    <t>Row #</t>
  </si>
  <si>
    <t>Useful Energy Service</t>
  </si>
  <si>
    <t>Input Commodity</t>
  </si>
  <si>
    <t>Technology Name</t>
  </si>
  <si>
    <t xml:space="preserve"> \I:Technology Description</t>
  </si>
  <si>
    <t>Comm-Out</t>
  </si>
  <si>
    <t>Comm-IN</t>
  </si>
  <si>
    <t>TechName</t>
  </si>
  <si>
    <t>TechDesc</t>
  </si>
  <si>
    <t>~FI_T</t>
  </si>
  <si>
    <t>~</t>
  </si>
  <si>
    <t>Base Year Technology Share</t>
  </si>
  <si>
    <t>Existing Installed Cap.</t>
  </si>
  <si>
    <t>road transport</t>
  </si>
  <si>
    <t>Existing Fleet</t>
  </si>
  <si>
    <t>Manually adjusted for zero residual capacity in 2050</t>
  </si>
  <si>
    <t>model deviation from EB</t>
  </si>
  <si>
    <t>EB 2012</t>
  </si>
  <si>
    <t>Grand Total</t>
  </si>
  <si>
    <t>Other Transport</t>
  </si>
  <si>
    <t>Freight Transport</t>
  </si>
  <si>
    <t>Passenger Transport</t>
  </si>
  <si>
    <t>Demand ID</t>
  </si>
  <si>
    <t>End-use Final Energy Consumption by Sub-sector (PJ)</t>
  </si>
  <si>
    <t>TSHFO</t>
  </si>
  <si>
    <t>Transport Other - HFO</t>
  </si>
  <si>
    <t>TAOAG</t>
  </si>
  <si>
    <t>Transport Other - Aviation Gasoline</t>
  </si>
  <si>
    <t>TADJET</t>
  </si>
  <si>
    <t xml:space="preserve">Transport Other -  Aviation Dom Jet Fuel </t>
  </si>
  <si>
    <t>TAIJET</t>
  </si>
  <si>
    <t xml:space="preserve">Transport Other -  Aviation Int Jet Fuel </t>
  </si>
  <si>
    <t>TFPIP</t>
  </si>
  <si>
    <t>Transport Other - Pipeline</t>
  </si>
  <si>
    <t>TFREX</t>
  </si>
  <si>
    <t>Transport Freight - Rail Export (bulk mining)</t>
  </si>
  <si>
    <t>TFROT</t>
  </si>
  <si>
    <t>Transport Freight - Rail Other</t>
  </si>
  <si>
    <t>TFRCO</t>
  </si>
  <si>
    <t>Transport Freight - Rail Corridor</t>
  </si>
  <si>
    <t>Transport Freight - HCV9</t>
  </si>
  <si>
    <t>Transport Freight - HCV8</t>
  </si>
  <si>
    <t>Transport Freight - HCV7</t>
  </si>
  <si>
    <t>Transport Freight - HCV6</t>
  </si>
  <si>
    <t>Transport Freight - HCV5</t>
  </si>
  <si>
    <t>Transport Freight - HCV4</t>
  </si>
  <si>
    <t>Transport Freight - HCV3</t>
  </si>
  <si>
    <t>Transport Freight - HCV2</t>
  </si>
  <si>
    <t>Transport Freight - HCV1</t>
  </si>
  <si>
    <t>Transport Freight - LCV</t>
  </si>
  <si>
    <t>TPPUGAT</t>
  </si>
  <si>
    <t>Transport Passenger Gautrain</t>
  </si>
  <si>
    <t>TPPUMER</t>
  </si>
  <si>
    <t>Transport Passenger Metro Rail</t>
  </si>
  <si>
    <t>Transport Passenger BRT</t>
  </si>
  <si>
    <t>Transport Passenger Minibus</t>
  </si>
  <si>
    <t>Transport Passenger Bus</t>
  </si>
  <si>
    <t>Transport Passenger Moto Priv.Veh.</t>
  </si>
  <si>
    <t>Transport Passenger Car Priv.Veh.</t>
  </si>
  <si>
    <t>Transport Passenger SUV Priv.Veh.</t>
  </si>
  <si>
    <t>Demand</t>
  </si>
  <si>
    <t>PJa</t>
  </si>
  <si>
    <t>Distribution Capacity (estimate)</t>
  </si>
  <si>
    <t>Distribution Losses</t>
  </si>
  <si>
    <t>NOX</t>
  </si>
  <si>
    <t>Nitrogen Gases</t>
  </si>
  <si>
    <t>SOX</t>
  </si>
  <si>
    <t>Sulphur Gases</t>
  </si>
  <si>
    <t>N2O</t>
  </si>
  <si>
    <t>Nitrous Oxide</t>
  </si>
  <si>
    <t>CH4</t>
  </si>
  <si>
    <t>Methane</t>
  </si>
  <si>
    <t>CO2</t>
  </si>
  <si>
    <t>Carbon Dioxide</t>
  </si>
  <si>
    <t>kt/PJ</t>
  </si>
  <si>
    <t>Emission Factors</t>
  </si>
  <si>
    <t>TRA</t>
  </si>
  <si>
    <t>Sectoral Fuel Names</t>
  </si>
  <si>
    <t>Oil LPG</t>
  </si>
  <si>
    <t>Oil Jet Fuel</t>
  </si>
  <si>
    <t>Oil HFO</t>
  </si>
  <si>
    <t>Oil Gasoline</t>
  </si>
  <si>
    <t>Oil Diesel</t>
  </si>
  <si>
    <t>Oil Av Gasoline</t>
  </si>
  <si>
    <t>T</t>
  </si>
  <si>
    <t>Transport</t>
  </si>
  <si>
    <t>Fuel #</t>
  </si>
  <si>
    <t>Entry #</t>
  </si>
  <si>
    <t>Base-year final energy aggregated by sector fuel</t>
  </si>
  <si>
    <t>Base Year Energy Balance</t>
  </si>
  <si>
    <t>South Africa</t>
  </si>
  <si>
    <t>DMD</t>
  </si>
  <si>
    <t>ANNUAL</t>
  </si>
  <si>
    <t>Demand Techs</t>
  </si>
  <si>
    <t>*</t>
  </si>
  <si>
    <t>Sets</t>
  </si>
  <si>
    <t>Tslvl</t>
  </si>
  <si>
    <t>Tcap</t>
  </si>
  <si>
    <t>Tact</t>
  </si>
  <si>
    <t>~FI_Process</t>
  </si>
  <si>
    <t>TRAHGN</t>
  </si>
  <si>
    <t>TRAELC</t>
  </si>
  <si>
    <t>R/km</t>
  </si>
  <si>
    <t>000'km car/yr 1</t>
  </si>
  <si>
    <t>R/car</t>
  </si>
  <si>
    <t>R/MJ</t>
  </si>
  <si>
    <t>R/l</t>
  </si>
  <si>
    <t>MJ/litre</t>
  </si>
  <si>
    <t>Levelised inv</t>
  </si>
  <si>
    <t>Capacity to Activity</t>
  </si>
  <si>
    <t>Investment cost</t>
  </si>
  <si>
    <t>fuel cost</t>
  </si>
  <si>
    <t>Fuel Price</t>
  </si>
  <si>
    <t>Fuel price</t>
  </si>
  <si>
    <t>Filter Cells Text</t>
  </si>
  <si>
    <t>ITEMS filters</t>
  </si>
  <si>
    <t>Lower Limit</t>
  </si>
  <si>
    <t>Upper Limit</t>
  </si>
  <si>
    <t>Base Year Tech Share</t>
  </si>
  <si>
    <t>Base Year Sales Share</t>
  </si>
  <si>
    <t>Upper Constraint</t>
  </si>
  <si>
    <t>Lower Constraint</t>
  </si>
  <si>
    <t>Subset</t>
  </si>
  <si>
    <t>Set</t>
  </si>
  <si>
    <t>emergent</t>
  </si>
  <si>
    <t>rate</t>
  </si>
  <si>
    <t>Levelized cost</t>
  </si>
  <si>
    <t>U2030</t>
  </si>
  <si>
    <t>I2012</t>
  </si>
  <si>
    <t>UC__RHSRT2012</t>
  </si>
  <si>
    <t>Start</t>
  </si>
  <si>
    <t>Default Lower Limits</t>
  </si>
  <si>
    <t>Default Upper Limits</t>
  </si>
  <si>
    <t>New Transport Technologies</t>
  </si>
  <si>
    <t>Alternative Scenario</t>
  </si>
  <si>
    <t>Reference Scenario</t>
  </si>
  <si>
    <t>Actually Loaded into TIMES</t>
  </si>
  <si>
    <t>default</t>
  </si>
  <si>
    <t>Conservative Upper Investment Limits</t>
  </si>
  <si>
    <t>Optimistic Upper Investment Limits</t>
  </si>
  <si>
    <t>Relaxed Upper Investment Limits</t>
  </si>
  <si>
    <t>Demand Commodities</t>
  </si>
  <si>
    <t>Vintage</t>
  </si>
  <si>
    <t>yes</t>
  </si>
  <si>
    <t>Hydrogen</t>
  </si>
  <si>
    <t>Oil Blended Gasoline-Ethanol-E85</t>
  </si>
  <si>
    <t>TRAOAG</t>
  </si>
  <si>
    <t>TRAODS</t>
  </si>
  <si>
    <t>TRAGAS</t>
  </si>
  <si>
    <t>TRAOGS</t>
  </si>
  <si>
    <t>TRAOHF</t>
  </si>
  <si>
    <t>TRAOKE</t>
  </si>
  <si>
    <t>TRAOLP</t>
  </si>
  <si>
    <t>TRABGS</t>
  </si>
  <si>
    <t>NCAP_AFX</t>
  </si>
  <si>
    <t>bPkm</t>
  </si>
  <si>
    <t>bPkma</t>
  </si>
  <si>
    <t>Pja</t>
  </si>
  <si>
    <t>btkm</t>
  </si>
  <si>
    <t>btkma</t>
  </si>
  <si>
    <t>Attribute</t>
  </si>
  <si>
    <t>CommName</t>
  </si>
  <si>
    <t>Demand Commodity Name</t>
  </si>
  <si>
    <t>Demand Value</t>
  </si>
  <si>
    <t>~FI_Comm</t>
  </si>
  <si>
    <t>CommDesc</t>
  </si>
  <si>
    <t>CommUnit</t>
  </si>
  <si>
    <t>Csets</t>
  </si>
  <si>
    <t>CTSLvl</t>
  </si>
  <si>
    <t>bvkm</t>
  </si>
  <si>
    <t>bpkm</t>
  </si>
  <si>
    <t>ptkm</t>
  </si>
  <si>
    <t>DEM</t>
  </si>
  <si>
    <t>Demand Commodities and Base Year Values</t>
  </si>
  <si>
    <t>Total: Passenger Transport</t>
  </si>
  <si>
    <t>Total: Freight Transport</t>
  </si>
  <si>
    <t>Transport Passenger SUV Priv.Veh. Oil Diesel-N</t>
  </si>
  <si>
    <t>Transport Passenger SUV Priv.Veh. Oil Gasoline-N</t>
  </si>
  <si>
    <t>Transport Passenger SUV Priv.Veh. Oil Diesel Hybrid-N</t>
  </si>
  <si>
    <t>Transport Passenger SUV Priv.Veh. Oil Gasoline Hybrid-N</t>
  </si>
  <si>
    <t>Transport Passenger SUV Priv.Veh. Gas-N</t>
  </si>
  <si>
    <t>Transport Passenger SUV Priv.Veh. Hydrogen Fuel Cell-N</t>
  </si>
  <si>
    <t>Transport Passenger SUV Priv.Veh. Oil Blended Gasoline-Ethanol-E85-N</t>
  </si>
  <si>
    <t>Transport Passenger SUV Priv.Veh. Electricity-N</t>
  </si>
  <si>
    <t>Transport Passenger Car Priv.Veh. Oil Diesel-N</t>
  </si>
  <si>
    <t>Transport Passenger Car Priv.Veh. Oil Gasoline-N</t>
  </si>
  <si>
    <t>Transport Passenger Car Priv.Veh. Oil Diesel Hybrid-N</t>
  </si>
  <si>
    <t>Transport Passenger Car Priv.Veh. Oil Gasoline Hybrid-N</t>
  </si>
  <si>
    <t>Transport Passenger Car Priv.Veh. Electricity-N</t>
  </si>
  <si>
    <t>Transport Passenger Car Priv.Veh. Gas-N</t>
  </si>
  <si>
    <t>Transport Passenger Car Priv.Veh. Hydrogen Fuel Cell-N</t>
  </si>
  <si>
    <t>Transport Passenger Car Priv.Veh. Oil Blended Gasoline-Ethanol-E85-N</t>
  </si>
  <si>
    <t>Transport Passenger Moto Priv.Veh. Oil Gasoline-N</t>
  </si>
  <si>
    <t>Transport Passenger Moto Priv.Veh. Electricity-N</t>
  </si>
  <si>
    <t>Transport Passenger Bus Oil Diesel-N</t>
  </si>
  <si>
    <t>Transport Passenger Bus Gas-N</t>
  </si>
  <si>
    <t>Transport Passenger Bus Hydrogen Fuel Cell-N</t>
  </si>
  <si>
    <t>Transport Passenger Bus Oil Blended Gasoline-Ethanol-E85-N</t>
  </si>
  <si>
    <t>Transport Passenger Bus Electricity-N</t>
  </si>
  <si>
    <t>Transport Passenger Minibus Oil Diesel-N</t>
  </si>
  <si>
    <t>Transport Passenger Minibus Oil Gasoline-N</t>
  </si>
  <si>
    <t>Transport Passenger Minibus Oil Diesel Hybrid-N</t>
  </si>
  <si>
    <t>Transport Passenger Minibus Gas-N</t>
  </si>
  <si>
    <t>Transport Passenger Minibus Hydrogen Fuel Cell-N</t>
  </si>
  <si>
    <t>Transport Passenger Minibus Oil Blended Gasoline-Ethanol-E85-N</t>
  </si>
  <si>
    <t>Transport Passenger Minibus Electricity-N</t>
  </si>
  <si>
    <t>Transport Passenger BRT Oil Diesel-N</t>
  </si>
  <si>
    <t>Transport Passenger BRT Gas-N</t>
  </si>
  <si>
    <t>Transport Passenger BRT Electricity-N</t>
  </si>
  <si>
    <t>Transport Passenger BRT Hydrogen-N</t>
  </si>
  <si>
    <t>Transport Passenger BRT Oil Blended Gasoline-Ethanol-E85-N</t>
  </si>
  <si>
    <t>Transport Passenger Metro Rail Electricity-N</t>
  </si>
  <si>
    <t>Transport Passenger Gautrain Electricity-N</t>
  </si>
  <si>
    <t>Transport Freight - LCV Oil Diesel-N</t>
  </si>
  <si>
    <t>Transport Freight - LCV Oil Diesel Hybrid-N</t>
  </si>
  <si>
    <t>Transport Freight - LCV Oil Gasoline-N</t>
  </si>
  <si>
    <t>Transport Freight - LCV Oil GasolineHybrid-N</t>
  </si>
  <si>
    <t>Transport Freight - LCV Gas-N</t>
  </si>
  <si>
    <t>Transport Freight - LCV Electricity-N</t>
  </si>
  <si>
    <t>Transport Freight - HCV1 Oil Diesel-N</t>
  </si>
  <si>
    <t>Transport Freight - HCV1 Oil Gasoline-N</t>
  </si>
  <si>
    <t>Transport Freight - HCV2 Oil Diesel-N</t>
  </si>
  <si>
    <t>Transport Freight - HCV3 Oil Diesel-N</t>
  </si>
  <si>
    <t>Transport Freight - HCV4 Oil Diesel-N</t>
  </si>
  <si>
    <t>Transport Freight - HCV5 Oil Diesel-N</t>
  </si>
  <si>
    <t>Transport Freight - HCV6 Oil Diesel-N</t>
  </si>
  <si>
    <t>Transport Freight - HCV7 Oil Diesel-N</t>
  </si>
  <si>
    <t>Transport Freight - HCV8 Oil Diesel-N</t>
  </si>
  <si>
    <t>Transport Freight - HCV9 Oil Diesel-N</t>
  </si>
  <si>
    <t>Transport Freight - HCV1 Gas-N</t>
  </si>
  <si>
    <t>Transport Freight - HCV2 Gas-N</t>
  </si>
  <si>
    <t>Transport Freight - HCV3 Gas-N</t>
  </si>
  <si>
    <t>Transport Freight - HCV4 Gas-N</t>
  </si>
  <si>
    <t>Transport Freight - HCV5 Gas-N</t>
  </si>
  <si>
    <t>Transport Freight - HCV6 Gas-N</t>
  </si>
  <si>
    <t>Transport Freight - HCV7 Gas-N</t>
  </si>
  <si>
    <t>Transport Freight - HCV8 Gas-N</t>
  </si>
  <si>
    <t>Transport Freight - HCV9 Gas-N</t>
  </si>
  <si>
    <t>Transport Freight - HCV1 Electricity-N</t>
  </si>
  <si>
    <t>Transport Freight - HCV2 Electricity-N</t>
  </si>
  <si>
    <t>Transport Freight - HCV3 Electricity-N</t>
  </si>
  <si>
    <t>Transport Freight - HCV2 Hydrogen-N</t>
  </si>
  <si>
    <t>Transport Freight - HCV3 Hydrogen-N</t>
  </si>
  <si>
    <t>Transport Freight - HCV4 Hydrogen-N</t>
  </si>
  <si>
    <t>Transport Freight - HCV5 Hydrogen-N</t>
  </si>
  <si>
    <t>Transport Freight - HCV6 Hydrogen-N</t>
  </si>
  <si>
    <t>Transport Freight - HCV7 Hydrogen-N</t>
  </si>
  <si>
    <t>Transport Freight - HCV8 Hydrogen-N</t>
  </si>
  <si>
    <t>Transport Freight - HCV9 Hydrogen-N</t>
  </si>
  <si>
    <t>Transport Freight - Rail Corridor Gas-N</t>
  </si>
  <si>
    <t>Transport Freight - Rail Corridor Electricity-N</t>
  </si>
  <si>
    <t>Transport Freight - Rail Other Electricity-N</t>
  </si>
  <si>
    <t>Transport Freight - Rail Export (bulk mining) Electricity-N</t>
  </si>
  <si>
    <t>Transport Other - Pipeline Electricity-N</t>
  </si>
  <si>
    <t>Transport Other -  Aviation Int Jet Fuel  Oil Jet Fuel-N</t>
  </si>
  <si>
    <t>Transport Other -  Aviation Dom Jet Fuel  Oil Jet Fuel-N</t>
  </si>
  <si>
    <t>Transport Other - Aviation Gasoline T-N</t>
  </si>
  <si>
    <t>Transport Other - HFO Oil HFO-N</t>
  </si>
  <si>
    <t>NCAP_ELIFE</t>
  </si>
  <si>
    <t>NCAP_TLIFE</t>
  </si>
  <si>
    <t>RSA  2017</t>
  </si>
  <si>
    <t>Other_Indexes</t>
  </si>
  <si>
    <t>SHAPE</t>
  </si>
  <si>
    <t>S001</t>
  </si>
  <si>
    <t>2012-&gt;2022 zar conversion (legacy entanglement)</t>
  </si>
  <si>
    <t>excl. finance</t>
  </si>
  <si>
    <t>Average new vehicle 2022 ZAR</t>
  </si>
  <si>
    <t>Average 2022 CPI</t>
  </si>
  <si>
    <t>Average 2023 CPI</t>
  </si>
  <si>
    <t>2023 ZAR</t>
  </si>
  <si>
    <t>Mean</t>
  </si>
  <si>
    <t>Q3</t>
  </si>
  <si>
    <t>Med</t>
  </si>
  <si>
    <t>Q1</t>
  </si>
  <si>
    <t>https://www.cars.co.za/usedcars/?body_type_exact=Hatchback|Sedan&amp;commercial_type=passenger&amp;fuel_type=p&amp;new_or_used=New&amp;seller_type=agent&amp;sort=price&amp;transmission=Manual&amp;vehicle_axle_config=4X2&amp;vfs_mileage=0-0&amp;vfs_year=2023-2023</t>
  </si>
  <si>
    <t>Search:</t>
  </si>
  <si>
    <t>Average price (2020ZAR)</t>
  </si>
  <si>
    <t>Average 2020ZAR multiplier</t>
  </si>
  <si>
    <t>Average (Jan 2020ZAR)</t>
  </si>
  <si>
    <t>Price*</t>
  </si>
  <si>
    <t>Rel to Jan-20</t>
  </si>
  <si>
    <t>2020 CPI</t>
  </si>
  <si>
    <t>https://www.wesbank.co.za/blog/post/the-real-costs-of-vehicle-ownership-and-maintenance</t>
  </si>
  <si>
    <t>Average new petrol ICE cost in 2020</t>
  </si>
  <si>
    <t>Guy updating vehicle costs 19 Sep 2023</t>
  </si>
  <si>
    <t>2023 New Petrol ICE Sedan/Hatchback price average</t>
  </si>
  <si>
    <t>2023 New Diesel ICE Sedan/Hatchback price</t>
  </si>
  <si>
    <t>Audi A4 TDI</t>
  </si>
  <si>
    <t>cheapest diesel sedan/hatchback I could find</t>
  </si>
  <si>
    <t>2022 ZAR</t>
  </si>
  <si>
    <t>2023 petrol HEV sedan/hatchback</t>
  </si>
  <si>
    <t>Capital Cost, ZAR</t>
  </si>
  <si>
    <t>Median</t>
  </si>
  <si>
    <t>assume diesel = 1.5 * petrol for sedans / hatchbacks</t>
  </si>
  <si>
    <t>2023 Petrol PHEV</t>
  </si>
  <si>
    <t>https://www.cars.co.za/usedcars/?body_type_exact=Hatchback|Sedan&amp;fuel_type=h&amp;new_or_used=New&amp;sort=price_d&amp;vfs_mileage=0-1000&amp;P=1</t>
  </si>
  <si>
    <t>assume PHEV = 1.33 * HEV</t>
  </si>
  <si>
    <t>BEVs</t>
  </si>
  <si>
    <t>range is R 750k to 3.3k</t>
  </si>
  <si>
    <t xml:space="preserve">Assume FCEVs are 1.5* BEVs </t>
  </si>
  <si>
    <t>Assume H2 PHEVs are 1.1* H2FC</t>
  </si>
  <si>
    <t>Assume H2FC REEV = 0.8* H2FC</t>
  </si>
  <si>
    <t>Assume motorcycles / mopeds cost 42% of passenger cars (based on Fadiel 2012 data)</t>
  </si>
  <si>
    <t>SUVs / LCVs</t>
  </si>
  <si>
    <t>Mid-level Toyota Cross 1.8</t>
  </si>
  <si>
    <t>Toyota Fortuner</t>
  </si>
  <si>
    <t>Toyota Cross Petrol Hybrid</t>
  </si>
  <si>
    <t>Assume diesel HEV = 1.5 * Petrol</t>
  </si>
  <si>
    <t>Assume CNG = 1.1 * Diesel</t>
  </si>
  <si>
    <t>assume REEV = 1.33 * PHEV</t>
  </si>
  <si>
    <t>MCV costs</t>
  </si>
  <si>
    <t>Price of a small FAW MCV truck</t>
  </si>
  <si>
    <t xml:space="preserve">Assume 2020 price ratio </t>
  </si>
  <si>
    <t>2015ZAR</t>
  </si>
  <si>
    <t>2020 (Fadiel 2012 data)</t>
  </si>
  <si>
    <t>HCV costs</t>
  </si>
  <si>
    <t xml:space="preserve">Price of a medium FAW </t>
  </si>
  <si>
    <t>Assume BEV HCV costs = 2*H2FC</t>
  </si>
  <si>
    <t>For larger HCVs and buses, assumptions and proportions from 2012 maintained</t>
  </si>
  <si>
    <t>legacy price changes across 5 year intervals</t>
  </si>
  <si>
    <t>Converted to 2020</t>
  </si>
  <si>
    <t>2022 (as per data collection) -&gt;</t>
  </si>
  <si>
    <t>Average 2020 CPI</t>
  </si>
  <si>
    <t>2020: Data / Legacy</t>
  </si>
  <si>
    <t>Prices calibrated</t>
  </si>
  <si>
    <r>
      <t xml:space="preserve">Road Vehicle Cost and Efficiency Calculation Framework 2010-2050 (2012) #ED57444 with 8% drate - </t>
    </r>
    <r>
      <rPr>
        <b/>
        <sz val="11"/>
        <color rgb="FFFF0066"/>
        <rFont val="Calibri"/>
        <family val="2"/>
        <scheme val="minor"/>
      </rPr>
      <t>legacy Fadiel analysis</t>
    </r>
  </si>
  <si>
    <t>2022ZAR</t>
  </si>
  <si>
    <t>All prices below converted to 2022ZAR (link to old GBP prices removed)</t>
  </si>
  <si>
    <t>Vehicle prices updated based on 2023 data research</t>
  </si>
  <si>
    <t>Capex parity converter per vehicle tech fuel and class</t>
  </si>
  <si>
    <t>HCV1Electric</t>
  </si>
  <si>
    <t>Transport Freight - HCV4 Electricity-N</t>
  </si>
  <si>
    <t>Transport Freight - HCV5 Electricity-N</t>
  </si>
  <si>
    <t>Transport Freight - HCV6 Electricity-N</t>
  </si>
  <si>
    <t>Transport Freight - HCV7 Electricity-N</t>
  </si>
  <si>
    <t>Transport Freight - HCV8 Electricity-N</t>
  </si>
  <si>
    <t>Transport Freight - HCV9 Electricity-N</t>
  </si>
  <si>
    <t>HCV4Electric</t>
  </si>
  <si>
    <t>HCV5Electric</t>
  </si>
  <si>
    <t>HCV6Electric</t>
  </si>
  <si>
    <t>HCV7Electric</t>
  </si>
  <si>
    <t>HCV8Electric</t>
  </si>
  <si>
    <t>HCV9Electric</t>
  </si>
  <si>
    <t>Shape</t>
  </si>
  <si>
    <t>Tech</t>
  </si>
  <si>
    <t>Type</t>
  </si>
  <si>
    <t>Decay</t>
  </si>
  <si>
    <t>HVC1</t>
  </si>
  <si>
    <t>HVC2</t>
  </si>
  <si>
    <t>HVC3</t>
  </si>
  <si>
    <t>HVC4</t>
  </si>
  <si>
    <t>HVC5</t>
  </si>
  <si>
    <t>HVC6</t>
  </si>
  <si>
    <t>HVC7</t>
  </si>
  <si>
    <t>HVC8</t>
  </si>
  <si>
    <t>HVC9</t>
  </si>
  <si>
    <t>TPPRSUVODS-N</t>
  </si>
  <si>
    <t>TPPRSUVOGS-N</t>
  </si>
  <si>
    <t>TPPRSUVODSH-N</t>
  </si>
  <si>
    <t>TPPRSUVOGSH-N</t>
  </si>
  <si>
    <t>TPPRSUVGAS-N</t>
  </si>
  <si>
    <t>TPPRSUVHGNF-N</t>
  </si>
  <si>
    <t>TPPRSUVBGS-N</t>
  </si>
  <si>
    <t>TPPRSUVELC-N</t>
  </si>
  <si>
    <t>TPPRCARODS-N</t>
  </si>
  <si>
    <t>TPPRCAROGS-N</t>
  </si>
  <si>
    <t>TPPRCARODSH-N</t>
  </si>
  <si>
    <t>TPPRCAROGSH-N</t>
  </si>
  <si>
    <t>TPPRCARELC-N</t>
  </si>
  <si>
    <t>TPPRCARGAS-N</t>
  </si>
  <si>
    <t>TPPRCARHGNF-N</t>
  </si>
  <si>
    <t>TPPRCARBGS-N</t>
  </si>
  <si>
    <t>TPPRMOTELC-N</t>
  </si>
  <si>
    <t>TPPUBUSODS-N</t>
  </si>
  <si>
    <t>TPPUBUSGAS-N</t>
  </si>
  <si>
    <t>TPPUBUSHGNF-N</t>
  </si>
  <si>
    <t>TPPUBUSBGS-N</t>
  </si>
  <si>
    <t>TPPUBUSELC-N</t>
  </si>
  <si>
    <t>TPPUMBTODS-N</t>
  </si>
  <si>
    <t>TPPUMBTOGS-N</t>
  </si>
  <si>
    <t>TPPUMBTODSH-N</t>
  </si>
  <si>
    <t>TPPUMBTGAS-N</t>
  </si>
  <si>
    <t>TPPUMBTHGNF-N</t>
  </si>
  <si>
    <t>TPPUMBTBGS-N</t>
  </si>
  <si>
    <t>TPPUMBTELC-N</t>
  </si>
  <si>
    <t>TPPUBRTGAS-N</t>
  </si>
  <si>
    <t>TPPUBRTELC-N</t>
  </si>
  <si>
    <t>TPPUBRTHGNF-N</t>
  </si>
  <si>
    <t>TPPUBRTBGS-N</t>
  </si>
  <si>
    <t>TFLCVODS-N</t>
  </si>
  <si>
    <t>TFLCVODSH-N</t>
  </si>
  <si>
    <t>TFLCVOGS-N</t>
  </si>
  <si>
    <t>TFLCVOGSH-N</t>
  </si>
  <si>
    <t>TFLCVGAS-N</t>
  </si>
  <si>
    <t>TFLCVELC-N</t>
  </si>
  <si>
    <t>TFHCV1ODS-N</t>
  </si>
  <si>
    <t>TFHCV1OGS-N</t>
  </si>
  <si>
    <t>TFHCV2ODS-N</t>
  </si>
  <si>
    <t>TFHCV3ODS-N</t>
  </si>
  <si>
    <t>TFHCV4ODS-N</t>
  </si>
  <si>
    <t>TFHCV5ODS-N</t>
  </si>
  <si>
    <t>TFHCV6ODS-N</t>
  </si>
  <si>
    <t>TFHCV7ODS-N</t>
  </si>
  <si>
    <t>TFHCV8ODS-N</t>
  </si>
  <si>
    <t>TFHCV9ODS-N</t>
  </si>
  <si>
    <t>TFHCV1GAS-N</t>
  </si>
  <si>
    <t>TFHCV2GAS-N</t>
  </si>
  <si>
    <t>TFHCV3GAS-N</t>
  </si>
  <si>
    <t>TFHCV4GAS-N</t>
  </si>
  <si>
    <t>TFHCV5GAS-N</t>
  </si>
  <si>
    <t>TFHCV6GAS-N</t>
  </si>
  <si>
    <t>TFHCV7GAS-N</t>
  </si>
  <si>
    <t>TFHCV8GAS-N</t>
  </si>
  <si>
    <t>TFHCV9GAS-N</t>
  </si>
  <si>
    <t>TFHCV1ELC-N</t>
  </si>
  <si>
    <t>TFHCV2ELC-N</t>
  </si>
  <si>
    <t>TFHCV3ELC-N</t>
  </si>
  <si>
    <t>TFHCV4ELC-N</t>
  </si>
  <si>
    <t>TFHCV5ELC-N</t>
  </si>
  <si>
    <t>TFHCV6ELC-N</t>
  </si>
  <si>
    <t>TFHCV7ELC-N</t>
  </si>
  <si>
    <t>TFHCV8ELC-N</t>
  </si>
  <si>
    <t>TFHCV9ELC-N</t>
  </si>
  <si>
    <t>TFHCV2HGN-N</t>
  </si>
  <si>
    <t>TFHCV3HGN-N</t>
  </si>
  <si>
    <t>TFHCV4HGN-N</t>
  </si>
  <si>
    <t>TFHCV5HGN-N</t>
  </si>
  <si>
    <t>TFHCV6HGN-N</t>
  </si>
  <si>
    <t>TFHCV7HGN-N</t>
  </si>
  <si>
    <t>TFHCV8HGN-N</t>
  </si>
  <si>
    <t>TFHCV9HGN-N</t>
  </si>
  <si>
    <t>Mini Cooper SE 215km range</t>
  </si>
  <si>
    <t>Volvo electric xc40 p6</t>
  </si>
  <si>
    <t xml:space="preserve">https://www.capetalk.co.za/articles/477530/all-the-electric-cars-available-in-south-africa </t>
  </si>
  <si>
    <t>Decay parameter</t>
  </si>
  <si>
    <t>From Analytica Vehicle Parc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</si>
</sst>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3" formatCode="_(* #,##0.00_);_(* \(#,##0.00\);_(* &quot;-&quot;??_);_(@_)"/>
    <numFmt numFmtId="164" formatCode="_-* #,##0.00_-;\-* #,##0.00_-;_-* &quot;-&quot;??_-;_-@_-"/>
    <numFmt numFmtId="165" formatCode="[$£-809]#,##0.00;[Red]&quot;-&quot;[$£-809]#,##0.00"/>
    <numFmt numFmtId="166" formatCode="#,##0.00;\-#,##0.00;\-"/>
    <numFmt numFmtId="167" formatCode="0.0%"/>
    <numFmt numFmtId="168" formatCode="0.000"/>
    <numFmt numFmtId="169" formatCode="0.0"/>
    <numFmt numFmtId="170" formatCode="_(* #,##0_);_(* \(#,##0\);_(* &quot;-&quot;??_);_(@_)"/>
    <numFmt numFmtId="171" formatCode="_(* #,##0.0_);_(* \(#,##0.0\);_(* &quot;-&quot;??_);_(@_)"/>
    <numFmt numFmtId="172" formatCode="#,##0;\-#,##0;\-"/>
    <numFmt numFmtId="173" formatCode="#,##0_ ;\-#,##0\ "/>
    <numFmt numFmtId="174" formatCode="#,##0.000;\-#,##0.000;\-"/>
    <numFmt numFmtId="175" formatCode="0.0000"/>
    <numFmt numFmtId="176" formatCode="0.00000"/>
    <numFmt numFmtId="177" formatCode="0.000000"/>
    <numFmt numFmtId="178" formatCode="_(* #,##0.000_);_(* \(#,##0.000\);_(* &quot;-&quot;??_);_(@_)"/>
    <numFmt numFmtId="179" formatCode="_ * #,##0.00_ ;_ * \-#,##0.00_ ;_ * &quot;-&quot;??_ ;_ @_ "/>
    <numFmt numFmtId="180" formatCode="[$£-809]#,##0.000;[Red][$£-809]#,##0.000"/>
    <numFmt numFmtId="181" formatCode="&quot;£&quot;#,##0"/>
    <numFmt numFmtId="182" formatCode="_ [$R-1C09]\ * #,##0.00_ ;_ [$R-1C09]\ * \-#,##0.00_ ;_ [$R-1C09]\ * &quot;-&quot;??_ ;_ @_ "/>
    <numFmt numFmtId="183" formatCode="_-&quot;öS&quot;\ * #,##0.00_-;\-&quot;öS&quot;\ * #,##0.00_-;_-&quot;öS&quot;\ * &quot;-&quot;??_-;_-@_-"/>
    <numFmt numFmtId="184" formatCode="&quot;R&quot;\ #,##0.00"/>
    <numFmt numFmtId="185" formatCode="###0;###0"/>
    <numFmt numFmtId="186" formatCode="###0.0;###0.0"/>
    <numFmt numFmtId="187" formatCode="###0.00;###0.00"/>
    <numFmt numFmtId="188" formatCode="0.0_)"/>
    <numFmt numFmtId="189" formatCode="\Te\x\t"/>
    <numFmt numFmtId="190" formatCode="#,##0.000"/>
    <numFmt numFmtId="191" formatCode="#,##0_);\(#,##0\);&quot;-&quot;"/>
    <numFmt numFmtId="192" formatCode="0.000%"/>
    <numFmt numFmtId="193" formatCode="&quot;$&quot;#,##0.00_);[Red]\(&quot;$&quot;#,##0.00\)"/>
    <numFmt numFmtId="194" formatCode="_-[$R-1C09]* #,##0.00_-;\-[$R-1C09]* #,##0.00_-;_-[$R-1C09]* &quot;-&quot;??_-;_-@_-"/>
  </numFmts>
  <fonts count="138" x14ac:knownFonts="1">
    <font>
      <sz val="11"/>
      <color theme="1"/>
      <name val="Calibri"/>
      <family val="2"/>
      <scheme val="minor"/>
    </font>
    <font>
      <sz val="11"/>
      <color theme="1"/>
      <name val="Calibri"/>
      <family val="2"/>
    </font>
    <font>
      <sz val="11"/>
      <color theme="1"/>
      <name val="Calibri"/>
      <family val="2"/>
    </font>
    <font>
      <sz val="11"/>
      <color theme="1"/>
      <name val="Calibri"/>
      <family val="2"/>
      <scheme val="minor"/>
    </font>
    <font>
      <b/>
      <sz val="15"/>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Arial"/>
      <family val="2"/>
    </font>
    <font>
      <sz val="9"/>
      <color rgb="FF576170"/>
      <name val="Arial"/>
      <family val="2"/>
    </font>
    <font>
      <u/>
      <sz val="10"/>
      <color indexed="12"/>
      <name val="Arial"/>
      <family val="2"/>
    </font>
    <font>
      <sz val="10"/>
      <color rgb="FFC00000"/>
      <name val="Arial"/>
      <family val="2"/>
    </font>
    <font>
      <sz val="10"/>
      <name val="Helv"/>
      <family val="2"/>
    </font>
    <font>
      <b/>
      <sz val="10"/>
      <name val="Helv"/>
    </font>
    <font>
      <sz val="9"/>
      <name val="Bookman Old Style"/>
      <family val="1"/>
    </font>
    <font>
      <sz val="10"/>
      <color theme="4"/>
      <name val="Helv"/>
      <family val="2"/>
    </font>
    <font>
      <sz val="10"/>
      <color rgb="FFFF0000"/>
      <name val="Helv"/>
      <family val="2"/>
    </font>
    <font>
      <b/>
      <sz val="10"/>
      <name val="Arial"/>
      <family val="2"/>
    </font>
    <font>
      <b/>
      <sz val="8"/>
      <name val="Helv"/>
      <family val="2"/>
    </font>
    <font>
      <b/>
      <sz val="8"/>
      <color indexed="9"/>
      <name val="Helv"/>
      <family val="2"/>
    </font>
    <font>
      <b/>
      <sz val="10"/>
      <color indexed="9"/>
      <name val="Helv"/>
    </font>
    <font>
      <b/>
      <sz val="10"/>
      <color indexed="8"/>
      <name val="Helv"/>
    </font>
    <font>
      <sz val="8"/>
      <name val="Arial"/>
      <family val="2"/>
    </font>
    <font>
      <b/>
      <sz val="18"/>
      <name val="Helv"/>
    </font>
    <font>
      <b/>
      <sz val="9"/>
      <color indexed="81"/>
      <name val="Tahoma"/>
      <family val="2"/>
    </font>
    <font>
      <sz val="9"/>
      <color indexed="81"/>
      <name val="Tahoma"/>
      <family val="2"/>
    </font>
    <font>
      <b/>
      <sz val="8"/>
      <color indexed="81"/>
      <name val="Tahoma"/>
      <family val="2"/>
    </font>
    <font>
      <sz val="8"/>
      <color indexed="81"/>
      <name val="Tahoma"/>
      <family val="2"/>
    </font>
    <font>
      <sz val="8"/>
      <color rgb="FF414445"/>
      <name val="Arial"/>
      <family val="2"/>
    </font>
    <font>
      <sz val="11"/>
      <name val="Calibri"/>
      <family val="2"/>
      <scheme val="minor"/>
    </font>
    <font>
      <sz val="11"/>
      <color rgb="FF9C6500"/>
      <name val="Calibri"/>
      <family val="2"/>
      <scheme val="minor"/>
    </font>
    <font>
      <b/>
      <sz val="12"/>
      <color rgb="FFC00000"/>
      <name val="Calibri"/>
      <family val="2"/>
      <scheme val="minor"/>
    </font>
    <font>
      <sz val="10"/>
      <color indexed="81"/>
      <name val="Tahoma"/>
      <family val="2"/>
    </font>
    <font>
      <sz val="14"/>
      <color indexed="81"/>
      <name val="Tahoma"/>
      <family val="2"/>
    </font>
    <font>
      <b/>
      <sz val="12"/>
      <color indexed="81"/>
      <name val="Tahoma"/>
      <family val="2"/>
    </font>
    <font>
      <sz val="12"/>
      <color indexed="81"/>
      <name val="Tahoma"/>
      <family val="2"/>
    </font>
    <font>
      <sz val="11"/>
      <color rgb="FFC00000"/>
      <name val="Calibri"/>
      <family val="2"/>
      <scheme val="minor"/>
    </font>
    <font>
      <sz val="10"/>
      <color theme="3"/>
      <name val="Arial"/>
      <family val="2"/>
    </font>
    <font>
      <i/>
      <sz val="9"/>
      <color indexed="81"/>
      <name val="Tahoma"/>
      <family val="2"/>
    </font>
    <font>
      <i/>
      <sz val="8"/>
      <color indexed="81"/>
      <name val="Tahoma"/>
      <family val="2"/>
    </font>
    <font>
      <sz val="8"/>
      <color rgb="FF2E2F2D"/>
      <name val="Arial"/>
      <family val="2"/>
    </font>
    <font>
      <sz val="9"/>
      <color theme="1"/>
      <name val="Arial"/>
      <family val="2"/>
    </font>
    <font>
      <sz val="9"/>
      <color rgb="FF000000"/>
      <name val="Arial"/>
      <family val="2"/>
    </font>
    <font>
      <b/>
      <sz val="11"/>
      <color rgb="FFC00000"/>
      <name val="Calibri"/>
      <family val="2"/>
      <scheme val="minor"/>
    </font>
    <font>
      <b/>
      <sz val="8.5"/>
      <color rgb="FF5B9BD5"/>
      <name val="Cambria"/>
      <family val="1"/>
    </font>
    <font>
      <b/>
      <sz val="8.5"/>
      <color rgb="FF4F82BD"/>
      <name val="Cambria"/>
      <family val="1"/>
    </font>
    <font>
      <sz val="10.5"/>
      <color theme="1"/>
      <name val="Cambria"/>
      <family val="1"/>
    </font>
    <font>
      <b/>
      <sz val="10.5"/>
      <color theme="1"/>
      <name val="Cambria"/>
      <family val="1"/>
    </font>
    <font>
      <i/>
      <sz val="9.5"/>
      <color theme="1"/>
      <name val="Cambria"/>
      <family val="1"/>
    </font>
    <font>
      <sz val="12"/>
      <color theme="1"/>
      <name val="Times New Roman"/>
      <family val="1"/>
    </font>
    <font>
      <b/>
      <sz val="12"/>
      <color theme="1"/>
      <name val="Times New Roman"/>
      <family val="1"/>
    </font>
    <font>
      <b/>
      <sz val="9"/>
      <name val="Arial"/>
      <family val="2"/>
    </font>
    <font>
      <b/>
      <sz val="10"/>
      <color theme="0"/>
      <name val="Arial"/>
      <family val="2"/>
    </font>
    <font>
      <sz val="10"/>
      <color theme="0"/>
      <name val="Arial"/>
      <family val="2"/>
    </font>
    <font>
      <sz val="9"/>
      <color theme="0"/>
      <name val="Arial"/>
      <family val="2"/>
    </font>
    <font>
      <b/>
      <sz val="9"/>
      <color rgb="FF000000"/>
      <name val="Arial"/>
      <family val="2"/>
    </font>
    <font>
      <b/>
      <sz val="9"/>
      <color theme="1"/>
      <name val="Arial"/>
      <family val="2"/>
    </font>
    <font>
      <sz val="9"/>
      <name val="Arial"/>
      <family val="2"/>
    </font>
    <font>
      <sz val="9"/>
      <color theme="0" tint="-0.249977111117893"/>
      <name val="Arial"/>
      <family val="2"/>
    </font>
    <font>
      <i/>
      <sz val="9"/>
      <color theme="1"/>
      <name val="Arial"/>
      <family val="2"/>
    </font>
    <font>
      <sz val="10"/>
      <color rgb="FF000000"/>
      <name val="Times New Roman"/>
      <family val="1"/>
    </font>
    <font>
      <sz val="10"/>
      <color theme="8"/>
      <name val="Times New Roman"/>
      <family val="1"/>
    </font>
    <font>
      <b/>
      <sz val="9"/>
      <color theme="8"/>
      <name val="Arial"/>
      <family val="2"/>
    </font>
    <font>
      <b/>
      <sz val="10"/>
      <color theme="8"/>
      <name val="Arial"/>
      <family val="2"/>
    </font>
    <font>
      <sz val="9"/>
      <color theme="8"/>
      <name val="Arial"/>
      <family val="2"/>
    </font>
    <font>
      <sz val="10"/>
      <color theme="1"/>
      <name val="Arial"/>
      <family val="2"/>
    </font>
    <font>
      <b/>
      <sz val="9"/>
      <color theme="0"/>
      <name val="Arial"/>
      <family val="2"/>
    </font>
    <font>
      <sz val="9"/>
      <color rgb="FFFF0000"/>
      <name val="Arial"/>
      <family val="2"/>
    </font>
    <font>
      <sz val="7"/>
      <color rgb="FF000000"/>
      <name val="Arial"/>
      <family val="2"/>
    </font>
    <font>
      <sz val="10"/>
      <name val="Times New Roman"/>
      <family val="1"/>
    </font>
    <font>
      <sz val="9"/>
      <color rgb="FF008000"/>
      <name val="Arial"/>
      <family val="2"/>
    </font>
    <font>
      <sz val="10"/>
      <color rgb="FFFF0000"/>
      <name val="Times New Roman"/>
      <family val="1"/>
    </font>
    <font>
      <b/>
      <sz val="10"/>
      <color rgb="FF0066AA"/>
      <name val="Arial"/>
      <family val="2"/>
    </font>
    <font>
      <sz val="11"/>
      <color theme="1"/>
      <name val="Calibri Light"/>
      <family val="1"/>
      <scheme val="major"/>
    </font>
    <font>
      <sz val="10"/>
      <color theme="1"/>
      <name val="Calibri Light"/>
      <family val="1"/>
      <scheme val="major"/>
    </font>
    <font>
      <b/>
      <sz val="11"/>
      <color theme="1"/>
      <name val="Calibri Light"/>
      <family val="1"/>
      <scheme val="major"/>
    </font>
    <font>
      <b/>
      <sz val="14"/>
      <color theme="1"/>
      <name val="Calibri Light"/>
      <family val="1"/>
      <scheme val="major"/>
    </font>
    <font>
      <i/>
      <sz val="11"/>
      <color theme="4"/>
      <name val="Calibri Light"/>
      <family val="1"/>
      <scheme val="major"/>
    </font>
    <font>
      <sz val="10"/>
      <color rgb="FF000000"/>
      <name val="Calibri"/>
      <family val="2"/>
    </font>
    <font>
      <sz val="10"/>
      <color theme="1"/>
      <name val="Calibri"/>
      <family val="2"/>
      <scheme val="minor"/>
    </font>
    <font>
      <sz val="10"/>
      <name val="Calibri"/>
      <family val="34"/>
    </font>
    <font>
      <b/>
      <sz val="10"/>
      <name val="Calibri"/>
      <family val="34"/>
    </font>
    <font>
      <b/>
      <sz val="10"/>
      <color rgb="FF4F81BC"/>
      <name val="Calibri"/>
      <family val="34"/>
    </font>
    <font>
      <sz val="10"/>
      <color rgb="FF000000"/>
      <name val="Calibri Light"/>
      <family val="1"/>
      <scheme val="major"/>
    </font>
    <font>
      <b/>
      <sz val="10"/>
      <color rgb="FF000000"/>
      <name val="Calibri Light"/>
      <family val="1"/>
      <scheme val="major"/>
    </font>
    <font>
      <i/>
      <sz val="11"/>
      <color theme="1"/>
      <name val="Calibri Light"/>
      <family val="1"/>
      <scheme val="major"/>
    </font>
    <font>
      <b/>
      <sz val="10"/>
      <name val="Calibri Light"/>
      <family val="1"/>
      <scheme val="major"/>
    </font>
    <font>
      <b/>
      <sz val="10"/>
      <color theme="1"/>
      <name val="Calibri Light"/>
      <family val="1"/>
      <scheme val="major"/>
    </font>
    <font>
      <sz val="11"/>
      <color rgb="FF000000"/>
      <name val="Calibri Light"/>
      <family val="1"/>
      <scheme val="major"/>
    </font>
    <font>
      <sz val="10"/>
      <name val="Calibri Light"/>
      <family val="1"/>
      <scheme val="major"/>
    </font>
    <font>
      <b/>
      <sz val="11"/>
      <color rgb="FF000000"/>
      <name val="Calibri Light"/>
      <family val="1"/>
      <scheme val="major"/>
    </font>
    <font>
      <i/>
      <sz val="10"/>
      <color theme="1"/>
      <name val="Calibri Light"/>
      <family val="1"/>
      <scheme val="major"/>
    </font>
    <font>
      <vertAlign val="superscript"/>
      <sz val="10"/>
      <color rgb="FF000000"/>
      <name val="Calibri Light"/>
      <family val="1"/>
      <scheme val="major"/>
    </font>
    <font>
      <b/>
      <sz val="10"/>
      <color rgb="FF4F81BC"/>
      <name val="Calibri Light"/>
      <family val="1"/>
      <scheme val="major"/>
    </font>
    <font>
      <b/>
      <u/>
      <sz val="12"/>
      <color theme="1"/>
      <name val="Calibri Light"/>
      <family val="1"/>
      <scheme val="major"/>
    </font>
    <font>
      <sz val="11"/>
      <color rgb="FF006100"/>
      <name val="Calibri"/>
      <family val="2"/>
      <scheme val="minor"/>
    </font>
    <font>
      <sz val="10"/>
      <color theme="4"/>
      <name val="Arial"/>
      <family val="2"/>
    </font>
    <font>
      <b/>
      <sz val="10"/>
      <color theme="4"/>
      <name val="Arial"/>
      <family val="2"/>
    </font>
    <font>
      <sz val="10"/>
      <color theme="9" tint="-0.24994659260841701"/>
      <name val="Arial"/>
      <family val="2"/>
    </font>
    <font>
      <b/>
      <sz val="10"/>
      <color theme="3"/>
      <name val="Arial"/>
      <family val="2"/>
    </font>
    <font>
      <sz val="10"/>
      <color rgb="FFFF0000"/>
      <name val="Arial"/>
      <family val="2"/>
    </font>
    <font>
      <sz val="10"/>
      <color indexed="14"/>
      <name val="Arial"/>
      <family val="2"/>
    </font>
    <font>
      <b/>
      <sz val="12"/>
      <name val="Arial"/>
      <family val="2"/>
    </font>
    <font>
      <sz val="10"/>
      <color indexed="10"/>
      <name val="Arial"/>
      <family val="2"/>
    </font>
    <font>
      <b/>
      <sz val="14"/>
      <name val="Arial"/>
      <family val="2"/>
    </font>
    <font>
      <sz val="14"/>
      <color rgb="FF595959"/>
      <name val="Calibri"/>
      <family val="2"/>
      <scheme val="minor"/>
    </font>
    <font>
      <sz val="9"/>
      <color rgb="FF000000"/>
      <name val="Times New Roman"/>
      <family val="1"/>
    </font>
    <font>
      <sz val="10"/>
      <color theme="3"/>
      <name val="Arial"/>
      <family val="2"/>
      <charset val="238"/>
    </font>
    <font>
      <sz val="11"/>
      <color rgb="FF000000"/>
      <name val="Calibri"/>
      <family val="2"/>
    </font>
    <font>
      <sz val="10"/>
      <color theme="6" tint="-0.24994659260841701"/>
      <name val="Arial"/>
      <family val="2"/>
    </font>
    <font>
      <b/>
      <sz val="8"/>
      <color rgb="FF800080"/>
      <name val="Arial"/>
      <family val="2"/>
    </font>
    <font>
      <b/>
      <sz val="8"/>
      <name val="Arial"/>
      <family val="2"/>
    </font>
    <font>
      <b/>
      <sz val="11"/>
      <color rgb="FF006100"/>
      <name val="Calibri"/>
      <family val="2"/>
      <scheme val="minor"/>
    </font>
    <font>
      <sz val="10"/>
      <name val="Arial"/>
      <family val="2"/>
      <charset val="238"/>
    </font>
    <font>
      <sz val="12"/>
      <color rgb="FF3F3F76"/>
      <name val="Calibri"/>
      <family val="2"/>
      <scheme val="minor"/>
    </font>
    <font>
      <b/>
      <sz val="12"/>
      <color rgb="FFFA7D00"/>
      <name val="Calibri"/>
      <family val="2"/>
      <scheme val="minor"/>
    </font>
    <font>
      <b/>
      <sz val="11"/>
      <name val="Calibri"/>
      <family val="2"/>
      <scheme val="minor"/>
    </font>
    <font>
      <b/>
      <sz val="11"/>
      <color rgb="FF3F3F76"/>
      <name val="Calibri"/>
      <family val="2"/>
      <scheme val="minor"/>
    </font>
    <font>
      <b/>
      <sz val="11"/>
      <color indexed="81"/>
      <name val="Tahoma"/>
      <family val="2"/>
    </font>
    <font>
      <sz val="11"/>
      <color indexed="81"/>
      <name val="Tahoma"/>
      <family val="2"/>
    </font>
    <font>
      <b/>
      <sz val="13"/>
      <color theme="3"/>
      <name val="Calibri"/>
      <family val="2"/>
      <scheme val="minor"/>
    </font>
    <font>
      <u/>
      <sz val="11"/>
      <color theme="10"/>
      <name val="Calibri"/>
      <family val="2"/>
    </font>
    <font>
      <b/>
      <sz val="11"/>
      <color theme="0"/>
      <name val="Calibri"/>
      <family val="2"/>
    </font>
    <font>
      <sz val="11"/>
      <color rgb="FFFF0000"/>
      <name val="Calibri"/>
      <family val="2"/>
    </font>
    <font>
      <b/>
      <sz val="11"/>
      <color theme="1"/>
      <name val="Calibri"/>
      <family val="2"/>
    </font>
    <font>
      <sz val="8"/>
      <name val="Calibri"/>
      <family val="2"/>
      <scheme val="minor"/>
    </font>
    <font>
      <strike/>
      <sz val="11"/>
      <color theme="1"/>
      <name val="Calibri"/>
      <family val="2"/>
    </font>
    <font>
      <sz val="11"/>
      <color rgb="FFFF0066"/>
      <name val="Calibri"/>
      <family val="2"/>
    </font>
    <font>
      <b/>
      <sz val="11"/>
      <color rgb="FFFF0066"/>
      <name val="Calibri"/>
      <family val="2"/>
    </font>
    <font>
      <b/>
      <sz val="11"/>
      <color rgb="FFFF0066"/>
      <name val="Calibri"/>
      <family val="2"/>
      <scheme val="minor"/>
    </font>
    <font>
      <sz val="10"/>
      <color rgb="FFFF0066"/>
      <name val="Times New Roman"/>
      <family val="1"/>
    </font>
    <font>
      <b/>
      <sz val="12"/>
      <color rgb="FF7030A0"/>
      <name val="Calibri"/>
      <family val="2"/>
    </font>
    <font>
      <b/>
      <sz val="9"/>
      <color rgb="FFFF0066"/>
      <name val="Arial"/>
      <family val="2"/>
    </font>
    <font>
      <b/>
      <sz val="11"/>
      <color rgb="FFFF0000"/>
      <name val="Calibri"/>
      <family val="2"/>
    </font>
  </fonts>
  <fills count="51">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5" tint="0.79998168889431442"/>
        <bgColor indexed="65"/>
      </patternFill>
    </fill>
    <fill>
      <patternFill patternType="solid">
        <fgColor indexed="65"/>
        <bgColor indexed="64"/>
      </patternFill>
    </fill>
    <fill>
      <patternFill patternType="solid">
        <fgColor indexed="43"/>
        <bgColor indexed="64"/>
      </patternFill>
    </fill>
    <fill>
      <patternFill patternType="solid">
        <fgColor indexed="9"/>
        <bgColor indexed="64"/>
      </patternFill>
    </fill>
    <fill>
      <patternFill patternType="solid">
        <fgColor theme="2"/>
        <bgColor indexed="64"/>
      </patternFill>
    </fill>
    <fill>
      <patternFill patternType="solid">
        <fgColor indexed="19"/>
        <bgColor indexed="64"/>
      </patternFill>
    </fill>
    <fill>
      <patternFill patternType="solid">
        <fgColor indexed="35"/>
        <bgColor indexed="64"/>
      </patternFill>
    </fill>
    <fill>
      <patternFill patternType="solid">
        <fgColor indexed="22"/>
        <bgColor indexed="64"/>
      </patternFill>
    </fill>
    <fill>
      <patternFill patternType="solid">
        <fgColor indexed="15"/>
        <bgColor indexed="64"/>
      </patternFill>
    </fill>
    <fill>
      <patternFill patternType="solid">
        <fgColor indexed="40"/>
        <bgColor indexed="64"/>
      </patternFill>
    </fill>
    <fill>
      <patternFill patternType="solid">
        <fgColor indexed="31"/>
        <bgColor indexed="64"/>
      </patternFill>
    </fill>
    <fill>
      <patternFill patternType="solid">
        <fgColor indexed="11"/>
        <bgColor indexed="64"/>
      </patternFill>
    </fill>
    <fill>
      <patternFill patternType="solid">
        <fgColor indexed="45"/>
        <bgColor indexed="64"/>
      </patternFill>
    </fill>
    <fill>
      <patternFill patternType="solid">
        <fgColor indexed="60"/>
        <bgColor indexed="64"/>
      </patternFill>
    </fill>
    <fill>
      <patternFill patternType="solid">
        <fgColor indexed="10"/>
        <bgColor indexed="64"/>
      </patternFill>
    </fill>
    <fill>
      <patternFill patternType="solid">
        <fgColor rgb="FFFFCC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008000"/>
        <bgColor indexed="64"/>
      </patternFill>
    </fill>
    <fill>
      <patternFill patternType="solid">
        <fgColor rgb="FFFF99FF"/>
        <bgColor indexed="64"/>
      </patternFill>
    </fill>
    <fill>
      <patternFill patternType="solid">
        <fgColor rgb="FFFFFFCC"/>
        <bgColor indexed="64"/>
      </patternFill>
    </fill>
    <fill>
      <patternFill patternType="solid">
        <fgColor theme="0" tint="-0.499984740745262"/>
        <bgColor indexed="64"/>
      </patternFill>
    </fill>
    <fill>
      <patternFill patternType="solid">
        <fgColor theme="3"/>
        <bgColor indexed="64"/>
      </patternFill>
    </fill>
    <fill>
      <patternFill patternType="solid">
        <fgColor rgb="FFCCECFF"/>
        <bgColor indexed="64"/>
      </patternFill>
    </fill>
    <fill>
      <patternFill patternType="solid">
        <fgColor rgb="FFFFC000"/>
        <bgColor indexed="64"/>
      </patternFill>
    </fill>
    <fill>
      <patternFill patternType="solid">
        <fgColor rgb="FFCCFFCC"/>
      </patternFill>
    </fill>
    <fill>
      <patternFill patternType="solid">
        <fgColor rgb="FFFFFFFF"/>
      </patternFill>
    </fill>
    <fill>
      <patternFill patternType="solid">
        <fgColor theme="9"/>
        <bgColor indexed="64"/>
      </patternFill>
    </fill>
    <fill>
      <patternFill patternType="solid">
        <fgColor indexed="42"/>
        <bgColor indexed="64"/>
      </patternFill>
    </fill>
    <fill>
      <patternFill patternType="solid">
        <fgColor indexed="44"/>
        <bgColor indexed="64"/>
      </patternFill>
    </fill>
    <fill>
      <patternFill patternType="solid">
        <fgColor rgb="FFC6EFCE"/>
        <bgColor indexed="64"/>
      </patternFill>
    </fill>
    <fill>
      <patternFill patternType="solid">
        <fgColor indexed="11"/>
      </patternFill>
    </fill>
    <fill>
      <patternFill patternType="solid">
        <fgColor theme="0" tint="-0.34998626667073579"/>
        <bgColor indexed="64"/>
      </patternFill>
    </fill>
    <fill>
      <patternFill patternType="solid">
        <fgColor theme="7" tint="0.39997558519241921"/>
        <bgColor indexed="64"/>
      </patternFill>
    </fill>
  </fills>
  <borders count="107">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ck">
        <color theme="3" tint="0.39997558519241921"/>
      </right>
      <top/>
      <bottom style="thick">
        <color theme="3" tint="0.39997558519241921"/>
      </bottom>
      <diagonal/>
    </border>
    <border>
      <left style="thick">
        <color theme="3" tint="0.39997558519241921"/>
      </left>
      <right/>
      <top/>
      <bottom style="thick">
        <color theme="3" tint="0.3999755851924192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ck">
        <color theme="3" tint="0.39997558519241921"/>
      </right>
      <top/>
      <bottom/>
      <diagonal/>
    </border>
    <border>
      <left style="thick">
        <color theme="3" tint="0.39997558519241921"/>
      </left>
      <right/>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ck">
        <color theme="3" tint="0.39997558519241921"/>
      </right>
      <top style="thick">
        <color theme="3" tint="0.39997558519241921"/>
      </top>
      <bottom/>
      <diagonal/>
    </border>
    <border>
      <left style="thick">
        <color theme="3" tint="0.39997558519241921"/>
      </left>
      <right/>
      <top style="thick">
        <color theme="3" tint="0.3999755851924192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thin">
        <color rgb="FFFF0000"/>
      </right>
      <top/>
      <bottom style="thin">
        <color rgb="FFFF0000"/>
      </bottom>
      <diagonal/>
    </border>
    <border>
      <left/>
      <right/>
      <top/>
      <bottom style="thin">
        <color rgb="FFFF0000"/>
      </bottom>
      <diagonal/>
    </border>
    <border>
      <left style="thin">
        <color rgb="FFFF0000"/>
      </left>
      <right/>
      <top/>
      <bottom style="thin">
        <color rgb="FFFF0000"/>
      </bottom>
      <diagonal/>
    </border>
    <border>
      <left/>
      <right style="thin">
        <color rgb="FFFF0000"/>
      </right>
      <top/>
      <bottom/>
      <diagonal/>
    </border>
    <border>
      <left style="thin">
        <color rgb="FFFF0000"/>
      </left>
      <right/>
      <top/>
      <bottom/>
      <diagonal/>
    </border>
    <border>
      <left/>
      <right style="medium">
        <color rgb="FFFF0000"/>
      </right>
      <top/>
      <bottom style="medium">
        <color rgb="FFFF0000"/>
      </bottom>
      <diagonal/>
    </border>
    <border>
      <left/>
      <right/>
      <top/>
      <bottom style="medium">
        <color rgb="FFFF0000"/>
      </bottom>
      <diagonal/>
    </border>
    <border>
      <left style="medium">
        <color rgb="FFFF0000"/>
      </left>
      <right/>
      <top/>
      <bottom style="medium">
        <color rgb="FFFF0000"/>
      </bottom>
      <diagonal/>
    </border>
    <border>
      <left/>
      <right style="medium">
        <color rgb="FFFF0000"/>
      </right>
      <top/>
      <bottom/>
      <diagonal/>
    </border>
    <border>
      <left style="medium">
        <color rgb="FFFF0000"/>
      </left>
      <right/>
      <top/>
      <bottom/>
      <diagonal/>
    </border>
    <border>
      <left/>
      <right style="medium">
        <color rgb="FFFF0000"/>
      </right>
      <top style="medium">
        <color rgb="FFFF0000"/>
      </top>
      <bottom/>
      <diagonal/>
    </border>
    <border>
      <left/>
      <right/>
      <top style="medium">
        <color rgb="FFFF0000"/>
      </top>
      <bottom/>
      <diagonal/>
    </border>
    <border>
      <left style="medium">
        <color rgb="FFFF0000"/>
      </left>
      <right/>
      <top style="medium">
        <color rgb="FFFF0000"/>
      </top>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B2B2B2"/>
      </bottom>
      <diagonal/>
    </border>
    <border>
      <left/>
      <right style="thin">
        <color rgb="FF7F7F7F"/>
      </right>
      <top style="thin">
        <color indexed="64"/>
      </top>
      <bottom style="thin">
        <color rgb="FF7F7F7F"/>
      </bottom>
      <diagonal/>
    </border>
    <border>
      <left style="thin">
        <color indexed="64"/>
      </left>
      <right style="thin">
        <color indexed="64"/>
      </right>
      <top/>
      <bottom/>
      <diagonal/>
    </border>
    <border>
      <left style="thin">
        <color indexed="64"/>
      </left>
      <right style="thin">
        <color indexed="64"/>
      </right>
      <top style="thin">
        <color rgb="FFB2B2B2"/>
      </top>
      <bottom style="thin">
        <color indexed="64"/>
      </bottom>
      <diagonal/>
    </border>
    <border>
      <left/>
      <right style="thin">
        <color rgb="FF7F7F7F"/>
      </right>
      <top style="thin">
        <color rgb="FF7F7F7F"/>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style="thin">
        <color rgb="FF000000"/>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auto="1"/>
      </top>
      <bottom style="medium">
        <color auto="1"/>
      </bottom>
      <diagonal/>
    </border>
    <border>
      <left/>
      <right style="thin">
        <color auto="1"/>
      </right>
      <top/>
      <bottom/>
      <diagonal/>
    </border>
    <border>
      <left style="thin">
        <color indexed="64"/>
      </left>
      <right/>
      <top/>
      <bottom/>
      <diagonal/>
    </border>
    <border>
      <left style="thick">
        <color indexed="64"/>
      </left>
      <right/>
      <top/>
      <bottom/>
      <diagonal/>
    </border>
    <border>
      <left/>
      <right style="thin">
        <color indexed="64"/>
      </right>
      <top style="thin">
        <color auto="1"/>
      </top>
      <bottom style="medium">
        <color auto="1"/>
      </bottom>
      <diagonal/>
    </border>
    <border>
      <left style="thin">
        <color indexed="64"/>
      </left>
      <right/>
      <top style="thin">
        <color auto="1"/>
      </top>
      <bottom style="medium">
        <color auto="1"/>
      </bottom>
      <diagonal/>
    </border>
    <border>
      <left style="thin">
        <color indexed="64"/>
      </left>
      <right style="thin">
        <color rgb="FF7F7F7F"/>
      </right>
      <top style="thin">
        <color rgb="FF7F7F7F"/>
      </top>
      <bottom style="thin">
        <color rgb="FF7F7F7F"/>
      </bottom>
      <diagonal/>
    </border>
    <border>
      <left style="thin">
        <color indexed="64"/>
      </left>
      <right style="thin">
        <color rgb="FF7F7F7F"/>
      </right>
      <top style="thin">
        <color indexed="64"/>
      </top>
      <bottom style="thin">
        <color rgb="FF7F7F7F"/>
      </bottom>
      <diagonal/>
    </border>
    <border>
      <left/>
      <right/>
      <top/>
      <bottom style="thick">
        <color theme="4" tint="0.499984740745262"/>
      </bottom>
      <diagonal/>
    </border>
    <border>
      <left style="thin">
        <color rgb="FFB2B2B2"/>
      </left>
      <right style="thin">
        <color rgb="FFB2B2B2"/>
      </right>
      <top style="thin">
        <color rgb="FFB2B2B2"/>
      </top>
      <bottom/>
      <diagonal/>
    </border>
    <border>
      <left style="thin">
        <color rgb="FF7F7F7F"/>
      </left>
      <right/>
      <top style="thin">
        <color rgb="FF7F7F7F"/>
      </top>
      <bottom/>
      <diagonal/>
    </border>
    <border>
      <left style="thin">
        <color rgb="FF7F7F7F"/>
      </left>
      <right style="thin">
        <color rgb="FF7F7F7F"/>
      </right>
      <top/>
      <bottom/>
      <diagonal/>
    </border>
    <border>
      <left/>
      <right/>
      <top style="medium">
        <color indexed="64"/>
      </top>
      <bottom/>
      <diagonal/>
    </border>
    <border>
      <left style="medium">
        <color indexed="64"/>
      </left>
      <right style="thin">
        <color rgb="FF7F7F7F"/>
      </right>
      <top style="thin">
        <color rgb="FF7F7F7F"/>
      </top>
      <bottom style="thin">
        <color rgb="FF7F7F7F"/>
      </bottom>
      <diagonal/>
    </border>
    <border>
      <left/>
      <right/>
      <top/>
      <bottom style="medium">
        <color indexed="64"/>
      </bottom>
      <diagonal/>
    </border>
    <border>
      <left style="thick">
        <color rgb="FFFF0066"/>
      </left>
      <right/>
      <top style="thick">
        <color rgb="FFFF0066"/>
      </top>
      <bottom/>
      <diagonal/>
    </border>
    <border>
      <left/>
      <right/>
      <top style="thick">
        <color rgb="FFFF0066"/>
      </top>
      <bottom/>
      <diagonal/>
    </border>
    <border>
      <left/>
      <right style="thick">
        <color rgb="FFFF0066"/>
      </right>
      <top style="thick">
        <color rgb="FFFF0066"/>
      </top>
      <bottom/>
      <diagonal/>
    </border>
    <border>
      <left style="thick">
        <color rgb="FFFF0066"/>
      </left>
      <right/>
      <top/>
      <bottom/>
      <diagonal/>
    </border>
    <border>
      <left/>
      <right style="thick">
        <color rgb="FFFF0066"/>
      </right>
      <top/>
      <bottom/>
      <diagonal/>
    </border>
    <border>
      <left style="thick">
        <color rgb="FFFF0066"/>
      </left>
      <right style="thin">
        <color indexed="64"/>
      </right>
      <top style="thin">
        <color indexed="64"/>
      </top>
      <bottom style="thin">
        <color indexed="64"/>
      </bottom>
      <diagonal/>
    </border>
    <border>
      <left style="thick">
        <color rgb="FFFF0066"/>
      </left>
      <right/>
      <top style="thin">
        <color indexed="64"/>
      </top>
      <bottom style="thin">
        <color indexed="64"/>
      </bottom>
      <diagonal/>
    </border>
    <border>
      <left style="thin">
        <color indexed="64"/>
      </left>
      <right style="thick">
        <color rgb="FFFF0066"/>
      </right>
      <top style="thin">
        <color indexed="64"/>
      </top>
      <bottom style="thin">
        <color indexed="64"/>
      </bottom>
      <diagonal/>
    </border>
    <border>
      <left style="thick">
        <color rgb="FFFF0066"/>
      </left>
      <right style="thin">
        <color indexed="64"/>
      </right>
      <top/>
      <bottom style="thin">
        <color indexed="64"/>
      </bottom>
      <diagonal/>
    </border>
    <border>
      <left style="thin">
        <color indexed="64"/>
      </left>
      <right style="thick">
        <color rgb="FFFF0066"/>
      </right>
      <top/>
      <bottom style="thin">
        <color indexed="64"/>
      </bottom>
      <diagonal/>
    </border>
    <border>
      <left style="thin">
        <color indexed="64"/>
      </left>
      <right style="thick">
        <color rgb="FFFF0066"/>
      </right>
      <top style="thin">
        <color auto="1"/>
      </top>
      <bottom/>
      <diagonal/>
    </border>
    <border>
      <left style="thick">
        <color rgb="FFFF0066"/>
      </left>
      <right/>
      <top/>
      <bottom style="thick">
        <color rgb="FFFF0066"/>
      </bottom>
      <diagonal/>
    </border>
    <border>
      <left/>
      <right/>
      <top/>
      <bottom style="thick">
        <color rgb="FFFF0066"/>
      </bottom>
      <diagonal/>
    </border>
    <border>
      <left/>
      <right style="thick">
        <color rgb="FFFF0066"/>
      </right>
      <top/>
      <bottom style="thick">
        <color rgb="FFFF0066"/>
      </bottom>
      <diagonal/>
    </border>
    <border>
      <left style="thick">
        <color rgb="FFFF0066"/>
      </left>
      <right/>
      <top style="thick">
        <color rgb="FF7030A0"/>
      </top>
      <bottom/>
      <diagonal/>
    </border>
    <border>
      <left/>
      <right/>
      <top style="thick">
        <color rgb="FF7030A0"/>
      </top>
      <bottom/>
      <diagonal/>
    </border>
    <border>
      <left/>
      <right style="thick">
        <color rgb="FF7030A0"/>
      </right>
      <top style="thick">
        <color rgb="FF7030A0"/>
      </top>
      <bottom/>
      <diagonal/>
    </border>
    <border>
      <left/>
      <right style="thick">
        <color rgb="FF7030A0"/>
      </right>
      <top/>
      <bottom/>
      <diagonal/>
    </border>
    <border>
      <left style="thick">
        <color rgb="FFFF0066"/>
      </left>
      <right/>
      <top style="medium">
        <color indexed="64"/>
      </top>
      <bottom/>
      <diagonal/>
    </border>
    <border>
      <left/>
      <right style="thick">
        <color rgb="FF7030A0"/>
      </right>
      <top style="medium">
        <color auto="1"/>
      </top>
      <bottom/>
      <diagonal/>
    </border>
    <border>
      <left style="thick">
        <color rgb="FFFF0066"/>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93">
    <xf numFmtId="165" fontId="0" fillId="0" borderId="0"/>
    <xf numFmtId="43" fontId="3" fillId="0" borderId="0" applyFont="0" applyFill="0" applyBorder="0" applyAlignment="0" applyProtection="0"/>
    <xf numFmtId="9" fontId="3" fillId="0" borderId="0" applyFont="0" applyFill="0" applyBorder="0" applyAlignment="0" applyProtection="0"/>
    <xf numFmtId="165" fontId="4" fillId="0" borderId="1" applyNumberFormat="0" applyFill="0" applyAlignment="0" applyProtection="0"/>
    <xf numFmtId="165" fontId="5" fillId="0" borderId="2" applyNumberFormat="0" applyFill="0" applyAlignment="0" applyProtection="0"/>
    <xf numFmtId="165" fontId="6" fillId="2" borderId="0" applyNumberFormat="0" applyBorder="0" applyAlignment="0" applyProtection="0"/>
    <xf numFmtId="165" fontId="34" fillId="3" borderId="0" applyNumberFormat="0" applyBorder="0" applyAlignment="0" applyProtection="0"/>
    <xf numFmtId="165" fontId="7" fillId="4" borderId="3" applyNumberFormat="0" applyAlignment="0" applyProtection="0"/>
    <xf numFmtId="165" fontId="8" fillId="5" borderId="4" applyNumberFormat="0" applyAlignment="0" applyProtection="0"/>
    <xf numFmtId="165" fontId="9" fillId="5" borderId="3" applyNumberFormat="0" applyAlignment="0" applyProtection="0"/>
    <xf numFmtId="165" fontId="3" fillId="6" borderId="5" applyNumberFormat="0" applyFont="0" applyAlignment="0" applyProtection="0"/>
    <xf numFmtId="165" fontId="3" fillId="7" borderId="0" applyNumberFormat="0" applyBorder="0" applyAlignment="0" applyProtection="0"/>
    <xf numFmtId="0" fontId="12" fillId="0" borderId="0"/>
    <xf numFmtId="165" fontId="14" fillId="0" borderId="0" applyNumberFormat="0" applyFill="0" applyBorder="0" applyAlignment="0" applyProtection="0">
      <alignment vertical="top"/>
      <protection locked="0"/>
    </xf>
    <xf numFmtId="43" fontId="12" fillId="0" borderId="0" applyFont="0" applyFill="0" applyBorder="0" applyAlignment="0" applyProtection="0"/>
    <xf numFmtId="0" fontId="12" fillId="0" borderId="0"/>
    <xf numFmtId="165" fontId="7" fillId="22" borderId="3" applyNumberFormat="0" applyAlignment="0" applyProtection="0"/>
    <xf numFmtId="165" fontId="3" fillId="0" borderId="0"/>
    <xf numFmtId="179" fontId="3" fillId="0" borderId="0" applyFont="0" applyFill="0" applyBorder="0" applyAlignment="0" applyProtection="0"/>
    <xf numFmtId="0" fontId="3" fillId="0" borderId="0"/>
    <xf numFmtId="0" fontId="3" fillId="0" borderId="0"/>
    <xf numFmtId="0" fontId="45" fillId="0" borderId="0"/>
    <xf numFmtId="165" fontId="12" fillId="0" borderId="0"/>
    <xf numFmtId="0" fontId="3" fillId="0" borderId="0"/>
    <xf numFmtId="9" fontId="45" fillId="0" borderId="0" applyFont="0" applyFill="0" applyBorder="0" applyAlignment="0" applyProtection="0"/>
    <xf numFmtId="0" fontId="3" fillId="0" borderId="0"/>
    <xf numFmtId="0" fontId="64" fillId="0" borderId="0"/>
    <xf numFmtId="0" fontId="45" fillId="0" borderId="0"/>
    <xf numFmtId="0" fontId="45" fillId="0" borderId="0"/>
    <xf numFmtId="0" fontId="45" fillId="0" borderId="0"/>
    <xf numFmtId="0" fontId="45" fillId="0" borderId="0"/>
    <xf numFmtId="0" fontId="45" fillId="0" borderId="0"/>
    <xf numFmtId="0" fontId="45" fillId="0" borderId="0"/>
    <xf numFmtId="9" fontId="64"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165" fontId="3" fillId="0" borderId="0"/>
    <xf numFmtId="183" fontId="73"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applyNumberFormat="0" applyFill="0" applyBorder="0" applyAlignment="0" applyProtection="0"/>
    <xf numFmtId="165" fontId="100" fillId="0" borderId="0" applyNumberFormat="0" applyFill="0" applyBorder="0" applyAlignment="0" applyProtection="0"/>
    <xf numFmtId="9" fontId="12" fillId="0" borderId="0" applyFont="0" applyFill="0" applyBorder="0" applyAlignment="0" applyProtection="0"/>
    <xf numFmtId="165" fontId="102" fillId="0" borderId="0" applyNumberFormat="0" applyFill="0" applyBorder="0" applyAlignment="0" applyProtection="0"/>
    <xf numFmtId="0" fontId="112" fillId="0" borderId="0"/>
    <xf numFmtId="0" fontId="112" fillId="0" borderId="0"/>
    <xf numFmtId="164" fontId="12" fillId="0" borderId="0" applyFont="0" applyFill="0" applyBorder="0" applyAlignment="0" applyProtection="0"/>
    <xf numFmtId="4" fontId="113" fillId="0" borderId="0" applyNumberFormat="0" applyFill="0" applyBorder="0" applyAlignment="0" applyProtection="0">
      <alignment horizontal="center"/>
    </xf>
    <xf numFmtId="165" fontId="99" fillId="47" borderId="0" applyNumberFormat="0" applyBorder="0" applyAlignment="0" applyProtection="0"/>
    <xf numFmtId="191" fontId="12" fillId="48" borderId="0" applyNumberFormat="0" applyFont="0" applyBorder="0" applyAlignment="0" applyProtection="0"/>
    <xf numFmtId="0" fontId="124" fillId="0" borderId="77" applyNumberFormat="0" applyFill="0" applyAlignment="0" applyProtection="0"/>
    <xf numFmtId="0" fontId="3" fillId="0" borderId="0"/>
    <xf numFmtId="0" fontId="2" fillId="0" borderId="0"/>
    <xf numFmtId="0" fontId="125" fillId="0" borderId="0" applyNumberFormat="0" applyFill="0" applyBorder="0" applyAlignment="0" applyProtection="0"/>
  </cellStyleXfs>
  <cellXfs count="1021">
    <xf numFmtId="165" fontId="0" fillId="0" borderId="0" xfId="0"/>
    <xf numFmtId="0" fontId="12" fillId="0" borderId="0" xfId="12"/>
    <xf numFmtId="3" fontId="12" fillId="0" borderId="0" xfId="12" applyNumberFormat="1"/>
    <xf numFmtId="165" fontId="13" fillId="0" borderId="0" xfId="0" applyFont="1"/>
    <xf numFmtId="165" fontId="14" fillId="0" borderId="0" xfId="13" applyAlignment="1" applyProtection="1">
      <alignment horizontal="right"/>
    </xf>
    <xf numFmtId="1" fontId="12" fillId="0" borderId="0" xfId="12" applyNumberFormat="1"/>
    <xf numFmtId="9" fontId="12" fillId="0" borderId="0" xfId="2" applyFont="1"/>
    <xf numFmtId="1" fontId="0" fillId="0" borderId="0" xfId="0" applyNumberFormat="1"/>
    <xf numFmtId="0" fontId="15" fillId="0" borderId="0" xfId="12" applyFont="1"/>
    <xf numFmtId="2" fontId="12" fillId="0" borderId="0" xfId="12" applyNumberFormat="1"/>
    <xf numFmtId="49" fontId="12" fillId="0" borderId="0" xfId="12" applyNumberFormat="1"/>
    <xf numFmtId="43" fontId="0" fillId="0" borderId="0" xfId="14" applyFont="1"/>
    <xf numFmtId="166" fontId="16" fillId="8" borderId="0" xfId="12" applyNumberFormat="1" applyFont="1" applyFill="1"/>
    <xf numFmtId="0" fontId="12" fillId="9" borderId="0" xfId="12" applyFill="1"/>
    <xf numFmtId="166" fontId="16" fillId="10" borderId="0" xfId="12" applyNumberFormat="1" applyFont="1" applyFill="1"/>
    <xf numFmtId="0" fontId="16" fillId="9" borderId="0" xfId="12" applyFont="1" applyFill="1"/>
    <xf numFmtId="166" fontId="17" fillId="8" borderId="0" xfId="12" applyNumberFormat="1" applyFont="1" applyFill="1"/>
    <xf numFmtId="166" fontId="17" fillId="10" borderId="0" xfId="12" applyNumberFormat="1" applyFont="1" applyFill="1"/>
    <xf numFmtId="0" fontId="17" fillId="9" borderId="0" xfId="12" applyFont="1" applyFill="1"/>
    <xf numFmtId="166" fontId="12" fillId="8" borderId="0" xfId="12" applyNumberFormat="1" applyFill="1"/>
    <xf numFmtId="166" fontId="16" fillId="8" borderId="0" xfId="12" applyNumberFormat="1" applyFont="1" applyFill="1" applyAlignment="1">
      <alignment horizontal="right"/>
    </xf>
    <xf numFmtId="4" fontId="18" fillId="0" borderId="0" xfId="15" applyNumberFormat="1" applyFont="1"/>
    <xf numFmtId="43" fontId="12" fillId="0" borderId="0" xfId="12" applyNumberFormat="1"/>
    <xf numFmtId="166" fontId="19" fillId="11" borderId="0" xfId="12" applyNumberFormat="1" applyFont="1" applyFill="1"/>
    <xf numFmtId="0" fontId="20" fillId="9" borderId="0" xfId="12" applyFont="1" applyFill="1" applyAlignment="1">
      <alignment horizontal="left" indent="1"/>
    </xf>
    <xf numFmtId="166" fontId="16" fillId="11" borderId="0" xfId="12" applyNumberFormat="1" applyFont="1" applyFill="1"/>
    <xf numFmtId="0" fontId="20" fillId="9" borderId="0" xfId="12" applyFont="1" applyFill="1" applyAlignment="1">
      <alignment horizontal="left" indent="2"/>
    </xf>
    <xf numFmtId="3" fontId="18" fillId="0" borderId="0" xfId="15" applyNumberFormat="1" applyFont="1"/>
    <xf numFmtId="166" fontId="21" fillId="8" borderId="0" xfId="12" applyNumberFormat="1" applyFont="1" applyFill="1"/>
    <xf numFmtId="166" fontId="21" fillId="10" borderId="0" xfId="12" applyNumberFormat="1" applyFont="1" applyFill="1"/>
    <xf numFmtId="166" fontId="12" fillId="0" borderId="0" xfId="12" applyNumberFormat="1"/>
    <xf numFmtId="166" fontId="22" fillId="10" borderId="0" xfId="12" applyNumberFormat="1" applyFont="1" applyFill="1" applyAlignment="1">
      <alignment horizontal="left"/>
    </xf>
    <xf numFmtId="166" fontId="23" fillId="10" borderId="0" xfId="12" applyNumberFormat="1" applyFont="1" applyFill="1" applyAlignment="1">
      <alignment horizontal="left"/>
    </xf>
    <xf numFmtId="1" fontId="17" fillId="10" borderId="0" xfId="12" applyNumberFormat="1" applyFont="1" applyFill="1" applyAlignment="1">
      <alignment horizontal="center"/>
    </xf>
    <xf numFmtId="2" fontId="22" fillId="12" borderId="0" xfId="12" applyNumberFormat="1" applyFont="1" applyFill="1" applyAlignment="1">
      <alignment horizontal="left"/>
    </xf>
    <xf numFmtId="2" fontId="22" fillId="13" borderId="0" xfId="12" applyNumberFormat="1" applyFont="1" applyFill="1" applyAlignment="1">
      <alignment horizontal="left"/>
    </xf>
    <xf numFmtId="2" fontId="22" fillId="14" borderId="0" xfId="12" applyNumberFormat="1" applyFont="1" applyFill="1" applyAlignment="1">
      <alignment horizontal="left"/>
    </xf>
    <xf numFmtId="2" fontId="22" fillId="15" borderId="0" xfId="12" applyNumberFormat="1" applyFont="1" applyFill="1" applyAlignment="1">
      <alignment horizontal="left"/>
    </xf>
    <xf numFmtId="2" fontId="22" fillId="16" borderId="0" xfId="12" applyNumberFormat="1" applyFont="1" applyFill="1" applyAlignment="1">
      <alignment horizontal="left"/>
    </xf>
    <xf numFmtId="2" fontId="22" fillId="17" borderId="0" xfId="12" applyNumberFormat="1" applyFont="1" applyFill="1" applyAlignment="1">
      <alignment horizontal="left"/>
    </xf>
    <xf numFmtId="2" fontId="22" fillId="18" borderId="0" xfId="12" applyNumberFormat="1" applyFont="1" applyFill="1" applyAlignment="1">
      <alignment horizontal="left"/>
    </xf>
    <xf numFmtId="2" fontId="23" fillId="19" borderId="0" xfId="12" applyNumberFormat="1" applyFont="1" applyFill="1" applyAlignment="1">
      <alignment horizontal="left"/>
    </xf>
    <xf numFmtId="2" fontId="23" fillId="20" borderId="0" xfId="12" applyNumberFormat="1" applyFont="1" applyFill="1" applyAlignment="1">
      <alignment horizontal="left"/>
    </xf>
    <xf numFmtId="0" fontId="17" fillId="21" borderId="0" xfId="12" applyFont="1" applyFill="1" applyAlignment="1">
      <alignment horizontal="center"/>
    </xf>
    <xf numFmtId="2" fontId="17" fillId="12" borderId="0" xfId="12" applyNumberFormat="1" applyFont="1" applyFill="1" applyAlignment="1">
      <alignment horizontal="left"/>
    </xf>
    <xf numFmtId="2" fontId="17" fillId="13" borderId="0" xfId="12" applyNumberFormat="1" applyFont="1" applyFill="1" applyAlignment="1">
      <alignment horizontal="left"/>
    </xf>
    <xf numFmtId="2" fontId="17" fillId="14" borderId="0" xfId="12" applyNumberFormat="1" applyFont="1" applyFill="1" applyAlignment="1">
      <alignment horizontal="left"/>
    </xf>
    <xf numFmtId="2" fontId="17" fillId="15" borderId="0" xfId="12" applyNumberFormat="1" applyFont="1" applyFill="1" applyAlignment="1">
      <alignment horizontal="left"/>
    </xf>
    <xf numFmtId="2" fontId="17" fillId="16" borderId="0" xfId="12" applyNumberFormat="1" applyFont="1" applyFill="1" applyAlignment="1">
      <alignment horizontal="left"/>
    </xf>
    <xf numFmtId="2" fontId="17" fillId="17" borderId="0" xfId="12" applyNumberFormat="1" applyFont="1" applyFill="1" applyAlignment="1">
      <alignment horizontal="left"/>
    </xf>
    <xf numFmtId="2" fontId="17" fillId="18" borderId="0" xfId="12" applyNumberFormat="1" applyFont="1" applyFill="1" applyAlignment="1">
      <alignment horizontal="left"/>
    </xf>
    <xf numFmtId="2" fontId="24" fillId="19" borderId="0" xfId="12" applyNumberFormat="1" applyFont="1" applyFill="1" applyAlignment="1">
      <alignment horizontal="left"/>
    </xf>
    <xf numFmtId="2" fontId="24" fillId="20" borderId="0" xfId="12" applyNumberFormat="1" applyFont="1" applyFill="1" applyAlignment="1">
      <alignment horizontal="left"/>
    </xf>
    <xf numFmtId="0" fontId="16" fillId="21" borderId="0" xfId="12" applyFont="1" applyFill="1"/>
    <xf numFmtId="2" fontId="24" fillId="12" borderId="0" xfId="12" applyNumberFormat="1" applyFont="1" applyFill="1" applyAlignment="1">
      <alignment horizontal="left"/>
    </xf>
    <xf numFmtId="0" fontId="25" fillId="21" borderId="0" xfId="12" applyFont="1" applyFill="1"/>
    <xf numFmtId="0" fontId="26" fillId="0" borderId="0" xfId="12" applyFont="1" applyAlignment="1">
      <alignment wrapText="1"/>
    </xf>
    <xf numFmtId="0" fontId="26" fillId="0" borderId="0" xfId="12" applyFont="1" applyAlignment="1">
      <alignment vertical="center" wrapText="1"/>
    </xf>
    <xf numFmtId="0" fontId="16" fillId="17" borderId="0" xfId="12" applyFont="1" applyFill="1"/>
    <xf numFmtId="0" fontId="12" fillId="17" borderId="0" xfId="12" applyFill="1"/>
    <xf numFmtId="0" fontId="27" fillId="17" borderId="0" xfId="12" applyFont="1" applyFill="1"/>
    <xf numFmtId="0" fontId="0" fillId="0" borderId="0" xfId="0" applyNumberFormat="1"/>
    <xf numFmtId="0" fontId="0" fillId="0" borderId="0" xfId="2" applyNumberFormat="1" applyFont="1"/>
    <xf numFmtId="9" fontId="0" fillId="0" borderId="0" xfId="2" applyFont="1"/>
    <xf numFmtId="9" fontId="0" fillId="0" borderId="0" xfId="2" applyFont="1" applyAlignment="1">
      <alignment horizontal="center"/>
    </xf>
    <xf numFmtId="0" fontId="11" fillId="0" borderId="0" xfId="0" applyNumberFormat="1" applyFont="1"/>
    <xf numFmtId="165" fontId="14" fillId="0" borderId="0" xfId="13" applyAlignment="1" applyProtection="1"/>
    <xf numFmtId="2" fontId="0" fillId="0" borderId="0" xfId="0" applyNumberFormat="1"/>
    <xf numFmtId="167" fontId="11" fillId="7" borderId="4" xfId="11" applyNumberFormat="1" applyFont="1" applyBorder="1"/>
    <xf numFmtId="165" fontId="11" fillId="0" borderId="0" xfId="0" applyFont="1"/>
    <xf numFmtId="167" fontId="8" fillId="5" borderId="4" xfId="8" applyNumberFormat="1"/>
    <xf numFmtId="2" fontId="7" fillId="4" borderId="3" xfId="7" applyNumberFormat="1"/>
    <xf numFmtId="2" fontId="8" fillId="5" borderId="4" xfId="8" applyNumberFormat="1"/>
    <xf numFmtId="165" fontId="0" fillId="0" borderId="0" xfId="0" quotePrefix="1"/>
    <xf numFmtId="168" fontId="0" fillId="0" borderId="0" xfId="0" applyNumberFormat="1"/>
    <xf numFmtId="2" fontId="0" fillId="0" borderId="0" xfId="2" applyNumberFormat="1" applyFont="1"/>
    <xf numFmtId="9" fontId="0" fillId="0" borderId="0" xfId="0" applyNumberFormat="1"/>
    <xf numFmtId="2" fontId="7" fillId="22" borderId="3" xfId="16" applyNumberFormat="1"/>
    <xf numFmtId="2" fontId="7" fillId="23" borderId="3" xfId="16" applyNumberFormat="1" applyFill="1"/>
    <xf numFmtId="2" fontId="6" fillId="0" borderId="0" xfId="5" applyNumberFormat="1" applyFill="1"/>
    <xf numFmtId="169" fontId="0" fillId="0" borderId="0" xfId="0" applyNumberFormat="1"/>
    <xf numFmtId="9" fontId="7" fillId="22" borderId="3" xfId="16" applyNumberFormat="1"/>
    <xf numFmtId="169" fontId="7" fillId="23" borderId="3" xfId="7" applyNumberFormat="1" applyFill="1"/>
    <xf numFmtId="169" fontId="7" fillId="4" borderId="3" xfId="7" applyNumberFormat="1"/>
    <xf numFmtId="9" fontId="7" fillId="23" borderId="3" xfId="7" applyNumberFormat="1" applyFill="1"/>
    <xf numFmtId="9" fontId="7" fillId="4" borderId="3" xfId="7" applyNumberFormat="1"/>
    <xf numFmtId="3" fontId="0" fillId="0" borderId="0" xfId="0" applyNumberFormat="1"/>
    <xf numFmtId="1" fontId="7" fillId="23" borderId="3" xfId="7" applyNumberFormat="1" applyFill="1"/>
    <xf numFmtId="1" fontId="7" fillId="4" borderId="3" xfId="7" applyNumberFormat="1"/>
    <xf numFmtId="2" fontId="7" fillId="23" borderId="3" xfId="7" applyNumberFormat="1" applyFill="1"/>
    <xf numFmtId="43" fontId="0" fillId="0" borderId="0" xfId="0" applyNumberFormat="1"/>
    <xf numFmtId="9" fontId="7" fillId="0" borderId="3" xfId="2" applyFont="1" applyFill="1" applyBorder="1"/>
    <xf numFmtId="167" fontId="7" fillId="23" borderId="3" xfId="7" applyNumberFormat="1" applyFill="1"/>
    <xf numFmtId="9" fontId="0" fillId="6" borderId="5" xfId="10" applyNumberFormat="1" applyFont="1"/>
    <xf numFmtId="1" fontId="0" fillId="0" borderId="0" xfId="2" applyNumberFormat="1" applyFont="1"/>
    <xf numFmtId="2" fontId="11" fillId="0" borderId="0" xfId="0" applyNumberFormat="1" applyFont="1"/>
    <xf numFmtId="168" fontId="7" fillId="4" borderId="3" xfId="7" applyNumberFormat="1"/>
    <xf numFmtId="9" fontId="6" fillId="2" borderId="3" xfId="5" applyNumberFormat="1" applyBorder="1"/>
    <xf numFmtId="0" fontId="7" fillId="4" borderId="3" xfId="7" applyNumberFormat="1"/>
    <xf numFmtId="165" fontId="32" fillId="0" borderId="0" xfId="0" applyFont="1" applyAlignment="1">
      <alignment horizontal="justify" wrapText="1"/>
    </xf>
    <xf numFmtId="10" fontId="0" fillId="0" borderId="0" xfId="2" applyNumberFormat="1" applyFont="1"/>
    <xf numFmtId="43" fontId="6" fillId="2" borderId="0" xfId="5" applyNumberFormat="1"/>
    <xf numFmtId="167" fontId="0" fillId="0" borderId="0" xfId="2" applyNumberFormat="1" applyFont="1"/>
    <xf numFmtId="170" fontId="0" fillId="0" borderId="0" xfId="1" applyNumberFormat="1" applyFont="1"/>
    <xf numFmtId="171" fontId="0" fillId="0" borderId="0" xfId="1" applyNumberFormat="1" applyFont="1"/>
    <xf numFmtId="164" fontId="0" fillId="0" borderId="0" xfId="0" applyNumberFormat="1"/>
    <xf numFmtId="165" fontId="10" fillId="24" borderId="0" xfId="0" applyFont="1" applyFill="1"/>
    <xf numFmtId="2" fontId="10" fillId="24" borderId="0" xfId="0" applyNumberFormat="1" applyFont="1" applyFill="1"/>
    <xf numFmtId="2" fontId="6" fillId="0" borderId="0" xfId="5" applyNumberFormat="1" applyFill="1" applyBorder="1"/>
    <xf numFmtId="9" fontId="10" fillId="24" borderId="0" xfId="2" applyFont="1" applyFill="1"/>
    <xf numFmtId="43" fontId="0" fillId="0" borderId="0" xfId="1" applyFont="1" applyBorder="1"/>
    <xf numFmtId="172" fontId="19" fillId="11" borderId="0" xfId="12" applyNumberFormat="1" applyFont="1" applyFill="1"/>
    <xf numFmtId="172" fontId="16" fillId="0" borderId="0" xfId="12" applyNumberFormat="1" applyFont="1"/>
    <xf numFmtId="2" fontId="6" fillId="0" borderId="6" xfId="5" applyNumberFormat="1" applyFill="1" applyBorder="1"/>
    <xf numFmtId="165" fontId="0" fillId="0" borderId="7" xfId="0" applyBorder="1"/>
    <xf numFmtId="165" fontId="6" fillId="0" borderId="8" xfId="5" applyFill="1" applyBorder="1"/>
    <xf numFmtId="165" fontId="6" fillId="0" borderId="9" xfId="5" applyFill="1" applyBorder="1"/>
    <xf numFmtId="172" fontId="19" fillId="11" borderId="10" xfId="12" applyNumberFormat="1" applyFont="1" applyFill="1" applyBorder="1"/>
    <xf numFmtId="172" fontId="16" fillId="0" borderId="10" xfId="12" applyNumberFormat="1" applyFont="1" applyBorder="1"/>
    <xf numFmtId="165" fontId="0" fillId="0" borderId="11" xfId="0" applyBorder="1"/>
    <xf numFmtId="165" fontId="0" fillId="0" borderId="12" xfId="0" applyBorder="1"/>
    <xf numFmtId="165" fontId="0" fillId="0" borderId="13" xfId="0" applyBorder="1"/>
    <xf numFmtId="165" fontId="0" fillId="0" borderId="14" xfId="0" applyBorder="1"/>
    <xf numFmtId="173" fontId="16" fillId="11" borderId="15" xfId="12" applyNumberFormat="1" applyFont="1" applyFill="1" applyBorder="1"/>
    <xf numFmtId="172" fontId="16" fillId="0" borderId="15" xfId="12" applyNumberFormat="1" applyFont="1" applyBorder="1"/>
    <xf numFmtId="2" fontId="0" fillId="25" borderId="16" xfId="0" applyNumberFormat="1" applyFill="1" applyBorder="1" applyAlignment="1">
      <alignment horizontal="center"/>
    </xf>
    <xf numFmtId="9" fontId="0" fillId="25" borderId="17" xfId="2" applyFont="1" applyFill="1" applyBorder="1" applyAlignment="1">
      <alignment horizontal="center"/>
    </xf>
    <xf numFmtId="2" fontId="33" fillId="26" borderId="16" xfId="0" applyNumberFormat="1" applyFont="1" applyFill="1" applyBorder="1" applyAlignment="1">
      <alignment horizontal="center"/>
    </xf>
    <xf numFmtId="173" fontId="19" fillId="11" borderId="15" xfId="12" applyNumberFormat="1" applyFont="1" applyFill="1" applyBorder="1"/>
    <xf numFmtId="1" fontId="0" fillId="25" borderId="16" xfId="0" applyNumberFormat="1" applyFill="1" applyBorder="1" applyAlignment="1">
      <alignment horizontal="center"/>
    </xf>
    <xf numFmtId="173" fontId="16" fillId="8" borderId="15" xfId="12" applyNumberFormat="1" applyFont="1" applyFill="1" applyBorder="1"/>
    <xf numFmtId="172" fontId="16" fillId="8" borderId="0" xfId="12" applyNumberFormat="1" applyFont="1" applyFill="1"/>
    <xf numFmtId="172" fontId="16" fillId="8" borderId="15" xfId="12" applyNumberFormat="1" applyFont="1" applyFill="1" applyBorder="1"/>
    <xf numFmtId="43" fontId="0" fillId="0" borderId="14" xfId="0" applyNumberFormat="1" applyBorder="1"/>
    <xf numFmtId="173" fontId="16" fillId="0" borderId="15" xfId="12" applyNumberFormat="1" applyFont="1" applyBorder="1"/>
    <xf numFmtId="167" fontId="11" fillId="0" borderId="16" xfId="2" applyNumberFormat="1" applyFont="1" applyBorder="1"/>
    <xf numFmtId="172" fontId="16" fillId="11" borderId="15" xfId="12" applyNumberFormat="1" applyFont="1" applyFill="1" applyBorder="1"/>
    <xf numFmtId="3" fontId="34" fillId="3" borderId="0" xfId="6" applyNumberFormat="1"/>
    <xf numFmtId="166" fontId="16" fillId="0" borderId="0" xfId="12" applyNumberFormat="1" applyFont="1"/>
    <xf numFmtId="4" fontId="34" fillId="3" borderId="0" xfId="6" applyNumberFormat="1"/>
    <xf numFmtId="167" fontId="11" fillId="27" borderId="16" xfId="2" applyNumberFormat="1" applyFont="1" applyFill="1" applyBorder="1"/>
    <xf numFmtId="165" fontId="0" fillId="0" borderId="0" xfId="0" applyAlignment="1">
      <alignment horizontal="right"/>
    </xf>
    <xf numFmtId="172" fontId="16" fillId="11" borderId="0" xfId="12" applyNumberFormat="1" applyFont="1" applyFill="1"/>
    <xf numFmtId="174" fontId="6" fillId="2" borderId="0" xfId="5" applyNumberFormat="1"/>
    <xf numFmtId="167" fontId="16" fillId="11" borderId="0" xfId="2" applyNumberFormat="1" applyFont="1" applyFill="1"/>
    <xf numFmtId="170" fontId="0" fillId="0" borderId="0" xfId="1" applyNumberFormat="1" applyFont="1" applyFill="1" applyBorder="1"/>
    <xf numFmtId="169" fontId="34" fillId="0" borderId="0" xfId="6" applyNumberFormat="1" applyFill="1"/>
    <xf numFmtId="9" fontId="16" fillId="11" borderId="0" xfId="2" applyFont="1" applyFill="1"/>
    <xf numFmtId="9" fontId="16" fillId="0" borderId="0" xfId="2" applyFont="1" applyFill="1"/>
    <xf numFmtId="174" fontId="16" fillId="0" borderId="0" xfId="12" applyNumberFormat="1" applyFont="1"/>
    <xf numFmtId="167" fontId="16" fillId="0" borderId="15" xfId="2" applyNumberFormat="1" applyFont="1" applyFill="1" applyBorder="1"/>
    <xf numFmtId="167" fontId="16" fillId="8" borderId="15" xfId="2" applyNumberFormat="1" applyFont="1" applyFill="1" applyBorder="1"/>
    <xf numFmtId="167" fontId="16" fillId="0" borderId="0" xfId="2" applyNumberFormat="1" applyFont="1" applyFill="1"/>
    <xf numFmtId="172" fontId="9" fillId="5" borderId="3" xfId="9" applyNumberFormat="1"/>
    <xf numFmtId="165" fontId="9" fillId="5" borderId="3" xfId="9"/>
    <xf numFmtId="165" fontId="0" fillId="0" borderId="18" xfId="0" applyBorder="1"/>
    <xf numFmtId="165" fontId="0" fillId="0" borderId="19" xfId="0" applyBorder="1"/>
    <xf numFmtId="165" fontId="0" fillId="0" borderId="20" xfId="0" applyBorder="1"/>
    <xf numFmtId="165" fontId="0" fillId="0" borderId="21" xfId="0" applyBorder="1"/>
    <xf numFmtId="172" fontId="16" fillId="8" borderId="22" xfId="12" applyNumberFormat="1" applyFont="1" applyFill="1" applyBorder="1"/>
    <xf numFmtId="165" fontId="34" fillId="3" borderId="0" xfId="6" applyNumberFormat="1"/>
    <xf numFmtId="165" fontId="34" fillId="3" borderId="0" xfId="6"/>
    <xf numFmtId="165" fontId="35" fillId="24" borderId="0" xfId="0" applyFont="1" applyFill="1"/>
    <xf numFmtId="0" fontId="40" fillId="0" borderId="0" xfId="0" applyNumberFormat="1" applyFont="1"/>
    <xf numFmtId="168" fontId="0" fillId="0" borderId="0" xfId="2" applyNumberFormat="1" applyFont="1" applyFill="1"/>
    <xf numFmtId="1" fontId="0" fillId="0" borderId="0" xfId="1" applyNumberFormat="1" applyFont="1" applyFill="1"/>
    <xf numFmtId="175" fontId="0" fillId="0" borderId="0" xfId="1" applyNumberFormat="1" applyFont="1" applyFill="1"/>
    <xf numFmtId="170" fontId="0" fillId="0" borderId="0" xfId="1" applyNumberFormat="1" applyFont="1" applyFill="1"/>
    <xf numFmtId="0" fontId="10" fillId="0" borderId="0" xfId="0" applyNumberFormat="1" applyFont="1"/>
    <xf numFmtId="170" fontId="0" fillId="0" borderId="0" xfId="0" applyNumberFormat="1"/>
    <xf numFmtId="171" fontId="0" fillId="0" borderId="0" xfId="1" applyNumberFormat="1" applyFont="1" applyFill="1"/>
    <xf numFmtId="9" fontId="0" fillId="0" borderId="0" xfId="2" applyFont="1" applyFill="1"/>
    <xf numFmtId="170" fontId="10" fillId="0" borderId="0" xfId="1" applyNumberFormat="1" applyFont="1" applyFill="1"/>
    <xf numFmtId="168" fontId="10" fillId="0" borderId="0" xfId="2" applyNumberFormat="1" applyFont="1" applyFill="1"/>
    <xf numFmtId="165" fontId="10" fillId="0" borderId="0" xfId="0" applyFont="1"/>
    <xf numFmtId="0" fontId="0" fillId="0" borderId="0" xfId="2" applyNumberFormat="1" applyFont="1" applyFill="1"/>
    <xf numFmtId="0" fontId="7" fillId="0" borderId="3" xfId="7" applyNumberFormat="1" applyFill="1"/>
    <xf numFmtId="176" fontId="0" fillId="0" borderId="0" xfId="0" applyNumberFormat="1" applyAlignment="1">
      <alignment horizontal="left"/>
    </xf>
    <xf numFmtId="0" fontId="0" fillId="0" borderId="0" xfId="0" applyNumberFormat="1" applyAlignment="1">
      <alignment horizontal="right"/>
    </xf>
    <xf numFmtId="0" fontId="7" fillId="0" borderId="36" xfId="7" applyNumberFormat="1" applyFill="1" applyBorder="1"/>
    <xf numFmtId="0" fontId="7" fillId="0" borderId="37" xfId="7" applyNumberFormat="1" applyFill="1" applyBorder="1"/>
    <xf numFmtId="0" fontId="7" fillId="0" borderId="5" xfId="10" applyNumberFormat="1" applyFont="1" applyFill="1"/>
    <xf numFmtId="0" fontId="0" fillId="0" borderId="38" xfId="0" applyNumberFormat="1" applyBorder="1" applyAlignment="1">
      <alignment horizontal="center"/>
    </xf>
    <xf numFmtId="167" fontId="0" fillId="0" borderId="39" xfId="0" applyNumberFormat="1" applyBorder="1" applyAlignment="1">
      <alignment horizontal="center"/>
    </xf>
    <xf numFmtId="0" fontId="0" fillId="0" borderId="40" xfId="0" applyNumberFormat="1" applyBorder="1" applyAlignment="1">
      <alignment horizontal="center"/>
    </xf>
    <xf numFmtId="0" fontId="7" fillId="0" borderId="0" xfId="7" applyNumberFormat="1" applyFill="1" applyBorder="1"/>
    <xf numFmtId="0" fontId="0" fillId="0" borderId="41" xfId="0" applyNumberFormat="1" applyBorder="1" applyAlignment="1">
      <alignment horizontal="center"/>
    </xf>
    <xf numFmtId="167" fontId="0" fillId="0" borderId="42" xfId="2" applyNumberFormat="1" applyFont="1" applyFill="1" applyBorder="1" applyAlignment="1">
      <alignment horizontal="center"/>
    </xf>
    <xf numFmtId="0" fontId="0" fillId="0" borderId="43" xfId="0" applyNumberFormat="1" applyBorder="1" applyAlignment="1">
      <alignment horizontal="center"/>
    </xf>
    <xf numFmtId="0" fontId="5" fillId="0" borderId="0" xfId="4" applyNumberFormat="1" applyFill="1" applyBorder="1"/>
    <xf numFmtId="0" fontId="5" fillId="0" borderId="2" xfId="4" applyNumberFormat="1" applyFill="1"/>
    <xf numFmtId="0" fontId="41" fillId="0" borderId="0" xfId="12" applyFont="1" applyAlignment="1" applyProtection="1">
      <alignment horizontal="left"/>
      <protection locked="0"/>
    </xf>
    <xf numFmtId="165" fontId="0" fillId="0" borderId="0" xfId="0" applyAlignment="1">
      <alignment horizontal="center"/>
    </xf>
    <xf numFmtId="0" fontId="0" fillId="0" borderId="0" xfId="0" applyNumberFormat="1" applyAlignment="1">
      <alignment horizontal="center"/>
    </xf>
    <xf numFmtId="0" fontId="12" fillId="0" borderId="0" xfId="12" applyAlignment="1">
      <alignment horizontal="center"/>
    </xf>
    <xf numFmtId="175" fontId="0" fillId="0" borderId="0" xfId="0" applyNumberFormat="1"/>
    <xf numFmtId="177" fontId="0" fillId="0" borderId="0" xfId="0" applyNumberFormat="1"/>
    <xf numFmtId="178" fontId="0" fillId="0" borderId="16" xfId="1" applyNumberFormat="1" applyFont="1" applyFill="1" applyBorder="1"/>
    <xf numFmtId="170" fontId="0" fillId="0" borderId="0" xfId="18" applyNumberFormat="1" applyFont="1" applyFill="1"/>
    <xf numFmtId="178" fontId="0" fillId="0" borderId="0" xfId="1" applyNumberFormat="1" applyFont="1" applyFill="1"/>
    <xf numFmtId="1" fontId="0" fillId="23" borderId="0" xfId="1" applyNumberFormat="1" applyFont="1" applyFill="1"/>
    <xf numFmtId="2" fontId="0" fillId="0" borderId="0" xfId="1" applyNumberFormat="1" applyFont="1" applyFill="1"/>
    <xf numFmtId="1" fontId="0" fillId="28" borderId="0" xfId="1" applyNumberFormat="1" applyFont="1" applyFill="1"/>
    <xf numFmtId="2" fontId="3" fillId="0" borderId="0" xfId="19" applyNumberFormat="1"/>
    <xf numFmtId="2" fontId="3" fillId="0" borderId="0" xfId="20" applyNumberFormat="1"/>
    <xf numFmtId="2" fontId="10" fillId="0" borderId="0" xfId="19" applyNumberFormat="1" applyFont="1"/>
    <xf numFmtId="1" fontId="10" fillId="0" borderId="0" xfId="1" applyNumberFormat="1" applyFont="1" applyFill="1"/>
    <xf numFmtId="10" fontId="0" fillId="0" borderId="0" xfId="2" applyNumberFormat="1" applyFont="1" applyFill="1"/>
    <xf numFmtId="171" fontId="0" fillId="0" borderId="0" xfId="18" applyNumberFormat="1" applyFont="1" applyFill="1"/>
    <xf numFmtId="0" fontId="3" fillId="0" borderId="0" xfId="19"/>
    <xf numFmtId="0" fontId="0" fillId="29" borderId="0" xfId="0" applyNumberFormat="1" applyFill="1"/>
    <xf numFmtId="0" fontId="0" fillId="23" borderId="0" xfId="0" applyNumberFormat="1" applyFill="1"/>
    <xf numFmtId="0" fontId="0" fillId="28" borderId="0" xfId="0" applyNumberFormat="1" applyFill="1"/>
    <xf numFmtId="0" fontId="0" fillId="0" borderId="0" xfId="0" quotePrefix="1" applyNumberFormat="1"/>
    <xf numFmtId="0" fontId="11" fillId="0" borderId="0" xfId="0" applyNumberFormat="1" applyFont="1" applyAlignment="1">
      <alignment wrapText="1"/>
    </xf>
    <xf numFmtId="0" fontId="10" fillId="23" borderId="0" xfId="0" applyNumberFormat="1" applyFont="1" applyFill="1"/>
    <xf numFmtId="0" fontId="5" fillId="0" borderId="2" xfId="4" applyNumberFormat="1"/>
    <xf numFmtId="180" fontId="0" fillId="0" borderId="0" xfId="0" applyNumberFormat="1"/>
    <xf numFmtId="0" fontId="4" fillId="0" borderId="1" xfId="3" applyNumberFormat="1"/>
    <xf numFmtId="0" fontId="7" fillId="6" borderId="16" xfId="10" applyNumberFormat="1" applyFont="1" applyBorder="1" applyAlignment="1">
      <alignment horizontal="right"/>
    </xf>
    <xf numFmtId="0" fontId="11" fillId="23" borderId="16" xfId="0" applyNumberFormat="1" applyFont="1" applyFill="1" applyBorder="1"/>
    <xf numFmtId="0" fontId="0" fillId="23" borderId="43" xfId="0" applyNumberFormat="1" applyFill="1" applyBorder="1" applyAlignment="1">
      <alignment horizontal="center"/>
    </xf>
    <xf numFmtId="0" fontId="7" fillId="6" borderId="44" xfId="10" applyNumberFormat="1" applyFont="1" applyBorder="1" applyAlignment="1">
      <alignment horizontal="center"/>
    </xf>
    <xf numFmtId="0" fontId="0" fillId="30" borderId="42" xfId="0" applyNumberFormat="1" applyFill="1" applyBorder="1" applyAlignment="1">
      <alignment horizontal="center"/>
    </xf>
    <xf numFmtId="0" fontId="0" fillId="30" borderId="41" xfId="0" applyNumberFormat="1" applyFill="1" applyBorder="1" applyAlignment="1">
      <alignment horizontal="center"/>
    </xf>
    <xf numFmtId="0" fontId="0" fillId="0" borderId="0" xfId="0" applyNumberFormat="1" applyAlignment="1">
      <alignment horizontal="center" vertical="center"/>
    </xf>
    <xf numFmtId="0" fontId="0" fillId="23" borderId="40" xfId="0" applyNumberFormat="1" applyFill="1" applyBorder="1" applyAlignment="1">
      <alignment horizontal="center"/>
    </xf>
    <xf numFmtId="0" fontId="7" fillId="6" borderId="45" xfId="10" applyNumberFormat="1" applyFont="1" applyBorder="1" applyAlignment="1">
      <alignment horizontal="center"/>
    </xf>
    <xf numFmtId="0" fontId="0" fillId="30" borderId="39" xfId="0" applyNumberFormat="1" applyFill="1" applyBorder="1" applyAlignment="1">
      <alignment horizontal="center"/>
    </xf>
    <xf numFmtId="0" fontId="0" fillId="30" borderId="38" xfId="0" applyNumberFormat="1" applyFill="1" applyBorder="1" applyAlignment="1">
      <alignment horizontal="center"/>
    </xf>
    <xf numFmtId="165" fontId="44" fillId="0" borderId="0" xfId="0" applyFont="1" applyAlignment="1">
      <alignment horizontal="left" vertical="center"/>
    </xf>
    <xf numFmtId="0" fontId="0" fillId="0" borderId="0" xfId="2" applyNumberFormat="1" applyFont="1" applyAlignment="1">
      <alignment horizontal="center" vertical="center"/>
    </xf>
    <xf numFmtId="0" fontId="7" fillId="6" borderId="46" xfId="10" applyNumberFormat="1" applyFont="1" applyBorder="1" applyAlignment="1">
      <alignment horizontal="center"/>
    </xf>
    <xf numFmtId="0" fontId="7" fillId="31" borderId="47" xfId="7" applyNumberFormat="1" applyFill="1" applyBorder="1" applyAlignment="1">
      <alignment horizontal="center"/>
    </xf>
    <xf numFmtId="0" fontId="7" fillId="6" borderId="48" xfId="10" applyNumberFormat="1" applyFont="1" applyBorder="1" applyAlignment="1">
      <alignment horizontal="center"/>
    </xf>
    <xf numFmtId="0" fontId="7" fillId="6" borderId="49" xfId="10" applyNumberFormat="1" applyFont="1" applyBorder="1" applyAlignment="1">
      <alignment horizontal="center"/>
    </xf>
    <xf numFmtId="0" fontId="7" fillId="31" borderId="50" xfId="7" applyNumberFormat="1" applyFill="1" applyBorder="1" applyAlignment="1">
      <alignment horizontal="center"/>
    </xf>
    <xf numFmtId="10" fontId="0" fillId="0" borderId="0" xfId="2" applyNumberFormat="1" applyFont="1" applyAlignment="1">
      <alignment horizontal="left" vertical="center"/>
    </xf>
    <xf numFmtId="0" fontId="0" fillId="32" borderId="43" xfId="0" applyNumberFormat="1" applyFill="1" applyBorder="1"/>
    <xf numFmtId="0" fontId="0" fillId="32" borderId="42" xfId="0" applyNumberFormat="1" applyFill="1" applyBorder="1"/>
    <xf numFmtId="0" fontId="0" fillId="32" borderId="41" xfId="0" applyNumberFormat="1" applyFill="1" applyBorder="1"/>
    <xf numFmtId="0" fontId="0" fillId="32" borderId="51" xfId="0" applyNumberFormat="1" applyFill="1" applyBorder="1"/>
    <xf numFmtId="0" fontId="0" fillId="32" borderId="52" xfId="0" applyNumberFormat="1" applyFill="1" applyBorder="1"/>
    <xf numFmtId="0" fontId="0" fillId="32" borderId="53" xfId="0" applyNumberFormat="1" applyFill="1" applyBorder="1"/>
    <xf numFmtId="2" fontId="0" fillId="33" borderId="43" xfId="0" applyNumberFormat="1" applyFill="1" applyBorder="1"/>
    <xf numFmtId="2" fontId="0" fillId="33" borderId="42" xfId="0" applyNumberFormat="1" applyFill="1" applyBorder="1"/>
    <xf numFmtId="0" fontId="0" fillId="32" borderId="0" xfId="0" applyNumberFormat="1" applyFill="1"/>
    <xf numFmtId="0" fontId="0" fillId="0" borderId="0" xfId="0" applyNumberFormat="1" applyAlignment="1">
      <alignment horizontal="left"/>
    </xf>
    <xf numFmtId="2" fontId="0" fillId="33" borderId="40" xfId="0" applyNumberFormat="1" applyFill="1" applyBorder="1"/>
    <xf numFmtId="2" fontId="0" fillId="33" borderId="39" xfId="0" applyNumberFormat="1" applyFill="1" applyBorder="1"/>
    <xf numFmtId="0" fontId="0" fillId="33" borderId="0" xfId="0" applyNumberFormat="1" applyFill="1" applyAlignment="1">
      <alignment horizontal="center"/>
    </xf>
    <xf numFmtId="2" fontId="0" fillId="33" borderId="0" xfId="0" applyNumberFormat="1" applyFill="1"/>
    <xf numFmtId="0" fontId="0" fillId="33" borderId="0" xfId="0" applyNumberFormat="1" applyFill="1"/>
    <xf numFmtId="2" fontId="0" fillId="23" borderId="0" xfId="0" applyNumberFormat="1" applyFill="1"/>
    <xf numFmtId="2" fontId="0" fillId="24" borderId="0" xfId="0" applyNumberFormat="1" applyFill="1" applyAlignment="1">
      <alignment horizontal="center"/>
    </xf>
    <xf numFmtId="179" fontId="0" fillId="0" borderId="0" xfId="0" applyNumberFormat="1"/>
    <xf numFmtId="0" fontId="46" fillId="0" borderId="16" xfId="21" applyFont="1" applyBorder="1" applyAlignment="1">
      <alignment horizontal="left" vertical="top"/>
    </xf>
    <xf numFmtId="10" fontId="0" fillId="0" borderId="0" xfId="2" applyNumberFormat="1" applyFont="1" applyAlignment="1">
      <alignment horizontal="center" vertical="center"/>
    </xf>
    <xf numFmtId="170" fontId="0" fillId="0" borderId="0" xfId="1" applyNumberFormat="1" applyFont="1" applyBorder="1"/>
    <xf numFmtId="16" fontId="0" fillId="0" borderId="0" xfId="0" applyNumberFormat="1" applyAlignment="1">
      <alignment horizontal="center"/>
    </xf>
    <xf numFmtId="0" fontId="46" fillId="0" borderId="0" xfId="21" applyFont="1" applyAlignment="1">
      <alignment horizontal="left" vertical="top"/>
    </xf>
    <xf numFmtId="0" fontId="33" fillId="0" borderId="0" xfId="22" applyNumberFormat="1" applyFont="1"/>
    <xf numFmtId="0" fontId="47" fillId="0" borderId="0" xfId="0" applyNumberFormat="1" applyFont="1"/>
    <xf numFmtId="165" fontId="48" fillId="0" borderId="0" xfId="0" applyFont="1" applyAlignment="1">
      <alignment horizontal="left" vertical="center" indent="12"/>
    </xf>
    <xf numFmtId="0" fontId="50" fillId="0" borderId="54" xfId="23" applyFont="1" applyBorder="1" applyAlignment="1">
      <alignment vertical="center" wrapText="1"/>
    </xf>
    <xf numFmtId="1" fontId="50" fillId="0" borderId="55" xfId="23" applyNumberFormat="1" applyFont="1" applyBorder="1" applyAlignment="1">
      <alignment horizontal="center" vertical="center" wrapText="1"/>
    </xf>
    <xf numFmtId="10" fontId="51" fillId="0" borderId="55" xfId="23" applyNumberFormat="1" applyFont="1" applyBorder="1" applyAlignment="1">
      <alignment horizontal="center" vertical="center" wrapText="1"/>
    </xf>
    <xf numFmtId="169" fontId="47" fillId="0" borderId="0" xfId="0" applyNumberFormat="1" applyFont="1"/>
    <xf numFmtId="0" fontId="50" fillId="0" borderId="56" xfId="23" applyFont="1" applyBorder="1" applyAlignment="1">
      <alignment vertical="center" wrapText="1"/>
    </xf>
    <xf numFmtId="1" fontId="50" fillId="0" borderId="57" xfId="23" applyNumberFormat="1" applyFont="1" applyBorder="1" applyAlignment="1">
      <alignment horizontal="center" vertical="center" wrapText="1"/>
    </xf>
    <xf numFmtId="0" fontId="51" fillId="0" borderId="56" xfId="23" applyFont="1" applyBorder="1" applyAlignment="1">
      <alignment vertical="center" wrapText="1"/>
    </xf>
    <xf numFmtId="1" fontId="51" fillId="0" borderId="57" xfId="23" applyNumberFormat="1" applyFont="1" applyBorder="1" applyAlignment="1">
      <alignment horizontal="left" vertical="center" wrapText="1" indent="1"/>
    </xf>
    <xf numFmtId="10" fontId="51" fillId="0" borderId="57" xfId="23" applyNumberFormat="1" applyFont="1" applyBorder="1" applyAlignment="1">
      <alignment horizontal="left" vertical="center" wrapText="1" indent="1"/>
    </xf>
    <xf numFmtId="0" fontId="52" fillId="0" borderId="58" xfId="23" applyFont="1" applyBorder="1" applyAlignment="1">
      <alignment vertical="center" wrapText="1"/>
    </xf>
    <xf numFmtId="0" fontId="52" fillId="0" borderId="59" xfId="23" applyFont="1" applyBorder="1" applyAlignment="1">
      <alignment vertical="center" wrapText="1"/>
    </xf>
    <xf numFmtId="0" fontId="52" fillId="0" borderId="55" xfId="23" applyFont="1" applyBorder="1" applyAlignment="1">
      <alignment vertical="center" wrapText="1"/>
    </xf>
    <xf numFmtId="10" fontId="0" fillId="0" borderId="0" xfId="0" applyNumberFormat="1"/>
    <xf numFmtId="1" fontId="10" fillId="0" borderId="0" xfId="0" applyNumberFormat="1" applyFont="1"/>
    <xf numFmtId="2" fontId="0" fillId="0" borderId="42" xfId="0" applyNumberFormat="1" applyBorder="1"/>
    <xf numFmtId="9" fontId="0" fillId="0" borderId="42" xfId="2" applyFont="1" applyBorder="1"/>
    <xf numFmtId="165" fontId="53" fillId="0" borderId="60" xfId="0" applyFont="1" applyBorder="1" applyAlignment="1">
      <alignment vertical="center" wrapText="1"/>
    </xf>
    <xf numFmtId="165" fontId="54" fillId="0" borderId="61" xfId="0" applyFont="1" applyBorder="1" applyAlignment="1">
      <alignment horizontal="center" vertical="center" wrapText="1"/>
    </xf>
    <xf numFmtId="165" fontId="54" fillId="0" borderId="61" xfId="0" applyFont="1" applyBorder="1" applyAlignment="1">
      <alignment horizontal="left" vertical="center" wrapText="1" indent="3"/>
    </xf>
    <xf numFmtId="165" fontId="54" fillId="0" borderId="56" xfId="0" applyFont="1" applyBorder="1" applyAlignment="1">
      <alignment horizontal="center" vertical="center" wrapText="1"/>
    </xf>
    <xf numFmtId="165" fontId="54" fillId="0" borderId="57" xfId="0" applyFont="1" applyBorder="1" applyAlignment="1">
      <alignment horizontal="center" vertical="center" wrapText="1"/>
    </xf>
    <xf numFmtId="165" fontId="54" fillId="0" borderId="57" xfId="0" applyFont="1" applyBorder="1" applyAlignment="1">
      <alignment horizontal="left" vertical="center" wrapText="1" indent="2"/>
    </xf>
    <xf numFmtId="165" fontId="54" fillId="0" borderId="56" xfId="0" applyFont="1" applyBorder="1" applyAlignment="1">
      <alignment horizontal="left" vertical="center" wrapText="1" indent="3"/>
    </xf>
    <xf numFmtId="2" fontId="0" fillId="0" borderId="57" xfId="0" applyNumberFormat="1" applyBorder="1" applyAlignment="1">
      <alignment vertical="center" wrapText="1"/>
    </xf>
    <xf numFmtId="165" fontId="0" fillId="0" borderId="57" xfId="0" applyBorder="1" applyAlignment="1">
      <alignment vertical="center" wrapText="1"/>
    </xf>
    <xf numFmtId="165" fontId="53" fillId="0" borderId="56" xfId="0" applyFont="1" applyBorder="1" applyAlignment="1">
      <alignment vertical="center" wrapText="1"/>
    </xf>
    <xf numFmtId="1" fontId="53" fillId="0" borderId="57" xfId="0" applyNumberFormat="1" applyFont="1" applyBorder="1" applyAlignment="1">
      <alignment horizontal="center" vertical="center" wrapText="1"/>
    </xf>
    <xf numFmtId="165" fontId="53" fillId="0" borderId="57" xfId="0" applyFont="1" applyBorder="1" applyAlignment="1">
      <alignment horizontal="left" vertical="center" wrapText="1" indent="2"/>
    </xf>
    <xf numFmtId="165" fontId="53" fillId="0" borderId="57" xfId="0" applyFont="1" applyBorder="1" applyAlignment="1">
      <alignment vertical="center" wrapText="1"/>
    </xf>
    <xf numFmtId="1" fontId="53" fillId="0" borderId="60" xfId="0" applyNumberFormat="1" applyFont="1" applyBorder="1" applyAlignment="1">
      <alignment vertical="center" wrapText="1"/>
    </xf>
    <xf numFmtId="1" fontId="55" fillId="34" borderId="16" xfId="0" applyNumberFormat="1" applyFont="1" applyFill="1" applyBorder="1"/>
    <xf numFmtId="165" fontId="54" fillId="0" borderId="56" xfId="0" applyFont="1" applyBorder="1" applyAlignment="1">
      <alignment horizontal="left" vertical="center" wrapText="1" indent="7"/>
    </xf>
    <xf numFmtId="1" fontId="0" fillId="0" borderId="57" xfId="0" applyNumberFormat="1" applyBorder="1" applyAlignment="1">
      <alignment vertical="center" wrapText="1"/>
    </xf>
    <xf numFmtId="165" fontId="56" fillId="35" borderId="51" xfId="0" applyFont="1" applyFill="1" applyBorder="1"/>
    <xf numFmtId="165" fontId="57" fillId="35" borderId="52" xfId="0" applyFont="1" applyFill="1" applyBorder="1"/>
    <xf numFmtId="165" fontId="58" fillId="35" borderId="52" xfId="0" applyFont="1" applyFill="1" applyBorder="1"/>
    <xf numFmtId="165" fontId="57" fillId="35" borderId="53" xfId="0" applyFont="1" applyFill="1" applyBorder="1"/>
    <xf numFmtId="165" fontId="55" fillId="34" borderId="16" xfId="0" applyFont="1" applyFill="1" applyBorder="1"/>
    <xf numFmtId="165" fontId="46" fillId="0" borderId="16" xfId="0" applyFont="1" applyBorder="1" applyAlignment="1">
      <alignment horizontal="left" vertical="top"/>
    </xf>
    <xf numFmtId="181" fontId="0" fillId="33" borderId="16" xfId="0" applyNumberFormat="1" applyFill="1" applyBorder="1"/>
    <xf numFmtId="165" fontId="54" fillId="0" borderId="56" xfId="0" applyFont="1" applyBorder="1" applyAlignment="1">
      <alignment horizontal="left" vertical="center" wrapText="1" indent="4"/>
    </xf>
    <xf numFmtId="165" fontId="53" fillId="0" borderId="0" xfId="0" applyFont="1" applyAlignment="1">
      <alignment vertical="center" wrapText="1"/>
    </xf>
    <xf numFmtId="1" fontId="53" fillId="0" borderId="0" xfId="0" applyNumberFormat="1" applyFont="1" applyAlignment="1">
      <alignment horizontal="center" vertical="center" wrapText="1"/>
    </xf>
    <xf numFmtId="165" fontId="53" fillId="0" borderId="0" xfId="0" applyFont="1" applyAlignment="1">
      <alignment horizontal="left" vertical="center" wrapText="1" indent="2"/>
    </xf>
    <xf numFmtId="165" fontId="59" fillId="0" borderId="16" xfId="0" applyFont="1" applyBorder="1" applyAlignment="1">
      <alignment horizontal="left" vertical="top"/>
    </xf>
    <xf numFmtId="181" fontId="60" fillId="33" borderId="16" xfId="0" applyNumberFormat="1" applyFont="1" applyFill="1" applyBorder="1"/>
    <xf numFmtId="165" fontId="61" fillId="31" borderId="16" xfId="0" applyFont="1" applyFill="1" applyBorder="1" applyProtection="1">
      <protection locked="0"/>
    </xf>
    <xf numFmtId="165" fontId="62" fillId="33" borderId="0" xfId="0" applyFont="1" applyFill="1"/>
    <xf numFmtId="165" fontId="0" fillId="33" borderId="0" xfId="0" applyFill="1"/>
    <xf numFmtId="4" fontId="0" fillId="33" borderId="16" xfId="0" applyNumberFormat="1" applyFill="1" applyBorder="1"/>
    <xf numFmtId="4" fontId="60" fillId="0" borderId="16" xfId="0" applyNumberFormat="1" applyFont="1" applyBorder="1"/>
    <xf numFmtId="165" fontId="63" fillId="33" borderId="0" xfId="0" applyFont="1" applyFill="1"/>
    <xf numFmtId="10" fontId="63" fillId="33" borderId="0" xfId="24" applyNumberFormat="1" applyFont="1" applyFill="1"/>
    <xf numFmtId="9" fontId="0" fillId="36" borderId="0" xfId="2" applyFont="1" applyFill="1"/>
    <xf numFmtId="0" fontId="0" fillId="0" borderId="0" xfId="25" applyFont="1"/>
    <xf numFmtId="0" fontId="3" fillId="0" borderId="0" xfId="25"/>
    <xf numFmtId="11" fontId="0" fillId="0" borderId="0" xfId="0" applyNumberFormat="1"/>
    <xf numFmtId="9" fontId="0" fillId="36" borderId="0" xfId="0" applyNumberFormat="1" applyFill="1"/>
    <xf numFmtId="0" fontId="0" fillId="36" borderId="0" xfId="0" applyNumberFormat="1" applyFill="1"/>
    <xf numFmtId="0" fontId="64" fillId="0" borderId="0" xfId="26" applyAlignment="1">
      <alignment horizontal="left" vertical="top"/>
    </xf>
    <xf numFmtId="0" fontId="65" fillId="0" borderId="0" xfId="26" applyFont="1" applyAlignment="1">
      <alignment horizontal="left" vertical="top"/>
    </xf>
    <xf numFmtId="4" fontId="45" fillId="0" borderId="51" xfId="27" applyNumberFormat="1" applyBorder="1"/>
    <xf numFmtId="4" fontId="45" fillId="0" borderId="51" xfId="28" applyNumberFormat="1" applyBorder="1"/>
    <xf numFmtId="4" fontId="45" fillId="0" borderId="51" xfId="29" applyNumberFormat="1" applyBorder="1"/>
    <xf numFmtId="4" fontId="45" fillId="0" borderId="51" xfId="30" applyNumberFormat="1" applyBorder="1"/>
    <xf numFmtId="4" fontId="45" fillId="0" borderId="51" xfId="31" applyNumberFormat="1" applyBorder="1"/>
    <xf numFmtId="0" fontId="61" fillId="0" borderId="16" xfId="32" applyFont="1" applyBorder="1"/>
    <xf numFmtId="2" fontId="0" fillId="0" borderId="0" xfId="33" applyNumberFormat="1" applyFont="1" applyFill="1" applyBorder="1" applyAlignment="1">
      <alignment horizontal="left" vertical="top"/>
    </xf>
    <xf numFmtId="181" fontId="60" fillId="0" borderId="51" xfId="34" applyNumberFormat="1" applyFont="1" applyBorder="1"/>
    <xf numFmtId="181" fontId="66" fillId="0" borderId="51" xfId="21" applyNumberFormat="1" applyFont="1" applyBorder="1"/>
    <xf numFmtId="181" fontId="60" fillId="0" borderId="51" xfId="35" applyNumberFormat="1" applyFont="1" applyBorder="1"/>
    <xf numFmtId="181" fontId="60" fillId="0" borderId="51" xfId="36" applyNumberFormat="1" applyFont="1" applyBorder="1"/>
    <xf numFmtId="181" fontId="60" fillId="0" borderId="51" xfId="37" applyNumberFormat="1" applyFont="1" applyBorder="1"/>
    <xf numFmtId="181" fontId="60" fillId="0" borderId="51" xfId="38" applyNumberFormat="1" applyFont="1" applyBorder="1"/>
    <xf numFmtId="0" fontId="46" fillId="0" borderId="16" xfId="39" applyFont="1" applyBorder="1" applyAlignment="1">
      <alignment horizontal="left" vertical="top"/>
    </xf>
    <xf numFmtId="0" fontId="55" fillId="34" borderId="45" xfId="27" applyFont="1" applyFill="1" applyBorder="1"/>
    <xf numFmtId="0" fontId="55" fillId="34" borderId="45" xfId="28" applyFont="1" applyFill="1" applyBorder="1"/>
    <xf numFmtId="0" fontId="55" fillId="34" borderId="45" xfId="29" applyFont="1" applyFill="1" applyBorder="1"/>
    <xf numFmtId="0" fontId="55" fillId="34" borderId="45" xfId="30" applyFont="1" applyFill="1" applyBorder="1"/>
    <xf numFmtId="0" fontId="55" fillId="34" borderId="45" xfId="31" applyFont="1" applyFill="1" applyBorder="1"/>
    <xf numFmtId="0" fontId="55" fillId="34" borderId="38" xfId="32" applyFont="1" applyFill="1" applyBorder="1"/>
    <xf numFmtId="0" fontId="55" fillId="34" borderId="40" xfId="34" applyFont="1" applyFill="1" applyBorder="1" applyAlignment="1">
      <alignment wrapText="1"/>
    </xf>
    <xf numFmtId="0" fontId="55" fillId="34" borderId="40" xfId="35" applyFont="1" applyFill="1" applyBorder="1" applyAlignment="1">
      <alignment wrapText="1"/>
    </xf>
    <xf numFmtId="0" fontId="55" fillId="34" borderId="40" xfId="36" applyFont="1" applyFill="1" applyBorder="1" applyAlignment="1">
      <alignment wrapText="1"/>
    </xf>
    <xf numFmtId="0" fontId="66" fillId="34" borderId="40" xfId="37" applyFont="1" applyFill="1" applyBorder="1" applyAlignment="1">
      <alignment wrapText="1"/>
    </xf>
    <xf numFmtId="0" fontId="55" fillId="34" borderId="40" xfId="37" applyFont="1" applyFill="1" applyBorder="1" applyAlignment="1">
      <alignment wrapText="1"/>
    </xf>
    <xf numFmtId="0" fontId="55" fillId="34" borderId="40" xfId="38" applyFont="1" applyFill="1" applyBorder="1" applyAlignment="1">
      <alignment wrapText="1"/>
    </xf>
    <xf numFmtId="0" fontId="55" fillId="34" borderId="38" xfId="39" applyFont="1" applyFill="1" applyBorder="1"/>
    <xf numFmtId="0" fontId="56" fillId="35" borderId="51" xfId="21" applyFont="1" applyFill="1" applyBorder="1"/>
    <xf numFmtId="0" fontId="56" fillId="35" borderId="51" xfId="40" applyFont="1" applyFill="1" applyBorder="1"/>
    <xf numFmtId="0" fontId="56" fillId="35" borderId="0" xfId="21" applyFont="1" applyFill="1"/>
    <xf numFmtId="0" fontId="67" fillId="35" borderId="51" xfId="21" applyFont="1" applyFill="1" applyBorder="1"/>
    <xf numFmtId="0" fontId="56" fillId="35" borderId="51" xfId="39" applyFont="1" applyFill="1" applyBorder="1"/>
    <xf numFmtId="0" fontId="61" fillId="31" borderId="16" xfId="40" applyFont="1" applyFill="1" applyBorder="1" applyProtection="1">
      <protection locked="0"/>
    </xf>
    <xf numFmtId="10" fontId="68" fillId="37" borderId="0" xfId="41" applyNumberFormat="1" applyFont="1" applyFill="1" applyProtection="1">
      <protection locked="0"/>
    </xf>
    <xf numFmtId="10" fontId="45" fillId="37" borderId="16" xfId="41" applyNumberFormat="1" applyFill="1" applyBorder="1" applyProtection="1">
      <protection locked="0"/>
    </xf>
    <xf numFmtId="0" fontId="45" fillId="0" borderId="16" xfId="41" applyBorder="1"/>
    <xf numFmtId="0" fontId="61" fillId="31" borderId="16" xfId="39" applyFont="1" applyFill="1" applyBorder="1" applyProtection="1">
      <protection locked="0"/>
    </xf>
    <xf numFmtId="4" fontId="45" fillId="0" borderId="51" xfId="42" applyNumberFormat="1" applyBorder="1"/>
    <xf numFmtId="4" fontId="45" fillId="0" borderId="51" xfId="43" applyNumberFormat="1" applyBorder="1"/>
    <xf numFmtId="4" fontId="45" fillId="0" borderId="51" xfId="44" applyNumberFormat="1" applyBorder="1"/>
    <xf numFmtId="4" fontId="45" fillId="0" borderId="51" xfId="45" applyNumberFormat="1" applyBorder="1"/>
    <xf numFmtId="4" fontId="45" fillId="0" borderId="51" xfId="46" applyNumberFormat="1" applyBorder="1"/>
    <xf numFmtId="0" fontId="61" fillId="0" borderId="16" xfId="40" applyFont="1" applyBorder="1"/>
    <xf numFmtId="181" fontId="60" fillId="0" borderId="51" xfId="47" applyNumberFormat="1" applyFont="1" applyBorder="1"/>
    <xf numFmtId="181" fontId="60" fillId="0" borderId="51" xfId="48" applyNumberFormat="1" applyFont="1" applyBorder="1"/>
    <xf numFmtId="181" fontId="60" fillId="0" borderId="51" xfId="49" applyNumberFormat="1" applyFont="1" applyBorder="1"/>
    <xf numFmtId="181" fontId="60" fillId="0" borderId="51" xfId="50" applyNumberFormat="1" applyFont="1" applyBorder="1"/>
    <xf numFmtId="181" fontId="60" fillId="0" borderId="51" xfId="51" applyNumberFormat="1" applyFont="1" applyBorder="1"/>
    <xf numFmtId="0" fontId="46" fillId="0" borderId="16" xfId="52" applyFont="1" applyBorder="1" applyAlignment="1">
      <alignment horizontal="left" vertical="top"/>
    </xf>
    <xf numFmtId="4" fontId="45" fillId="38" borderId="51" xfId="42" applyNumberFormat="1" applyFill="1" applyBorder="1"/>
    <xf numFmtId="4" fontId="45" fillId="38" borderId="51" xfId="43" applyNumberFormat="1" applyFill="1" applyBorder="1"/>
    <xf numFmtId="4" fontId="45" fillId="38" borderId="51" xfId="44" applyNumberFormat="1" applyFill="1" applyBorder="1"/>
    <xf numFmtId="4" fontId="45" fillId="38" borderId="51" xfId="45" applyNumberFormat="1" applyFill="1" applyBorder="1"/>
    <xf numFmtId="4" fontId="45" fillId="38" borderId="51" xfId="46" applyNumberFormat="1" applyFill="1" applyBorder="1"/>
    <xf numFmtId="181" fontId="60" fillId="38" borderId="51" xfId="47" applyNumberFormat="1" applyFont="1" applyFill="1" applyBorder="1"/>
    <xf numFmtId="181" fontId="60" fillId="38" borderId="51" xfId="48" applyNumberFormat="1" applyFont="1" applyFill="1" applyBorder="1"/>
    <xf numFmtId="181" fontId="60" fillId="38" borderId="51" xfId="49" applyNumberFormat="1" applyFont="1" applyFill="1" applyBorder="1"/>
    <xf numFmtId="181" fontId="66" fillId="38" borderId="51" xfId="50" applyNumberFormat="1" applyFont="1" applyFill="1" applyBorder="1"/>
    <xf numFmtId="181" fontId="60" fillId="38" borderId="51" xfId="50" applyNumberFormat="1" applyFont="1" applyFill="1" applyBorder="1"/>
    <xf numFmtId="181" fontId="60" fillId="38" borderId="51" xfId="51" applyNumberFormat="1" applyFont="1" applyFill="1" applyBorder="1"/>
    <xf numFmtId="0" fontId="55" fillId="34" borderId="45" xfId="42" applyFont="1" applyFill="1" applyBorder="1"/>
    <xf numFmtId="0" fontId="55" fillId="34" borderId="45" xfId="43" applyFont="1" applyFill="1" applyBorder="1"/>
    <xf numFmtId="0" fontId="55" fillId="34" borderId="45" xfId="44" applyFont="1" applyFill="1" applyBorder="1"/>
    <xf numFmtId="0" fontId="55" fillId="34" borderId="45" xfId="45" applyFont="1" applyFill="1" applyBorder="1"/>
    <xf numFmtId="0" fontId="55" fillId="34" borderId="45" xfId="46" applyFont="1" applyFill="1" applyBorder="1"/>
    <xf numFmtId="0" fontId="55" fillId="34" borderId="38" xfId="40" applyFont="1" applyFill="1" applyBorder="1"/>
    <xf numFmtId="0" fontId="55" fillId="34" borderId="40" xfId="47" applyFont="1" applyFill="1" applyBorder="1" applyAlignment="1">
      <alignment wrapText="1"/>
    </xf>
    <xf numFmtId="0" fontId="55" fillId="34" borderId="40" xfId="48" applyFont="1" applyFill="1" applyBorder="1" applyAlignment="1">
      <alignment wrapText="1"/>
    </xf>
    <xf numFmtId="0" fontId="55" fillId="34" borderId="40" xfId="49" applyFont="1" applyFill="1" applyBorder="1" applyAlignment="1">
      <alignment wrapText="1"/>
    </xf>
    <xf numFmtId="0" fontId="66" fillId="34" borderId="40" xfId="50" applyFont="1" applyFill="1" applyBorder="1" applyAlignment="1">
      <alignment wrapText="1"/>
    </xf>
    <xf numFmtId="0" fontId="55" fillId="34" borderId="40" xfId="50" applyFont="1" applyFill="1" applyBorder="1" applyAlignment="1">
      <alignment wrapText="1"/>
    </xf>
    <xf numFmtId="0" fontId="55" fillId="34" borderId="40" xfId="51" applyFont="1" applyFill="1" applyBorder="1" applyAlignment="1">
      <alignment wrapText="1"/>
    </xf>
    <xf numFmtId="0" fontId="55" fillId="34" borderId="38" xfId="52" applyFont="1" applyFill="1" applyBorder="1"/>
    <xf numFmtId="0" fontId="56" fillId="35" borderId="51" xfId="52" applyFont="1" applyFill="1" applyBorder="1"/>
    <xf numFmtId="0" fontId="61" fillId="31" borderId="16" xfId="41" applyFont="1" applyFill="1" applyBorder="1" applyProtection="1">
      <protection locked="0"/>
    </xf>
    <xf numFmtId="4" fontId="45" fillId="0" borderId="51" xfId="53" applyNumberFormat="1" applyBorder="1"/>
    <xf numFmtId="4" fontId="45" fillId="0" borderId="51" xfId="54" applyNumberFormat="1" applyBorder="1"/>
    <xf numFmtId="4" fontId="45" fillId="0" borderId="51" xfId="55" applyNumberFormat="1" applyBorder="1"/>
    <xf numFmtId="4" fontId="45" fillId="0" borderId="51" xfId="56" applyNumberFormat="1" applyBorder="1"/>
    <xf numFmtId="4" fontId="45" fillId="0" borderId="51" xfId="57" applyNumberFormat="1" applyBorder="1"/>
    <xf numFmtId="0" fontId="61" fillId="0" borderId="16" xfId="58" applyFont="1" applyBorder="1"/>
    <xf numFmtId="181" fontId="60" fillId="0" borderId="51" xfId="59" applyNumberFormat="1" applyFont="1" applyBorder="1"/>
    <xf numFmtId="181" fontId="60" fillId="0" borderId="51" xfId="60" applyNumberFormat="1" applyFont="1" applyBorder="1"/>
    <xf numFmtId="181" fontId="60" fillId="0" borderId="51" xfId="61" applyNumberFormat="1" applyFont="1" applyBorder="1"/>
    <xf numFmtId="181" fontId="60" fillId="0" borderId="51" xfId="62" applyNumberFormat="1" applyFont="1" applyBorder="1"/>
    <xf numFmtId="181" fontId="60" fillId="0" borderId="51" xfId="63" applyNumberFormat="1" applyFont="1" applyBorder="1"/>
    <xf numFmtId="0" fontId="46" fillId="0" borderId="16" xfId="64" applyFont="1" applyBorder="1" applyAlignment="1">
      <alignment horizontal="left" vertical="top"/>
    </xf>
    <xf numFmtId="4" fontId="45" fillId="38" borderId="51" xfId="53" applyNumberFormat="1" applyFill="1" applyBorder="1"/>
    <xf numFmtId="4" fontId="45" fillId="38" borderId="51" xfId="54" applyNumberFormat="1" applyFill="1" applyBorder="1"/>
    <xf numFmtId="4" fontId="45" fillId="38" borderId="51" xfId="55" applyNumberFormat="1" applyFill="1" applyBorder="1"/>
    <xf numFmtId="4" fontId="45" fillId="38" borderId="51" xfId="56" applyNumberFormat="1" applyFill="1" applyBorder="1"/>
    <xf numFmtId="4" fontId="45" fillId="38" borderId="51" xfId="57" applyNumberFormat="1" applyFill="1" applyBorder="1"/>
    <xf numFmtId="181" fontId="60" fillId="38" borderId="51" xfId="59" applyNumberFormat="1" applyFont="1" applyFill="1" applyBorder="1"/>
    <xf numFmtId="181" fontId="60" fillId="38" borderId="51" xfId="60" applyNumberFormat="1" applyFont="1" applyFill="1" applyBorder="1"/>
    <xf numFmtId="181" fontId="60" fillId="38" borderId="51" xfId="61" applyNumberFormat="1" applyFont="1" applyFill="1" applyBorder="1"/>
    <xf numFmtId="181" fontId="66" fillId="38" borderId="51" xfId="62" applyNumberFormat="1" applyFont="1" applyFill="1" applyBorder="1"/>
    <xf numFmtId="181" fontId="60" fillId="38" borderId="51" xfId="62" applyNumberFormat="1" applyFont="1" applyFill="1" applyBorder="1"/>
    <xf numFmtId="181" fontId="60" fillId="38" borderId="51" xfId="63" applyNumberFormat="1" applyFont="1" applyFill="1" applyBorder="1"/>
    <xf numFmtId="9" fontId="0" fillId="0" borderId="0" xfId="33" applyFont="1" applyFill="1" applyBorder="1" applyAlignment="1">
      <alignment horizontal="left" vertical="top"/>
    </xf>
    <xf numFmtId="0" fontId="55" fillId="34" borderId="45" xfId="53" applyFont="1" applyFill="1" applyBorder="1"/>
    <xf numFmtId="0" fontId="55" fillId="34" borderId="45" xfId="54" applyFont="1" applyFill="1" applyBorder="1"/>
    <xf numFmtId="0" fontId="55" fillId="34" borderId="45" xfId="56" applyFont="1" applyFill="1" applyBorder="1"/>
    <xf numFmtId="0" fontId="55" fillId="34" borderId="45" xfId="57" applyFont="1" applyFill="1" applyBorder="1"/>
    <xf numFmtId="0" fontId="55" fillId="34" borderId="38" xfId="58" applyFont="1" applyFill="1" applyBorder="1"/>
    <xf numFmtId="0" fontId="55" fillId="34" borderId="40" xfId="59" applyFont="1" applyFill="1" applyBorder="1" applyAlignment="1">
      <alignment wrapText="1"/>
    </xf>
    <xf numFmtId="0" fontId="55" fillId="34" borderId="40" xfId="60" applyFont="1" applyFill="1" applyBorder="1" applyAlignment="1">
      <alignment wrapText="1"/>
    </xf>
    <xf numFmtId="0" fontId="55" fillId="34" borderId="40" xfId="61" applyFont="1" applyFill="1" applyBorder="1" applyAlignment="1">
      <alignment wrapText="1"/>
    </xf>
    <xf numFmtId="0" fontId="66" fillId="34" borderId="40" xfId="62" applyFont="1" applyFill="1" applyBorder="1" applyAlignment="1">
      <alignment wrapText="1"/>
    </xf>
    <xf numFmtId="0" fontId="55" fillId="34" borderId="40" xfId="62" applyFont="1" applyFill="1" applyBorder="1" applyAlignment="1">
      <alignment wrapText="1"/>
    </xf>
    <xf numFmtId="0" fontId="55" fillId="34" borderId="40" xfId="63" applyFont="1" applyFill="1" applyBorder="1" applyAlignment="1">
      <alignment wrapText="1"/>
    </xf>
    <xf numFmtId="0" fontId="55" fillId="34" borderId="38" xfId="64" applyFont="1" applyFill="1" applyBorder="1"/>
    <xf numFmtId="0" fontId="56" fillId="35" borderId="51" xfId="58" applyFont="1" applyFill="1" applyBorder="1"/>
    <xf numFmtId="0" fontId="56" fillId="35" borderId="51" xfId="64" applyFont="1" applyFill="1" applyBorder="1"/>
    <xf numFmtId="0" fontId="61" fillId="31" borderId="16" xfId="58" applyFont="1" applyFill="1" applyBorder="1" applyProtection="1">
      <protection locked="0"/>
    </xf>
    <xf numFmtId="0" fontId="61" fillId="31" borderId="16" xfId="64" applyFont="1" applyFill="1" applyBorder="1" applyProtection="1">
      <protection locked="0"/>
    </xf>
    <xf numFmtId="4" fontId="45" fillId="0" borderId="51" xfId="21" applyNumberFormat="1" applyBorder="1"/>
    <xf numFmtId="4" fontId="12" fillId="0" borderId="16" xfId="21" applyNumberFormat="1" applyFont="1" applyBorder="1" applyAlignment="1">
      <alignment horizontal="right" vertical="top" wrapText="1"/>
    </xf>
    <xf numFmtId="0" fontId="69" fillId="0" borderId="53" xfId="21" applyFont="1" applyBorder="1"/>
    <xf numFmtId="181" fontId="60" fillId="0" borderId="51" xfId="21" applyNumberFormat="1" applyFont="1" applyBorder="1"/>
    <xf numFmtId="4" fontId="45" fillId="38" borderId="51" xfId="21" applyNumberFormat="1" applyFill="1" applyBorder="1"/>
    <xf numFmtId="181" fontId="60" fillId="38" borderId="51" xfId="21" applyNumberFormat="1" applyFont="1" applyFill="1" applyBorder="1"/>
    <xf numFmtId="181" fontId="66" fillId="38" borderId="51" xfId="21" applyNumberFormat="1" applyFont="1" applyFill="1" applyBorder="1"/>
    <xf numFmtId="0" fontId="55" fillId="34" borderId="45" xfId="21" applyFont="1" applyFill="1" applyBorder="1"/>
    <xf numFmtId="0" fontId="55" fillId="34" borderId="38" xfId="21" applyFont="1" applyFill="1" applyBorder="1"/>
    <xf numFmtId="0" fontId="55" fillId="34" borderId="40" xfId="21" applyFont="1" applyFill="1" applyBorder="1" applyAlignment="1">
      <alignment wrapText="1"/>
    </xf>
    <xf numFmtId="0" fontId="55" fillId="34" borderId="45" xfId="21" applyFont="1" applyFill="1" applyBorder="1" applyAlignment="1">
      <alignment wrapText="1"/>
    </xf>
    <xf numFmtId="0" fontId="66" fillId="34" borderId="45" xfId="21" applyFont="1" applyFill="1" applyBorder="1" applyAlignment="1">
      <alignment wrapText="1"/>
    </xf>
    <xf numFmtId="0" fontId="70" fillId="35" borderId="44" xfId="21" applyFont="1" applyFill="1" applyBorder="1"/>
    <xf numFmtId="0" fontId="61" fillId="31" borderId="16" xfId="21" applyFont="1" applyFill="1" applyBorder="1" applyProtection="1">
      <protection locked="0"/>
    </xf>
    <xf numFmtId="0" fontId="45" fillId="33" borderId="0" xfId="21" applyFill="1"/>
    <xf numFmtId="10" fontId="68" fillId="37" borderId="0" xfId="21" applyNumberFormat="1" applyFont="1" applyFill="1" applyProtection="1">
      <protection locked="0"/>
    </xf>
    <xf numFmtId="10" fontId="45" fillId="37" borderId="16" xfId="21" applyNumberFormat="1" applyFill="1" applyBorder="1" applyProtection="1">
      <protection locked="0"/>
    </xf>
    <xf numFmtId="0" fontId="45" fillId="0" borderId="16" xfId="21" applyBorder="1"/>
    <xf numFmtId="181" fontId="60" fillId="0" borderId="0" xfId="21" applyNumberFormat="1" applyFont="1"/>
    <xf numFmtId="181" fontId="66" fillId="0" borderId="0" xfId="21" applyNumberFormat="1" applyFont="1"/>
    <xf numFmtId="0" fontId="61" fillId="0" borderId="16" xfId="21" applyFont="1" applyBorder="1"/>
    <xf numFmtId="4" fontId="71" fillId="0" borderId="51" xfId="21" applyNumberFormat="1" applyFont="1" applyBorder="1"/>
    <xf numFmtId="0" fontId="71" fillId="0" borderId="16" xfId="21" applyFont="1" applyBorder="1" applyAlignment="1">
      <alignment horizontal="left" vertical="top"/>
    </xf>
    <xf numFmtId="0" fontId="66" fillId="34" borderId="40" xfId="21" applyFont="1" applyFill="1" applyBorder="1" applyAlignment="1">
      <alignment wrapText="1"/>
    </xf>
    <xf numFmtId="4" fontId="45" fillId="0" borderId="0" xfId="21" applyNumberFormat="1"/>
    <xf numFmtId="0" fontId="61" fillId="0" borderId="0" xfId="21" applyFont="1"/>
    <xf numFmtId="0" fontId="3" fillId="0" borderId="0" xfId="65" applyNumberFormat="1"/>
    <xf numFmtId="0" fontId="3" fillId="0" borderId="0" xfId="65" applyNumberFormat="1" applyAlignment="1">
      <alignment horizontal="right"/>
    </xf>
    <xf numFmtId="4" fontId="45" fillId="0" borderId="43" xfId="21" applyNumberFormat="1" applyBorder="1"/>
    <xf numFmtId="181" fontId="60" fillId="0" borderId="43" xfId="21" applyNumberFormat="1" applyFont="1" applyBorder="1"/>
    <xf numFmtId="2" fontId="72" fillId="0" borderId="0" xfId="26" applyNumberFormat="1" applyFont="1" applyAlignment="1">
      <alignment horizontal="left" vertical="top"/>
    </xf>
    <xf numFmtId="183" fontId="0" fillId="0" borderId="0" xfId="66" applyFont="1" applyFill="1" applyBorder="1" applyAlignment="1">
      <alignment horizontal="left" vertical="top"/>
    </xf>
    <xf numFmtId="165" fontId="3" fillId="0" borderId="0" xfId="65"/>
    <xf numFmtId="4" fontId="60" fillId="0" borderId="51" xfId="67" applyNumberFormat="1" applyFont="1" applyBorder="1"/>
    <xf numFmtId="4" fontId="60" fillId="0" borderId="51" xfId="68" applyNumberFormat="1" applyFont="1" applyBorder="1"/>
    <xf numFmtId="4" fontId="60" fillId="0" borderId="51" xfId="69" applyNumberFormat="1" applyFont="1" applyBorder="1"/>
    <xf numFmtId="4" fontId="60" fillId="0" borderId="51" xfId="70" applyNumberFormat="1" applyFont="1" applyBorder="1"/>
    <xf numFmtId="4" fontId="60" fillId="0" borderId="51" xfId="71" applyNumberFormat="1" applyFont="1" applyBorder="1"/>
    <xf numFmtId="0" fontId="61" fillId="0" borderId="16" xfId="72" applyFont="1" applyBorder="1"/>
    <xf numFmtId="181" fontId="60" fillId="0" borderId="51" xfId="73" applyNumberFormat="1" applyFont="1" applyBorder="1"/>
    <xf numFmtId="181" fontId="60" fillId="0" borderId="51" xfId="74" applyNumberFormat="1" applyFont="1" applyBorder="1"/>
    <xf numFmtId="181" fontId="60" fillId="0" borderId="51" xfId="75" applyNumberFormat="1" applyFont="1" applyBorder="1"/>
    <xf numFmtId="181" fontId="60" fillId="0" borderId="51" xfId="76" applyNumberFormat="1" applyFont="1" applyBorder="1"/>
    <xf numFmtId="181" fontId="60" fillId="0" borderId="51" xfId="77" applyNumberFormat="1" applyFont="1" applyBorder="1"/>
    <xf numFmtId="0" fontId="46" fillId="0" borderId="16" xfId="78" applyFont="1" applyBorder="1" applyAlignment="1">
      <alignment horizontal="left" vertical="top"/>
    </xf>
    <xf numFmtId="0" fontId="55" fillId="34" borderId="40" xfId="67" applyFont="1" applyFill="1" applyBorder="1"/>
    <xf numFmtId="0" fontId="55" fillId="34" borderId="40" xfId="68" applyFont="1" applyFill="1" applyBorder="1"/>
    <xf numFmtId="0" fontId="55" fillId="34" borderId="40" xfId="69" applyFont="1" applyFill="1" applyBorder="1"/>
    <xf numFmtId="0" fontId="55" fillId="34" borderId="40" xfId="70" applyFont="1" applyFill="1" applyBorder="1"/>
    <xf numFmtId="0" fontId="55" fillId="34" borderId="40" xfId="71" applyFont="1" applyFill="1" applyBorder="1"/>
    <xf numFmtId="0" fontId="55" fillId="34" borderId="38" xfId="72" applyFont="1" applyFill="1" applyBorder="1"/>
    <xf numFmtId="0" fontId="55" fillId="34" borderId="40" xfId="73" applyFont="1" applyFill="1" applyBorder="1" applyAlignment="1">
      <alignment wrapText="1"/>
    </xf>
    <xf numFmtId="0" fontId="55" fillId="34" borderId="40" xfId="74" applyFont="1" applyFill="1" applyBorder="1" applyAlignment="1">
      <alignment wrapText="1"/>
    </xf>
    <xf numFmtId="0" fontId="55" fillId="34" borderId="40" xfId="75" applyFont="1" applyFill="1" applyBorder="1" applyAlignment="1">
      <alignment wrapText="1"/>
    </xf>
    <xf numFmtId="0" fontId="66" fillId="34" borderId="40" xfId="76" applyFont="1" applyFill="1" applyBorder="1" applyAlignment="1">
      <alignment wrapText="1"/>
    </xf>
    <xf numFmtId="0" fontId="55" fillId="34" borderId="40" xfId="76" applyFont="1" applyFill="1" applyBorder="1" applyAlignment="1">
      <alignment wrapText="1"/>
    </xf>
    <xf numFmtId="0" fontId="55" fillId="34" borderId="40" xfId="77" applyFont="1" applyFill="1" applyBorder="1" applyAlignment="1">
      <alignment wrapText="1"/>
    </xf>
    <xf numFmtId="0" fontId="55" fillId="34" borderId="38" xfId="78" applyFont="1" applyFill="1" applyBorder="1"/>
    <xf numFmtId="0" fontId="74" fillId="35" borderId="53" xfId="67" applyFont="1" applyFill="1" applyBorder="1" applyAlignment="1">
      <alignment horizontal="left" vertical="top" wrapText="1"/>
    </xf>
    <xf numFmtId="0" fontId="74" fillId="35" borderId="53" xfId="68" applyFont="1" applyFill="1" applyBorder="1" applyAlignment="1">
      <alignment horizontal="left" vertical="top" wrapText="1"/>
    </xf>
    <xf numFmtId="0" fontId="74" fillId="35" borderId="53" xfId="69" applyFont="1" applyFill="1" applyBorder="1" applyAlignment="1">
      <alignment horizontal="left" vertical="top" wrapText="1"/>
    </xf>
    <xf numFmtId="0" fontId="74" fillId="35" borderId="53" xfId="70" applyFont="1" applyFill="1" applyBorder="1" applyAlignment="1">
      <alignment horizontal="left" vertical="top" wrapText="1"/>
    </xf>
    <xf numFmtId="0" fontId="74" fillId="35" borderId="53" xfId="71" applyFont="1" applyFill="1" applyBorder="1" applyAlignment="1">
      <alignment horizontal="left" vertical="top" wrapText="1"/>
    </xf>
    <xf numFmtId="0" fontId="56" fillId="35" borderId="51" xfId="72" applyFont="1" applyFill="1" applyBorder="1"/>
    <xf numFmtId="0" fontId="56" fillId="35" borderId="51" xfId="78" applyFont="1" applyFill="1" applyBorder="1"/>
    <xf numFmtId="2" fontId="64" fillId="0" borderId="0" xfId="26" applyNumberFormat="1" applyAlignment="1">
      <alignment horizontal="left" vertical="top"/>
    </xf>
    <xf numFmtId="0" fontId="61" fillId="31" borderId="16" xfId="72" applyFont="1" applyFill="1" applyBorder="1" applyProtection="1">
      <protection locked="0"/>
    </xf>
    <xf numFmtId="9" fontId="64" fillId="0" borderId="0" xfId="26" applyNumberFormat="1" applyAlignment="1">
      <alignment horizontal="left" vertical="top"/>
    </xf>
    <xf numFmtId="0" fontId="55" fillId="24" borderId="40" xfId="21" applyFont="1" applyFill="1" applyBorder="1" applyAlignment="1">
      <alignment horizontal="center" wrapText="1"/>
    </xf>
    <xf numFmtId="0" fontId="55" fillId="24" borderId="40" xfId="21" applyFont="1" applyFill="1" applyBorder="1" applyAlignment="1">
      <alignment wrapText="1"/>
    </xf>
    <xf numFmtId="0" fontId="21" fillId="24" borderId="51" xfId="21" applyFont="1" applyFill="1" applyBorder="1" applyAlignment="1">
      <alignment horizontal="center"/>
    </xf>
    <xf numFmtId="0" fontId="21" fillId="24" borderId="51" xfId="21" applyFont="1" applyFill="1" applyBorder="1"/>
    <xf numFmtId="0" fontId="75" fillId="0" borderId="0" xfId="26" applyFont="1" applyAlignment="1">
      <alignment horizontal="left" vertical="top"/>
    </xf>
    <xf numFmtId="168" fontId="76" fillId="0" borderId="0" xfId="0" applyNumberFormat="1" applyFont="1" applyAlignment="1">
      <alignment horizontal="center"/>
    </xf>
    <xf numFmtId="10" fontId="45" fillId="37" borderId="0" xfId="21" applyNumberFormat="1" applyFill="1" applyProtection="1">
      <protection locked="0"/>
    </xf>
    <xf numFmtId="184" fontId="76" fillId="0" borderId="0" xfId="0" applyNumberFormat="1" applyFont="1" applyAlignment="1">
      <alignment horizontal="center"/>
    </xf>
    <xf numFmtId="0" fontId="0" fillId="30" borderId="0" xfId="0" applyNumberFormat="1" applyFill="1" applyAlignment="1">
      <alignment horizontal="center"/>
    </xf>
    <xf numFmtId="0" fontId="7" fillId="31" borderId="0" xfId="7" applyNumberFormat="1" applyFill="1" applyBorder="1" applyAlignment="1">
      <alignment horizontal="center"/>
    </xf>
    <xf numFmtId="0" fontId="7" fillId="31" borderId="62" xfId="7" applyNumberFormat="1" applyFill="1" applyBorder="1" applyAlignment="1">
      <alignment horizontal="center"/>
    </xf>
    <xf numFmtId="0" fontId="7" fillId="31" borderId="63" xfId="7" applyNumberFormat="1" applyFill="1" applyBorder="1" applyAlignment="1">
      <alignment horizontal="center"/>
    </xf>
    <xf numFmtId="0" fontId="7" fillId="31" borderId="64" xfId="7" applyNumberFormat="1" applyFill="1" applyBorder="1" applyAlignment="1">
      <alignment horizontal="center"/>
    </xf>
    <xf numFmtId="0" fontId="7" fillId="31" borderId="65" xfId="7" applyNumberFormat="1" applyFill="1" applyBorder="1" applyAlignment="1">
      <alignment horizontal="center"/>
    </xf>
    <xf numFmtId="178" fontId="7" fillId="0" borderId="3" xfId="7" applyNumberFormat="1" applyFill="1"/>
    <xf numFmtId="0" fontId="77" fillId="0" borderId="0" xfId="0" applyNumberFormat="1" applyFont="1"/>
    <xf numFmtId="0" fontId="77" fillId="39" borderId="0" xfId="0" applyNumberFormat="1" applyFont="1" applyFill="1"/>
    <xf numFmtId="0" fontId="78" fillId="0" borderId="0" xfId="0" applyNumberFormat="1" applyFont="1"/>
    <xf numFmtId="2" fontId="77" fillId="40" borderId="16" xfId="0" applyNumberFormat="1" applyFont="1" applyFill="1" applyBorder="1" applyAlignment="1">
      <alignment horizontal="center"/>
    </xf>
    <xf numFmtId="0" fontId="77" fillId="40" borderId="16" xfId="0" applyNumberFormat="1" applyFont="1" applyFill="1" applyBorder="1"/>
    <xf numFmtId="0" fontId="79" fillId="0" borderId="16" xfId="0" applyNumberFormat="1" applyFont="1" applyBorder="1"/>
    <xf numFmtId="0" fontId="79" fillId="0" borderId="16" xfId="0" applyNumberFormat="1" applyFont="1" applyBorder="1" applyAlignment="1">
      <alignment horizontal="center"/>
    </xf>
    <xf numFmtId="0" fontId="79" fillId="0" borderId="16" xfId="0" quotePrefix="1" applyNumberFormat="1" applyFont="1" applyBorder="1"/>
    <xf numFmtId="0" fontId="77" fillId="0" borderId="16" xfId="0" applyNumberFormat="1" applyFont="1" applyBorder="1"/>
    <xf numFmtId="0" fontId="79" fillId="0" borderId="0" xfId="0" applyNumberFormat="1" applyFont="1"/>
    <xf numFmtId="0" fontId="77" fillId="41" borderId="0" xfId="0" applyNumberFormat="1" applyFont="1" applyFill="1"/>
    <xf numFmtId="0" fontId="80" fillId="41" borderId="0" xfId="0" applyNumberFormat="1" applyFont="1" applyFill="1" applyAlignment="1">
      <alignment vertical="center"/>
    </xf>
    <xf numFmtId="0" fontId="77" fillId="40" borderId="0" xfId="0" applyNumberFormat="1" applyFont="1" applyFill="1"/>
    <xf numFmtId="2" fontId="81" fillId="40" borderId="16" xfId="0" applyNumberFormat="1" applyFont="1" applyFill="1" applyBorder="1" applyAlignment="1">
      <alignment horizontal="center"/>
    </xf>
    <xf numFmtId="185"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left" vertical="top" wrapText="1"/>
    </xf>
    <xf numFmtId="165" fontId="83" fillId="42" borderId="16" xfId="0" applyFont="1" applyFill="1" applyBorder="1" applyAlignment="1">
      <alignment horizontal="left" vertical="center" wrapText="1"/>
    </xf>
    <xf numFmtId="185" fontId="82" fillId="42" borderId="16" xfId="0" applyNumberFormat="1" applyFont="1" applyFill="1" applyBorder="1" applyAlignment="1">
      <alignment horizontal="center" vertical="top" wrapText="1"/>
    </xf>
    <xf numFmtId="186"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center" vertical="top" wrapText="1"/>
    </xf>
    <xf numFmtId="165" fontId="83" fillId="42" borderId="16" xfId="0" applyFont="1" applyFill="1" applyBorder="1" applyAlignment="1">
      <alignment horizontal="center" vertical="center" wrapText="1"/>
    </xf>
    <xf numFmtId="165" fontId="83" fillId="42" borderId="51" xfId="0" applyFont="1" applyFill="1" applyBorder="1" applyAlignment="1">
      <alignment horizontal="center" vertical="center" wrapText="1"/>
    </xf>
    <xf numFmtId="165" fontId="83" fillId="43" borderId="0" xfId="0" applyFont="1" applyFill="1" applyAlignment="1">
      <alignment horizontal="center" vertical="top"/>
    </xf>
    <xf numFmtId="165" fontId="83" fillId="43" borderId="0" xfId="0" applyFont="1" applyFill="1" applyAlignment="1">
      <alignment horizontal="left" vertical="top"/>
    </xf>
    <xf numFmtId="185" fontId="87" fillId="43" borderId="16" xfId="0" applyNumberFormat="1" applyFont="1" applyFill="1" applyBorder="1" applyAlignment="1">
      <alignment horizontal="center" vertical="top" wrapText="1"/>
    </xf>
    <xf numFmtId="185" fontId="88" fillId="43" borderId="16" xfId="0" applyNumberFormat="1" applyFont="1" applyFill="1" applyBorder="1" applyAlignment="1">
      <alignment horizontal="left" vertical="top" wrapText="1"/>
    </xf>
    <xf numFmtId="10" fontId="89" fillId="0" borderId="16" xfId="2" applyNumberFormat="1" applyFont="1" applyBorder="1" applyAlignment="1">
      <alignment horizontal="center"/>
    </xf>
    <xf numFmtId="0" fontId="89" fillId="0" borderId="16" xfId="0" applyNumberFormat="1" applyFont="1" applyBorder="1"/>
    <xf numFmtId="2" fontId="77" fillId="24" borderId="16" xfId="0" applyNumberFormat="1" applyFont="1" applyFill="1" applyBorder="1" applyAlignment="1">
      <alignment horizontal="center"/>
    </xf>
    <xf numFmtId="0" fontId="77" fillId="24" borderId="16" xfId="0" applyNumberFormat="1" applyFont="1" applyFill="1" applyBorder="1"/>
    <xf numFmtId="165" fontId="78" fillId="43" borderId="16" xfId="0" applyFont="1" applyFill="1" applyBorder="1" applyAlignment="1">
      <alignment horizontal="center" vertical="top" wrapText="1"/>
    </xf>
    <xf numFmtId="0" fontId="77" fillId="24" borderId="16" xfId="0" applyNumberFormat="1" applyFont="1" applyFill="1" applyBorder="1" applyAlignment="1">
      <alignment horizontal="center"/>
    </xf>
    <xf numFmtId="0" fontId="77" fillId="0" borderId="16" xfId="0" applyNumberFormat="1" applyFont="1" applyBorder="1" applyAlignment="1">
      <alignment horizontal="center"/>
    </xf>
    <xf numFmtId="165" fontId="78" fillId="43" borderId="16" xfId="0" applyFont="1" applyFill="1" applyBorder="1" applyAlignment="1">
      <alignment horizontal="center" vertical="center" wrapText="1"/>
    </xf>
    <xf numFmtId="165" fontId="78" fillId="43" borderId="16" xfId="0" applyFont="1" applyFill="1" applyBorder="1" applyAlignment="1">
      <alignment horizontal="left" vertical="top" wrapText="1"/>
    </xf>
    <xf numFmtId="165" fontId="0" fillId="39" borderId="66" xfId="0" applyFill="1" applyBorder="1" applyAlignment="1">
      <alignment horizontal="left" vertical="top" wrapText="1"/>
    </xf>
    <xf numFmtId="165" fontId="0" fillId="43" borderId="0" xfId="0" applyFill="1" applyAlignment="1">
      <alignment horizontal="left" vertical="top" wrapText="1"/>
    </xf>
    <xf numFmtId="165" fontId="0" fillId="39" borderId="0" xfId="0" applyFill="1" applyAlignment="1">
      <alignment horizontal="left" vertical="top"/>
    </xf>
    <xf numFmtId="2" fontId="77" fillId="41" borderId="16" xfId="0" applyNumberFormat="1" applyFont="1" applyFill="1" applyBorder="1" applyAlignment="1">
      <alignment horizontal="center"/>
    </xf>
    <xf numFmtId="167" fontId="78" fillId="0" borderId="16" xfId="2" applyNumberFormat="1" applyFont="1" applyBorder="1" applyAlignment="1">
      <alignment horizontal="center"/>
    </xf>
    <xf numFmtId="0" fontId="91" fillId="0" borderId="16" xfId="0" applyNumberFormat="1" applyFont="1" applyBorder="1"/>
    <xf numFmtId="9" fontId="78" fillId="0" borderId="16" xfId="2" applyFont="1" applyBorder="1" applyAlignment="1">
      <alignment horizontal="center"/>
    </xf>
    <xf numFmtId="187" fontId="87" fillId="43" borderId="16" xfId="0" applyNumberFormat="1" applyFont="1" applyFill="1" applyBorder="1" applyAlignment="1">
      <alignment horizontal="center" vertical="top" wrapText="1"/>
    </xf>
    <xf numFmtId="187" fontId="87" fillId="43" borderId="16" xfId="0" applyNumberFormat="1" applyFont="1" applyFill="1" applyBorder="1" applyAlignment="1">
      <alignment horizontal="center" vertical="top"/>
    </xf>
    <xf numFmtId="185" fontId="88" fillId="43" borderId="16" xfId="0" applyNumberFormat="1" applyFont="1" applyFill="1" applyBorder="1" applyAlignment="1">
      <alignment horizontal="center" vertical="top" wrapText="1"/>
    </xf>
    <xf numFmtId="165" fontId="92" fillId="0" borderId="0" xfId="0" applyFont="1" applyAlignment="1">
      <alignment horizontal="left" vertical="center"/>
    </xf>
    <xf numFmtId="9" fontId="92" fillId="0" borderId="8" xfId="0" applyNumberFormat="1" applyFont="1" applyBorder="1" applyAlignment="1">
      <alignment horizontal="center" vertical="center"/>
    </xf>
    <xf numFmtId="165" fontId="92" fillId="0" borderId="10" xfId="0" applyFont="1" applyBorder="1" applyAlignment="1">
      <alignment horizontal="left" vertical="center"/>
    </xf>
    <xf numFmtId="165" fontId="78" fillId="43" borderId="16" xfId="0" applyFont="1" applyFill="1" applyBorder="1" applyAlignment="1">
      <alignment horizontal="center" vertical="top"/>
    </xf>
    <xf numFmtId="9" fontId="77" fillId="0" borderId="0" xfId="2" applyFont="1"/>
    <xf numFmtId="165" fontId="78" fillId="43" borderId="53" xfId="0" applyFont="1" applyFill="1" applyBorder="1" applyAlignment="1">
      <alignment horizontal="center" vertical="top" wrapText="1"/>
    </xf>
    <xf numFmtId="165" fontId="94" fillId="0" borderId="67" xfId="0" applyFont="1" applyBorder="1" applyAlignment="1">
      <alignment horizontal="center" vertical="center"/>
    </xf>
    <xf numFmtId="165" fontId="94" fillId="0" borderId="67" xfId="0" applyFont="1" applyBorder="1" applyAlignment="1">
      <alignment horizontal="center" vertical="center" wrapText="1"/>
    </xf>
    <xf numFmtId="165" fontId="94" fillId="0" borderId="68" xfId="0" applyFont="1" applyBorder="1" applyAlignment="1">
      <alignment horizontal="left" vertical="center"/>
    </xf>
    <xf numFmtId="165" fontId="78" fillId="43" borderId="53" xfId="0" applyFont="1" applyFill="1" applyBorder="1" applyAlignment="1">
      <alignment vertical="top"/>
    </xf>
    <xf numFmtId="165" fontId="78" fillId="43" borderId="52" xfId="0" applyFont="1" applyFill="1" applyBorder="1" applyAlignment="1">
      <alignment vertical="top"/>
    </xf>
    <xf numFmtId="165" fontId="78" fillId="43" borderId="51" xfId="0" applyFont="1" applyFill="1" applyBorder="1" applyAlignment="1">
      <alignment vertical="top"/>
    </xf>
    <xf numFmtId="165" fontId="95" fillId="0" borderId="0" xfId="0" applyFont="1" applyAlignment="1">
      <alignment horizontal="justify" vertical="center"/>
    </xf>
    <xf numFmtId="2" fontId="87" fillId="0" borderId="8" xfId="0" applyNumberFormat="1" applyFont="1" applyBorder="1" applyAlignment="1">
      <alignment horizontal="center" vertical="center"/>
    </xf>
    <xf numFmtId="165" fontId="87" fillId="0" borderId="8" xfId="0" applyFont="1" applyBorder="1" applyAlignment="1">
      <alignment horizontal="center" vertical="center" wrapText="1"/>
    </xf>
    <xf numFmtId="165" fontId="87" fillId="0" borderId="10" xfId="0" applyFont="1" applyBorder="1" applyAlignment="1">
      <alignment horizontal="left" vertical="center"/>
    </xf>
    <xf numFmtId="167" fontId="91" fillId="0" borderId="16" xfId="2" applyNumberFormat="1" applyFont="1" applyBorder="1" applyAlignment="1">
      <alignment horizontal="center"/>
    </xf>
    <xf numFmtId="9" fontId="91" fillId="0" borderId="16" xfId="2" applyFont="1" applyBorder="1" applyAlignment="1">
      <alignment horizontal="center"/>
    </xf>
    <xf numFmtId="2" fontId="78" fillId="0" borderId="8" xfId="0" applyNumberFormat="1" applyFont="1" applyBorder="1" applyAlignment="1">
      <alignment horizontal="center" vertical="center"/>
    </xf>
    <xf numFmtId="165" fontId="78" fillId="0" borderId="8" xfId="0" applyFont="1" applyBorder="1" applyAlignment="1">
      <alignment horizontal="center" vertical="center" wrapText="1"/>
    </xf>
    <xf numFmtId="165" fontId="78" fillId="0" borderId="10" xfId="0" applyFont="1" applyBorder="1" applyAlignment="1">
      <alignment horizontal="left" vertical="center"/>
    </xf>
    <xf numFmtId="185" fontId="87" fillId="43" borderId="16" xfId="0" applyNumberFormat="1" applyFont="1" applyFill="1" applyBorder="1" applyAlignment="1">
      <alignment horizontal="center" vertical="center" wrapText="1"/>
    </xf>
    <xf numFmtId="185" fontId="88" fillId="43" borderId="16" xfId="0" applyNumberFormat="1" applyFont="1" applyFill="1" applyBorder="1" applyAlignment="1">
      <alignment horizontal="center" vertical="center" wrapText="1"/>
    </xf>
    <xf numFmtId="2" fontId="78" fillId="0" borderId="8" xfId="0" applyNumberFormat="1" applyFont="1" applyBorder="1" applyAlignment="1">
      <alignment horizontal="center" vertical="center" wrapText="1"/>
    </xf>
    <xf numFmtId="165" fontId="77" fillId="0" borderId="16" xfId="0" applyFont="1" applyBorder="1"/>
    <xf numFmtId="165" fontId="78" fillId="43" borderId="0" xfId="0" applyFont="1" applyFill="1" applyAlignment="1">
      <alignment horizontal="left" vertical="top"/>
    </xf>
    <xf numFmtId="165" fontId="91" fillId="43" borderId="16" xfId="0" applyFont="1" applyFill="1" applyBorder="1" applyAlignment="1">
      <alignment vertical="center" wrapText="1"/>
    </xf>
    <xf numFmtId="165" fontId="91" fillId="43" borderId="16" xfId="0" applyFont="1" applyFill="1" applyBorder="1" applyAlignment="1">
      <alignment horizontal="center" vertical="center" wrapText="1"/>
    </xf>
    <xf numFmtId="165" fontId="87" fillId="0" borderId="8" xfId="0" applyFont="1" applyBorder="1" applyAlignment="1">
      <alignment horizontal="center" vertical="center"/>
    </xf>
    <xf numFmtId="165" fontId="87" fillId="0" borderId="10" xfId="0" applyFont="1" applyBorder="1" applyAlignment="1">
      <alignment horizontal="center" vertical="center" wrapText="1"/>
    </xf>
    <xf numFmtId="165" fontId="87" fillId="0" borderId="22" xfId="0" applyFont="1" applyBorder="1" applyAlignment="1">
      <alignment horizontal="center" vertical="center" wrapText="1"/>
    </xf>
    <xf numFmtId="165" fontId="87" fillId="0" borderId="20" xfId="0" applyFont="1" applyBorder="1" applyAlignment="1">
      <alignment horizontal="center" vertical="center"/>
    </xf>
    <xf numFmtId="0" fontId="98" fillId="0" borderId="0" xfId="0" applyNumberFormat="1" applyFont="1"/>
    <xf numFmtId="0" fontId="78" fillId="41" borderId="0" xfId="0" applyNumberFormat="1" applyFont="1" applyFill="1"/>
    <xf numFmtId="0" fontId="80" fillId="41" borderId="0" xfId="0" applyNumberFormat="1" applyFont="1" applyFill="1"/>
    <xf numFmtId="165" fontId="4" fillId="0" borderId="1" xfId="3"/>
    <xf numFmtId="0" fontId="12" fillId="44" borderId="0" xfId="12" applyFill="1"/>
    <xf numFmtId="2" fontId="101" fillId="0" borderId="0" xfId="80" applyNumberFormat="1" applyFont="1" applyAlignment="1">
      <alignment horizontal="center"/>
    </xf>
    <xf numFmtId="0" fontId="41" fillId="0" borderId="0" xfId="12" applyFont="1" applyAlignment="1">
      <alignment horizontal="center"/>
    </xf>
    <xf numFmtId="0" fontId="41" fillId="0" borderId="0" xfId="12" applyFont="1" applyAlignment="1">
      <alignment horizontal="right"/>
    </xf>
    <xf numFmtId="9" fontId="41" fillId="0" borderId="0" xfId="81" applyFont="1" applyFill="1" applyBorder="1" applyAlignment="1" applyProtection="1">
      <alignment horizontal="center"/>
      <protection locked="0"/>
    </xf>
    <xf numFmtId="0" fontId="41" fillId="0" borderId="0" xfId="12" applyFont="1"/>
    <xf numFmtId="169" fontId="102" fillId="0" borderId="0" xfId="82" applyNumberFormat="1" applyAlignment="1">
      <alignment horizontal="center"/>
    </xf>
    <xf numFmtId="0" fontId="41" fillId="0" borderId="0" xfId="12" applyFont="1" applyAlignment="1">
      <alignment horizontal="left" indent="1"/>
    </xf>
    <xf numFmtId="0" fontId="41" fillId="0" borderId="0" xfId="12" applyFont="1" applyAlignment="1" applyProtection="1">
      <alignment horizontal="center"/>
      <protection locked="0"/>
    </xf>
    <xf numFmtId="2" fontId="100" fillId="0" borderId="0" xfId="80" applyNumberFormat="1" applyAlignment="1">
      <alignment horizontal="center"/>
    </xf>
    <xf numFmtId="9" fontId="102" fillId="0" borderId="0" xfId="82" applyNumberFormat="1" applyFill="1" applyBorder="1" applyAlignment="1" applyProtection="1">
      <alignment horizontal="center"/>
      <protection locked="0"/>
    </xf>
    <xf numFmtId="3" fontId="102" fillId="0" borderId="0" xfId="82" applyNumberFormat="1" applyAlignment="1">
      <alignment horizontal="center"/>
    </xf>
    <xf numFmtId="2" fontId="102" fillId="0" borderId="0" xfId="82" applyNumberFormat="1" applyAlignment="1">
      <alignment horizontal="center"/>
    </xf>
    <xf numFmtId="168" fontId="102" fillId="0" borderId="0" xfId="82" applyNumberFormat="1" applyAlignment="1">
      <alignment horizontal="center"/>
    </xf>
    <xf numFmtId="0" fontId="12" fillId="0" borderId="0" xfId="12" applyAlignment="1" applyProtection="1">
      <alignment horizontal="left"/>
      <protection locked="0"/>
    </xf>
    <xf numFmtId="175" fontId="100" fillId="0" borderId="0" xfId="80" applyNumberFormat="1" applyAlignment="1">
      <alignment horizontal="center"/>
    </xf>
    <xf numFmtId="169" fontId="102" fillId="0" borderId="0" xfId="82" applyNumberFormat="1" applyFill="1" applyAlignment="1">
      <alignment horizontal="center"/>
    </xf>
    <xf numFmtId="0" fontId="21" fillId="0" borderId="0" xfId="12" applyFont="1" applyAlignment="1">
      <alignment horizontal="center" wrapText="1"/>
    </xf>
    <xf numFmtId="0" fontId="103" fillId="0" borderId="0" xfId="12" applyFont="1" applyAlignment="1">
      <alignment horizontal="center" wrapText="1"/>
    </xf>
    <xf numFmtId="0" fontId="103" fillId="0" borderId="0" xfId="12" applyFont="1" applyAlignment="1" applyProtection="1">
      <alignment horizontal="left"/>
      <protection locked="0"/>
    </xf>
    <xf numFmtId="175" fontId="101" fillId="0" borderId="0" xfId="80" applyNumberFormat="1" applyFont="1" applyAlignment="1">
      <alignment horizontal="center"/>
    </xf>
    <xf numFmtId="168" fontId="12" fillId="0" borderId="0" xfId="12" applyNumberFormat="1"/>
    <xf numFmtId="0" fontId="12" fillId="27" borderId="0" xfId="12" applyFill="1"/>
    <xf numFmtId="2" fontId="102" fillId="0" borderId="0" xfId="2" applyNumberFormat="1" applyFont="1" applyAlignment="1">
      <alignment horizontal="center"/>
    </xf>
    <xf numFmtId="168" fontId="102" fillId="0" borderId="0" xfId="2" applyNumberFormat="1" applyFont="1" applyAlignment="1">
      <alignment horizontal="center"/>
    </xf>
    <xf numFmtId="176" fontId="102" fillId="0" borderId="0" xfId="2" applyNumberFormat="1" applyFont="1" applyAlignment="1">
      <alignment horizontal="center"/>
    </xf>
    <xf numFmtId="175" fontId="102" fillId="0" borderId="0" xfId="2" applyNumberFormat="1" applyFont="1" applyAlignment="1">
      <alignment horizontal="center"/>
    </xf>
    <xf numFmtId="175" fontId="12" fillId="0" borderId="0" xfId="12" applyNumberFormat="1"/>
    <xf numFmtId="2" fontId="104" fillId="0" borderId="0" xfId="2" applyNumberFormat="1" applyFont="1" applyAlignment="1">
      <alignment horizontal="center"/>
    </xf>
    <xf numFmtId="3" fontId="100" fillId="0" borderId="0" xfId="80" applyNumberFormat="1" applyAlignment="1">
      <alignment horizontal="center"/>
    </xf>
    <xf numFmtId="1" fontId="102" fillId="0" borderId="0" xfId="82" applyNumberFormat="1" applyAlignment="1">
      <alignment horizontal="center"/>
    </xf>
    <xf numFmtId="165" fontId="12" fillId="0" borderId="0" xfId="12" applyNumberFormat="1"/>
    <xf numFmtId="165" fontId="105" fillId="0" borderId="0" xfId="12" applyNumberFormat="1" applyFont="1" applyAlignment="1">
      <alignment horizontal="center"/>
    </xf>
    <xf numFmtId="165" fontId="105" fillId="0" borderId="0" xfId="81" applyNumberFormat="1" applyFont="1" applyFill="1" applyAlignment="1">
      <alignment horizontal="center"/>
    </xf>
    <xf numFmtId="165" fontId="41" fillId="0" borderId="0" xfId="12" applyNumberFormat="1" applyFont="1" applyAlignment="1" applyProtection="1">
      <alignment horizontal="left"/>
      <protection locked="0"/>
    </xf>
    <xf numFmtId="165" fontId="12" fillId="0" borderId="39" xfId="12" applyNumberFormat="1" applyBorder="1" applyAlignment="1" applyProtection="1">
      <alignment horizontal="left"/>
      <protection locked="0"/>
    </xf>
    <xf numFmtId="0" fontId="12" fillId="0" borderId="0" xfId="12" quotePrefix="1" applyAlignment="1" applyProtection="1">
      <alignment horizontal="center"/>
      <protection locked="0"/>
    </xf>
    <xf numFmtId="0" fontId="12" fillId="0" borderId="0" xfId="12" quotePrefix="1" applyAlignment="1">
      <alignment horizontal="center"/>
    </xf>
    <xf numFmtId="0" fontId="12" fillId="0" borderId="0" xfId="12" applyAlignment="1">
      <alignment horizontal="center" wrapText="1"/>
    </xf>
    <xf numFmtId="0" fontId="12" fillId="0" borderId="39" xfId="12" applyBorder="1"/>
    <xf numFmtId="165" fontId="21" fillId="45" borderId="69" xfId="12" applyNumberFormat="1" applyFont="1" applyFill="1" applyBorder="1" applyAlignment="1">
      <alignment horizontal="center" wrapText="1"/>
    </xf>
    <xf numFmtId="0" fontId="21" fillId="45" borderId="69" xfId="12" applyFont="1" applyFill="1" applyBorder="1" applyAlignment="1">
      <alignment horizontal="center" wrapText="1"/>
    </xf>
    <xf numFmtId="9" fontId="21" fillId="45" borderId="69" xfId="12" applyNumberFormat="1" applyFont="1" applyFill="1" applyBorder="1" applyAlignment="1">
      <alignment horizontal="center" wrapText="1"/>
    </xf>
    <xf numFmtId="165" fontId="106" fillId="45" borderId="69" xfId="12" applyNumberFormat="1" applyFont="1" applyFill="1" applyBorder="1"/>
    <xf numFmtId="0" fontId="21" fillId="46" borderId="0" xfId="12" applyFont="1" applyFill="1" applyAlignment="1">
      <alignment horizontal="center" wrapText="1"/>
    </xf>
    <xf numFmtId="2" fontId="107" fillId="0" borderId="0" xfId="12" applyNumberFormat="1" applyFont="1" applyAlignment="1">
      <alignment horizontal="center"/>
    </xf>
    <xf numFmtId="9" fontId="12" fillId="0" borderId="0" xfId="12" applyNumberFormat="1"/>
    <xf numFmtId="0" fontId="12" fillId="24" borderId="0" xfId="12" applyFill="1"/>
    <xf numFmtId="2" fontId="105" fillId="0" borderId="39" xfId="12" applyNumberFormat="1" applyFont="1" applyBorder="1" applyAlignment="1">
      <alignment horizontal="center"/>
    </xf>
    <xf numFmtId="43" fontId="101" fillId="0" borderId="39" xfId="1" applyFont="1" applyBorder="1" applyAlignment="1">
      <alignment horizontal="center"/>
    </xf>
    <xf numFmtId="0" fontId="41" fillId="0" borderId="39" xfId="12" applyFont="1" applyBorder="1" applyAlignment="1" applyProtection="1">
      <alignment horizontal="center"/>
      <protection locked="0"/>
    </xf>
    <xf numFmtId="179" fontId="105" fillId="0" borderId="39" xfId="12" applyNumberFormat="1" applyFont="1" applyBorder="1" applyAlignment="1">
      <alignment horizontal="center"/>
    </xf>
    <xf numFmtId="0" fontId="108" fillId="0" borderId="0" xfId="12" applyFont="1"/>
    <xf numFmtId="165" fontId="109" fillId="0" borderId="0" xfId="0" applyFont="1" applyAlignment="1">
      <alignment horizontal="left" vertical="center" readingOrder="1"/>
    </xf>
    <xf numFmtId="0" fontId="12" fillId="0" borderId="0" xfId="12" applyAlignment="1" applyProtection="1">
      <alignment horizontal="center"/>
      <protection locked="0"/>
    </xf>
    <xf numFmtId="43" fontId="101" fillId="0" borderId="0" xfId="1" applyFont="1" applyAlignment="1">
      <alignment horizontal="center"/>
    </xf>
    <xf numFmtId="9" fontId="110" fillId="0" borderId="0" xfId="2" applyFont="1" applyAlignment="1">
      <alignment horizontal="right"/>
    </xf>
    <xf numFmtId="165" fontId="111" fillId="0" borderId="0" xfId="0" applyFont="1" applyAlignment="1" applyProtection="1">
      <alignment horizontal="center"/>
      <protection locked="0"/>
    </xf>
    <xf numFmtId="165" fontId="103" fillId="0" borderId="0" xfId="0" applyFont="1" applyAlignment="1" applyProtection="1">
      <alignment horizontal="left"/>
      <protection locked="0"/>
    </xf>
    <xf numFmtId="3" fontId="110" fillId="0" borderId="0" xfId="83" applyNumberFormat="1" applyFont="1" applyAlignment="1">
      <alignment horizontal="right"/>
    </xf>
    <xf numFmtId="3" fontId="110" fillId="0" borderId="0" xfId="84" applyNumberFormat="1" applyFont="1" applyAlignment="1">
      <alignment horizontal="right"/>
    </xf>
    <xf numFmtId="179" fontId="12" fillId="0" borderId="0" xfId="12" applyNumberFormat="1"/>
    <xf numFmtId="9" fontId="102" fillId="0" borderId="0" xfId="82" applyNumberFormat="1" applyAlignment="1">
      <alignment horizontal="center"/>
    </xf>
    <xf numFmtId="43" fontId="102" fillId="0" borderId="0" xfId="1" applyFont="1" applyAlignment="1">
      <alignment horizontal="center"/>
    </xf>
    <xf numFmtId="0" fontId="21" fillId="0" borderId="0" xfId="12" applyFont="1"/>
    <xf numFmtId="165" fontId="21" fillId="0" borderId="0" xfId="0" applyFont="1"/>
    <xf numFmtId="0" fontId="21" fillId="0" borderId="39" xfId="12" applyFont="1" applyBorder="1"/>
    <xf numFmtId="0" fontId="21" fillId="0" borderId="0" xfId="12" applyFont="1" applyAlignment="1">
      <alignment horizontal="left"/>
    </xf>
    <xf numFmtId="188" fontId="12" fillId="0" borderId="0" xfId="12" applyNumberFormat="1" applyAlignment="1" applyProtection="1">
      <alignment horizontal="left"/>
      <protection locked="0"/>
    </xf>
    <xf numFmtId="0" fontId="21" fillId="0" borderId="0" xfId="12" applyFont="1" applyAlignment="1">
      <alignment horizontal="center"/>
    </xf>
    <xf numFmtId="164" fontId="100" fillId="0" borderId="0" xfId="85" applyFont="1"/>
    <xf numFmtId="9" fontId="113" fillId="0" borderId="0" xfId="81" applyFont="1" applyAlignment="1">
      <alignment horizontal="center"/>
    </xf>
    <xf numFmtId="2" fontId="12" fillId="0" borderId="0" xfId="12" applyNumberFormat="1" applyAlignment="1">
      <alignment horizontal="center"/>
    </xf>
    <xf numFmtId="2" fontId="12" fillId="0" borderId="0" xfId="12" applyNumberFormat="1" applyAlignment="1" applyProtection="1">
      <alignment horizontal="center"/>
      <protection locked="0"/>
    </xf>
    <xf numFmtId="4" fontId="113" fillId="0" borderId="0" xfId="86">
      <alignment horizontal="center"/>
    </xf>
    <xf numFmtId="4" fontId="113" fillId="0" borderId="0" xfId="86" applyAlignment="1">
      <alignment horizontal="center"/>
    </xf>
    <xf numFmtId="0" fontId="106" fillId="0" borderId="0" xfId="12" applyFont="1" applyAlignment="1">
      <alignment horizontal="center"/>
    </xf>
    <xf numFmtId="0" fontId="106" fillId="0" borderId="0" xfId="12" applyFont="1"/>
    <xf numFmtId="165" fontId="26" fillId="0" borderId="0" xfId="12" applyNumberFormat="1" applyFont="1"/>
    <xf numFmtId="0" fontId="26" fillId="0" borderId="0" xfId="12" applyFont="1"/>
    <xf numFmtId="165" fontId="114" fillId="0" borderId="0" xfId="12" applyNumberFormat="1" applyFont="1"/>
    <xf numFmtId="165" fontId="115" fillId="0" borderId="0" xfId="12" applyNumberFormat="1" applyFont="1"/>
    <xf numFmtId="189" fontId="5" fillId="0" borderId="42" xfId="79" applyNumberFormat="1" applyFill="1" applyBorder="1" applyAlignment="1">
      <alignment horizontal="left"/>
    </xf>
    <xf numFmtId="189" fontId="5" fillId="0" borderId="0" xfId="79" applyNumberFormat="1" applyFill="1"/>
    <xf numFmtId="0" fontId="12" fillId="0" borderId="0" xfId="12" applyAlignment="1">
      <alignment horizontal="right"/>
    </xf>
    <xf numFmtId="0" fontId="12" fillId="0" borderId="38" xfId="12" applyBorder="1"/>
    <xf numFmtId="165" fontId="12" fillId="0" borderId="39" xfId="12" applyNumberFormat="1" applyBorder="1"/>
    <xf numFmtId="0" fontId="12" fillId="0" borderId="40" xfId="12" applyBorder="1"/>
    <xf numFmtId="0" fontId="12" fillId="0" borderId="70" xfId="12" applyBorder="1"/>
    <xf numFmtId="9" fontId="102" fillId="0" borderId="71" xfId="82" applyNumberFormat="1" applyFill="1" applyBorder="1" applyAlignment="1" applyProtection="1">
      <alignment horizontal="center"/>
      <protection locked="0"/>
    </xf>
    <xf numFmtId="1" fontId="102" fillId="0" borderId="0" xfId="82" applyNumberFormat="1" applyFill="1" applyAlignment="1">
      <alignment horizontal="center"/>
    </xf>
    <xf numFmtId="2" fontId="100" fillId="0" borderId="0" xfId="80" applyNumberFormat="1" applyFill="1" applyAlignment="1">
      <alignment horizontal="center"/>
    </xf>
    <xf numFmtId="2" fontId="102" fillId="0" borderId="0" xfId="82" applyNumberFormat="1" applyFill="1" applyAlignment="1">
      <alignment horizontal="right"/>
    </xf>
    <xf numFmtId="9" fontId="12" fillId="0" borderId="0" xfId="2" applyFont="1" applyFill="1" applyBorder="1"/>
    <xf numFmtId="9" fontId="102" fillId="0" borderId="72" xfId="82" applyNumberFormat="1" applyFill="1" applyBorder="1" applyAlignment="1" applyProtection="1">
      <alignment horizontal="center"/>
      <protection locked="0"/>
    </xf>
    <xf numFmtId="10" fontId="102" fillId="0" borderId="71" xfId="82" applyNumberFormat="1" applyFill="1" applyBorder="1" applyAlignment="1" applyProtection="1">
      <alignment horizontal="center"/>
      <protection locked="0"/>
    </xf>
    <xf numFmtId="190" fontId="102" fillId="0" borderId="0" xfId="82" applyNumberFormat="1" applyFill="1" applyAlignment="1">
      <alignment horizontal="center"/>
    </xf>
    <xf numFmtId="2" fontId="102" fillId="0" borderId="0" xfId="82" applyNumberFormat="1" applyFill="1" applyAlignment="1">
      <alignment horizontal="center"/>
    </xf>
    <xf numFmtId="168" fontId="102" fillId="0" borderId="0" xfId="82" applyNumberFormat="1" applyFill="1" applyAlignment="1">
      <alignment horizontal="center"/>
    </xf>
    <xf numFmtId="0" fontId="21" fillId="0" borderId="71" xfId="12" applyFont="1" applyBorder="1" applyAlignment="1">
      <alignment horizontal="center" wrapText="1"/>
    </xf>
    <xf numFmtId="0" fontId="21" fillId="0" borderId="72" xfId="12" applyFont="1" applyBorder="1" applyAlignment="1">
      <alignment horizontal="center" wrapText="1"/>
    </xf>
    <xf numFmtId="10" fontId="21" fillId="0" borderId="71" xfId="12" applyNumberFormat="1" applyFont="1" applyBorder="1" applyAlignment="1">
      <alignment horizontal="center" wrapText="1"/>
    </xf>
    <xf numFmtId="1" fontId="116" fillId="0" borderId="3" xfId="87" applyNumberFormat="1" applyFont="1" applyFill="1" applyBorder="1" applyAlignment="1">
      <alignment horizontal="center"/>
    </xf>
    <xf numFmtId="165" fontId="12" fillId="0" borderId="0" xfId="88" applyNumberFormat="1" applyFill="1"/>
    <xf numFmtId="3" fontId="102" fillId="0" borderId="0" xfId="82" applyNumberFormat="1" applyFill="1" applyAlignment="1">
      <alignment horizontal="center"/>
    </xf>
    <xf numFmtId="0" fontId="12" fillId="0" borderId="0" xfId="12" applyAlignment="1" applyProtection="1">
      <alignment horizontal="right"/>
      <protection locked="0"/>
    </xf>
    <xf numFmtId="10" fontId="33" fillId="0" borderId="0" xfId="2" applyNumberFormat="1" applyFont="1" applyFill="1" applyAlignment="1">
      <alignment horizontal="center"/>
    </xf>
    <xf numFmtId="9" fontId="12" fillId="0" borderId="0" xfId="2" applyFont="1" applyFill="1" applyBorder="1" applyAlignment="1">
      <alignment horizontal="center"/>
    </xf>
    <xf numFmtId="10" fontId="12" fillId="0" borderId="0" xfId="2" applyNumberFormat="1" applyFont="1" applyFill="1" applyBorder="1"/>
    <xf numFmtId="192" fontId="102" fillId="0" borderId="71" xfId="82" applyNumberFormat="1" applyFill="1" applyBorder="1" applyAlignment="1" applyProtection="1">
      <alignment horizontal="center"/>
      <protection locked="0"/>
    </xf>
    <xf numFmtId="165" fontId="12" fillId="0" borderId="0" xfId="88" applyNumberFormat="1" applyFont="1" applyFill="1"/>
    <xf numFmtId="9" fontId="104" fillId="0" borderId="0" xfId="2" applyFont="1" applyFill="1" applyBorder="1"/>
    <xf numFmtId="168" fontId="104" fillId="0" borderId="0" xfId="82" applyNumberFormat="1" applyFont="1" applyFill="1" applyAlignment="1">
      <alignment horizontal="center"/>
    </xf>
    <xf numFmtId="10" fontId="12" fillId="0" borderId="0" xfId="12" applyNumberFormat="1"/>
    <xf numFmtId="10" fontId="102" fillId="0" borderId="72" xfId="82" applyNumberFormat="1" applyFill="1" applyBorder="1" applyAlignment="1" applyProtection="1">
      <alignment horizontal="center"/>
      <protection locked="0"/>
    </xf>
    <xf numFmtId="167" fontId="12" fillId="0" borderId="0" xfId="2" applyNumberFormat="1" applyFont="1" applyFill="1" applyBorder="1"/>
    <xf numFmtId="167" fontId="12" fillId="0" borderId="0" xfId="12" applyNumberFormat="1"/>
    <xf numFmtId="193" fontId="12" fillId="0" borderId="0" xfId="12" applyNumberFormat="1"/>
    <xf numFmtId="9" fontId="100" fillId="0" borderId="0" xfId="2" applyFont="1" applyFill="1" applyBorder="1"/>
    <xf numFmtId="3" fontId="100" fillId="0" borderId="0" xfId="80" applyNumberFormat="1" applyFill="1" applyAlignment="1">
      <alignment horizontal="center"/>
    </xf>
    <xf numFmtId="0" fontId="117" fillId="0" borderId="70" xfId="12" applyFont="1" applyBorder="1"/>
    <xf numFmtId="165" fontId="117" fillId="0" borderId="0" xfId="0" applyFont="1"/>
    <xf numFmtId="0" fontId="12" fillId="0" borderId="71" xfId="12" applyBorder="1"/>
    <xf numFmtId="165" fontId="117" fillId="0" borderId="0" xfId="12" applyNumberFormat="1" applyFont="1"/>
    <xf numFmtId="0" fontId="117" fillId="0" borderId="0" xfId="12" applyFont="1"/>
    <xf numFmtId="165" fontId="117" fillId="0" borderId="70" xfId="12" applyNumberFormat="1" applyFont="1" applyBorder="1"/>
    <xf numFmtId="165" fontId="12" fillId="0" borderId="71" xfId="12" applyNumberFormat="1" applyBorder="1" applyAlignment="1">
      <alignment horizontal="center"/>
    </xf>
    <xf numFmtId="0" fontId="12" fillId="0" borderId="0" xfId="12" applyAlignment="1">
      <alignment horizontal="right" wrapText="1"/>
    </xf>
    <xf numFmtId="165" fontId="103" fillId="0" borderId="0" xfId="12" applyNumberFormat="1" applyFont="1" applyAlignment="1">
      <alignment horizontal="center" wrapText="1"/>
    </xf>
    <xf numFmtId="165" fontId="21" fillId="45" borderId="73" xfId="12" applyNumberFormat="1" applyFont="1" applyFill="1" applyBorder="1" applyAlignment="1">
      <alignment horizontal="center" wrapText="1"/>
    </xf>
    <xf numFmtId="165" fontId="21" fillId="45" borderId="69" xfId="0" applyFont="1" applyFill="1" applyBorder="1" applyAlignment="1">
      <alignment horizontal="center" wrapText="1"/>
    </xf>
    <xf numFmtId="165" fontId="21" fillId="45" borderId="74" xfId="12" applyNumberFormat="1" applyFont="1" applyFill="1" applyBorder="1" applyAlignment="1">
      <alignment horizontal="center" wrapText="1"/>
    </xf>
    <xf numFmtId="0" fontId="21" fillId="45" borderId="69" xfId="12" applyFont="1" applyFill="1" applyBorder="1" applyAlignment="1">
      <alignment horizontal="right" wrapText="1"/>
    </xf>
    <xf numFmtId="0" fontId="117" fillId="0" borderId="0" xfId="0" applyNumberFormat="1" applyFont="1"/>
    <xf numFmtId="0" fontId="12" fillId="0" borderId="71" xfId="12" applyBorder="1" applyAlignment="1">
      <alignment horizontal="center"/>
    </xf>
    <xf numFmtId="0" fontId="21" fillId="46" borderId="0" xfId="12" applyFont="1" applyFill="1" applyAlignment="1">
      <alignment horizontal="right" wrapText="1"/>
    </xf>
    <xf numFmtId="0" fontId="117" fillId="0" borderId="71" xfId="12" applyFont="1" applyBorder="1"/>
    <xf numFmtId="1" fontId="12" fillId="0" borderId="0" xfId="12" applyNumberFormat="1" applyAlignment="1">
      <alignment horizontal="center"/>
    </xf>
    <xf numFmtId="9" fontId="118" fillId="4" borderId="3" xfId="7" applyNumberFormat="1" applyFont="1"/>
    <xf numFmtId="165" fontId="119" fillId="5" borderId="3" xfId="9" applyFont="1"/>
    <xf numFmtId="165" fontId="119" fillId="5" borderId="3" xfId="9" applyNumberFormat="1" applyFont="1"/>
    <xf numFmtId="165" fontId="119" fillId="5" borderId="75" xfId="9" applyFont="1" applyBorder="1"/>
    <xf numFmtId="9" fontId="118" fillId="34" borderId="3" xfId="7" applyNumberFormat="1" applyFont="1" applyFill="1"/>
    <xf numFmtId="0" fontId="12" fillId="23" borderId="16" xfId="12" applyFill="1" applyBorder="1"/>
    <xf numFmtId="165" fontId="117" fillId="0" borderId="71" xfId="0" applyFont="1" applyBorder="1"/>
    <xf numFmtId="0" fontId="117" fillId="0" borderId="71" xfId="0" applyNumberFormat="1" applyFont="1" applyBorder="1"/>
    <xf numFmtId="0" fontId="105" fillId="0" borderId="39" xfId="12" applyFont="1" applyBorder="1" applyAlignment="1">
      <alignment horizontal="center"/>
    </xf>
    <xf numFmtId="0" fontId="12" fillId="0" borderId="41" xfId="12" applyBorder="1"/>
    <xf numFmtId="0" fontId="12" fillId="0" borderId="42" xfId="12" applyBorder="1"/>
    <xf numFmtId="165" fontId="12" fillId="0" borderId="42" xfId="12" applyNumberFormat="1" applyBorder="1"/>
    <xf numFmtId="165" fontId="119" fillId="5" borderId="62" xfId="9" applyFont="1" applyBorder="1"/>
    <xf numFmtId="165" fontId="119" fillId="5" borderId="76" xfId="9" applyFont="1" applyBorder="1"/>
    <xf numFmtId="0" fontId="121" fillId="22" borderId="3" xfId="16" applyNumberFormat="1" applyFont="1" applyAlignment="1">
      <alignment horizontal="center"/>
    </xf>
    <xf numFmtId="0" fontId="12" fillId="0" borderId="0" xfId="12" applyAlignment="1">
      <alignment vertical="center"/>
    </xf>
    <xf numFmtId="165" fontId="12" fillId="0" borderId="0" xfId="12" applyNumberFormat="1" applyAlignment="1">
      <alignment vertical="center"/>
    </xf>
    <xf numFmtId="0" fontId="12" fillId="0" borderId="0" xfId="12" applyAlignment="1" applyProtection="1">
      <alignment horizontal="right" vertical="center"/>
      <protection locked="0"/>
    </xf>
    <xf numFmtId="43" fontId="101" fillId="0" borderId="0" xfId="1" applyFont="1" applyAlignment="1">
      <alignment horizontal="center" vertical="center"/>
    </xf>
    <xf numFmtId="165" fontId="111" fillId="0" borderId="0" xfId="0" applyFont="1" applyAlignment="1" applyProtection="1">
      <alignment horizontal="center" vertical="center"/>
      <protection locked="0"/>
    </xf>
    <xf numFmtId="165" fontId="103" fillId="0" borderId="0" xfId="0" applyFont="1" applyAlignment="1" applyProtection="1">
      <alignment horizontal="left" vertical="center"/>
      <protection locked="0"/>
    </xf>
    <xf numFmtId="165" fontId="12" fillId="0" borderId="0" xfId="12" applyNumberFormat="1" applyAlignment="1">
      <alignment horizontal="right"/>
    </xf>
    <xf numFmtId="165" fontId="12" fillId="0" borderId="0" xfId="12" applyNumberFormat="1" applyAlignment="1" applyProtection="1">
      <alignment horizontal="center"/>
      <protection locked="0"/>
    </xf>
    <xf numFmtId="165" fontId="21" fillId="0" borderId="0" xfId="12" applyNumberFormat="1" applyFont="1"/>
    <xf numFmtId="0" fontId="106" fillId="24" borderId="0" xfId="12" applyFont="1" applyFill="1" applyAlignment="1">
      <alignment horizontal="center"/>
    </xf>
    <xf numFmtId="0" fontId="106" fillId="26" borderId="0" xfId="12" applyFont="1" applyFill="1" applyAlignment="1">
      <alignment horizontal="center"/>
    </xf>
    <xf numFmtId="0" fontId="114" fillId="0" borderId="0" xfId="12" applyFont="1"/>
    <xf numFmtId="0" fontId="115" fillId="0" borderId="0" xfId="12" applyFont="1"/>
    <xf numFmtId="165" fontId="120" fillId="49" borderId="16" xfId="16" applyNumberFormat="1" applyFont="1" applyFill="1" applyBorder="1" applyAlignment="1">
      <alignment horizontal="left" vertical="center"/>
    </xf>
    <xf numFmtId="2" fontId="105" fillId="0" borderId="0" xfId="12" applyNumberFormat="1" applyFont="1" applyAlignment="1">
      <alignment horizontal="right"/>
    </xf>
    <xf numFmtId="0" fontId="5" fillId="0" borderId="0" xfId="79"/>
    <xf numFmtId="165" fontId="124" fillId="0" borderId="77" xfId="89" applyNumberFormat="1"/>
    <xf numFmtId="175" fontId="10" fillId="0" borderId="0" xfId="19" applyNumberFormat="1" applyFont="1"/>
    <xf numFmtId="176" fontId="0" fillId="0" borderId="0" xfId="0" applyNumberFormat="1"/>
    <xf numFmtId="0" fontId="3" fillId="0" borderId="0" xfId="90"/>
    <xf numFmtId="169" fontId="104" fillId="0" borderId="0" xfId="82" applyNumberFormat="1" applyFont="1" applyFill="1" applyAlignment="1">
      <alignment horizontal="center"/>
    </xf>
    <xf numFmtId="169" fontId="104" fillId="0" borderId="0" xfId="12" applyNumberFormat="1" applyFont="1" applyAlignment="1">
      <alignment horizontal="right"/>
    </xf>
    <xf numFmtId="169" fontId="104" fillId="0" borderId="0" xfId="12" applyNumberFormat="1" applyFont="1"/>
    <xf numFmtId="0" fontId="7" fillId="0" borderId="78" xfId="10" applyNumberFormat="1" applyFont="1" applyFill="1" applyBorder="1"/>
    <xf numFmtId="0" fontId="7" fillId="0" borderId="79" xfId="7" applyNumberFormat="1" applyFill="1" applyBorder="1"/>
    <xf numFmtId="0" fontId="7" fillId="0" borderId="37" xfId="2" applyNumberFormat="1" applyFont="1" applyFill="1" applyBorder="1"/>
    <xf numFmtId="0" fontId="7" fillId="0" borderId="80" xfId="7" applyNumberFormat="1" applyFill="1" applyBorder="1"/>
    <xf numFmtId="0" fontId="0" fillId="0" borderId="21" xfId="0" applyNumberFormat="1" applyBorder="1"/>
    <xf numFmtId="0" fontId="0" fillId="0" borderId="81" xfId="0" applyNumberFormat="1" applyBorder="1"/>
    <xf numFmtId="0" fontId="33" fillId="0" borderId="81" xfId="7" applyNumberFormat="1" applyFont="1" applyFill="1" applyBorder="1"/>
    <xf numFmtId="0" fontId="0" fillId="0" borderId="20" xfId="0" applyNumberFormat="1" applyBorder="1"/>
    <xf numFmtId="182" fontId="60" fillId="0" borderId="21" xfId="21" applyNumberFormat="1" applyFont="1" applyBorder="1"/>
    <xf numFmtId="182" fontId="60" fillId="0" borderId="81" xfId="21" applyNumberFormat="1" applyFont="1" applyBorder="1"/>
    <xf numFmtId="182" fontId="60" fillId="0" borderId="20" xfId="21" applyNumberFormat="1" applyFont="1" applyBorder="1"/>
    <xf numFmtId="182" fontId="60" fillId="0" borderId="14" xfId="21" applyNumberFormat="1" applyFont="1" applyBorder="1"/>
    <xf numFmtId="182" fontId="60" fillId="0" borderId="0" xfId="21" applyNumberFormat="1" applyFont="1"/>
    <xf numFmtId="182" fontId="60" fillId="0" borderId="13" xfId="21" applyNumberFormat="1" applyFont="1" applyBorder="1"/>
    <xf numFmtId="181" fontId="60" fillId="0" borderId="14" xfId="21" applyNumberFormat="1" applyFont="1" applyBorder="1"/>
    <xf numFmtId="181" fontId="60" fillId="0" borderId="13" xfId="21" applyNumberFormat="1" applyFont="1" applyBorder="1"/>
    <xf numFmtId="0" fontId="56" fillId="35" borderId="14" xfId="21" applyFont="1" applyFill="1" applyBorder="1"/>
    <xf numFmtId="0" fontId="56" fillId="35" borderId="13" xfId="21" applyFont="1" applyFill="1" applyBorder="1"/>
    <xf numFmtId="0" fontId="64" fillId="0" borderId="14" xfId="26" applyBorder="1" applyAlignment="1">
      <alignment horizontal="left" vertical="top"/>
    </xf>
    <xf numFmtId="0" fontId="64" fillId="0" borderId="13" xfId="26" applyBorder="1" applyAlignment="1">
      <alignment horizontal="left" vertical="top"/>
    </xf>
    <xf numFmtId="0" fontId="45" fillId="33" borderId="14" xfId="21" applyFill="1" applyBorder="1"/>
    <xf numFmtId="0" fontId="45" fillId="33" borderId="13" xfId="21" applyFill="1" applyBorder="1"/>
    <xf numFmtId="0" fontId="64" fillId="0" borderId="9" xfId="26" applyBorder="1" applyAlignment="1">
      <alignment horizontal="left" vertical="top"/>
    </xf>
    <xf numFmtId="0" fontId="64" fillId="0" borderId="83" xfId="26" applyBorder="1" applyAlignment="1">
      <alignment horizontal="left" vertical="top"/>
    </xf>
    <xf numFmtId="0" fontId="64" fillId="0" borderId="8" xfId="26" applyBorder="1" applyAlignment="1">
      <alignment horizontal="left" vertical="top"/>
    </xf>
    <xf numFmtId="0" fontId="2" fillId="0" borderId="0" xfId="91"/>
    <xf numFmtId="0" fontId="2" fillId="0" borderId="39" xfId="91" applyBorder="1"/>
    <xf numFmtId="194" fontId="2" fillId="24" borderId="39" xfId="91" applyNumberFormat="1" applyFill="1" applyBorder="1"/>
    <xf numFmtId="194" fontId="2" fillId="0" borderId="0" xfId="91" applyNumberFormat="1"/>
    <xf numFmtId="0" fontId="125" fillId="0" borderId="0" xfId="92"/>
    <xf numFmtId="17" fontId="2" fillId="0" borderId="0" xfId="91" applyNumberFormat="1"/>
    <xf numFmtId="194" fontId="2" fillId="24" borderId="0" xfId="91" applyNumberFormat="1" applyFill="1"/>
    <xf numFmtId="0" fontId="1" fillId="0" borderId="0" xfId="91" applyFont="1"/>
    <xf numFmtId="0" fontId="130" fillId="0" borderId="0" xfId="91" applyFont="1"/>
    <xf numFmtId="194" fontId="130" fillId="0" borderId="0" xfId="91" applyNumberFormat="1" applyFont="1"/>
    <xf numFmtId="0" fontId="131" fillId="0" borderId="0" xfId="91" applyFont="1"/>
    <xf numFmtId="0" fontId="132" fillId="0" borderId="0" xfId="91" applyFont="1"/>
    <xf numFmtId="194" fontId="132" fillId="24" borderId="0" xfId="91" applyNumberFormat="1" applyFont="1" applyFill="1"/>
    <xf numFmtId="0" fontId="2" fillId="24" borderId="0" xfId="91" applyFill="1"/>
    <xf numFmtId="0" fontId="127" fillId="0" borderId="0" xfId="91" applyFont="1"/>
    <xf numFmtId="194" fontId="1" fillId="0" borderId="0" xfId="91" applyNumberFormat="1" applyFont="1"/>
    <xf numFmtId="0" fontId="126" fillId="35" borderId="0" xfId="21" applyFont="1" applyFill="1"/>
    <xf numFmtId="0" fontId="127" fillId="0" borderId="0" xfId="26" applyFont="1" applyAlignment="1">
      <alignment horizontal="left" vertical="top"/>
    </xf>
    <xf numFmtId="0" fontId="112" fillId="0" borderId="0" xfId="26" applyFont="1" applyAlignment="1">
      <alignment horizontal="left" vertical="top"/>
    </xf>
    <xf numFmtId="182" fontId="128" fillId="0" borderId="21" xfId="21" applyNumberFormat="1" applyFont="1" applyBorder="1"/>
    <xf numFmtId="182" fontId="128" fillId="0" borderId="81" xfId="21" applyNumberFormat="1" applyFont="1" applyBorder="1"/>
    <xf numFmtId="182" fontId="128" fillId="0" borderId="20" xfId="21" applyNumberFormat="1" applyFont="1" applyBorder="1"/>
    <xf numFmtId="182" fontId="128" fillId="0" borderId="14" xfId="21" applyNumberFormat="1" applyFont="1" applyBorder="1"/>
    <xf numFmtId="182" fontId="128" fillId="0" borderId="0" xfId="21" applyNumberFormat="1" applyFont="1"/>
    <xf numFmtId="182" fontId="128" fillId="0" borderId="13" xfId="21" applyNumberFormat="1" applyFont="1" applyBorder="1"/>
    <xf numFmtId="181" fontId="128" fillId="0" borderId="14" xfId="21" applyNumberFormat="1" applyFont="1" applyBorder="1"/>
    <xf numFmtId="181" fontId="128" fillId="0" borderId="0" xfId="21" applyNumberFormat="1" applyFont="1"/>
    <xf numFmtId="181" fontId="128" fillId="0" borderId="13" xfId="21" applyNumberFormat="1" applyFont="1" applyBorder="1"/>
    <xf numFmtId="0" fontId="126" fillId="35" borderId="14" xfId="21" applyFont="1" applyFill="1" applyBorder="1"/>
    <xf numFmtId="0" fontId="126" fillId="35" borderId="13" xfId="21" applyFont="1" applyFill="1" applyBorder="1"/>
    <xf numFmtId="0" fontId="112" fillId="0" borderId="14" xfId="26" applyFont="1" applyBorder="1" applyAlignment="1">
      <alignment horizontal="left" vertical="top"/>
    </xf>
    <xf numFmtId="0" fontId="112" fillId="0" borderId="13" xfId="26" applyFont="1" applyBorder="1" applyAlignment="1">
      <alignment horizontal="left" vertical="top"/>
    </xf>
    <xf numFmtId="0" fontId="1" fillId="33" borderId="14" xfId="21" applyFont="1" applyFill="1" applyBorder="1"/>
    <xf numFmtId="0" fontId="1" fillId="33" borderId="0" xfId="21" applyFont="1" applyFill="1"/>
    <xf numFmtId="0" fontId="1" fillId="33" borderId="13" xfId="21" applyFont="1" applyFill="1" applyBorder="1"/>
    <xf numFmtId="0" fontId="131" fillId="0" borderId="0" xfId="26" applyFont="1" applyAlignment="1">
      <alignment horizontal="left" vertical="top"/>
    </xf>
    <xf numFmtId="182" fontId="132" fillId="24" borderId="0" xfId="21" applyNumberFormat="1" applyFont="1" applyFill="1"/>
    <xf numFmtId="182" fontId="132" fillId="24" borderId="13" xfId="21" applyNumberFormat="1" applyFont="1" applyFill="1" applyBorder="1"/>
    <xf numFmtId="0" fontId="11" fillId="0" borderId="84" xfId="0" applyNumberFormat="1" applyFont="1" applyBorder="1"/>
    <xf numFmtId="0" fontId="64" fillId="0" borderId="85" xfId="26" applyBorder="1" applyAlignment="1">
      <alignment horizontal="left" vertical="top"/>
    </xf>
    <xf numFmtId="0" fontId="64" fillId="0" borderId="86" xfId="26" applyBorder="1" applyAlignment="1">
      <alignment horizontal="left" vertical="top"/>
    </xf>
    <xf numFmtId="184" fontId="76" fillId="0" borderId="87" xfId="0" applyNumberFormat="1" applyFont="1" applyBorder="1" applyAlignment="1">
      <alignment horizontal="center"/>
    </xf>
    <xf numFmtId="0" fontId="64" fillId="0" borderId="88" xfId="26" applyBorder="1" applyAlignment="1">
      <alignment horizontal="left" vertical="top"/>
    </xf>
    <xf numFmtId="0" fontId="61" fillId="31" borderId="89" xfId="21" applyFont="1" applyFill="1" applyBorder="1" applyProtection="1">
      <protection locked="0"/>
    </xf>
    <xf numFmtId="0" fontId="45" fillId="33" borderId="88" xfId="21" applyFill="1" applyBorder="1"/>
    <xf numFmtId="0" fontId="56" fillId="35" borderId="90" xfId="21" applyFont="1" applyFill="1" applyBorder="1"/>
    <xf numFmtId="0" fontId="56" fillId="35" borderId="91" xfId="21" applyFont="1" applyFill="1" applyBorder="1"/>
    <xf numFmtId="0" fontId="55" fillId="34" borderId="92" xfId="21" applyFont="1" applyFill="1" applyBorder="1"/>
    <xf numFmtId="0" fontId="55" fillId="34" borderId="93" xfId="21" applyFont="1" applyFill="1" applyBorder="1" applyAlignment="1">
      <alignment wrapText="1"/>
    </xf>
    <xf numFmtId="0" fontId="46" fillId="0" borderId="89" xfId="21" applyFont="1" applyBorder="1" applyAlignment="1">
      <alignment horizontal="left" vertical="top"/>
    </xf>
    <xf numFmtId="181" fontId="60" fillId="0" borderId="91" xfId="21" applyNumberFormat="1" applyFont="1" applyBorder="1"/>
    <xf numFmtId="181" fontId="60" fillId="0" borderId="94" xfId="21" applyNumberFormat="1" applyFont="1" applyBorder="1"/>
    <xf numFmtId="0" fontId="46" fillId="0" borderId="87" xfId="21" applyFont="1" applyBorder="1" applyAlignment="1">
      <alignment horizontal="left" vertical="top"/>
    </xf>
    <xf numFmtId="181" fontId="60" fillId="0" borderId="88" xfId="21" applyNumberFormat="1" applyFont="1" applyBorder="1"/>
    <xf numFmtId="0" fontId="56" fillId="35" borderId="90" xfId="78" applyFont="1" applyFill="1" applyBorder="1"/>
    <xf numFmtId="0" fontId="55" fillId="34" borderId="92" xfId="78" applyFont="1" applyFill="1" applyBorder="1"/>
    <xf numFmtId="0" fontId="55" fillId="34" borderId="93" xfId="73" applyFont="1" applyFill="1" applyBorder="1" applyAlignment="1">
      <alignment wrapText="1"/>
    </xf>
    <xf numFmtId="0" fontId="46" fillId="0" borderId="89" xfId="78" applyFont="1" applyBorder="1" applyAlignment="1">
      <alignment horizontal="left" vertical="top"/>
    </xf>
    <xf numFmtId="181" fontId="60" fillId="0" borderId="91" xfId="73" applyNumberFormat="1" applyFont="1" applyBorder="1"/>
    <xf numFmtId="0" fontId="64" fillId="0" borderId="87" xfId="26" applyBorder="1" applyAlignment="1">
      <alignment horizontal="left" vertical="top"/>
    </xf>
    <xf numFmtId="0" fontId="71" fillId="0" borderId="89" xfId="21" applyFont="1" applyBorder="1" applyAlignment="1">
      <alignment horizontal="left" vertical="top"/>
    </xf>
    <xf numFmtId="181" fontId="60" fillId="38" borderId="91" xfId="21" applyNumberFormat="1" applyFont="1" applyFill="1" applyBorder="1"/>
    <xf numFmtId="0" fontId="61" fillId="31" borderId="89" xfId="64" applyFont="1" applyFill="1" applyBorder="1" applyProtection="1">
      <protection locked="0"/>
    </xf>
    <xf numFmtId="0" fontId="56" fillId="35" borderId="90" xfId="64" applyFont="1" applyFill="1" applyBorder="1"/>
    <xf numFmtId="0" fontId="55" fillId="34" borderId="92" xfId="64" applyFont="1" applyFill="1" applyBorder="1"/>
    <xf numFmtId="0" fontId="55" fillId="34" borderId="93" xfId="59" applyFont="1" applyFill="1" applyBorder="1" applyAlignment="1">
      <alignment wrapText="1"/>
    </xf>
    <xf numFmtId="0" fontId="46" fillId="0" borderId="89" xfId="64" applyFont="1" applyBorder="1" applyAlignment="1">
      <alignment horizontal="left" vertical="top"/>
    </xf>
    <xf numFmtId="181" fontId="60" fillId="0" borderId="91" xfId="59" applyNumberFormat="1" applyFont="1" applyBorder="1"/>
    <xf numFmtId="181" fontId="60" fillId="38" borderId="91" xfId="59" applyNumberFormat="1" applyFont="1" applyFill="1" applyBorder="1"/>
    <xf numFmtId="0" fontId="61" fillId="31" borderId="89" xfId="41" applyFont="1" applyFill="1" applyBorder="1" applyProtection="1">
      <protection locked="0"/>
    </xf>
    <xf numFmtId="0" fontId="56" fillId="35" borderId="90" xfId="52" applyFont="1" applyFill="1" applyBorder="1"/>
    <xf numFmtId="0" fontId="55" fillId="34" borderId="92" xfId="52" applyFont="1" applyFill="1" applyBorder="1"/>
    <xf numFmtId="0" fontId="55" fillId="34" borderId="93" xfId="47" applyFont="1" applyFill="1" applyBorder="1" applyAlignment="1">
      <alignment wrapText="1"/>
    </xf>
    <xf numFmtId="0" fontId="46" fillId="0" borderId="89" xfId="52" applyFont="1" applyBorder="1" applyAlignment="1">
      <alignment horizontal="left" vertical="top"/>
    </xf>
    <xf numFmtId="181" fontId="60" fillId="0" borderId="91" xfId="47" applyNumberFormat="1" applyFont="1" applyBorder="1"/>
    <xf numFmtId="181" fontId="60" fillId="38" borderId="91" xfId="47" applyNumberFormat="1" applyFont="1" applyFill="1" applyBorder="1"/>
    <xf numFmtId="0" fontId="61" fillId="31" borderId="89" xfId="39" applyFont="1" applyFill="1" applyBorder="1" applyProtection="1">
      <protection locked="0"/>
    </xf>
    <xf numFmtId="0" fontId="56" fillId="35" borderId="90" xfId="39" applyFont="1" applyFill="1" applyBorder="1"/>
    <xf numFmtId="0" fontId="55" fillId="34" borderId="92" xfId="39" applyFont="1" applyFill="1" applyBorder="1"/>
    <xf numFmtId="0" fontId="55" fillId="34" borderId="93" xfId="34" applyFont="1" applyFill="1" applyBorder="1" applyAlignment="1">
      <alignment wrapText="1"/>
    </xf>
    <xf numFmtId="0" fontId="46" fillId="0" borderId="89" xfId="39" applyFont="1" applyBorder="1" applyAlignment="1">
      <alignment horizontal="left" vertical="top"/>
    </xf>
    <xf numFmtId="181" fontId="60" fillId="0" borderId="91" xfId="34" applyNumberFormat="1" applyFont="1" applyBorder="1"/>
    <xf numFmtId="0" fontId="64" fillId="0" borderId="95" xfId="26" applyBorder="1" applyAlignment="1">
      <alignment horizontal="left" vertical="top"/>
    </xf>
    <xf numFmtId="0" fontId="64" fillId="0" borderId="96" xfId="26" applyBorder="1" applyAlignment="1">
      <alignment horizontal="left" vertical="top"/>
    </xf>
    <xf numFmtId="0" fontId="65" fillId="0" borderId="96" xfId="26" applyFont="1" applyBorder="1" applyAlignment="1">
      <alignment horizontal="left" vertical="top"/>
    </xf>
    <xf numFmtId="0" fontId="64" fillId="0" borderId="97" xfId="26" applyBorder="1" applyAlignment="1">
      <alignment horizontal="left" vertical="top"/>
    </xf>
    <xf numFmtId="0" fontId="64" fillId="0" borderId="98" xfId="26" applyBorder="1" applyAlignment="1">
      <alignment horizontal="left" vertical="top"/>
    </xf>
    <xf numFmtId="0" fontId="64" fillId="0" borderId="99" xfId="26" applyBorder="1" applyAlignment="1">
      <alignment horizontal="left" vertical="top"/>
    </xf>
    <xf numFmtId="0" fontId="64" fillId="0" borderId="100" xfId="26" applyBorder="1" applyAlignment="1">
      <alignment horizontal="left" vertical="top"/>
    </xf>
    <xf numFmtId="0" fontId="64" fillId="0" borderId="101" xfId="26" applyBorder="1" applyAlignment="1">
      <alignment horizontal="left" vertical="top"/>
    </xf>
    <xf numFmtId="0" fontId="134" fillId="0" borderId="87" xfId="26" applyFont="1" applyBorder="1" applyAlignment="1">
      <alignment horizontal="left" vertical="top"/>
    </xf>
    <xf numFmtId="0" fontId="134" fillId="0" borderId="0" xfId="26" applyFont="1" applyAlignment="1">
      <alignment horizontal="left" vertical="top"/>
    </xf>
    <xf numFmtId="0" fontId="45" fillId="33" borderId="101" xfId="21" applyFill="1" applyBorder="1"/>
    <xf numFmtId="0" fontId="56" fillId="35" borderId="87" xfId="21" applyFont="1" applyFill="1" applyBorder="1"/>
    <xf numFmtId="0" fontId="56" fillId="35" borderId="101" xfId="21" applyFont="1" applyFill="1" applyBorder="1"/>
    <xf numFmtId="182" fontId="60" fillId="0" borderId="102" xfId="21" applyNumberFormat="1" applyFont="1" applyBorder="1"/>
    <xf numFmtId="182" fontId="60" fillId="0" borderId="103" xfId="21" applyNumberFormat="1" applyFont="1" applyBorder="1"/>
    <xf numFmtId="182" fontId="60" fillId="0" borderId="87" xfId="21" applyNumberFormat="1" applyFont="1" applyBorder="1"/>
    <xf numFmtId="182" fontId="60" fillId="0" borderId="101" xfId="21" applyNumberFormat="1" applyFont="1" applyBorder="1"/>
    <xf numFmtId="181" fontId="60" fillId="0" borderId="87" xfId="21" applyNumberFormat="1" applyFont="1" applyBorder="1"/>
    <xf numFmtId="181" fontId="60" fillId="0" borderId="101" xfId="21" applyNumberFormat="1" applyFont="1" applyBorder="1"/>
    <xf numFmtId="0" fontId="45" fillId="33" borderId="87" xfId="21" applyFill="1" applyBorder="1"/>
    <xf numFmtId="0" fontId="64" fillId="0" borderId="104" xfId="26" applyBorder="1" applyAlignment="1">
      <alignment horizontal="left" vertical="top"/>
    </xf>
    <xf numFmtId="0" fontId="64" fillId="0" borderId="105" xfId="26" applyBorder="1" applyAlignment="1">
      <alignment horizontal="left" vertical="top"/>
    </xf>
    <xf numFmtId="0" fontId="64" fillId="0" borderId="106" xfId="26" applyBorder="1" applyAlignment="1">
      <alignment horizontal="left" vertical="top"/>
    </xf>
    <xf numFmtId="0" fontId="135" fillId="0" borderId="99" xfId="26" applyFont="1" applyBorder="1" applyAlignment="1">
      <alignment horizontal="left" vertical="top"/>
    </xf>
    <xf numFmtId="165" fontId="56" fillId="35" borderId="52" xfId="0" applyFont="1" applyFill="1" applyBorder="1"/>
    <xf numFmtId="165" fontId="61" fillId="31" borderId="0" xfId="0" applyFont="1" applyFill="1" applyProtection="1">
      <protection locked="0"/>
    </xf>
    <xf numFmtId="0" fontId="46" fillId="0" borderId="51" xfId="21" applyFont="1" applyBorder="1" applyAlignment="1">
      <alignment horizontal="left" vertical="top"/>
    </xf>
    <xf numFmtId="1" fontId="46" fillId="33" borderId="51" xfId="21" applyNumberFormat="1" applyFont="1" applyFill="1" applyBorder="1" applyAlignment="1">
      <alignment vertical="top"/>
    </xf>
    <xf numFmtId="1" fontId="46" fillId="33" borderId="52" xfId="21" applyNumberFormat="1" applyFont="1" applyFill="1" applyBorder="1" applyAlignment="1">
      <alignment vertical="top"/>
    </xf>
    <xf numFmtId="1" fontId="46" fillId="33" borderId="53" xfId="21" applyNumberFormat="1" applyFont="1" applyFill="1" applyBorder="1" applyAlignment="1">
      <alignment vertical="top"/>
    </xf>
    <xf numFmtId="1" fontId="0" fillId="33" borderId="51" xfId="0" applyNumberFormat="1" applyFill="1" applyBorder="1"/>
    <xf numFmtId="1" fontId="0" fillId="33" borderId="52" xfId="0" applyNumberFormat="1" applyFill="1" applyBorder="1"/>
    <xf numFmtId="1" fontId="0" fillId="33" borderId="53" xfId="0" applyNumberFormat="1" applyFill="1" applyBorder="1"/>
    <xf numFmtId="0" fontId="133" fillId="0" borderId="0" xfId="0" applyNumberFormat="1" applyFont="1" applyAlignment="1">
      <alignment wrapText="1"/>
    </xf>
    <xf numFmtId="0" fontId="136" fillId="24" borderId="16" xfId="21" applyFont="1" applyFill="1" applyBorder="1" applyAlignment="1">
      <alignment horizontal="center" vertical="top"/>
    </xf>
    <xf numFmtId="1" fontId="104" fillId="0" borderId="0" xfId="82" applyNumberFormat="1" applyFont="1" applyFill="1" applyAlignment="1">
      <alignment horizontal="center"/>
    </xf>
    <xf numFmtId="170" fontId="0" fillId="32" borderId="0" xfId="1" applyNumberFormat="1" applyFont="1" applyFill="1"/>
    <xf numFmtId="0" fontId="0" fillId="24" borderId="0" xfId="0" applyNumberFormat="1" applyFill="1"/>
    <xf numFmtId="10" fontId="0" fillId="24" borderId="0" xfId="2" applyNumberFormat="1" applyFont="1" applyFill="1"/>
    <xf numFmtId="1" fontId="0" fillId="24" borderId="0" xfId="0" applyNumberFormat="1" applyFill="1"/>
    <xf numFmtId="0" fontId="11" fillId="24" borderId="0" xfId="0" applyNumberFormat="1" applyFont="1" applyFill="1"/>
    <xf numFmtId="0" fontId="46" fillId="24" borderId="16" xfId="21" applyFont="1" applyFill="1" applyBorder="1" applyAlignment="1">
      <alignment horizontal="left" vertical="top"/>
    </xf>
    <xf numFmtId="0" fontId="46" fillId="24" borderId="51" xfId="21" applyFont="1" applyFill="1" applyBorder="1" applyAlignment="1">
      <alignment horizontal="left" vertical="top"/>
    </xf>
    <xf numFmtId="1" fontId="46" fillId="24" borderId="51" xfId="21" applyNumberFormat="1" applyFont="1" applyFill="1" applyBorder="1" applyAlignment="1">
      <alignment vertical="top"/>
    </xf>
    <xf numFmtId="1" fontId="46" fillId="24" borderId="52" xfId="21" applyNumberFormat="1" applyFont="1" applyFill="1" applyBorder="1" applyAlignment="1">
      <alignment vertical="top"/>
    </xf>
    <xf numFmtId="1" fontId="46" fillId="24" borderId="53" xfId="21" applyNumberFormat="1" applyFont="1" applyFill="1" applyBorder="1" applyAlignment="1">
      <alignment vertical="top"/>
    </xf>
    <xf numFmtId="170" fontId="0" fillId="24" borderId="0" xfId="1" applyNumberFormat="1" applyFont="1" applyFill="1"/>
    <xf numFmtId="2" fontId="0" fillId="24" borderId="0" xfId="0" applyNumberFormat="1" applyFill="1"/>
    <xf numFmtId="10" fontId="0" fillId="24" borderId="0" xfId="2" applyNumberFormat="1" applyFont="1" applyFill="1" applyAlignment="1">
      <alignment horizontal="center" vertical="center"/>
    </xf>
    <xf numFmtId="169" fontId="0" fillId="24" borderId="0" xfId="0" applyNumberFormat="1" applyFill="1"/>
    <xf numFmtId="182" fontId="137" fillId="41" borderId="14" xfId="21" applyNumberFormat="1" applyFont="1" applyFill="1" applyBorder="1"/>
    <xf numFmtId="175" fontId="7" fillId="28" borderId="82" xfId="7" applyNumberFormat="1" applyFill="1" applyBorder="1"/>
    <xf numFmtId="0" fontId="0" fillId="28" borderId="0" xfId="1" applyNumberFormat="1" applyFont="1" applyFill="1" applyBorder="1"/>
    <xf numFmtId="169" fontId="0" fillId="28" borderId="0" xfId="1" applyNumberFormat="1" applyFont="1" applyFill="1" applyBorder="1"/>
    <xf numFmtId="175" fontId="0" fillId="28" borderId="0" xfId="1" applyNumberFormat="1" applyFont="1" applyFill="1" applyBorder="1"/>
    <xf numFmtId="169" fontId="0" fillId="28" borderId="0" xfId="0" applyNumberFormat="1" applyFill="1"/>
    <xf numFmtId="1" fontId="0" fillId="28" borderId="0" xfId="1" applyNumberFormat="1" applyFont="1" applyFill="1" applyBorder="1"/>
    <xf numFmtId="167" fontId="0" fillId="28" borderId="0" xfId="2" applyNumberFormat="1" applyFont="1" applyFill="1" applyBorder="1"/>
    <xf numFmtId="169" fontId="0" fillId="28" borderId="13" xfId="0" applyNumberFormat="1" applyFill="1" applyBorder="1"/>
    <xf numFmtId="0" fontId="0" fillId="28" borderId="35" xfId="0" applyNumberFormat="1" applyFill="1" applyBorder="1"/>
    <xf numFmtId="0" fontId="0" fillId="28" borderId="34" xfId="0" applyNumberFormat="1" applyFill="1" applyBorder="1"/>
    <xf numFmtId="0" fontId="0" fillId="28" borderId="33" xfId="0" applyNumberFormat="1" applyFill="1" applyBorder="1" applyAlignment="1">
      <alignment horizontal="right"/>
    </xf>
    <xf numFmtId="9" fontId="0" fillId="28" borderId="0" xfId="2" applyFont="1" applyFill="1" applyBorder="1"/>
    <xf numFmtId="170" fontId="0" fillId="28" borderId="0" xfId="1" applyNumberFormat="1" applyFont="1" applyFill="1" applyBorder="1"/>
    <xf numFmtId="0" fontId="0" fillId="28" borderId="0" xfId="2" applyNumberFormat="1" applyFont="1" applyFill="1" applyBorder="1"/>
    <xf numFmtId="0" fontId="10" fillId="28" borderId="0" xfId="0" applyNumberFormat="1" applyFont="1" applyFill="1"/>
    <xf numFmtId="169" fontId="3" fillId="28" borderId="0" xfId="17" applyNumberFormat="1" applyFill="1"/>
    <xf numFmtId="170" fontId="10" fillId="28" borderId="0" xfId="1" applyNumberFormat="1" applyFont="1" applyFill="1" applyBorder="1"/>
    <xf numFmtId="0" fontId="10" fillId="28" borderId="0" xfId="1" applyNumberFormat="1" applyFont="1" applyFill="1" applyBorder="1"/>
    <xf numFmtId="169" fontId="10" fillId="28" borderId="0" xfId="0" applyNumberFormat="1" applyFont="1" applyFill="1"/>
    <xf numFmtId="2" fontId="10" fillId="28" borderId="0" xfId="0" applyNumberFormat="1" applyFont="1" applyFill="1"/>
    <xf numFmtId="167" fontId="10" fillId="28" borderId="0" xfId="2" applyNumberFormat="1" applyFont="1" applyFill="1" applyBorder="1"/>
    <xf numFmtId="0" fontId="6" fillId="28" borderId="0" xfId="5" applyNumberFormat="1" applyFill="1" applyBorder="1"/>
    <xf numFmtId="0" fontId="6" fillId="28" borderId="27" xfId="5" applyNumberFormat="1" applyFill="1" applyBorder="1"/>
    <xf numFmtId="0" fontId="0" fillId="28" borderId="26" xfId="1" applyNumberFormat="1" applyFont="1" applyFill="1" applyBorder="1"/>
    <xf numFmtId="0" fontId="0" fillId="28" borderId="32" xfId="0" applyNumberFormat="1" applyFill="1" applyBorder="1"/>
    <xf numFmtId="0" fontId="0" fillId="28" borderId="31" xfId="0" applyNumberFormat="1" applyFill="1" applyBorder="1" applyAlignment="1">
      <alignment horizontal="right"/>
    </xf>
    <xf numFmtId="0" fontId="0" fillId="28" borderId="30" xfId="0" applyNumberFormat="1" applyFill="1" applyBorder="1"/>
    <xf numFmtId="0" fontId="0" fillId="28" borderId="29" xfId="0" applyNumberFormat="1" applyFill="1" applyBorder="1"/>
    <xf numFmtId="0" fontId="0" fillId="28" borderId="28" xfId="0" applyNumberFormat="1" applyFill="1" applyBorder="1" applyAlignment="1">
      <alignment horizontal="right"/>
    </xf>
    <xf numFmtId="0" fontId="0" fillId="28" borderId="0" xfId="0" applyNumberFormat="1" applyFill="1" applyAlignment="1">
      <alignment horizontal="right"/>
    </xf>
    <xf numFmtId="0" fontId="0" fillId="28" borderId="27" xfId="0" applyNumberFormat="1" applyFill="1" applyBorder="1"/>
    <xf numFmtId="0" fontId="0" fillId="28" borderId="26" xfId="0" applyNumberFormat="1" applyFill="1" applyBorder="1" applyAlignment="1">
      <alignment horizontal="right"/>
    </xf>
    <xf numFmtId="0" fontId="0" fillId="28" borderId="26" xfId="0" applyNumberFormat="1" applyFill="1" applyBorder="1"/>
    <xf numFmtId="0" fontId="0" fillId="28" borderId="25" xfId="0" applyNumberFormat="1" applyFill="1" applyBorder="1"/>
    <xf numFmtId="0" fontId="0" fillId="28" borderId="24" xfId="0" applyNumberFormat="1" applyFill="1" applyBorder="1"/>
    <xf numFmtId="0" fontId="0" fillId="28" borderId="23" xfId="0" applyNumberFormat="1" applyFill="1" applyBorder="1" applyAlignment="1">
      <alignment horizontal="right"/>
    </xf>
    <xf numFmtId="169" fontId="6" fillId="28" borderId="0" xfId="5" applyNumberFormat="1" applyFill="1" applyBorder="1"/>
    <xf numFmtId="168" fontId="0" fillId="28" borderId="0" xfId="1" applyNumberFormat="1" applyFont="1" applyFill="1" applyBorder="1"/>
    <xf numFmtId="0" fontId="40" fillId="28" borderId="14" xfId="0" applyNumberFormat="1" applyFont="1" applyFill="1" applyBorder="1"/>
    <xf numFmtId="0" fontId="40" fillId="28" borderId="0" xfId="0" applyNumberFormat="1" applyFont="1" applyFill="1"/>
    <xf numFmtId="0" fontId="40" fillId="28" borderId="0" xfId="1" applyNumberFormat="1" applyFont="1" applyFill="1" applyBorder="1"/>
    <xf numFmtId="175" fontId="40" fillId="28" borderId="0" xfId="0" applyNumberFormat="1" applyFont="1" applyFill="1"/>
    <xf numFmtId="167" fontId="40" fillId="28" borderId="0" xfId="2" applyNumberFormat="1" applyFont="1" applyFill="1" applyBorder="1"/>
    <xf numFmtId="0" fontId="40" fillId="28" borderId="13" xfId="0" applyNumberFormat="1" applyFont="1" applyFill="1" applyBorder="1"/>
    <xf numFmtId="0" fontId="0" fillId="28" borderId="9" xfId="0" applyNumberFormat="1" applyFill="1" applyBorder="1"/>
    <xf numFmtId="0" fontId="0" fillId="28" borderId="83" xfId="0" applyNumberFormat="1" applyFill="1" applyBorder="1"/>
    <xf numFmtId="165" fontId="0" fillId="28" borderId="83" xfId="0" applyFill="1" applyBorder="1"/>
    <xf numFmtId="165" fontId="0" fillId="28" borderId="8" xfId="0" applyFill="1" applyBorder="1"/>
    <xf numFmtId="2" fontId="10" fillId="41" borderId="0" xfId="0" applyNumberFormat="1" applyFont="1" applyFill="1"/>
    <xf numFmtId="194" fontId="127" fillId="24" borderId="0" xfId="91" applyNumberFormat="1" applyFont="1" applyFill="1"/>
    <xf numFmtId="0" fontId="106" fillId="0" borderId="0" xfId="12" applyFont="1" applyAlignment="1">
      <alignment horizontal="center"/>
    </xf>
    <xf numFmtId="165" fontId="87" fillId="0" borderId="22" xfId="0" applyFont="1" applyBorder="1" applyAlignment="1">
      <alignment horizontal="left" vertical="center"/>
    </xf>
    <xf numFmtId="165" fontId="87" fillId="0" borderId="10" xfId="0" applyFont="1" applyBorder="1" applyAlignment="1">
      <alignment horizontal="left" vertical="center"/>
    </xf>
    <xf numFmtId="165" fontId="87" fillId="0" borderId="22" xfId="0" applyFont="1" applyBorder="1" applyAlignment="1">
      <alignment horizontal="center" vertical="center" wrapText="1"/>
    </xf>
    <xf numFmtId="165" fontId="87" fillId="0" borderId="10" xfId="0" applyFont="1" applyBorder="1" applyAlignment="1">
      <alignment horizontal="center" vertical="center" wrapText="1"/>
    </xf>
    <xf numFmtId="165" fontId="87" fillId="0" borderId="22" xfId="0" applyFont="1" applyBorder="1" applyAlignment="1">
      <alignment horizontal="center" vertical="center"/>
    </xf>
    <xf numFmtId="165" fontId="87" fillId="0" borderId="10" xfId="0" applyFont="1" applyBorder="1" applyAlignment="1">
      <alignment horizontal="center" vertical="center"/>
    </xf>
    <xf numFmtId="165" fontId="87" fillId="0" borderId="20" xfId="0" applyFont="1" applyBorder="1" applyAlignment="1">
      <alignment horizontal="center" vertical="center" wrapText="1"/>
    </xf>
    <xf numFmtId="165" fontId="87" fillId="0" borderId="8" xfId="0" applyFont="1" applyBorder="1" applyAlignment="1">
      <alignment horizontal="center" vertical="center" wrapText="1"/>
    </xf>
    <xf numFmtId="0" fontId="46" fillId="50" borderId="16" xfId="21" applyFont="1" applyFill="1" applyBorder="1" applyAlignment="1">
      <alignment horizontal="left" vertical="top"/>
    </xf>
    <xf numFmtId="0" fontId="46" fillId="50" borderId="51" xfId="21" applyFont="1" applyFill="1" applyBorder="1" applyAlignment="1">
      <alignment horizontal="left" vertical="top"/>
    </xf>
    <xf numFmtId="0" fontId="136" fillId="50" borderId="16" xfId="21" applyFont="1" applyFill="1" applyBorder="1" applyAlignment="1">
      <alignment horizontal="center" vertical="top"/>
    </xf>
    <xf numFmtId="1" fontId="46" fillId="50" borderId="51" xfId="21" applyNumberFormat="1" applyFont="1" applyFill="1" applyBorder="1" applyAlignment="1">
      <alignment vertical="top"/>
    </xf>
    <xf numFmtId="1" fontId="46" fillId="50" borderId="52" xfId="21" applyNumberFormat="1" applyFont="1" applyFill="1" applyBorder="1" applyAlignment="1">
      <alignment vertical="top"/>
    </xf>
    <xf numFmtId="1" fontId="46" fillId="50" borderId="53" xfId="21" applyNumberFormat="1" applyFont="1" applyFill="1" applyBorder="1" applyAlignment="1">
      <alignment vertical="top"/>
    </xf>
    <xf numFmtId="170" fontId="0" fillId="50" borderId="0" xfId="1" applyNumberFormat="1" applyFont="1" applyFill="1"/>
    <xf numFmtId="2" fontId="0" fillId="50" borderId="0" xfId="0" applyNumberFormat="1" applyFill="1"/>
    <xf numFmtId="2" fontId="10" fillId="50" borderId="0" xfId="0" applyNumberFormat="1" applyFont="1" applyFill="1"/>
    <xf numFmtId="175" fontId="0" fillId="50" borderId="0" xfId="1" applyNumberFormat="1" applyFont="1" applyFill="1" applyBorder="1"/>
    <xf numFmtId="0" fontId="0" fillId="50" borderId="0" xfId="0" applyNumberFormat="1" applyFill="1"/>
    <xf numFmtId="165" fontId="0" fillId="50" borderId="0" xfId="0" applyFill="1"/>
    <xf numFmtId="175" fontId="7" fillId="50" borderId="82" xfId="7" applyNumberFormat="1" applyFill="1" applyBorder="1"/>
    <xf numFmtId="0" fontId="0" fillId="50" borderId="0" xfId="0" applyNumberFormat="1" applyFill="1" applyAlignment="1">
      <alignment horizontal="right"/>
    </xf>
    <xf numFmtId="178" fontId="0" fillId="50" borderId="0" xfId="1" applyNumberFormat="1" applyFont="1" applyFill="1"/>
    <xf numFmtId="170" fontId="0" fillId="50" borderId="0" xfId="18" applyNumberFormat="1" applyFont="1" applyFill="1"/>
    <xf numFmtId="1" fontId="0" fillId="50" borderId="0" xfId="0" applyNumberFormat="1" applyFill="1"/>
    <xf numFmtId="0" fontId="0" fillId="50" borderId="0" xfId="2" applyNumberFormat="1" applyFont="1" applyFill="1"/>
    <xf numFmtId="178" fontId="0" fillId="50" borderId="16" xfId="1" applyNumberFormat="1" applyFont="1" applyFill="1" applyBorder="1"/>
    <xf numFmtId="2" fontId="3" fillId="50" borderId="0" xfId="20" applyNumberFormat="1" applyFill="1"/>
    <xf numFmtId="175" fontId="0" fillId="50" borderId="0" xfId="0" applyNumberFormat="1" applyFill="1"/>
    <xf numFmtId="0" fontId="0" fillId="50" borderId="0" xfId="1" applyNumberFormat="1" applyFont="1" applyFill="1" applyBorder="1"/>
    <xf numFmtId="0" fontId="10" fillId="50" borderId="0" xfId="0" applyNumberFormat="1" applyFont="1" applyFill="1"/>
    <xf numFmtId="168" fontId="0" fillId="50" borderId="0" xfId="1" applyNumberFormat="1" applyFont="1" applyFill="1" applyBorder="1"/>
  </cellXfs>
  <cellStyles count="93">
    <cellStyle name="20% - Accent2" xfId="11" builtinId="34"/>
    <cellStyle name="Bad" xfId="5" builtinId="27"/>
    <cellStyle name="Calc" xfId="80" xr:uid="{41AB2454-0065-41FE-8ACF-05737930420F}"/>
    <cellStyle name="Calculation" xfId="9" builtinId="22"/>
    <cellStyle name="Comma" xfId="1" builtinId="3"/>
    <cellStyle name="Comma 2" xfId="14" xr:uid="{6C98CB56-0678-4D39-B408-4483B42D43FB}"/>
    <cellStyle name="Comma 2 6" xfId="18" xr:uid="{06C0AADC-4FFF-42AA-9532-E1B00BB086F4}"/>
    <cellStyle name="Comma 4" xfId="85" xr:uid="{AC324801-846F-40DF-A4AD-18B8AEBC52DB}"/>
    <cellStyle name="External" xfId="86" xr:uid="{46C56B26-63CD-4110-848F-3C592895B21B}"/>
    <cellStyle name="Good 2" xfId="87" xr:uid="{890CC1F2-D673-416C-A752-CB242E944E67}"/>
    <cellStyle name="Heading 1" xfId="3" builtinId="16"/>
    <cellStyle name="Heading 2" xfId="89" builtinId="17"/>
    <cellStyle name="Heading 3" xfId="4" builtinId="18"/>
    <cellStyle name="Heading 4" xfId="79" builtinId="19"/>
    <cellStyle name="Hyperlink" xfId="13" builtinId="8"/>
    <cellStyle name="Hyperlink 2" xfId="92" xr:uid="{BC726B35-3933-41A1-B654-6070DB211F83}"/>
    <cellStyle name="Input" xfId="7" builtinId="20"/>
    <cellStyle name="Input 2" xfId="16" xr:uid="{6E02D86C-DD89-4507-AB91-14945A96F1DE}"/>
    <cellStyle name="L_Green" xfId="88" xr:uid="{49695EFE-06FF-496B-8E98-D3CB7B1EED1D}"/>
    <cellStyle name="Linked" xfId="82" xr:uid="{C82EC415-E0FB-482B-A84D-496F9F8B1B9F}"/>
    <cellStyle name="Neutral" xfId="6" builtinId="28"/>
    <cellStyle name="Normal" xfId="0" builtinId="0"/>
    <cellStyle name="Normal 13 2" xfId="21" xr:uid="{760CAD85-C70E-4F2C-87AE-AC0CF07BA74E}"/>
    <cellStyle name="Normal 136" xfId="25" xr:uid="{3F8AD051-E9BA-42DE-86EE-9538DB056827}"/>
    <cellStyle name="Normal 2" xfId="12" xr:uid="{A0538C16-544A-4180-885E-58BA34319283}"/>
    <cellStyle name="Normal 2 2" xfId="22" xr:uid="{587C57AA-679F-481E-9ECF-14F3DB174DCE}"/>
    <cellStyle name="Normal 20" xfId="26" xr:uid="{6570D584-F6C3-4683-A96B-38AE8DD03925}"/>
    <cellStyle name="Normal 3" xfId="90" xr:uid="{1D4EE773-5CA1-43CE-877A-7C5264C61FBE}"/>
    <cellStyle name="Normal 3 2" xfId="17" xr:uid="{03BE96ED-7F62-4BE4-95EC-D23EEB8C8EBC}"/>
    <cellStyle name="Normal 3 6" xfId="15" xr:uid="{A4204F6A-F7AB-4C2E-A81F-1585E2F41D6B}"/>
    <cellStyle name="Normal 32" xfId="65" xr:uid="{6A42445C-82F2-4EF1-BA63-BAF56FF7CFDC}"/>
    <cellStyle name="Normal 33" xfId="64" xr:uid="{B349F3BD-0D25-40D7-978D-072A262644D5}"/>
    <cellStyle name="Normal 35" xfId="60" xr:uid="{0D25CD37-42DD-4649-AE9F-FBCCEA912182}"/>
    <cellStyle name="Normal 36" xfId="59" xr:uid="{B568B144-41FE-4E30-8C65-1F5DC39F97EB}"/>
    <cellStyle name="Normal 37" xfId="63" xr:uid="{7E985E89-2893-4B7A-A0FC-624E292BBFE4}"/>
    <cellStyle name="Normal 38" xfId="62" xr:uid="{BC121CAC-4DF4-4031-84CC-1E28F7465BAA}"/>
    <cellStyle name="Normal 39" xfId="56" xr:uid="{828B81CE-320B-4D65-B911-BD0BC8864365}"/>
    <cellStyle name="Normal 4" xfId="91" xr:uid="{EBCC3EA0-FE44-4D11-BD33-479114196E7D}"/>
    <cellStyle name="Normal 40" xfId="61" xr:uid="{85FC9300-7C5F-46C4-8DA2-BFBCB86E5D3F}"/>
    <cellStyle name="Normal 42" xfId="55" xr:uid="{E57C88DF-EE7C-4A45-AFE3-B574DF847BC2}"/>
    <cellStyle name="Normal 43" xfId="54" xr:uid="{F70143A5-A34D-40F8-8B77-A66B5BCE0CAB}"/>
    <cellStyle name="Normal 44" xfId="53" xr:uid="{EA0B03C3-51BD-460C-BB8C-72CDF31167CE}"/>
    <cellStyle name="Normal 45" xfId="57" xr:uid="{259C676F-395E-48B6-ACC8-3B6F95332A9C}"/>
    <cellStyle name="Normal 47" xfId="58" xr:uid="{9C728057-B713-4B5F-9F38-0792EB89E4C3}"/>
    <cellStyle name="Normal 48" xfId="52" xr:uid="{A1949523-A7D3-40E9-9AC5-C243BEE072B8}"/>
    <cellStyle name="Normal 50" xfId="47" xr:uid="{DB2947BE-C297-46F3-B2B7-576647842C50}"/>
    <cellStyle name="Normal 51" xfId="78" xr:uid="{F09C3065-825A-4EA0-9459-954EC63CE1C7}"/>
    <cellStyle name="Normal 52" xfId="42" xr:uid="{E5FC59E5-C999-4E4F-B987-25CF53039F66}"/>
    <cellStyle name="Normal 53" xfId="40" xr:uid="{8BDC0D8F-C253-4CD3-9C46-62DFF297B7D7}"/>
    <cellStyle name="Normal 54" xfId="41" xr:uid="{0BCB7273-C9AC-449E-A614-88D1C36B408F}"/>
    <cellStyle name="Normal 55" xfId="48" xr:uid="{C71C68E3-18AA-4BD9-8705-3B18CB9B8B2A}"/>
    <cellStyle name="Normal 56" xfId="77" xr:uid="{E3547C75-05D3-440C-AC4F-C357098ABE82}"/>
    <cellStyle name="Normal 57" xfId="43" xr:uid="{0D780BC7-4FC5-4029-B7FF-F0BE9BCC4C61}"/>
    <cellStyle name="Normal 58" xfId="49" xr:uid="{154BE739-7919-45DD-A33F-997A0E4B81DE}"/>
    <cellStyle name="Normal 59" xfId="44" xr:uid="{C4E9A341-653A-4961-AFC5-5CDCC3C95A07}"/>
    <cellStyle name="Normal 60" xfId="72" xr:uid="{7384158B-1B12-48F3-AF17-8FCD76C368C2}"/>
    <cellStyle name="Normal 61" xfId="50" xr:uid="{DA60DFF5-AC19-43D6-947A-61060AA3FBB2}"/>
    <cellStyle name="Normal 62" xfId="45" xr:uid="{DB3CFEA3-4B40-42D5-B563-08C4811AEB72}"/>
    <cellStyle name="Normal 63" xfId="51" xr:uid="{799AA9BE-F8B7-4EA2-86D9-2613B62851F9}"/>
    <cellStyle name="Normal 64" xfId="76" xr:uid="{2DED34A6-AF4D-450F-AA95-E4451ADAD682}"/>
    <cellStyle name="Normal 65" xfId="46" xr:uid="{70EDEDD1-66E3-4647-B6FC-DC624DD51B98}"/>
    <cellStyle name="Normal 66" xfId="39" xr:uid="{7A8E33D1-C7DA-4544-973F-64D45B3A8B29}"/>
    <cellStyle name="Normal 67" xfId="70" xr:uid="{25BFF747-92C5-4AC6-8943-7E28E8DB5EFB}"/>
    <cellStyle name="Normal 68" xfId="34" xr:uid="{A0EEF356-04B2-458D-8D98-AE8E3C0F3D01}"/>
    <cellStyle name="Normal 69" xfId="27" xr:uid="{E2D4CE41-76C5-4222-BE19-20EFBBDF125B}"/>
    <cellStyle name="Normal 70" xfId="32" xr:uid="{2941BC21-8871-4E85-8B24-62DE11FCCC10}"/>
    <cellStyle name="Normal 71" xfId="35" xr:uid="{88058A2E-142D-4367-B4EE-04C30FB7DE07}"/>
    <cellStyle name="Normal 72" xfId="28" xr:uid="{EF547D8B-2F8B-482B-8D6D-17EF438260CC}"/>
    <cellStyle name="Normal 73" xfId="36" xr:uid="{C6CA110A-CCD2-495D-B237-EBA727CA4D1A}"/>
    <cellStyle name="Normal 74" xfId="29" xr:uid="{4925354D-39F0-44B8-8E54-3C8DA10776B6}"/>
    <cellStyle name="Normal 75" xfId="37" xr:uid="{735F6184-DEB0-4922-A1CC-51D451FBEAF6}"/>
    <cellStyle name="Normal 76" xfId="30" xr:uid="{858E4FCF-4AAF-4ACD-B813-9036C1D87A7F}"/>
    <cellStyle name="Normal 77" xfId="38" xr:uid="{B5B2F3DB-8FDC-4631-BC2B-B297C649C7B3}"/>
    <cellStyle name="Normal 78" xfId="31" xr:uid="{6E2DB7AD-9685-443E-9B8C-43C29CE853DF}"/>
    <cellStyle name="Normal 79" xfId="71" xr:uid="{CBF2E14D-570E-4F70-BCB4-C65A16315E3F}"/>
    <cellStyle name="Normal 80" xfId="75" xr:uid="{8F7BFE6A-F52F-4391-8F70-7F83036A6668}"/>
    <cellStyle name="Normal 81" xfId="69" xr:uid="{BE775854-E8E3-4DB6-9C38-CB873BC43F3A}"/>
    <cellStyle name="Normal 82" xfId="74" xr:uid="{1B1D88B5-46D2-45CF-AF9B-1EA861B84748}"/>
    <cellStyle name="Normal 83" xfId="68" xr:uid="{A95DF871-037B-4A69-97EE-22EC40EED7C7}"/>
    <cellStyle name="Normal 84" xfId="73" xr:uid="{6EE3144A-26FE-401E-841A-889C6087F108}"/>
    <cellStyle name="Normal 85" xfId="67" xr:uid="{09857C4D-82AE-4728-9B0D-CF236A0EE03E}"/>
    <cellStyle name="Normal 86" xfId="84" xr:uid="{EBA81DD7-01D1-4008-80B4-D330B61169A4}"/>
    <cellStyle name="Normal 87" xfId="83" xr:uid="{18CBEC75-39F4-44B6-AFC1-FBD0C5DB133C}"/>
    <cellStyle name="Normal 88" xfId="19" xr:uid="{50EB602A-4B6B-420D-971C-AD32A8004FB3}"/>
    <cellStyle name="Normal 89" xfId="20" xr:uid="{8C014C72-EF34-4CB3-9FA5-F9A1BD5EAC14}"/>
    <cellStyle name="Normal 90" xfId="23" xr:uid="{A69C3F21-E110-471E-A5F6-6B3C8805334B}"/>
    <cellStyle name="Note" xfId="10" builtinId="10"/>
    <cellStyle name="Output" xfId="8" builtinId="21"/>
    <cellStyle name="Percent" xfId="2" builtinId="5"/>
    <cellStyle name="Percent 10" xfId="24" xr:uid="{89367D7B-04BE-49B2-A53A-F5889A37E087}"/>
    <cellStyle name="Percent 11" xfId="33" xr:uid="{86186881-3D54-49E6-84F5-AA21E54F126A}"/>
    <cellStyle name="Percent 2" xfId="81" xr:uid="{035BF0CF-7219-469A-B7CE-DA974B61013B}"/>
    <cellStyle name="Währung_Excel2" xfId="66" xr:uid="{78A0101A-221E-43CC-8A5E-27AF7CEA13B7}"/>
  </cellStyles>
  <dxfs count="4">
    <dxf>
      <fill>
        <patternFill>
          <bgColor theme="9" tint="0.59996337778862885"/>
        </patternFill>
      </fill>
    </dxf>
    <dxf>
      <fill>
        <patternFill>
          <bgColor rgb="FFFFFF00"/>
        </patternFill>
      </fill>
    </dxf>
    <dxf>
      <fill>
        <patternFill>
          <bgColor rgb="FF00B050"/>
        </patternFill>
      </fill>
    </dxf>
    <dxf>
      <fill>
        <patternFill>
          <bgColor rgb="FFFF0000"/>
        </patternFill>
      </fill>
    </dxf>
  </dxfs>
  <tableStyles count="0" defaultTableStyle="TableStyleMedium2" defaultPivotStyle="PivotStyleLight16"/>
  <colors>
    <mruColors>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haredStrings" Target="sharedString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45EF-4BE9-891B-8B77CD8324BD}"/>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45EF-4BE9-891B-8B77CD8324BD}"/>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301F-438F-96F3-7928E6F2E6D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301F-438F-96F3-7928E6F2E6DE}"/>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data-proc2023'!$U$20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data-proc2023'!$AD$20:$AJ$20</c15:sqref>
                  </c15:fullRef>
                </c:ext>
              </c:extLst>
              <c:f>'Vehicle data-proc2023'!$AE$20:$AJ$20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DF06-478B-9C0A-E02FE45DC6C5}"/>
            </c:ext>
          </c:extLst>
        </c:ser>
        <c:ser>
          <c:idx val="4"/>
          <c:order val="1"/>
          <c:tx>
            <c:strRef>
              <c:f>'Vehicle data-proc2023'!$U$21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data-proc2023'!$AD$21:$AJ$21</c15:sqref>
                  </c15:fullRef>
                </c:ext>
              </c:extLst>
              <c:f>'Vehicle data-proc2023'!$AE$21:$AJ$21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DF06-478B-9C0A-E02FE45DC6C5}"/>
            </c:ext>
          </c:extLst>
        </c:ser>
        <c:ser>
          <c:idx val="5"/>
          <c:order val="2"/>
          <c:tx>
            <c:strRef>
              <c:f>'Vehicle data-proc2023'!$U$22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data-proc2023'!$AD$22:$AJ$22</c15:sqref>
                  </c15:fullRef>
                </c:ext>
              </c:extLst>
              <c:f>'Vehicle data-proc2023'!$AE$22:$AJ$22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DF06-478B-9C0A-E02FE45DC6C5}"/>
            </c:ext>
          </c:extLst>
        </c:ser>
        <c:ser>
          <c:idx val="6"/>
          <c:order val="3"/>
          <c:tx>
            <c:strRef>
              <c:f>'Vehicle data-proc2023'!$U$23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data-proc2023'!$AD$23:$AJ$23</c15:sqref>
                  </c15:fullRef>
                </c:ext>
              </c:extLst>
              <c:f>'Vehicle data-proc2023'!$AE$23:$AJ$23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DF06-478B-9C0A-E02FE45DC6C5}"/>
            </c:ext>
          </c:extLst>
        </c:ser>
        <c:ser>
          <c:idx val="7"/>
          <c:order val="4"/>
          <c:tx>
            <c:strRef>
              <c:f>'Vehicle data-proc2023'!$U$24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data-proc2023'!$AD$24:$AJ$24</c15:sqref>
                  </c15:fullRef>
                </c:ext>
              </c:extLst>
              <c:f>'Vehicle data-proc2023'!$AE$24:$AJ$24</c:f>
              <c:numCache>
                <c:formatCode>_(* #,##0_);_(* \(#,##0\);_(* "-"??_);_(@_)</c:formatCode>
                <c:ptCount val="6"/>
                <c:pt idx="0">
                  <c:v>660653.07425353606</c:v>
                </c:pt>
                <c:pt idx="1">
                  <c:v>655423.85807417962</c:v>
                </c:pt>
                <c:pt idx="2">
                  <c:v>650194.64189482306</c:v>
                </c:pt>
                <c:pt idx="3">
                  <c:v>251273.34974387253</c:v>
                </c:pt>
                <c:pt idx="4">
                  <c:v>253996.92506339328</c:v>
                </c:pt>
                <c:pt idx="5">
                  <c:v>257172.600668175</c:v>
                </c:pt>
              </c:numCache>
            </c:numRef>
          </c:val>
          <c:smooth val="0"/>
          <c:extLst>
            <c:ext xmlns:c16="http://schemas.microsoft.com/office/drawing/2014/chart" uri="{C3380CC4-5D6E-409C-BE32-E72D297353CC}">
              <c16:uniqueId val="{00000004-DF06-478B-9C0A-E02FE45DC6C5}"/>
            </c:ext>
          </c:extLst>
        </c:ser>
        <c:ser>
          <c:idx val="8"/>
          <c:order val="5"/>
          <c:tx>
            <c:strRef>
              <c:f>'Vehicle data-proc2023'!$U$25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data-proc2023'!$AD$25:$AJ$25</c15:sqref>
                  </c15:fullRef>
                </c:ext>
              </c:extLst>
              <c:f>'Vehicle data-proc2023'!$AE$25:$AJ$25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DF06-478B-9C0A-E02FE45DC6C5}"/>
            </c:ext>
          </c:extLst>
        </c:ser>
        <c:ser>
          <c:idx val="9"/>
          <c:order val="6"/>
          <c:tx>
            <c:strRef>
              <c:f>'Vehicle data-proc2023'!$U$26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data-proc2023'!$AD$26:$AJ$26</c15:sqref>
                  </c15:fullRef>
                </c:ext>
              </c:extLst>
              <c:f>'Vehicle data-proc2023'!$AE$26:$AJ$26</c:f>
              <c:numCache>
                <c:formatCode>_(* #,##0_);_(* \(#,##0\);_(* "-"??_);_(@_)</c:formatCode>
                <c:ptCount val="6"/>
                <c:pt idx="0">
                  <c:v>878668.58875720296</c:v>
                </c:pt>
                <c:pt idx="1">
                  <c:v>851972.15227518079</c:v>
                </c:pt>
                <c:pt idx="2">
                  <c:v>825275.71579315851</c:v>
                </c:pt>
                <c:pt idx="3">
                  <c:v>251273.34974387253</c:v>
                </c:pt>
                <c:pt idx="4">
                  <c:v>253996.92506339328</c:v>
                </c:pt>
                <c:pt idx="5">
                  <c:v>257172.600668175</c:v>
                </c:pt>
              </c:numCache>
            </c:numRef>
          </c:val>
          <c:smooth val="0"/>
          <c:extLst>
            <c:ext xmlns:c16="http://schemas.microsoft.com/office/drawing/2014/chart" uri="{C3380CC4-5D6E-409C-BE32-E72D297353CC}">
              <c16:uniqueId val="{00000006-DF06-478B-9C0A-E02FE45DC6C5}"/>
            </c:ext>
          </c:extLst>
        </c:ser>
        <c:ser>
          <c:idx val="10"/>
          <c:order val="7"/>
          <c:tx>
            <c:strRef>
              <c:f>'Vehicle data-proc2023'!$U$27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data-proc2023'!$AD$27:$AJ$27</c15:sqref>
                  </c15:fullRef>
                </c:ext>
              </c:extLst>
              <c:f>'Vehicle data-proc2023'!$AE$27:$AJ$27</c:f>
              <c:numCache>
                <c:formatCode>_(* #,##0_);_(* \(#,##0\);_(* "-"??_);_(@_)</c:formatCode>
                <c:ptCount val="6"/>
                <c:pt idx="0">
                  <c:v>634656.26496922225</c:v>
                </c:pt>
                <c:pt idx="1">
                  <c:v>580104.67292909464</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DF06-478B-9C0A-E02FE45DC6C5}"/>
            </c:ext>
          </c:extLst>
        </c:ser>
        <c:ser>
          <c:idx val="11"/>
          <c:order val="8"/>
          <c:tx>
            <c:strRef>
              <c:f>'Vehicle data-proc2023'!$U$28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data-proc2023'!$AD$28:$AJ$28</c15:sqref>
                  </c15:fullRef>
                </c:ext>
              </c:extLst>
              <c:f>'Vehicle data-proc2023'!$AE$28:$AJ$28</c:f>
              <c:numCache>
                <c:formatCode>_(* #,##0_);_(* \(#,##0\);_(* "-"??_);_(@_)</c:formatCode>
                <c:ptCount val="6"/>
                <c:pt idx="0">
                  <c:v>951984.39745383337</c:v>
                </c:pt>
                <c:pt idx="1">
                  <c:v>726239.93374644255</c:v>
                </c:pt>
                <c:pt idx="2">
                  <c:v>500495.47003905155</c:v>
                </c:pt>
                <c:pt idx="3">
                  <c:v>473724.16276051704</c:v>
                </c:pt>
                <c:pt idx="4">
                  <c:v>446952.85548198252</c:v>
                </c:pt>
                <c:pt idx="5">
                  <c:v>257172.600668175</c:v>
                </c:pt>
              </c:numCache>
            </c:numRef>
          </c:val>
          <c:smooth val="0"/>
          <c:extLst>
            <c:ext xmlns:c16="http://schemas.microsoft.com/office/drawing/2014/chart" uri="{C3380CC4-5D6E-409C-BE32-E72D297353CC}">
              <c16:uniqueId val="{00000008-DF06-478B-9C0A-E02FE45DC6C5}"/>
            </c:ext>
          </c:extLst>
        </c:ser>
        <c:ser>
          <c:idx val="12"/>
          <c:order val="9"/>
          <c:tx>
            <c:strRef>
              <c:f>'Vehicle data-proc2023'!$U$29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data-proc2023'!$AD$29:$AJ$29</c15:sqref>
                  </c15:fullRef>
                </c:ext>
              </c:extLst>
              <c:f>'Vehicle data-proc2023'!$AE$29:$AJ$29</c:f>
              <c:numCache>
                <c:formatCode>_(* #,##0_);_(* \(#,##0\);_(* "-"??_);_(@_)</c:formatCode>
                <c:ptCount val="6"/>
                <c:pt idx="0">
                  <c:v>396599.43072780268</c:v>
                </c:pt>
                <c:pt idx="1">
                  <c:v>400607.99761902145</c:v>
                </c:pt>
                <c:pt idx="2">
                  <c:v>404616.56451024022</c:v>
                </c:pt>
                <c:pt idx="3">
                  <c:v>407703.15451742715</c:v>
                </c:pt>
                <c:pt idx="4">
                  <c:v>410789.74452461401</c:v>
                </c:pt>
                <c:pt idx="5">
                  <c:v>414211.03231367638</c:v>
                </c:pt>
              </c:numCache>
            </c:numRef>
          </c:val>
          <c:smooth val="0"/>
          <c:extLst>
            <c:ext xmlns:c16="http://schemas.microsoft.com/office/drawing/2014/chart" uri="{C3380CC4-5D6E-409C-BE32-E72D297353CC}">
              <c16:uniqueId val="{00000009-DF06-478B-9C0A-E02FE45DC6C5}"/>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data-proc2023'!$C$276:$K$276</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02FA-49C2-BB32-EC8A61222CC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data-proc2023'!$C$278:$K$278</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02FA-49C2-BB32-EC8A61222CCD}"/>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data-proc2023'!$C$276:$K$276</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B832-4A24-82B6-FC62B174442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data-proc2023'!$C$277:$K$277</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B832-4A24-82B6-FC62B1744423}"/>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data-proc2023'!$C$275:$K$275</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data-proc2023'!$C$278:$K$278</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B832-4A24-82B6-FC62B1744423}"/>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data-proc2023'!$AD$121:$AJ$121</c:f>
              <c:numCache>
                <c:formatCode>0</c:formatCode>
                <c:ptCount val="7"/>
                <c:pt idx="0">
                  <c:v>2010</c:v>
                </c:pt>
                <c:pt idx="1">
                  <c:v>2018</c:v>
                </c:pt>
                <c:pt idx="2">
                  <c:v>2020</c:v>
                </c:pt>
                <c:pt idx="3">
                  <c:v>2030</c:v>
                </c:pt>
                <c:pt idx="4">
                  <c:v>2040</c:v>
                </c:pt>
                <c:pt idx="5">
                  <c:v>2050</c:v>
                </c:pt>
              </c:numCache>
            </c:numRef>
          </c:xVal>
          <c:yVal>
            <c:numRef>
              <c:f>'Vehicle data-proc2023'!$AD$122:$AJ$122</c:f>
              <c:numCache>
                <c:formatCode>0.0000</c:formatCode>
                <c:ptCount val="7"/>
                <c:pt idx="0">
                  <c:v>4.2113457361265105</c:v>
                </c:pt>
                <c:pt idx="1">
                  <c:v>2.0232263513513513</c:v>
                </c:pt>
                <c:pt idx="2">
                  <c:v>2.6404042872112137</c:v>
                </c:pt>
                <c:pt idx="3">
                  <c:v>1</c:v>
                </c:pt>
                <c:pt idx="4">
                  <c:v>1</c:v>
                </c:pt>
                <c:pt idx="5">
                  <c:v>1</c:v>
                </c:pt>
              </c:numCache>
            </c:numRef>
          </c:yVal>
          <c:smooth val="0"/>
          <c:extLst>
            <c:ext xmlns:c16="http://schemas.microsoft.com/office/drawing/2014/chart" uri="{C3380CC4-5D6E-409C-BE32-E72D297353CC}">
              <c16:uniqueId val="{00000000-2287-4CFE-AC20-14CE4E5976C6}"/>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data-proc2023'!$AI$1</c:f>
              <c:strCache>
                <c:ptCount val="1"/>
                <c:pt idx="0">
                  <c:v>PAS</c:v>
                </c:pt>
              </c:strCache>
            </c:strRef>
          </c:tx>
          <c:spPr>
            <a:ln w="28575" cap="rnd">
              <a:solidFill>
                <a:schemeClr val="accent1"/>
              </a:solidFill>
              <a:round/>
            </a:ln>
            <a:effectLst/>
          </c:spPr>
          <c:marker>
            <c:symbol val="none"/>
          </c:marker>
          <c:cat>
            <c:numRef>
              <c:f>'Vehicle data-proc2023'!$AL$16:$AP$16</c:f>
              <c:numCache>
                <c:formatCode>General</c:formatCode>
                <c:ptCount val="5"/>
                <c:pt idx="0">
                  <c:v>2017</c:v>
                </c:pt>
                <c:pt idx="1">
                  <c:v>2020</c:v>
                </c:pt>
                <c:pt idx="2">
                  <c:v>2030</c:v>
                </c:pt>
                <c:pt idx="3">
                  <c:v>2040</c:v>
                </c:pt>
                <c:pt idx="4">
                  <c:v>2050</c:v>
                </c:pt>
              </c:numCache>
            </c:numRef>
          </c:cat>
          <c:val>
            <c:numRef>
              <c:f>'Vehicle data-proc2023'!$AL$1:$AP$1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0B14-492E-935B-8B879DE1A3D4}"/>
            </c:ext>
          </c:extLst>
        </c:ser>
        <c:ser>
          <c:idx val="1"/>
          <c:order val="1"/>
          <c:tx>
            <c:strRef>
              <c:f>'Vehicle data-proc2023'!$AI$2</c:f>
              <c:strCache>
                <c:ptCount val="1"/>
                <c:pt idx="0">
                  <c:v>FRE</c:v>
                </c:pt>
              </c:strCache>
            </c:strRef>
          </c:tx>
          <c:spPr>
            <a:ln w="28575" cap="rnd">
              <a:solidFill>
                <a:schemeClr val="accent2"/>
              </a:solidFill>
              <a:round/>
            </a:ln>
            <a:effectLst/>
          </c:spPr>
          <c:marker>
            <c:symbol val="none"/>
          </c:marker>
          <c:val>
            <c:numRef>
              <c:f>'Vehicle data-proc2023'!$AL$2:$AP$2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0B14-492E-935B-8B879DE1A3D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data-proc2023'!$AK$20</c:f>
              <c:strCache>
                <c:ptCount val="1"/>
                <c:pt idx="0">
                  <c:v> CAROGS </c:v>
                </c:pt>
              </c:strCache>
            </c:strRef>
          </c:tx>
          <c:spPr>
            <a:ln w="28575" cap="rnd">
              <a:solidFill>
                <a:schemeClr val="accent1"/>
              </a:solidFill>
              <a:round/>
            </a:ln>
            <a:effectLst/>
          </c:spPr>
          <c:marker>
            <c:symbol val="none"/>
          </c:marker>
          <c:val>
            <c:numRef>
              <c:f>'Vehicle data-proc2023'!$AZ$20:$BD$20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0CE0-4F0D-A4C5-C1C4649D2153}"/>
            </c:ext>
          </c:extLst>
        </c:ser>
        <c:ser>
          <c:idx val="0"/>
          <c:order val="1"/>
          <c:tx>
            <c:strRef>
              <c:f>'Vehicle data-proc2023'!$AK$98</c:f>
              <c:strCache>
                <c:ptCount val="1"/>
                <c:pt idx="0">
                  <c:v> CV6ODS </c:v>
                </c:pt>
              </c:strCache>
            </c:strRef>
          </c:tx>
          <c:spPr>
            <a:ln w="28575" cap="rnd">
              <a:solidFill>
                <a:srgbClr val="C00000"/>
              </a:solidFill>
              <a:round/>
            </a:ln>
            <a:effectLst/>
          </c:spPr>
          <c:marker>
            <c:symbol val="none"/>
          </c:marker>
          <c:val>
            <c:numRef>
              <c:f>'Vehicle data-proc2023'!$AZ$98:$BD$98</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0CE0-4F0D-A4C5-C1C4649D2153}"/>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VehicleCostData2023!$C$15:$C$19</c:f>
              <c:numCache>
                <c:formatCode>General</c:formatCode>
                <c:ptCount val="5"/>
                <c:pt idx="0">
                  <c:v>1</c:v>
                </c:pt>
                <c:pt idx="1">
                  <c:v>47</c:v>
                </c:pt>
                <c:pt idx="2">
                  <c:v>94</c:v>
                </c:pt>
                <c:pt idx="3">
                  <c:v>141</c:v>
                </c:pt>
                <c:pt idx="4">
                  <c:v>187</c:v>
                </c:pt>
              </c:numCache>
            </c:numRef>
          </c:xVal>
          <c:yVal>
            <c:numRef>
              <c:f>VehicleCostData2023!$D$15:$D$19</c:f>
              <c:numCache>
                <c:formatCode>General</c:formatCode>
                <c:ptCount val="5"/>
                <c:pt idx="0">
                  <c:v>179000</c:v>
                </c:pt>
                <c:pt idx="1">
                  <c:v>229900</c:v>
                </c:pt>
                <c:pt idx="2">
                  <c:v>273900</c:v>
                </c:pt>
                <c:pt idx="3">
                  <c:v>310000</c:v>
                </c:pt>
                <c:pt idx="4">
                  <c:v>412500</c:v>
                </c:pt>
              </c:numCache>
            </c:numRef>
          </c:yVal>
          <c:smooth val="0"/>
          <c:extLst>
            <c:ext xmlns:c16="http://schemas.microsoft.com/office/drawing/2014/chart" uri="{C3380CC4-5D6E-409C-BE32-E72D297353CC}">
              <c16:uniqueId val="{00000001-30EE-4E46-BC34-EBACFC5AC20B}"/>
            </c:ext>
          </c:extLst>
        </c:ser>
        <c:dLbls>
          <c:showLegendKey val="0"/>
          <c:showVal val="0"/>
          <c:showCatName val="0"/>
          <c:showSerName val="0"/>
          <c:showPercent val="0"/>
          <c:showBubbleSize val="0"/>
        </c:dLbls>
        <c:axId val="894533199"/>
        <c:axId val="1720934416"/>
      </c:scatterChart>
      <c:valAx>
        <c:axId val="894533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934416"/>
        <c:crosses val="autoZero"/>
        <c:crossBetween val="midCat"/>
      </c:valAx>
      <c:valAx>
        <c:axId val="172093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5331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data-NDC2020'!$U$20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data-NDC2020'!$V$20:$AB$20</c15:sqref>
                  </c15:fullRef>
                </c:ext>
              </c:extLst>
              <c:f>'Vehicle data-NDC2020'!$W$20:$AB$20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DE42-4FF3-BB6A-7693D7C047B0}"/>
            </c:ext>
          </c:extLst>
        </c:ser>
        <c:ser>
          <c:idx val="4"/>
          <c:order val="1"/>
          <c:tx>
            <c:strRef>
              <c:f>'Vehicle data-NDC2020'!$U$21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data-NDC2020'!$V$21:$AB$21</c15:sqref>
                  </c15:fullRef>
                </c:ext>
              </c:extLst>
              <c:f>'Vehicle data-NDC2020'!$W$21:$AB$21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DE42-4FF3-BB6A-7693D7C047B0}"/>
            </c:ext>
          </c:extLst>
        </c:ser>
        <c:ser>
          <c:idx val="5"/>
          <c:order val="2"/>
          <c:tx>
            <c:strRef>
              <c:f>'Vehicle data-NDC2020'!$U$22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data-NDC2020'!$V$22:$AB$22</c15:sqref>
                  </c15:fullRef>
                </c:ext>
              </c:extLst>
              <c:f>'Vehicle data-NDC2020'!$W$22:$AB$22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DE42-4FF3-BB6A-7693D7C047B0}"/>
            </c:ext>
          </c:extLst>
        </c:ser>
        <c:ser>
          <c:idx val="6"/>
          <c:order val="3"/>
          <c:tx>
            <c:strRef>
              <c:f>'Vehicle data-NDC2020'!$U$23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data-NDC2020'!$V$23:$AB$23</c15:sqref>
                  </c15:fullRef>
                </c:ext>
              </c:extLst>
              <c:f>'Vehicle data-NDC2020'!$W$23:$AB$23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DE42-4FF3-BB6A-7693D7C047B0}"/>
            </c:ext>
          </c:extLst>
        </c:ser>
        <c:ser>
          <c:idx val="7"/>
          <c:order val="4"/>
          <c:tx>
            <c:strRef>
              <c:f>'Vehicle data-NDC2020'!$U$24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data-NDC2020'!$V$24:$AB$24</c15:sqref>
                  </c15:fullRef>
                </c:ext>
              </c:extLst>
              <c:f>'Vehicle data-NDC2020'!$W$24:$AB$24</c:f>
              <c:numCache>
                <c:formatCode>_(* #,##0_);_(* \(#,##0\);_(* "-"??_);_(@_)</c:formatCode>
                <c:ptCount val="6"/>
                <c:pt idx="0">
                  <c:v>660653.07425353606</c:v>
                </c:pt>
                <c:pt idx="1">
                  <c:v>655423.85807417962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4-DE42-4FF3-BB6A-7693D7C047B0}"/>
            </c:ext>
          </c:extLst>
        </c:ser>
        <c:ser>
          <c:idx val="8"/>
          <c:order val="5"/>
          <c:tx>
            <c:strRef>
              <c:f>'Vehicle data-NDC2020'!$U$25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data-NDC2020'!$V$25:$AB$25</c15:sqref>
                  </c15:fullRef>
                </c:ext>
              </c:extLst>
              <c:f>'Vehicle data-NDC2020'!$W$25:$AB$25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DE42-4FF3-BB6A-7693D7C047B0}"/>
            </c:ext>
          </c:extLst>
        </c:ser>
        <c:ser>
          <c:idx val="9"/>
          <c:order val="6"/>
          <c:tx>
            <c:strRef>
              <c:f>'Vehicle data-NDC2020'!$U$26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data-NDC2020'!$V$26:$AB$26</c15:sqref>
                  </c15:fullRef>
                </c:ext>
              </c:extLst>
              <c:f>'Vehicle data-NDC2020'!$W$26:$AB$26</c:f>
              <c:numCache>
                <c:formatCode>_(* #,##0_);_(* \(#,##0\);_(* "-"??_);_(@_)</c:formatCode>
                <c:ptCount val="6"/>
                <c:pt idx="0">
                  <c:v>878668.58875720296</c:v>
                </c:pt>
                <c:pt idx="1">
                  <c:v>851972.15227518079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6-DE42-4FF3-BB6A-7693D7C047B0}"/>
            </c:ext>
          </c:extLst>
        </c:ser>
        <c:ser>
          <c:idx val="10"/>
          <c:order val="7"/>
          <c:tx>
            <c:strRef>
              <c:f>'Vehicle data-NDC2020'!$U$27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data-NDC2020'!$V$27:$AB$27</c15:sqref>
                  </c15:fullRef>
                </c:ext>
              </c:extLst>
              <c:f>'Vehicle data-NDC2020'!$W$27:$AB$27</c:f>
              <c:numCache>
                <c:formatCode>_(* #,##0_);_(* \(#,##0\);_(* "-"??_);_(@_)</c:formatCode>
                <c:ptCount val="6"/>
                <c:pt idx="0">
                  <c:v>634656.26496922225</c:v>
                </c:pt>
                <c:pt idx="1">
                  <c:v>580104.67292909464</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DE42-4FF3-BB6A-7693D7C047B0}"/>
            </c:ext>
          </c:extLst>
        </c:ser>
        <c:ser>
          <c:idx val="11"/>
          <c:order val="8"/>
          <c:tx>
            <c:strRef>
              <c:f>'Vehicle data-NDC2020'!$U$28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data-NDC2020'!$V$28:$AB$28</c15:sqref>
                  </c15:fullRef>
                </c:ext>
              </c:extLst>
              <c:f>'Vehicle data-NDC2020'!$W$28:$AB$28</c:f>
              <c:numCache>
                <c:formatCode>_(* #,##0_);_(* \(#,##0\);_(* "-"??_);_(@_)</c:formatCode>
                <c:ptCount val="6"/>
                <c:pt idx="0">
                  <c:v>951984.39745383337</c:v>
                </c:pt>
                <c:pt idx="1">
                  <c:v>726239.93374644255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8-DE42-4FF3-BB6A-7693D7C047B0}"/>
            </c:ext>
          </c:extLst>
        </c:ser>
        <c:ser>
          <c:idx val="12"/>
          <c:order val="9"/>
          <c:tx>
            <c:strRef>
              <c:f>'Vehicle data-NDC2020'!$U$29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data-NDC2020'!$V$29:$AB$29</c15:sqref>
                  </c15:fullRef>
                </c:ext>
              </c:extLst>
              <c:f>'Vehicle data-NDC2020'!$W$29:$AB$29</c:f>
              <c:numCache>
                <c:formatCode>_(* #,##0_);_(* \(#,##0\);_(* "-"??_);_(@_)</c:formatCode>
                <c:ptCount val="6"/>
                <c:pt idx="0">
                  <c:v>396599.43072780268</c:v>
                </c:pt>
                <c:pt idx="1">
                  <c:v>400607.99761902145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9-DE42-4FF3-BB6A-7693D7C047B0}"/>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2F4F-4ED6-B4FF-37D21E2EE6B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F4F-4ED6-B4FF-37D21E2EE6BC}"/>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98BD-4CD5-A4E5-4B41926293E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98BD-4CD5-A4E5-4B41926293EC}"/>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98BD-4CD5-A4E5-4B41926293EC}"/>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data-NDC2020'!$V$115:$AB$115</c:f>
              <c:numCache>
                <c:formatCode>0</c:formatCode>
                <c:ptCount val="7"/>
                <c:pt idx="0">
                  <c:v>2010</c:v>
                </c:pt>
                <c:pt idx="1">
                  <c:v>2018</c:v>
                </c:pt>
                <c:pt idx="2">
                  <c:v>2020</c:v>
                </c:pt>
                <c:pt idx="3">
                  <c:v>2030</c:v>
                </c:pt>
                <c:pt idx="4">
                  <c:v>2040</c:v>
                </c:pt>
                <c:pt idx="5">
                  <c:v>2050</c:v>
                </c:pt>
              </c:numCache>
            </c:numRef>
          </c:xVal>
          <c:yVal>
            <c:numRef>
              <c:f>'Vehicle data-NDC2020'!$V$116:$AB$116</c:f>
              <c:numCache>
                <c:formatCode>0.0000</c:formatCode>
                <c:ptCount val="7"/>
                <c:pt idx="0">
                  <c:v>4.2113457361265105</c:v>
                </c:pt>
                <c:pt idx="1">
                  <c:v>2.0232263513513513</c:v>
                </c:pt>
                <c:pt idx="2">
                  <c:v>2.6404042872112137</c:v>
                </c:pt>
                <c:pt idx="3">
                  <c:v>1</c:v>
                </c:pt>
                <c:pt idx="4">
                  <c:v>1</c:v>
                </c:pt>
                <c:pt idx="5">
                  <c:v>1</c:v>
                </c:pt>
              </c:numCache>
            </c:numRef>
          </c:yVal>
          <c:smooth val="0"/>
          <c:extLst>
            <c:ext xmlns:c16="http://schemas.microsoft.com/office/drawing/2014/chart" uri="{C3380CC4-5D6E-409C-BE32-E72D297353CC}">
              <c16:uniqueId val="{00000000-C75B-4DE4-B407-0FEC3B2BCAE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data-NDC2020'!$AA$1</c:f>
              <c:strCache>
                <c:ptCount val="1"/>
                <c:pt idx="0">
                  <c:v>PAS</c:v>
                </c:pt>
              </c:strCache>
            </c:strRef>
          </c:tx>
          <c:spPr>
            <a:ln w="28575" cap="rnd">
              <a:solidFill>
                <a:schemeClr val="accent1"/>
              </a:solidFill>
              <a:round/>
            </a:ln>
            <a:effectLst/>
          </c:spPr>
          <c:marker>
            <c:symbol val="none"/>
          </c:marker>
          <c:cat>
            <c:numRef>
              <c:f>'Vehicle data-NDC2020'!$AD$16:$AH$16</c:f>
              <c:numCache>
                <c:formatCode>General</c:formatCode>
                <c:ptCount val="5"/>
                <c:pt idx="0">
                  <c:v>2017</c:v>
                </c:pt>
                <c:pt idx="1">
                  <c:v>2020</c:v>
                </c:pt>
                <c:pt idx="2">
                  <c:v>2030</c:v>
                </c:pt>
                <c:pt idx="3">
                  <c:v>2040</c:v>
                </c:pt>
                <c:pt idx="4">
                  <c:v>2050</c:v>
                </c:pt>
              </c:numCache>
            </c:numRef>
          </c:cat>
          <c:val>
            <c:numRef>
              <c:f>'Vehicle data-NDC2020'!$AD$1:$AH$1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8A80-4016-9486-B5775BE844FE}"/>
            </c:ext>
          </c:extLst>
        </c:ser>
        <c:ser>
          <c:idx val="1"/>
          <c:order val="1"/>
          <c:tx>
            <c:strRef>
              <c:f>'Vehicle data-NDC2020'!$AA$2</c:f>
              <c:strCache>
                <c:ptCount val="1"/>
                <c:pt idx="0">
                  <c:v>FRE</c:v>
                </c:pt>
              </c:strCache>
            </c:strRef>
          </c:tx>
          <c:spPr>
            <a:ln w="28575" cap="rnd">
              <a:solidFill>
                <a:schemeClr val="accent2"/>
              </a:solidFill>
              <a:round/>
            </a:ln>
            <a:effectLst/>
          </c:spPr>
          <c:marker>
            <c:symbol val="none"/>
          </c:marker>
          <c:val>
            <c:numRef>
              <c:f>'Vehicle data-NDC2020'!$AD$2:$AH$2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8A80-4016-9486-B5775BE844FE}"/>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data-NDC2020'!$AC$20</c:f>
              <c:strCache>
                <c:ptCount val="1"/>
                <c:pt idx="0">
                  <c:v> CAROGS </c:v>
                </c:pt>
              </c:strCache>
            </c:strRef>
          </c:tx>
          <c:spPr>
            <a:ln w="28575" cap="rnd">
              <a:solidFill>
                <a:schemeClr val="accent1"/>
              </a:solidFill>
              <a:round/>
            </a:ln>
            <a:effectLst/>
          </c:spPr>
          <c:marker>
            <c:symbol val="none"/>
          </c:marker>
          <c:val>
            <c:numRef>
              <c:f>'Vehicle data-NDC2020'!$AR$20:$AV$20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A959-48C4-AD2D-BCCB8700349C}"/>
            </c:ext>
          </c:extLst>
        </c:ser>
        <c:ser>
          <c:idx val="0"/>
          <c:order val="1"/>
          <c:tx>
            <c:strRef>
              <c:f>'Vehicle data-NDC2020'!$AC$96</c:f>
              <c:strCache>
                <c:ptCount val="1"/>
                <c:pt idx="0">
                  <c:v> CV6ODS </c:v>
                </c:pt>
              </c:strCache>
            </c:strRef>
          </c:tx>
          <c:spPr>
            <a:ln w="28575" cap="rnd">
              <a:solidFill>
                <a:srgbClr val="C00000"/>
              </a:solidFill>
              <a:round/>
            </a:ln>
            <a:effectLst/>
          </c:spPr>
          <c:marker>
            <c:symbol val="none"/>
          </c:marker>
          <c:val>
            <c:numRef>
              <c:f>'Vehicle data-NDC2020'!$AR$96:$AV$96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A959-48C4-AD2D-BCCB8700349C}"/>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 '!$U$20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'!$V$20:$AB$20</c15:sqref>
                  </c15:fullRef>
                </c:ext>
              </c:extLst>
              <c:f>'Vehicle data '!$W$20:$AB$20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6F6D-4C84-99AC-5496E38F061B}"/>
            </c:ext>
          </c:extLst>
        </c:ser>
        <c:ser>
          <c:idx val="4"/>
          <c:order val="1"/>
          <c:tx>
            <c:strRef>
              <c:f>'Vehicle data '!$U$21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'!$V$21:$AB$21</c15:sqref>
                  </c15:fullRef>
                </c:ext>
              </c:extLst>
              <c:f>'Vehicle data '!$W$21:$AB$21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6F6D-4C84-99AC-5496E38F061B}"/>
            </c:ext>
          </c:extLst>
        </c:ser>
        <c:ser>
          <c:idx val="5"/>
          <c:order val="2"/>
          <c:tx>
            <c:strRef>
              <c:f>'Vehicle data '!$U$22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'!$V$22:$AB$22</c15:sqref>
                  </c15:fullRef>
                </c:ext>
              </c:extLst>
              <c:f>'Vehicle data '!$W$22:$AB$22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6F6D-4C84-99AC-5496E38F061B}"/>
            </c:ext>
          </c:extLst>
        </c:ser>
        <c:ser>
          <c:idx val="6"/>
          <c:order val="3"/>
          <c:tx>
            <c:strRef>
              <c:f>'Vehicle data '!$U$23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'!$V$23:$AB$23</c15:sqref>
                  </c15:fullRef>
                </c:ext>
              </c:extLst>
              <c:f>'Vehicle data '!$W$23:$AB$23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6F6D-4C84-99AC-5496E38F061B}"/>
            </c:ext>
          </c:extLst>
        </c:ser>
        <c:ser>
          <c:idx val="7"/>
          <c:order val="4"/>
          <c:tx>
            <c:strRef>
              <c:f>'Vehicle data '!$U$24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'!$V$24:$AB$24</c15:sqref>
                  </c15:fullRef>
                </c:ext>
              </c:extLst>
              <c:f>'Vehicle data '!$W$24:$AB$24</c:f>
              <c:numCache>
                <c:formatCode>_(* #,##0_);_(* \(#,##0\);_(* "-"??_);_(@_)</c:formatCode>
                <c:ptCount val="6"/>
                <c:pt idx="0">
                  <c:v>660653.07425353606</c:v>
                </c:pt>
                <c:pt idx="1">
                  <c:v>655423.85807417962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4-6F6D-4C84-99AC-5496E38F061B}"/>
            </c:ext>
          </c:extLst>
        </c:ser>
        <c:ser>
          <c:idx val="8"/>
          <c:order val="5"/>
          <c:tx>
            <c:strRef>
              <c:f>'Vehicle data '!$U$25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'!$V$25:$AB$25</c15:sqref>
                  </c15:fullRef>
                </c:ext>
              </c:extLst>
              <c:f>'Vehicle data '!$W$25:$AB$25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6F6D-4C84-99AC-5496E38F061B}"/>
            </c:ext>
          </c:extLst>
        </c:ser>
        <c:ser>
          <c:idx val="9"/>
          <c:order val="6"/>
          <c:tx>
            <c:strRef>
              <c:f>'Vehicle data '!$U$26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'!$V$26:$AB$26</c15:sqref>
                  </c15:fullRef>
                </c:ext>
              </c:extLst>
              <c:f>'Vehicle data '!$W$26:$AB$26</c:f>
              <c:numCache>
                <c:formatCode>_(* #,##0_);_(* \(#,##0\);_(* "-"??_);_(@_)</c:formatCode>
                <c:ptCount val="6"/>
                <c:pt idx="0">
                  <c:v>878668.58875720296</c:v>
                </c:pt>
                <c:pt idx="1">
                  <c:v>851972.15227518079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6-6F6D-4C84-99AC-5496E38F061B}"/>
            </c:ext>
          </c:extLst>
        </c:ser>
        <c:ser>
          <c:idx val="10"/>
          <c:order val="7"/>
          <c:tx>
            <c:strRef>
              <c:f>'Vehicle data '!$U$27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'!$V$27:$AB$27</c15:sqref>
                  </c15:fullRef>
                </c:ext>
              </c:extLst>
              <c:f>'Vehicle data '!$W$27:$AB$27</c:f>
              <c:numCache>
                <c:formatCode>_(* #,##0_);_(* \(#,##0\);_(* "-"??_);_(@_)</c:formatCode>
                <c:ptCount val="6"/>
                <c:pt idx="0">
                  <c:v>634656.26496922225</c:v>
                </c:pt>
                <c:pt idx="1">
                  <c:v>580104.67292909464</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6F6D-4C84-99AC-5496E38F061B}"/>
            </c:ext>
          </c:extLst>
        </c:ser>
        <c:ser>
          <c:idx val="11"/>
          <c:order val="8"/>
          <c:tx>
            <c:strRef>
              <c:f>'Vehicle data '!$U$28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'!$V$28:$AB$28</c15:sqref>
                  </c15:fullRef>
                </c:ext>
              </c:extLst>
              <c:f>'Vehicle data '!$W$28:$AB$28</c:f>
              <c:numCache>
                <c:formatCode>_(* #,##0_);_(* \(#,##0\);_(* "-"??_);_(@_)</c:formatCode>
                <c:ptCount val="6"/>
                <c:pt idx="0">
                  <c:v>951984.39745383337</c:v>
                </c:pt>
                <c:pt idx="1">
                  <c:v>726239.93374644255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8-6F6D-4C84-99AC-5496E38F061B}"/>
            </c:ext>
          </c:extLst>
        </c:ser>
        <c:ser>
          <c:idx val="12"/>
          <c:order val="9"/>
          <c:tx>
            <c:strRef>
              <c:f>'Vehicle data '!$U$29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'!$V$29:$AB$29</c15:sqref>
                  </c15:fullRef>
                </c:ext>
              </c:extLst>
              <c:f>'Vehicle data '!$W$29:$AB$29</c:f>
              <c:numCache>
                <c:formatCode>_(* #,##0_);_(* \(#,##0\);_(* "-"??_);_(@_)</c:formatCode>
                <c:ptCount val="6"/>
                <c:pt idx="0">
                  <c:v>396599.43072780268</c:v>
                </c:pt>
                <c:pt idx="1">
                  <c:v>400607.99761902145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9-6F6D-4C84-99AC-5496E38F061B}"/>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F363-4966-8BCF-4DA0216BC996}"/>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F363-4966-8BCF-4DA0216BC996}"/>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238B-459C-A801-B597B0AFEBB1}"/>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238B-459C-A801-B597B0AFEBB1}"/>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38B-459C-A801-B597B0AFEBB1}"/>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'!$V$115:$AB$115</c:f>
              <c:numCache>
                <c:formatCode>0</c:formatCode>
                <c:ptCount val="7"/>
                <c:pt idx="0">
                  <c:v>2010</c:v>
                </c:pt>
                <c:pt idx="1">
                  <c:v>2018</c:v>
                </c:pt>
                <c:pt idx="2">
                  <c:v>2020</c:v>
                </c:pt>
                <c:pt idx="3">
                  <c:v>2030</c:v>
                </c:pt>
                <c:pt idx="4">
                  <c:v>2040</c:v>
                </c:pt>
                <c:pt idx="5">
                  <c:v>2050</c:v>
                </c:pt>
              </c:numCache>
            </c:numRef>
          </c:xVal>
          <c:yVal>
            <c:numRef>
              <c:f>'Vehicle data '!$V$116:$AB$116</c:f>
              <c:numCache>
                <c:formatCode>0.0000</c:formatCode>
                <c:ptCount val="7"/>
                <c:pt idx="0">
                  <c:v>4.2113457361265105</c:v>
                </c:pt>
                <c:pt idx="1">
                  <c:v>2.0232263513513513</c:v>
                </c:pt>
                <c:pt idx="2">
                  <c:v>2.6404042872112137</c:v>
                </c:pt>
                <c:pt idx="3">
                  <c:v>1</c:v>
                </c:pt>
                <c:pt idx="4">
                  <c:v>1</c:v>
                </c:pt>
                <c:pt idx="5">
                  <c:v>1</c:v>
                </c:pt>
              </c:numCache>
            </c:numRef>
          </c:yVal>
          <c:smooth val="0"/>
          <c:extLst>
            <c:ext xmlns:c16="http://schemas.microsoft.com/office/drawing/2014/chart" uri="{C3380CC4-5D6E-409C-BE32-E72D297353CC}">
              <c16:uniqueId val="{00000000-595E-4E0C-8004-85999CC1625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 '!$AA$1</c:f>
              <c:strCache>
                <c:ptCount val="1"/>
                <c:pt idx="0">
                  <c:v>PAS</c:v>
                </c:pt>
              </c:strCache>
            </c:strRef>
          </c:tx>
          <c:spPr>
            <a:ln w="28575" cap="rnd">
              <a:solidFill>
                <a:schemeClr val="accent1"/>
              </a:solidFill>
              <a:round/>
            </a:ln>
            <a:effectLst/>
          </c:spPr>
          <c:marker>
            <c:symbol val="none"/>
          </c:marker>
          <c:cat>
            <c:numRef>
              <c:f>'Vehicle data '!$AD$16:$AH$16</c:f>
              <c:numCache>
                <c:formatCode>General</c:formatCode>
                <c:ptCount val="5"/>
                <c:pt idx="0">
                  <c:v>2010</c:v>
                </c:pt>
                <c:pt idx="1">
                  <c:v>2020</c:v>
                </c:pt>
                <c:pt idx="2">
                  <c:v>2030</c:v>
                </c:pt>
                <c:pt idx="3">
                  <c:v>2040</c:v>
                </c:pt>
                <c:pt idx="4">
                  <c:v>2050</c:v>
                </c:pt>
              </c:numCache>
            </c:numRef>
          </c:cat>
          <c:val>
            <c:numRef>
              <c:f>'Vehicle data '!$AD$1:$AH$1</c:f>
              <c:numCache>
                <c:formatCode>General</c:formatCode>
                <c:ptCount val="5"/>
                <c:pt idx="0">
                  <c:v>-5.0000000000000001E-3</c:v>
                </c:pt>
                <c:pt idx="1">
                  <c:v>-5.0000000000000001E-3</c:v>
                </c:pt>
                <c:pt idx="2">
                  <c:v>-5.0000000000000001E-3</c:v>
                </c:pt>
                <c:pt idx="3">
                  <c:v>-5.0000000000000001E-3</c:v>
                </c:pt>
                <c:pt idx="4">
                  <c:v>-5.0000000000000001E-3</c:v>
                </c:pt>
              </c:numCache>
            </c:numRef>
          </c:val>
          <c:smooth val="0"/>
          <c:extLst>
            <c:ext xmlns:c16="http://schemas.microsoft.com/office/drawing/2014/chart" uri="{C3380CC4-5D6E-409C-BE32-E72D297353CC}">
              <c16:uniqueId val="{00000000-5CB8-4DDE-A572-86634E1D3534}"/>
            </c:ext>
          </c:extLst>
        </c:ser>
        <c:ser>
          <c:idx val="1"/>
          <c:order val="1"/>
          <c:tx>
            <c:strRef>
              <c:f>'Vehicle data '!$AA$2</c:f>
              <c:strCache>
                <c:ptCount val="1"/>
                <c:pt idx="0">
                  <c:v>FRE</c:v>
                </c:pt>
              </c:strCache>
            </c:strRef>
          </c:tx>
          <c:spPr>
            <a:ln w="28575" cap="rnd">
              <a:solidFill>
                <a:schemeClr val="accent2"/>
              </a:solidFill>
              <a:round/>
            </a:ln>
            <a:effectLst/>
          </c:spPr>
          <c:marker>
            <c:symbol val="none"/>
          </c:marker>
          <c:val>
            <c:numRef>
              <c:f>'Vehicle data '!$AD$2:$AH$2</c:f>
              <c:numCache>
                <c:formatCode>General</c:formatCode>
                <c:ptCount val="5"/>
                <c:pt idx="0">
                  <c:v>-1E-3</c:v>
                </c:pt>
                <c:pt idx="1">
                  <c:v>-1E-3</c:v>
                </c:pt>
                <c:pt idx="2">
                  <c:v>-1E-3</c:v>
                </c:pt>
                <c:pt idx="3">
                  <c:v>-1E-3</c:v>
                </c:pt>
                <c:pt idx="4">
                  <c:v>-1E-3</c:v>
                </c:pt>
              </c:numCache>
            </c:numRef>
          </c:val>
          <c:smooth val="0"/>
          <c:extLst>
            <c:ext xmlns:c16="http://schemas.microsoft.com/office/drawing/2014/chart" uri="{C3380CC4-5D6E-409C-BE32-E72D297353CC}">
              <c16:uniqueId val="{00000001-5CB8-4DDE-A572-86634E1D353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chart" Target="../charts/chart1.xml"/><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7.emf"/><Relationship Id="rId1" Type="http://schemas.openxmlformats.org/officeDocument/2006/relationships/image" Target="../media/image6.emf"/></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4.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3.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11.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10.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0.xml"/><Relationship Id="rId2" Type="http://schemas.openxmlformats.org/officeDocument/2006/relationships/image" Target="../media/image8.png"/><Relationship Id="rId1" Type="http://schemas.openxmlformats.org/officeDocument/2006/relationships/chart" Target="../charts/chart16.xml"/><Relationship Id="rId6" Type="http://schemas.openxmlformats.org/officeDocument/2006/relationships/image" Target="../media/image11.png"/><Relationship Id="rId5" Type="http://schemas.openxmlformats.org/officeDocument/2006/relationships/chart" Target="../charts/chart19.xml"/><Relationship Id="rId4"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image" Target="../media/image12.gif"/></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50" y="85725"/>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672870" y="145677"/>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0741227" y="24688798"/>
          <a:ext cx="2705101" cy="2110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5044155" y="28205206"/>
          <a:ext cx="3244104" cy="1916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1525" y="579120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963650" y="4714875"/>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7114943" y="14887575"/>
          <a:ext cx="7639282" cy="5225269"/>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60679"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760"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8592800" y="0"/>
          <a:ext cx="4052208" cy="1442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243</xdr:row>
      <xdr:rowOff>40821</xdr:rowOff>
    </xdr:from>
    <xdr:to>
      <xdr:col>8</xdr:col>
      <xdr:colOff>630011</xdr:colOff>
      <xdr:row>266</xdr:row>
      <xdr:rowOff>40821</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246</xdr:row>
      <xdr:rowOff>159203</xdr:rowOff>
    </xdr:from>
    <xdr:to>
      <xdr:col>16</xdr:col>
      <xdr:colOff>530679</xdr:colOff>
      <xdr:row>261</xdr:row>
      <xdr:rowOff>44903</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247</xdr:row>
      <xdr:rowOff>9524</xdr:rowOff>
    </xdr:from>
    <xdr:to>
      <xdr:col>30</xdr:col>
      <xdr:colOff>612322</xdr:colOff>
      <xdr:row>261</xdr:row>
      <xdr:rowOff>85724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126</xdr:row>
      <xdr:rowOff>145595</xdr:rowOff>
    </xdr:from>
    <xdr:to>
      <xdr:col>35</xdr:col>
      <xdr:colOff>176893</xdr:colOff>
      <xdr:row>139</xdr:row>
      <xdr:rowOff>163285</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321368</xdr:colOff>
      <xdr:row>1</xdr:row>
      <xdr:rowOff>108857</xdr:rowOff>
    </xdr:from>
    <xdr:to>
      <xdr:col>50</xdr:col>
      <xdr:colOff>525076</xdr:colOff>
      <xdr:row>15</xdr:row>
      <xdr:rowOff>8086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31</xdr:col>
      <xdr:colOff>219075</xdr:colOff>
      <xdr:row>10</xdr:row>
      <xdr:rowOff>114300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58</xdr:col>
      <xdr:colOff>515753</xdr:colOff>
      <xdr:row>0</xdr:row>
      <xdr:rowOff>0</xdr:rowOff>
    </xdr:from>
    <xdr:to>
      <xdr:col>71</xdr:col>
      <xdr:colOff>244930</xdr:colOff>
      <xdr:row>18</xdr:row>
      <xdr:rowOff>560178</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63</xdr:col>
      <xdr:colOff>40822</xdr:colOff>
      <xdr:row>1</xdr:row>
      <xdr:rowOff>95250</xdr:rowOff>
    </xdr:from>
    <xdr:to>
      <xdr:col>74</xdr:col>
      <xdr:colOff>463600</xdr:colOff>
      <xdr:row>20</xdr:row>
      <xdr:rowOff>76756</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50</xdr:col>
      <xdr:colOff>136071</xdr:colOff>
      <xdr:row>21</xdr:row>
      <xdr:rowOff>54429</xdr:rowOff>
    </xdr:from>
    <xdr:to>
      <xdr:col>57</xdr:col>
      <xdr:colOff>421821</xdr:colOff>
      <xdr:row>35</xdr:row>
      <xdr:rowOff>130629</xdr:rowOff>
    </xdr:to>
    <xdr:graphicFrame macro="">
      <xdr:nvGraphicFramePr>
        <xdr:cNvPr id="11" name="Chart 10">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576262</xdr:colOff>
      <xdr:row>9</xdr:row>
      <xdr:rowOff>52387</xdr:rowOff>
    </xdr:from>
    <xdr:to>
      <xdr:col>12</xdr:col>
      <xdr:colOff>490537</xdr:colOff>
      <xdr:row>22</xdr:row>
      <xdr:rowOff>128587</xdr:rowOff>
    </xdr:to>
    <xdr:graphicFrame macro="">
      <xdr:nvGraphicFramePr>
        <xdr:cNvPr id="2" name="Chart 1">
          <a:extLst>
            <a:ext uri="{FF2B5EF4-FFF2-40B4-BE49-F238E27FC236}">
              <a16:creationId xmlns:a16="http://schemas.microsoft.com/office/drawing/2014/main" id="{B763EBDD-61CA-42B9-AD3C-00AA43CBE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201EA84A-0950-4F7A-94A1-ECF835847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BBDAC60C-F4FF-44D3-BB78-399A894E29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D5F4FAA-2044-40BA-BF89-2E3FB45E3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A333F715-1CF9-40FC-A055-E54D2A460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4F45D68B-F7C5-4739-85C3-4A8CC7B41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21E2E8D3-977C-4AC2-8228-0AB620254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4A64339E-6869-4338-ADF4-D0F5A643F8DE}"/>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EBB2B308-E582-4238-B277-7D7893B9EE16}"/>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6D9D9F46-5C2B-4693-8E01-8BF621931304}"/>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405074AF-9145-4C8C-AB9C-08A4216A3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43</xdr:col>
      <xdr:colOff>227323</xdr:colOff>
      <xdr:row>0</xdr:row>
      <xdr:rowOff>0</xdr:rowOff>
    </xdr:from>
    <xdr:to>
      <xdr:col>51</xdr:col>
      <xdr:colOff>336179</xdr:colOff>
      <xdr:row>13</xdr:row>
      <xdr:rowOff>121657</xdr:rowOff>
    </xdr:to>
    <xdr:pic>
      <xdr:nvPicPr>
        <xdr:cNvPr id="7" name="Picture 6">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993698" y="0"/>
          <a:ext cx="4814206" cy="259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675155</xdr:colOff>
      <xdr:row>0</xdr:row>
      <xdr:rowOff>0</xdr:rowOff>
    </xdr:from>
    <xdr:to>
      <xdr:col>43</xdr:col>
      <xdr:colOff>89648</xdr:colOff>
      <xdr:row>13</xdr:row>
      <xdr:rowOff>89729</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142875</xdr:colOff>
      <xdr:row>53</xdr:row>
      <xdr:rowOff>19050</xdr:rowOff>
    </xdr:from>
    <xdr:ext cx="7575839" cy="3312968"/>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2875" y="10115550"/>
          <a:ext cx="7575839" cy="3312968"/>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Google%20Drive/SATIM/SANEDI%20Projects/Transport%20Project/Reports%20and%20Papers/Working%20Paper%201/Paper%201%20Working%20Spreadsheets/tkm%20scenarios_v3.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ERC%20Fileserver\Staff%20shared%20folders\Modelling%20Group\SATIM\Workbooks\TCH_SUP_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Modelling%20Group/_03_SECTORS/_TRA/adrian/TCH_TRA_TM.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ATIMGE_02/SATM/Deflator.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Models\SATIMGE_Veda\ExchangeRate_Currency_Deflator_v00.xlsx" TargetMode="External"/><Relationship Id="rId1" Type="http://schemas.openxmlformats.org/officeDocument/2006/relationships/externalLinkPath" Target="ExchangeRate_Currency_Deflator_v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1">
          <cell r="F1">
            <v>1E-8</v>
          </cell>
        </row>
        <row r="3">
          <cell r="D3" t="str">
            <v>Biogas</v>
          </cell>
          <cell r="E3" t="str">
            <v>BIG</v>
          </cell>
        </row>
        <row r="4">
          <cell r="D4" t="str">
            <v>Biomass bagasse</v>
          </cell>
          <cell r="E4" t="str">
            <v>BIB</v>
          </cell>
        </row>
        <row r="5">
          <cell r="D5" t="str">
            <v>Biomass Other</v>
          </cell>
          <cell r="E5" t="str">
            <v>BIO</v>
          </cell>
        </row>
        <row r="6">
          <cell r="D6" t="str">
            <v>Biomass Wood</v>
          </cell>
          <cell r="E6" t="str">
            <v>BIW</v>
          </cell>
        </row>
        <row r="7">
          <cell r="D7" t="str">
            <v>Coal</v>
          </cell>
          <cell r="E7" t="str">
            <v>COA</v>
          </cell>
        </row>
        <row r="8">
          <cell r="D8" t="str">
            <v>Coal Coking</v>
          </cell>
          <cell r="E8" t="str">
            <v>COK</v>
          </cell>
        </row>
        <row r="9">
          <cell r="D9" t="str">
            <v>Coal Discard</v>
          </cell>
          <cell r="E9" t="str">
            <v>CLD</v>
          </cell>
        </row>
        <row r="10">
          <cell r="D10" t="str">
            <v>Coal existing</v>
          </cell>
          <cell r="E10" t="str">
            <v>CLE</v>
          </cell>
        </row>
        <row r="11">
          <cell r="D11" t="str">
            <v>Coal for plants in Region</v>
          </cell>
          <cell r="E11" t="str">
            <v>CLR</v>
          </cell>
        </row>
        <row r="12">
          <cell r="D12" t="str">
            <v>Coal new</v>
          </cell>
          <cell r="E12" t="str">
            <v>CLN</v>
          </cell>
        </row>
        <row r="13">
          <cell r="D13" t="str">
            <v>Coal Sasol</v>
          </cell>
          <cell r="E13" t="str">
            <v>CLS</v>
          </cell>
        </row>
        <row r="14">
          <cell r="D14" t="str">
            <v>Electricity</v>
          </cell>
          <cell r="E14" t="str">
            <v>ELC</v>
          </cell>
        </row>
        <row r="15">
          <cell r="D15" t="str">
            <v>Gas</v>
          </cell>
          <cell r="E15" t="str">
            <v>GAS</v>
          </cell>
        </row>
        <row r="16">
          <cell r="D16" t="str">
            <v>Gas LNG</v>
          </cell>
          <cell r="E16" t="str">
            <v>GAL</v>
          </cell>
        </row>
        <row r="17">
          <cell r="D17" t="str">
            <v>Gas Region</v>
          </cell>
          <cell r="E17" t="str">
            <v>GAR</v>
          </cell>
        </row>
        <row r="18">
          <cell r="D18" t="str">
            <v>Hydro</v>
          </cell>
          <cell r="E18" t="str">
            <v>HYD</v>
          </cell>
        </row>
        <row r="19">
          <cell r="D19" t="str">
            <v>Hydrogen</v>
          </cell>
          <cell r="E19" t="str">
            <v>HGN</v>
          </cell>
        </row>
        <row r="20">
          <cell r="D20" t="str">
            <v>Hydrogen</v>
          </cell>
          <cell r="E20" t="str">
            <v>HFC</v>
          </cell>
        </row>
        <row r="21">
          <cell r="D21" t="str">
            <v>Nuclear</v>
          </cell>
          <cell r="E21" t="str">
            <v>NUC</v>
          </cell>
        </row>
        <row r="22">
          <cell r="D22" t="str">
            <v>Oil Av Gasoline</v>
          </cell>
          <cell r="E22" t="str">
            <v>OAG</v>
          </cell>
        </row>
        <row r="23">
          <cell r="D23" t="str">
            <v>Oil Crude</v>
          </cell>
          <cell r="E23" t="str">
            <v>OCR</v>
          </cell>
        </row>
        <row r="24">
          <cell r="D24" t="str">
            <v>Oil Diesel</v>
          </cell>
          <cell r="E24" t="str">
            <v>ODS</v>
          </cell>
        </row>
        <row r="25">
          <cell r="D25" t="str">
            <v>Oil Gasoline</v>
          </cell>
          <cell r="E25" t="str">
            <v>OGS</v>
          </cell>
        </row>
        <row r="26">
          <cell r="D26" t="str">
            <v>Oil HFO</v>
          </cell>
          <cell r="E26" t="str">
            <v>OHF</v>
          </cell>
        </row>
        <row r="27">
          <cell r="D27" t="str">
            <v>Oil Jet Fuel</v>
          </cell>
          <cell r="E27" t="str">
            <v>OKE</v>
          </cell>
        </row>
        <row r="28">
          <cell r="D28" t="str">
            <v>Oil LPG</v>
          </cell>
          <cell r="E28" t="str">
            <v>OLP</v>
          </cell>
        </row>
        <row r="29">
          <cell r="D29" t="str">
            <v>Oil Paraffin</v>
          </cell>
          <cell r="E29" t="str">
            <v>OPA</v>
          </cell>
        </row>
        <row r="30">
          <cell r="D30" t="str">
            <v>Oil Blended Gasoline-Ethanol-E85</v>
          </cell>
          <cell r="E30" t="str">
            <v>BGS</v>
          </cell>
        </row>
        <row r="31">
          <cell r="D31" t="str">
            <v>Solar</v>
          </cell>
          <cell r="E31" t="str">
            <v>SOL</v>
          </cell>
        </row>
        <row r="32">
          <cell r="D32" t="str">
            <v>Wind</v>
          </cell>
          <cell r="E32" t="str">
            <v>WND</v>
          </cell>
        </row>
        <row r="36">
          <cell r="D36" t="str">
            <v>SUV</v>
          </cell>
          <cell r="E36" t="str">
            <v>LCV</v>
          </cell>
        </row>
        <row r="37">
          <cell r="D37" t="str">
            <v>Car</v>
          </cell>
          <cell r="E37" t="str">
            <v>SUV</v>
          </cell>
        </row>
        <row r="38">
          <cell r="D38" t="str">
            <v>Car</v>
          </cell>
          <cell r="E38" t="str">
            <v>CAR</v>
          </cell>
        </row>
        <row r="39">
          <cell r="D39" t="str">
            <v>MBT</v>
          </cell>
          <cell r="E39" t="str">
            <v>MBT</v>
          </cell>
        </row>
      </sheetData>
      <sheetData sheetId="57"/>
      <sheetData sheetId="58"/>
      <sheetData sheetId="59"/>
      <sheetData sheetId="60">
        <row r="9">
          <cell r="B9">
            <v>36.607594936708864</v>
          </cell>
          <cell r="C9">
            <v>38.1</v>
          </cell>
        </row>
        <row r="13">
          <cell r="C13">
            <v>34.200000000000003</v>
          </cell>
        </row>
        <row r="43">
          <cell r="F43">
            <v>33.148148148148152</v>
          </cell>
        </row>
        <row r="46">
          <cell r="F46">
            <v>36.607594936708864</v>
          </cell>
        </row>
        <row r="50">
          <cell r="F50">
            <v>23.000259429209784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ault Dataset (7)"/>
      <sheetName val="Sheet6"/>
      <sheetName val="Load Factors"/>
      <sheetName val="Sector Diesel"/>
      <sheetName val="Sheet1"/>
      <sheetName val="Diesel 199_2012"/>
      <sheetName val="SOL"/>
      <sheetName val="GVM vs GCM"/>
      <sheetName val="Load and FC"/>
      <sheetName val="Classes &amp; Configs"/>
      <sheetName val="Constants Tables"/>
    </sheetNames>
    <sheetDataSet>
      <sheetData sheetId="0"/>
      <sheetData sheetId="1"/>
      <sheetData sheetId="2"/>
      <sheetData sheetId="3"/>
      <sheetData sheetId="4"/>
      <sheetData sheetId="5"/>
      <sheetData sheetId="6"/>
      <sheetData sheetId="7"/>
      <sheetData sheetId="8"/>
      <sheetData sheetId="9"/>
      <sheetData sheetId="10">
        <row r="8">
          <cell r="K8">
            <v>34.200000000000003</v>
          </cell>
        </row>
        <row r="48">
          <cell r="F48">
            <v>36.607594936708864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sheetName val="2006"/>
      <sheetName val="FuelPrices"/>
      <sheetName val="SUP"/>
      <sheetName val="ITEMS_STech"/>
      <sheetName val="TS STech"/>
      <sheetName val="TID STech"/>
      <sheetName val="ITEMS_Comm"/>
      <sheetName val="TS Emiss"/>
      <sheetName val="TID Emiss"/>
      <sheetName val="TS ZTech"/>
      <sheetName val="TID ZTech"/>
      <sheetName val="SasolRES"/>
      <sheetName val="Crude refineries"/>
      <sheetName val="GTL and CTL"/>
      <sheetName val="SummaryRef"/>
      <sheetName val="RefineriesData"/>
      <sheetName val="UPS"/>
      <sheetName val="ITEMS_UPS"/>
      <sheetName val="ITEMS_GRP"/>
      <sheetName val="TS_TTech"/>
      <sheetName val="TID_TTech"/>
      <sheetName val="NameConv"/>
      <sheetName val="ITEMS_XTech"/>
      <sheetName val="ITEMS_CommX"/>
      <sheetName val="TS_XTech"/>
      <sheetName val="TID_XTech"/>
      <sheetName val="ITEMS_XEmiss"/>
      <sheetName val="TS XEmiss"/>
      <sheetName val="TID XEmiss"/>
      <sheetName val="Deflator"/>
      <sheetName val="SUP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6">
          <cell r="B6" t="str">
            <v>UPS</v>
          </cell>
        </row>
      </sheetData>
      <sheetData sheetId="18"/>
      <sheetData sheetId="19"/>
      <sheetData sheetId="20"/>
      <sheetData sheetId="21"/>
      <sheetData sheetId="22">
        <row r="2">
          <cell r="V2">
            <v>16</v>
          </cell>
        </row>
        <row r="3">
          <cell r="W3" t="str">
            <v>CO2S</v>
          </cell>
          <cell r="X3" t="str">
            <v>CH4S</v>
          </cell>
          <cell r="Y3" t="str">
            <v>N2OS</v>
          </cell>
          <cell r="Z3" t="str">
            <v>SOXS</v>
          </cell>
          <cell r="AA3" t="str">
            <v>NOXS</v>
          </cell>
          <cell r="AB3" t="str">
            <v>CMOX</v>
          </cell>
          <cell r="AC3" t="str">
            <v>NMVS</v>
          </cell>
          <cell r="AD3" t="str">
            <v>P10S</v>
          </cell>
          <cell r="AE3" t="str">
            <v>CO2R</v>
          </cell>
          <cell r="AF3" t="str">
            <v>CH4R</v>
          </cell>
          <cell r="AG3" t="str">
            <v>N2OR</v>
          </cell>
          <cell r="AH3" t="str">
            <v>SOXR</v>
          </cell>
          <cell r="AI3" t="str">
            <v>NOXR</v>
          </cell>
          <cell r="AJ3" t="str">
            <v>CMOR</v>
          </cell>
          <cell r="AK3" t="str">
            <v>NMVR</v>
          </cell>
          <cell r="AL3" t="str">
            <v>P10R</v>
          </cell>
        </row>
        <row r="4">
          <cell r="V4" t="str">
            <v>BIG</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row>
        <row r="5">
          <cell r="V5" t="str">
            <v>BIB</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V6" t="str">
            <v>BIO</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V7" t="str">
            <v>BIW</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V8" t="str">
            <v>COA</v>
          </cell>
          <cell r="W8">
            <v>96.25</v>
          </cell>
          <cell r="X8">
            <v>1E-3</v>
          </cell>
          <cell r="Y8">
            <v>1.4E-3</v>
          </cell>
          <cell r="Z8">
            <v>0.62619999999999998</v>
          </cell>
          <cell r="AA8">
            <v>0.3</v>
          </cell>
          <cell r="AB8">
            <v>0.02</v>
          </cell>
          <cell r="AC8">
            <v>5.0000000000000001E-3</v>
          </cell>
          <cell r="AD8">
            <v>0</v>
          </cell>
          <cell r="AE8">
            <v>0</v>
          </cell>
          <cell r="AF8">
            <v>0</v>
          </cell>
          <cell r="AG8">
            <v>0</v>
          </cell>
          <cell r="AH8">
            <v>0</v>
          </cell>
          <cell r="AI8">
            <v>0</v>
          </cell>
          <cell r="AJ8">
            <v>0</v>
          </cell>
          <cell r="AK8">
            <v>0</v>
          </cell>
          <cell r="AL8">
            <v>0</v>
          </cell>
        </row>
        <row r="9">
          <cell r="V9" t="str">
            <v>COK</v>
          </cell>
          <cell r="W9">
            <v>94.6</v>
          </cell>
          <cell r="X9">
            <v>1E-3</v>
          </cell>
          <cell r="Y9">
            <v>1.5E-3</v>
          </cell>
          <cell r="Z9">
            <v>0</v>
          </cell>
          <cell r="AA9">
            <v>0</v>
          </cell>
          <cell r="AB9">
            <v>0</v>
          </cell>
          <cell r="AC9">
            <v>0</v>
          </cell>
          <cell r="AD9">
            <v>0</v>
          </cell>
          <cell r="AE9">
            <v>0</v>
          </cell>
          <cell r="AF9">
            <v>0</v>
          </cell>
          <cell r="AG9">
            <v>0</v>
          </cell>
          <cell r="AH9">
            <v>0</v>
          </cell>
          <cell r="AI9">
            <v>0</v>
          </cell>
          <cell r="AJ9">
            <v>0</v>
          </cell>
          <cell r="AK9">
            <v>0</v>
          </cell>
          <cell r="AL9">
            <v>0</v>
          </cell>
        </row>
        <row r="10">
          <cell r="V10" t="str">
            <v>CLD</v>
          </cell>
          <cell r="W10">
            <v>96.25</v>
          </cell>
          <cell r="X10">
            <v>1E-3</v>
          </cell>
          <cell r="Y10">
            <v>1.4E-3</v>
          </cell>
          <cell r="Z10">
            <v>0.62619999999999998</v>
          </cell>
          <cell r="AA10">
            <v>0.3</v>
          </cell>
          <cell r="AB10">
            <v>0.02</v>
          </cell>
          <cell r="AC10">
            <v>5.0000000000000001E-3</v>
          </cell>
          <cell r="AD10">
            <v>0</v>
          </cell>
          <cell r="AE10">
            <v>0</v>
          </cell>
          <cell r="AF10">
            <v>0</v>
          </cell>
          <cell r="AG10">
            <v>0</v>
          </cell>
          <cell r="AH10">
            <v>0</v>
          </cell>
          <cell r="AI10">
            <v>0</v>
          </cell>
          <cell r="AJ10">
            <v>0</v>
          </cell>
          <cell r="AK10">
            <v>0</v>
          </cell>
          <cell r="AL10">
            <v>0</v>
          </cell>
        </row>
        <row r="11">
          <cell r="V11" t="str">
            <v>CLE</v>
          </cell>
          <cell r="W11">
            <v>96.25</v>
          </cell>
          <cell r="X11">
            <v>1E-3</v>
          </cell>
          <cell r="Y11">
            <v>1.4E-3</v>
          </cell>
          <cell r="Z11">
            <v>0.62619999999999998</v>
          </cell>
          <cell r="AA11">
            <v>0.3</v>
          </cell>
          <cell r="AB11">
            <v>0.02</v>
          </cell>
          <cell r="AC11">
            <v>5.0000000000000001E-3</v>
          </cell>
          <cell r="AD11">
            <v>0</v>
          </cell>
          <cell r="AE11">
            <v>0</v>
          </cell>
          <cell r="AF11">
            <v>0</v>
          </cell>
          <cell r="AG11">
            <v>0</v>
          </cell>
          <cell r="AH11">
            <v>0</v>
          </cell>
          <cell r="AI11">
            <v>0</v>
          </cell>
          <cell r="AJ11">
            <v>0</v>
          </cell>
          <cell r="AK11">
            <v>0</v>
          </cell>
          <cell r="AL11">
            <v>0</v>
          </cell>
        </row>
        <row r="12">
          <cell r="V12" t="str">
            <v>CLR</v>
          </cell>
          <cell r="W12">
            <v>0</v>
          </cell>
          <cell r="X12">
            <v>0</v>
          </cell>
          <cell r="Y12">
            <v>0</v>
          </cell>
          <cell r="Z12">
            <v>0</v>
          </cell>
          <cell r="AA12">
            <v>0</v>
          </cell>
          <cell r="AB12">
            <v>0</v>
          </cell>
          <cell r="AC12">
            <v>0</v>
          </cell>
          <cell r="AD12">
            <v>0</v>
          </cell>
          <cell r="AE12">
            <v>96.25</v>
          </cell>
          <cell r="AF12">
            <v>1E-3</v>
          </cell>
          <cell r="AG12">
            <v>1.4E-3</v>
          </cell>
          <cell r="AH12">
            <v>0.62619999999999998</v>
          </cell>
          <cell r="AI12">
            <v>0.3</v>
          </cell>
          <cell r="AJ12">
            <v>0.02</v>
          </cell>
          <cell r="AK12">
            <v>5.0000000000000001E-3</v>
          </cell>
          <cell r="AL12">
            <v>0</v>
          </cell>
        </row>
        <row r="13">
          <cell r="V13" t="str">
            <v>CLN</v>
          </cell>
          <cell r="W13">
            <v>96.25</v>
          </cell>
          <cell r="X13">
            <v>1E-3</v>
          </cell>
          <cell r="Y13">
            <v>1.4E-3</v>
          </cell>
          <cell r="Z13">
            <v>0.62619999999999998</v>
          </cell>
          <cell r="AA13">
            <v>0.3</v>
          </cell>
          <cell r="AB13">
            <v>0.02</v>
          </cell>
          <cell r="AC13">
            <v>5.0000000000000001E-3</v>
          </cell>
          <cell r="AD13">
            <v>0</v>
          </cell>
          <cell r="AE13">
            <v>0</v>
          </cell>
          <cell r="AF13">
            <v>0</v>
          </cell>
          <cell r="AG13">
            <v>0</v>
          </cell>
          <cell r="AH13">
            <v>0</v>
          </cell>
          <cell r="AI13">
            <v>0</v>
          </cell>
          <cell r="AJ13">
            <v>0</v>
          </cell>
          <cell r="AK13">
            <v>0</v>
          </cell>
          <cell r="AL13">
            <v>0</v>
          </cell>
        </row>
        <row r="14">
          <cell r="V14" t="str">
            <v>CME</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V15" t="str">
            <v>CMN</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V16" t="str">
            <v>ELC</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V17" t="str">
            <v>ELCC</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V18" t="str">
            <v>GAL</v>
          </cell>
          <cell r="W18">
            <v>56.1</v>
          </cell>
          <cell r="X18">
            <v>1E-3</v>
          </cell>
          <cell r="Y18">
            <v>1E-4</v>
          </cell>
          <cell r="Z18">
            <v>0</v>
          </cell>
          <cell r="AA18">
            <v>0.15</v>
          </cell>
          <cell r="AB18">
            <v>0.02</v>
          </cell>
          <cell r="AC18">
            <v>5.0000000000000001E-3</v>
          </cell>
          <cell r="AD18">
            <v>0</v>
          </cell>
          <cell r="AE18">
            <v>0</v>
          </cell>
          <cell r="AF18">
            <v>0</v>
          </cell>
          <cell r="AG18">
            <v>0</v>
          </cell>
          <cell r="AH18">
            <v>0</v>
          </cell>
          <cell r="AI18">
            <v>0</v>
          </cell>
          <cell r="AJ18">
            <v>0</v>
          </cell>
          <cell r="AK18">
            <v>0</v>
          </cell>
          <cell r="AL18">
            <v>0</v>
          </cell>
        </row>
        <row r="19">
          <cell r="V19" t="str">
            <v>GAM</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V20" t="str">
            <v>GAR</v>
          </cell>
          <cell r="W20">
            <v>0</v>
          </cell>
          <cell r="X20">
            <v>0</v>
          </cell>
          <cell r="Y20">
            <v>0</v>
          </cell>
          <cell r="Z20">
            <v>0</v>
          </cell>
          <cell r="AA20">
            <v>0</v>
          </cell>
          <cell r="AB20">
            <v>0</v>
          </cell>
          <cell r="AC20">
            <v>0</v>
          </cell>
          <cell r="AD20">
            <v>0</v>
          </cell>
          <cell r="AE20">
            <v>56.1</v>
          </cell>
          <cell r="AF20">
            <v>1E-3</v>
          </cell>
          <cell r="AG20">
            <v>1E-4</v>
          </cell>
          <cell r="AH20">
            <v>0</v>
          </cell>
          <cell r="AI20">
            <v>0.15</v>
          </cell>
          <cell r="AJ20">
            <v>0.02</v>
          </cell>
          <cell r="AK20">
            <v>5.0000000000000001E-3</v>
          </cell>
          <cell r="AL20">
            <v>0</v>
          </cell>
        </row>
        <row r="21">
          <cell r="V21" t="str">
            <v>GAS</v>
          </cell>
          <cell r="W21">
            <v>56.1</v>
          </cell>
          <cell r="X21">
            <v>1E-3</v>
          </cell>
          <cell r="Y21">
            <v>1E-4</v>
          </cell>
          <cell r="Z21">
            <v>0</v>
          </cell>
          <cell r="AA21">
            <v>0.15</v>
          </cell>
          <cell r="AB21">
            <v>0.02</v>
          </cell>
          <cell r="AC21">
            <v>5.0000000000000001E-3</v>
          </cell>
          <cell r="AD21">
            <v>0</v>
          </cell>
          <cell r="AE21">
            <v>0</v>
          </cell>
          <cell r="AF21">
            <v>0</v>
          </cell>
          <cell r="AG21">
            <v>0</v>
          </cell>
          <cell r="AH21">
            <v>0</v>
          </cell>
          <cell r="AI21">
            <v>0</v>
          </cell>
          <cell r="AJ21">
            <v>0</v>
          </cell>
          <cell r="AK21">
            <v>0</v>
          </cell>
          <cell r="AL21">
            <v>0</v>
          </cell>
        </row>
        <row r="22">
          <cell r="V22" t="str">
            <v>GMR</v>
          </cell>
          <cell r="W22">
            <v>56.1</v>
          </cell>
          <cell r="X22">
            <v>1E-3</v>
          </cell>
          <cell r="Y22">
            <v>1E-4</v>
          </cell>
          <cell r="Z22">
            <v>0</v>
          </cell>
          <cell r="AA22">
            <v>0.15</v>
          </cell>
          <cell r="AB22">
            <v>0.02</v>
          </cell>
          <cell r="AC22">
            <v>5.0000000000000001E-3</v>
          </cell>
          <cell r="AD22">
            <v>0</v>
          </cell>
          <cell r="AE22">
            <v>0</v>
          </cell>
          <cell r="AF22">
            <v>0</v>
          </cell>
          <cell r="AG22">
            <v>0</v>
          </cell>
          <cell r="AH22">
            <v>0</v>
          </cell>
          <cell r="AI22">
            <v>0</v>
          </cell>
          <cell r="AJ22">
            <v>0</v>
          </cell>
          <cell r="AK22">
            <v>0</v>
          </cell>
          <cell r="AL22">
            <v>0</v>
          </cell>
        </row>
        <row r="23">
          <cell r="V23" t="str">
            <v>HET</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V24" t="str">
            <v>HEE</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V25" t="str">
            <v>HEN</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V26" t="str">
            <v>HYD</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V27" t="str">
            <v>NUC</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V28" t="str">
            <v>OAG</v>
          </cell>
          <cell r="W28">
            <v>70</v>
          </cell>
          <cell r="X28">
            <v>3.0000000000000001E-3</v>
          </cell>
          <cell r="Y28">
            <v>5.9999999999999995E-4</v>
          </cell>
          <cell r="Z28">
            <v>4.6699999999999998E-2</v>
          </cell>
          <cell r="AA28">
            <v>0.3</v>
          </cell>
          <cell r="AB28">
            <v>0.1</v>
          </cell>
          <cell r="AC28">
            <v>0.05</v>
          </cell>
          <cell r="AD28">
            <v>0</v>
          </cell>
          <cell r="AE28">
            <v>0</v>
          </cell>
          <cell r="AF28">
            <v>0</v>
          </cell>
          <cell r="AG28">
            <v>0</v>
          </cell>
          <cell r="AH28">
            <v>0</v>
          </cell>
          <cell r="AI28">
            <v>0</v>
          </cell>
          <cell r="AJ28">
            <v>0</v>
          </cell>
          <cell r="AK28">
            <v>0</v>
          </cell>
          <cell r="AL28">
            <v>0</v>
          </cell>
        </row>
        <row r="29">
          <cell r="V29" t="str">
            <v>OCR</v>
          </cell>
          <cell r="W29">
            <v>73.3</v>
          </cell>
          <cell r="X29">
            <v>3.0000000000000001E-3</v>
          </cell>
          <cell r="Y29">
            <v>5.9999999999999995E-4</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V30" t="str">
            <v>ODS</v>
          </cell>
          <cell r="W30">
            <v>74.066699999999997</v>
          </cell>
          <cell r="X30">
            <v>3.0000000000000001E-3</v>
          </cell>
          <cell r="Y30">
            <v>5.9999999999999995E-4</v>
          </cell>
          <cell r="Z30">
            <v>0.25290000000000001</v>
          </cell>
          <cell r="AA30">
            <v>0.2</v>
          </cell>
          <cell r="AB30">
            <v>1.4999999999999999E-2</v>
          </cell>
          <cell r="AC30">
            <v>5.0000000000000001E-3</v>
          </cell>
          <cell r="AD30">
            <v>0</v>
          </cell>
          <cell r="AE30">
            <v>0</v>
          </cell>
          <cell r="AF30">
            <v>0</v>
          </cell>
          <cell r="AG30">
            <v>0</v>
          </cell>
          <cell r="AH30">
            <v>0</v>
          </cell>
          <cell r="AI30">
            <v>0</v>
          </cell>
          <cell r="AJ30">
            <v>0</v>
          </cell>
          <cell r="AK30">
            <v>0</v>
          </cell>
          <cell r="AL30">
            <v>0</v>
          </cell>
        </row>
        <row r="31">
          <cell r="V31" t="str">
            <v>OGS</v>
          </cell>
          <cell r="W31">
            <v>69.3</v>
          </cell>
          <cell r="X31">
            <v>3.0000000000000001E-3</v>
          </cell>
          <cell r="Y31">
            <v>5.9999999999999995E-4</v>
          </cell>
          <cell r="Z31">
            <v>4.6699999999999998E-2</v>
          </cell>
          <cell r="AA31">
            <v>0.6</v>
          </cell>
          <cell r="AB31">
            <v>8</v>
          </cell>
          <cell r="AC31">
            <v>1.5</v>
          </cell>
          <cell r="AD31">
            <v>0</v>
          </cell>
          <cell r="AE31">
            <v>0</v>
          </cell>
          <cell r="AF31">
            <v>0</v>
          </cell>
          <cell r="AG31">
            <v>0</v>
          </cell>
          <cell r="AH31">
            <v>0</v>
          </cell>
          <cell r="AI31">
            <v>0</v>
          </cell>
          <cell r="AJ31">
            <v>0</v>
          </cell>
          <cell r="AK31">
            <v>0</v>
          </cell>
          <cell r="AL31">
            <v>0</v>
          </cell>
        </row>
        <row r="32">
          <cell r="V32" t="str">
            <v>OHF</v>
          </cell>
          <cell r="W32">
            <v>77.400000000000006</v>
          </cell>
          <cell r="X32">
            <v>3.0000000000000001E-3</v>
          </cell>
          <cell r="Y32">
            <v>5.9999999999999995E-4</v>
          </cell>
          <cell r="Z32">
            <v>1.5290999999999999</v>
          </cell>
          <cell r="AA32">
            <v>0.2</v>
          </cell>
          <cell r="AB32">
            <v>0.01</v>
          </cell>
          <cell r="AC32">
            <v>5.0000000000000001E-3</v>
          </cell>
          <cell r="AD32">
            <v>0</v>
          </cell>
          <cell r="AE32">
            <v>0</v>
          </cell>
          <cell r="AF32">
            <v>0</v>
          </cell>
          <cell r="AG32">
            <v>0</v>
          </cell>
          <cell r="AH32">
            <v>0</v>
          </cell>
          <cell r="AI32">
            <v>0</v>
          </cell>
          <cell r="AJ32">
            <v>0</v>
          </cell>
          <cell r="AK32">
            <v>0</v>
          </cell>
          <cell r="AL32">
            <v>0</v>
          </cell>
        </row>
        <row r="33">
          <cell r="V33" t="str">
            <v>OKE</v>
          </cell>
          <cell r="W33">
            <v>72.900000000000006</v>
          </cell>
          <cell r="X33">
            <v>3.0000000000000001E-3</v>
          </cell>
          <cell r="Y33">
            <v>5.9999999999999995E-4</v>
          </cell>
          <cell r="Z33">
            <v>4.5900000000000003E-2</v>
          </cell>
          <cell r="AA33">
            <v>0.2</v>
          </cell>
          <cell r="AB33">
            <v>0.01</v>
          </cell>
          <cell r="AC33">
            <v>5.0000000000000001E-3</v>
          </cell>
          <cell r="AD33">
            <v>0</v>
          </cell>
          <cell r="AE33">
            <v>0</v>
          </cell>
          <cell r="AF33">
            <v>0</v>
          </cell>
          <cell r="AG33">
            <v>0</v>
          </cell>
          <cell r="AH33">
            <v>0</v>
          </cell>
          <cell r="AI33">
            <v>0</v>
          </cell>
          <cell r="AJ33">
            <v>0</v>
          </cell>
          <cell r="AK33">
            <v>0</v>
          </cell>
          <cell r="AL33">
            <v>0</v>
          </cell>
        </row>
        <row r="34">
          <cell r="V34" t="str">
            <v>OLP</v>
          </cell>
          <cell r="W34">
            <v>63.1</v>
          </cell>
          <cell r="X34">
            <v>3.0000000000000001E-3</v>
          </cell>
          <cell r="Y34">
            <v>1E-4</v>
          </cell>
          <cell r="Z34">
            <v>5.4089999999999998</v>
          </cell>
          <cell r="AA34">
            <v>1.2460000000000001E-2</v>
          </cell>
          <cell r="AB34">
            <v>0.182</v>
          </cell>
          <cell r="AC34">
            <v>2.3699999999999999E-2</v>
          </cell>
          <cell r="AD34">
            <v>0</v>
          </cell>
          <cell r="AE34">
            <v>0</v>
          </cell>
          <cell r="AF34">
            <v>0</v>
          </cell>
          <cell r="AG34">
            <v>0</v>
          </cell>
          <cell r="AH34">
            <v>0</v>
          </cell>
          <cell r="AI34">
            <v>0</v>
          </cell>
          <cell r="AJ34">
            <v>0</v>
          </cell>
          <cell r="AK34">
            <v>0</v>
          </cell>
          <cell r="AL34">
            <v>0</v>
          </cell>
        </row>
        <row r="35">
          <cell r="V35" t="str">
            <v>OTH</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V36" t="str">
            <v>OPA</v>
          </cell>
          <cell r="W36">
            <v>72.900000000000006</v>
          </cell>
          <cell r="X36">
            <v>3.0000000000000001E-3</v>
          </cell>
          <cell r="Y36">
            <v>5.9999999999999995E-4</v>
          </cell>
          <cell r="Z36">
            <v>5.4089999999999998</v>
          </cell>
          <cell r="AA36">
            <v>1.2460000000000001E-2</v>
          </cell>
          <cell r="AB36">
            <v>0.182</v>
          </cell>
          <cell r="AC36">
            <v>2.3699999999999999E-2</v>
          </cell>
          <cell r="AD36">
            <v>0</v>
          </cell>
          <cell r="AE36">
            <v>0</v>
          </cell>
          <cell r="AF36">
            <v>0</v>
          </cell>
          <cell r="AG36">
            <v>0</v>
          </cell>
          <cell r="AH36">
            <v>0</v>
          </cell>
          <cell r="AI36">
            <v>0</v>
          </cell>
          <cell r="AJ36">
            <v>0</v>
          </cell>
          <cell r="AK36">
            <v>0</v>
          </cell>
          <cell r="AL36">
            <v>0</v>
          </cell>
        </row>
        <row r="37">
          <cell r="V37" t="str">
            <v>SOL</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V38" t="str">
            <v>WND</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sheetData>
      <sheetData sheetId="23"/>
      <sheetData sheetId="24"/>
      <sheetData sheetId="25"/>
      <sheetData sheetId="26"/>
      <sheetData sheetId="27"/>
      <sheetData sheetId="28"/>
      <sheetData sheetId="29"/>
      <sheetData sheetId="30"/>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DME_EB_TS"/>
      <sheetName val="SAPIADiesel"/>
      <sheetName val="SAPIAGasoline"/>
      <sheetName val="NAAMSANational"/>
      <sheetName val="NAAMSAProvincial81"/>
      <sheetName val="NAAMSAProvincial95"/>
      <sheetName val="NAAMSAdefs"/>
      <sheetName val="SOL"/>
      <sheetName val="ScrappingModels"/>
      <sheetName val="ENATIS"/>
      <sheetName val="NAAMSA_SAPIA_WG"/>
      <sheetName val="Comp Assumptions"/>
      <sheetName val="Analytica"/>
      <sheetName val="FuelCell"/>
      <sheetName val="mileagedegrad"/>
      <sheetName val="HistoricalSales"/>
      <sheetName val="Calib_1011"/>
      <sheetName val="REGIONS"/>
      <sheetName val="TRP"/>
      <sheetName val="ITEMS_Tech"/>
      <sheetName val="TS DTech"/>
      <sheetName val="TID DTech"/>
      <sheetName val="TRP_Retrofit"/>
      <sheetName val="ITEMS_DrTech"/>
      <sheetName val="ITEMS_UCrTech"/>
      <sheetName val="TS DrTech"/>
      <sheetName val="TS UCrTech"/>
      <sheetName val="TID DrTech"/>
      <sheetName val="TID UCrTech"/>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39">
          <cell r="B39">
            <v>1.9269406392694064</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7">
          <cell r="AL67">
            <v>1</v>
          </cell>
        </row>
      </sheetData>
      <sheetData sheetId="25" refreshError="1"/>
      <sheetData sheetId="26" refreshError="1"/>
      <sheetData sheetId="27" refreshError="1"/>
      <sheetData sheetId="28" refreshError="1"/>
      <sheetData sheetId="29" refreshError="1"/>
      <sheetData sheetId="30" refreshError="1"/>
      <sheetData sheetId="31">
        <row r="103">
          <cell r="B103" t="str">
            <v>TPPRCARHGNF-N</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1">
          <cell r="F1">
            <v>1E-8</v>
          </cell>
        </row>
      </sheetData>
      <sheetData sheetId="47" refreshError="1"/>
      <sheetData sheetId="48">
        <row r="4">
          <cell r="N4">
            <v>0.84477724913494801</v>
          </cell>
        </row>
      </sheetData>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P4">
            <v>1.3094103081137336</v>
          </cell>
          <cell r="R4">
            <v>1.1636030437253695</v>
          </cell>
          <cell r="U4">
            <v>1</v>
          </cell>
        </row>
        <row r="12">
          <cell r="B12">
            <v>2015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cs"/>
      <sheetName val="Readme"/>
      <sheetName val="CPI-hist"/>
    </sheetNames>
    <sheetDataSet>
      <sheetData sheetId="0"/>
      <sheetData sheetId="1"/>
      <sheetData sheetId="2">
        <row r="23">
          <cell r="B23">
            <v>91.9</v>
          </cell>
          <cell r="C23">
            <v>92.8</v>
          </cell>
          <cell r="D23">
            <v>93.1</v>
          </cell>
          <cell r="E23">
            <v>92.6</v>
          </cell>
          <cell r="F23">
            <v>92</v>
          </cell>
          <cell r="G23">
            <v>92.5</v>
          </cell>
          <cell r="H23">
            <v>93.7</v>
          </cell>
          <cell r="I23">
            <v>93.9</v>
          </cell>
          <cell r="J23">
            <v>94</v>
          </cell>
          <cell r="K23">
            <v>94.3</v>
          </cell>
          <cell r="L23">
            <v>94.3</v>
          </cell>
          <cell r="M23">
            <v>94.4</v>
          </cell>
        </row>
        <row r="25">
          <cell r="B25">
            <v>100.2</v>
          </cell>
          <cell r="C25">
            <v>100.8</v>
          </cell>
          <cell r="D25">
            <v>101.8</v>
          </cell>
          <cell r="E25">
            <v>102.4</v>
          </cell>
          <cell r="F25">
            <v>103.1</v>
          </cell>
          <cell r="G25">
            <v>104.2</v>
          </cell>
          <cell r="H25">
            <v>105.8</v>
          </cell>
          <cell r="I25">
            <v>106</v>
          </cell>
          <cell r="J25">
            <v>106.1</v>
          </cell>
          <cell r="K25">
            <v>106.5</v>
          </cell>
          <cell r="L25">
            <v>106.8</v>
          </cell>
          <cell r="M25">
            <v>107.2</v>
          </cell>
        </row>
        <row r="26">
          <cell r="B26">
            <v>107.1</v>
          </cell>
          <cell r="C26">
            <v>107.9</v>
          </cell>
          <cell r="D26">
            <v>109</v>
          </cell>
          <cell r="E26">
            <v>109.4</v>
          </cell>
          <cell r="F26">
            <v>109.6</v>
          </cell>
          <cell r="G26">
            <v>109.8</v>
          </cell>
          <cell r="H26">
            <v>110.8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6672BBD0-0925-4476-A6F6-3E1DAFD9A15D}" userId="Bruno Merven" providerId="None"/>
  <person displayName="Bruno Merven" id="{00E01F63-B0C9-4432-BD61-F9175D9B0347}" userId="S::01405439@wf.uct.ac.za::c7f06137-2c3b-4c5c-8f38-fe1abbc96860" providerId="AD"/>
  <person displayName="Guy Cunliffe" id="{E9290C55-13E6-48AF-BF49-53655B7185FF}" userId="S::T0071346@wf.uct.ac.za::35f3db3a-b67d-4fe5-83cb-798b7a170f4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9" dT="2023-09-15T07:17:28.09" personId="{00E01F63-B0C9-4432-BD61-F9175D9B0347}" id="{6DE995B6-F559-4996-B648-53D1CEB9C4AD}">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D3" dT="2023-08-16T08:42:19.84" personId="{00E01F63-B0C9-4432-BD61-F9175D9B0347}" id="{DB81384D-3BAD-4118-B14D-DA4081D615BC}">
    <text>Using Sector defaults in SysSettings</text>
  </threadedComment>
</ThreadedComments>
</file>

<file path=xl/threadedComments/threadedComment3.xml><?xml version="1.0" encoding="utf-8"?>
<ThreadedComments xmlns="http://schemas.microsoft.com/office/spreadsheetml/2018/threadedcomments" xmlns:x="http://schemas.openxmlformats.org/spreadsheetml/2006/main">
  <threadedComment ref="AB24" dT="2023-09-21T19:53:28.01" personId="{00E01F63-B0C9-4432-BD61-F9175D9B0347}" id="{72E22EBC-6F1C-44E6-9D37-6A2EDC68C4EF}">
    <text>Turned off for now until biofuel supply chain is put back into model.</text>
  </threadedComment>
  <threadedComment ref="AB34" dT="2023-09-21T19:53:28.01" personId="{00E01F63-B0C9-4432-BD61-F9175D9B0347}" id="{68365649-69BE-42E1-A3D3-7826C339A4A4}">
    <text>Turned off for now until biofuel supply chain is put back into model.</text>
  </threadedComment>
  <threadedComment ref="AB42" dT="2023-09-21T19:53:28.01" personId="{00E01F63-B0C9-4432-BD61-F9175D9B0347}" id="{78C9CCF7-1AE4-47F9-BE3C-84B6FCC19C48}">
    <text>Turned off for now until biofuel supply chain is put back into model.</text>
  </threadedComment>
  <threadedComment ref="AB50" dT="2023-09-21T19:53:28.01" personId="{00E01F63-B0C9-4432-BD61-F9175D9B0347}" id="{B5986BBB-6093-45C3-916A-D12C4DF390D0}">
    <text>Turned off for now until biofuel supply chain is put back into model.</text>
  </threadedComment>
  <threadedComment ref="AB57" dT="2023-09-21T19:53:28.01" personId="{00E01F63-B0C9-4432-BD61-F9175D9B0347}" id="{64B612B0-D55B-494B-89E6-694DC15724C6}">
    <text>Turned off for now until biofuel supply chain is put back into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J14" dT="2023-09-15T08:03:13.96" personId="{00E01F63-B0C9-4432-BD61-F9175D9B0347}" id="{E43AA2CA-B5FD-4AAC-835C-3AD884B9CD3C}">
    <text>Taken from DMD_PRJ</text>
  </threadedComment>
  <threadedComment ref="J16" dT="2023-09-15T08:03:25.94" personId="{00E01F63-B0C9-4432-BD61-F9175D9B0347}" id="{19A277FB-E588-48E8-93FB-CDAEB3F0AD44}">
    <text>Taken from DMD_PRJ</text>
  </threadedComment>
</ThreadedComments>
</file>

<file path=xl/threadedComments/threadedComment5.xml><?xml version="1.0" encoding="utf-8"?>
<ThreadedComments xmlns="http://schemas.microsoft.com/office/spreadsheetml/2018/threadedcomments" xmlns:x="http://schemas.openxmlformats.org/spreadsheetml/2006/main">
  <threadedComment ref="AI69" dT="2023-08-16T14:22:21.47" personId="{00E01F63-B0C9-4432-BD61-F9175D9B0347}" id="{45C2A14A-B8D5-4605-A709-8EF0953E0F6A}">
    <text>From DFFE 2020 Inventory</text>
  </threadedComment>
  <threadedComment ref="AG70" dT="2023-08-16T14:30:21.35" personId="{00E01F63-B0C9-4432-BD61-F9175D9B0347}" id="{669BCC52-1FB5-4CC5-98D7-3E790FD3CD48}">
    <text>DFFE 2020 Inventory</text>
  </threadedComment>
  <threadedComment ref="AF71" dT="2023-08-16T14:30:08.27" personId="{00E01F63-B0C9-4432-BD61-F9175D9B0347}" id="{A6B8E6FA-85ED-4700-AD91-B23BA75C01C6}">
    <text>ESRG EB</text>
  </threadedComment>
  <threadedComment ref="AK71" dT="2023-08-16T14:29:19.42" personId="{00E01F63-B0C9-4432-BD61-F9175D9B0347}" id="{75A3EE4F-C2DD-44EA-811F-D2F17C67983C}">
    <text>ESRG EB (Liquid Fuels Database)</text>
  </threadedComment>
  <threadedComment ref="AL86" dT="2023-08-16T15:01:02.53" personId="{00E01F63-B0C9-4432-BD61-F9175D9B0347}" id="{D1495310-FAB4-48D1-8FE6-7B8AFD5A8D1A}">
    <text>From ESRG EB 2017  (Liquid Fuels Database)</text>
  </threadedComment>
  <threadedComment ref="AL87" dT="2023-08-16T15:01:16.31" personId="{00E01F63-B0C9-4432-BD61-F9175D9B0347}" id="{1C443AC1-3374-4835-9606-52C0B9EE4125}">
    <text>From ESRG EB 2017  (Liquid Fuels Database) - under "Fishing"</text>
  </threadedComment>
  <threadedComment ref="BH132" dT="2023-08-10T08:37:09.46" personId="{00E01F63-B0C9-4432-BD61-F9175D9B0347}" id="{9C0011DF-DB8A-4C02-8858-5758245A62D4}">
    <text>Accounting for other elc uses by Transnet here as well</text>
  </threadedComment>
</ThreadedComments>
</file>

<file path=xl/threadedComments/threadedComment6.xml><?xml version="1.0" encoding="utf-8"?>
<ThreadedComments xmlns="http://schemas.microsoft.com/office/spreadsheetml/2018/threadedcomments" xmlns:x="http://schemas.openxmlformats.org/spreadsheetml/2006/main">
  <threadedComment ref="AU12" dT="2022-09-09T11:27:36.36" personId="{6672BBD0-0925-4476-A6F6-3E1DAFD9A15D}" id="{41BF8AC2-2D84-49A8-AC29-622C839BA631}">
    <text>reduced from 0.8 to try and reduce the jump up in 2028-2029 in sales</text>
  </threadedComment>
</ThreadedComments>
</file>

<file path=xl/threadedComments/threadedComment7.xml><?xml version="1.0" encoding="utf-8"?>
<ThreadedComments xmlns="http://schemas.microsoft.com/office/spreadsheetml/2018/threadedcomments" xmlns:x="http://schemas.openxmlformats.org/spreadsheetml/2006/main">
  <threadedComment ref="V19" dT="2023-09-19T14:45:24.16" personId="{E9290C55-13E6-48AF-BF49-53655B7185FF}" id="{9E8C28E8-1EF5-4168-8CAC-1B464E32FBF2}">
    <text>Should be multiple of 5</text>
  </threadedComment>
  <threadedComment ref="AE72" dT="2023-09-22T08:00:00.28" personId="{E9290C55-13E6-48AF-BF49-53655B7185FF}" id="{1C205545-4B1D-460F-B600-73A6AF8C13A5}">
    <text>Hard coded fixes here for diesel small HCVs which are already cheaper than petrol</text>
  </threadedComment>
  <threadedComment ref="AL89" dT="2023-10-02T10:31:20.20" personId="{E9290C55-13E6-48AF-BF49-53655B7185FF}" id="{C06AB8DB-BF19-45BB-9878-3BEF31AF4D3B}">
    <text>Calibrated to HCV3 to save time… these spreadsheets need a comprehensive overhaul</text>
  </threadedComment>
  <threadedComment ref="AL94" dT="2023-10-02T10:31:20.20" personId="{E9290C55-13E6-48AF-BF49-53655B7185FF}" id="{B145FC4B-A8C0-4D98-A708-25F02365CC9C}">
    <text>Hard coded to save time… these worksheets are a nightmare!</text>
  </threadedComment>
  <threadedComment ref="AL99" dT="2023-10-02T10:31:20.20" personId="{E9290C55-13E6-48AF-BF49-53655B7185FF}" id="{3DD77A3B-7073-4DBD-8F36-00840457D557}">
    <text>Hard coded to save time… these worksheets are a nightmare!</text>
  </threadedComment>
  <threadedComment ref="AL104" dT="2023-10-02T10:31:20.20" personId="{E9290C55-13E6-48AF-BF49-53655B7185FF}" id="{7555FA29-3561-4436-BC88-FA817888949B}">
    <text>Hard coded to save time… these worksheets are a nightmare!</text>
  </threadedComment>
  <threadedComment ref="AL109" dT="2023-10-02T10:31:20.20" personId="{E9290C55-13E6-48AF-BF49-53655B7185FF}" id="{E24D87DA-40FF-48A0-95B8-D43BC7C38EF3}">
    <text>Hard coded to save time… these worksheets are a nightmare!</text>
  </threadedComment>
  <threadedComment ref="AL114" dT="2023-10-02T10:31:20.20" personId="{E9290C55-13E6-48AF-BF49-53655B7185FF}" id="{8CA81508-80A8-4300-9A10-0FFA993D4FCD}">
    <text>Hard coded to save time… these worksheets are a nightmare!</text>
  </threadedComment>
</ThreadedComments>
</file>

<file path=xl/threadedComments/threadedComment8.xml><?xml version="1.0" encoding="utf-8"?>
<ThreadedComments xmlns="http://schemas.microsoft.com/office/spreadsheetml/2018/threadedcomments" xmlns:x="http://schemas.openxmlformats.org/spreadsheetml/2006/main">
  <threadedComment ref="X23" dT="2023-09-19T14:49:28.17" personId="{E9290C55-13E6-48AF-BF49-53655B7185FF}" id="{B91C91E8-4285-4F9B-92CE-677D1E14B3EB}">
    <text>Adjusted</text>
  </threadedComment>
  <threadedComment ref="V62" dT="2023-10-02T10:11:59.90" personId="{E9290C55-13E6-48AF-BF49-53655B7185FF}" id="{8C138D64-8B2E-493C-B8EA-A18E6CDA7FB2}">
    <text>Calibrated backwards to 2010 based on Bus BEV</text>
  </threadedComment>
  <threadedComment ref="W62" dT="2023-09-19T14:14:29.84" personId="{E9290C55-13E6-48AF-BF49-53655B7185FF}" id="{28A0C789-F0A0-4DCC-9169-B681EC4CA001}">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V74" dT="2023-10-02T10:11:59.90" personId="{E9290C55-13E6-48AF-BF49-53655B7185FF}" id="{2A72AB36-7B99-4B94-BFCB-98BA88DC5043}">
    <text>Calibrated backwards to 2010 based on Bus BEV</text>
  </threadedComment>
  <threadedComment ref="W74" dT="2023-09-19T14:14:29.84" personId="{E9290C55-13E6-48AF-BF49-53655B7185FF}" id="{498C836D-0208-45A8-8FCD-863043A61A47}">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V86" dT="2023-10-02T10:11:59.90" personId="{E9290C55-13E6-48AF-BF49-53655B7185FF}" id="{3424B723-874F-43F8-9FAA-590CD2A5EEE0}">
    <text>Calibrated backwards to 2010 based on Bus BEV</text>
  </threadedComment>
  <threadedComment ref="W86" dT="2023-09-19T14:14:29.84" personId="{E9290C55-13E6-48AF-BF49-53655B7185FF}" id="{8516D355-3956-4B06-BBED-4AF55E35E6DF}">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csir.co.za/state-logistics-survey-south-africa-gearing-change" TargetMode="Externa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hyperlink" Target="https://inflationcalc.co.za/" TargetMode="External"/><Relationship Id="rId6" Type="http://schemas.microsoft.com/office/2017/10/relationships/threadedComment" Target="../threadedComments/threadedComment7.xm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www.cars.co.za/usedcars/?body_type_exact=Hatchback|Sedan&amp;commercial_type=passenger&amp;fuel_type=p&amp;new_or_used=New&amp;seller_type=agent&amp;sort=price&amp;transmission=Manual&amp;vehicle_axle_config=4X2&amp;vfs_mileage=0-0&amp;vfs_year=2023-2023" TargetMode="External"/><Relationship Id="rId1" Type="http://schemas.openxmlformats.org/officeDocument/2006/relationships/hyperlink" Target="https://www.wesbank.co.za/blog/post/the-real-costs-of-vehicle-ownership-and-maintenance" TargetMode="External"/><Relationship Id="rId6" Type="http://schemas.microsoft.com/office/2017/10/relationships/threadedComment" Target="../threadedComments/threadedComment8.xm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inflationcalc.co.za/"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1.bin"/><Relationship Id="rId1" Type="http://schemas.openxmlformats.org/officeDocument/2006/relationships/hyperlink" Target="https://inflationcalc.co.za/"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omments" Target="../comments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212-CEEA-46FE-B192-9C692E894887}">
  <sheetPr codeName="Sheet1">
    <tabColor theme="4"/>
  </sheetPr>
  <dimension ref="A1:AH117"/>
  <sheetViews>
    <sheetView topLeftCell="A24" workbookViewId="0">
      <selection activeCell="B33" sqref="B33"/>
    </sheetView>
  </sheetViews>
  <sheetFormatPr defaultColWidth="8.85546875" defaultRowHeight="15" outlineLevelRow="1" x14ac:dyDescent="0.25"/>
  <cols>
    <col min="1" max="1" width="52.5703125" style="1" customWidth="1"/>
    <col min="2" max="2" width="16.42578125" style="1" customWidth="1"/>
    <col min="3" max="3" width="14.42578125" style="1" customWidth="1"/>
    <col min="4" max="4" width="13" style="1" customWidth="1"/>
    <col min="5" max="7" width="10" style="1" customWidth="1"/>
    <col min="8" max="8" width="11.5703125" style="1" customWidth="1"/>
    <col min="9" max="11" width="10" style="1" customWidth="1"/>
    <col min="12" max="12" width="10.42578125" style="1" customWidth="1"/>
    <col min="13" max="14" width="10.5703125" style="1" customWidth="1"/>
    <col min="15" max="15" width="9.85546875" style="1" customWidth="1"/>
    <col min="16" max="24" width="10" style="1" customWidth="1"/>
    <col min="25" max="28" width="8.85546875" style="1"/>
    <col min="29" max="29" width="10.28515625" style="1" bestFit="1" customWidth="1"/>
    <col min="30" max="31" width="8.85546875" style="1"/>
    <col min="33" max="33" width="9.85546875" style="1" bestFit="1" customWidth="1"/>
    <col min="34" max="16384" width="8.85546875" style="1"/>
  </cols>
  <sheetData>
    <row r="1" spans="1:24" ht="15.75" x14ac:dyDescent="0.25">
      <c r="A1" s="680" t="s">
        <v>1120</v>
      </c>
      <c r="B1" s="988" t="s">
        <v>1119</v>
      </c>
      <c r="C1" s="988"/>
      <c r="D1" s="988"/>
      <c r="E1" s="681" t="s">
        <v>1115</v>
      </c>
      <c r="F1" s="681"/>
      <c r="G1" s="681"/>
      <c r="H1" s="668"/>
      <c r="I1" s="680"/>
      <c r="J1" s="668"/>
      <c r="K1" s="680"/>
      <c r="L1" s="680"/>
    </row>
    <row r="2" spans="1:24" x14ac:dyDescent="0.25">
      <c r="A2" s="194"/>
      <c r="B2" s="658"/>
      <c r="C2" s="658"/>
      <c r="D2" s="658"/>
      <c r="E2" s="658"/>
      <c r="F2" s="658"/>
      <c r="G2" s="658"/>
      <c r="H2" s="194"/>
      <c r="I2" s="658"/>
      <c r="J2" s="658"/>
      <c r="K2" s="658"/>
      <c r="L2" s="658"/>
      <c r="M2" s="194"/>
      <c r="N2" s="658"/>
      <c r="O2" s="658"/>
      <c r="P2" s="658"/>
      <c r="Q2" s="658"/>
      <c r="R2" s="658"/>
      <c r="S2" s="658"/>
      <c r="T2" s="658"/>
      <c r="U2" s="194"/>
      <c r="V2" s="658"/>
      <c r="W2" s="658"/>
      <c r="X2" s="658"/>
    </row>
    <row r="3" spans="1:24" x14ac:dyDescent="0.25">
      <c r="A3" s="194"/>
      <c r="B3" s="194"/>
      <c r="C3" s="671" t="s">
        <v>1118</v>
      </c>
      <c r="D3" s="671"/>
      <c r="E3" s="671"/>
      <c r="F3" s="671"/>
      <c r="G3" s="671"/>
      <c r="H3" s="671"/>
      <c r="I3" s="671"/>
      <c r="J3" s="671"/>
      <c r="K3" s="194"/>
      <c r="L3" s="1" t="s">
        <v>1117</v>
      </c>
      <c r="M3" s="1" t="s">
        <v>1117</v>
      </c>
      <c r="Q3" s="658"/>
      <c r="R3" s="658"/>
      <c r="S3" s="658"/>
      <c r="T3" s="658"/>
      <c r="U3" s="658"/>
      <c r="V3" s="658"/>
      <c r="W3" s="658"/>
      <c r="X3" s="658"/>
    </row>
    <row r="4" spans="1:24" x14ac:dyDescent="0.25">
      <c r="A4" s="668" t="s">
        <v>1116</v>
      </c>
      <c r="B4" s="194">
        <f>COUNT(C4:M4)</f>
        <v>10</v>
      </c>
      <c r="C4" s="194">
        <v>1</v>
      </c>
      <c r="D4" s="194">
        <f t="shared" ref="D4:L4" si="0">C4+1</f>
        <v>2</v>
      </c>
      <c r="E4" s="194">
        <f t="shared" si="0"/>
        <v>3</v>
      </c>
      <c r="F4" s="194">
        <f t="shared" si="0"/>
        <v>4</v>
      </c>
      <c r="G4" s="194">
        <f t="shared" si="0"/>
        <v>5</v>
      </c>
      <c r="H4" s="194">
        <f t="shared" si="0"/>
        <v>6</v>
      </c>
      <c r="I4" s="194">
        <f t="shared" si="0"/>
        <v>7</v>
      </c>
      <c r="J4" s="194">
        <f t="shared" si="0"/>
        <v>8</v>
      </c>
      <c r="K4" s="194">
        <f t="shared" si="0"/>
        <v>9</v>
      </c>
      <c r="L4" s="194">
        <f t="shared" si="0"/>
        <v>10</v>
      </c>
    </row>
    <row r="5" spans="1:24" x14ac:dyDescent="0.25">
      <c r="A5" s="671" t="s">
        <v>1115</v>
      </c>
      <c r="B5" s="194" t="s">
        <v>1114</v>
      </c>
      <c r="C5" s="1" t="s">
        <v>1113</v>
      </c>
      <c r="D5" s="194" t="s">
        <v>1112</v>
      </c>
      <c r="E5" s="194" t="s">
        <v>140</v>
      </c>
      <c r="F5" s="194" t="s">
        <v>130</v>
      </c>
      <c r="G5" s="194" t="s">
        <v>1111</v>
      </c>
      <c r="H5" s="194" t="s">
        <v>1110</v>
      </c>
      <c r="I5" s="194" t="s">
        <v>1109</v>
      </c>
      <c r="J5" s="194" t="s">
        <v>1108</v>
      </c>
      <c r="K5" s="194" t="s">
        <v>1174</v>
      </c>
      <c r="L5" s="194" t="s">
        <v>1175</v>
      </c>
      <c r="M5" s="658" t="s">
        <v>193</v>
      </c>
      <c r="O5" s="658"/>
      <c r="Q5" s="658"/>
      <c r="R5" s="658"/>
      <c r="S5" s="658"/>
      <c r="T5" s="658"/>
      <c r="U5" s="658"/>
      <c r="V5" s="194"/>
      <c r="W5" s="194"/>
      <c r="X5" s="194"/>
    </row>
    <row r="6" spans="1:24" x14ac:dyDescent="0.25">
      <c r="A6" s="668" t="s">
        <v>1107</v>
      </c>
      <c r="B6" s="194" t="s">
        <v>1106</v>
      </c>
      <c r="C6" s="658" t="s">
        <v>1176</v>
      </c>
      <c r="D6" s="658" t="s">
        <v>1177</v>
      </c>
      <c r="E6" s="658" t="s">
        <v>1131</v>
      </c>
      <c r="F6" s="658" t="s">
        <v>1178</v>
      </c>
      <c r="G6" s="658" t="s">
        <v>1179</v>
      </c>
      <c r="H6" s="658" t="s">
        <v>1180</v>
      </c>
      <c r="I6" s="658" t="s">
        <v>1181</v>
      </c>
      <c r="J6" s="658" t="s">
        <v>1182</v>
      </c>
      <c r="K6" s="658" t="s">
        <v>1130</v>
      </c>
      <c r="L6" s="658" t="s">
        <v>1183</v>
      </c>
    </row>
    <row r="7" spans="1:24" x14ac:dyDescent="0.25">
      <c r="A7" s="668"/>
      <c r="B7" s="676" t="s">
        <v>20</v>
      </c>
      <c r="C7" s="678">
        <f>C52</f>
        <v>0.82199999999999995</v>
      </c>
      <c r="D7" s="678">
        <f>D52</f>
        <v>402.49591708176212</v>
      </c>
      <c r="E7" s="678">
        <f>E52</f>
        <v>13.201520256</v>
      </c>
      <c r="F7" s="678">
        <f>G52</f>
        <v>0</v>
      </c>
      <c r="G7" s="678">
        <f>H52</f>
        <v>381.45658682762712</v>
      </c>
      <c r="H7" s="678">
        <f>I52</f>
        <v>2.77</v>
      </c>
      <c r="I7" s="678">
        <f>J52</f>
        <v>89.421999999999997</v>
      </c>
      <c r="J7" s="678">
        <f>K52</f>
        <v>0</v>
      </c>
      <c r="K7" s="679">
        <f>M52</f>
        <v>0</v>
      </c>
      <c r="L7" s="679">
        <f>N52</f>
        <v>0</v>
      </c>
      <c r="M7" s="678">
        <f>SUM(D7:L7)</f>
        <v>889.34602416538928</v>
      </c>
    </row>
    <row r="8" spans="1:24" x14ac:dyDescent="0.25">
      <c r="A8" s="668" t="s">
        <v>1105</v>
      </c>
      <c r="B8" s="676" t="s">
        <v>1104</v>
      </c>
      <c r="C8" s="678"/>
      <c r="D8" s="678"/>
      <c r="E8" s="678"/>
      <c r="F8" s="678"/>
      <c r="G8" s="678"/>
      <c r="H8" s="678"/>
      <c r="I8" s="678"/>
      <c r="J8" s="678"/>
      <c r="K8" s="678"/>
      <c r="L8" s="649"/>
      <c r="M8" s="649"/>
    </row>
    <row r="9" spans="1:24" x14ac:dyDescent="0.25">
      <c r="A9" s="1" t="s">
        <v>1103</v>
      </c>
      <c r="B9" s="673" t="s">
        <v>1102</v>
      </c>
      <c r="C9" s="676">
        <f>G9</f>
        <v>69.3</v>
      </c>
      <c r="D9" s="676">
        <v>74.066699999999997</v>
      </c>
      <c r="E9" s="676">
        <v>0</v>
      </c>
      <c r="F9" s="676">
        <v>56.1</v>
      </c>
      <c r="G9" s="676">
        <v>69.3</v>
      </c>
      <c r="H9" s="676">
        <v>77.366699999999994</v>
      </c>
      <c r="I9" s="676">
        <v>71.866699999999994</v>
      </c>
      <c r="J9" s="676"/>
      <c r="K9" s="677"/>
      <c r="L9" s="676"/>
      <c r="M9" s="676">
        <v>1</v>
      </c>
    </row>
    <row r="10" spans="1:24" x14ac:dyDescent="0.25">
      <c r="A10" s="1" t="s">
        <v>1101</v>
      </c>
      <c r="B10" s="673" t="s">
        <v>1100</v>
      </c>
      <c r="C10" s="676">
        <f>G10</f>
        <v>5.0000000000000001E-3</v>
      </c>
      <c r="D10" s="676">
        <v>5.0000000000000001E-3</v>
      </c>
      <c r="E10" s="676">
        <v>0</v>
      </c>
      <c r="F10" s="676">
        <v>5.0000000000000001E-3</v>
      </c>
      <c r="G10" s="676">
        <v>5.0000000000000001E-3</v>
      </c>
      <c r="H10" s="676">
        <v>0.01</v>
      </c>
      <c r="I10" s="676"/>
      <c r="J10" s="676"/>
      <c r="K10" s="677"/>
      <c r="L10" s="676"/>
      <c r="M10" s="676">
        <f>M9+1</f>
        <v>2</v>
      </c>
    </row>
    <row r="11" spans="1:24" x14ac:dyDescent="0.25">
      <c r="A11" s="1" t="s">
        <v>1099</v>
      </c>
      <c r="B11" s="673" t="s">
        <v>1098</v>
      </c>
      <c r="C11" s="676">
        <f>G11</f>
        <v>0</v>
      </c>
      <c r="D11" s="676"/>
      <c r="E11" s="676">
        <v>0</v>
      </c>
      <c r="F11" s="676"/>
      <c r="G11" s="676"/>
      <c r="H11" s="676"/>
      <c r="I11" s="676"/>
      <c r="J11" s="676"/>
      <c r="K11" s="677"/>
      <c r="L11" s="676"/>
      <c r="M11" s="676">
        <f>M10+1</f>
        <v>3</v>
      </c>
    </row>
    <row r="12" spans="1:24" x14ac:dyDescent="0.25">
      <c r="A12" s="1" t="s">
        <v>1097</v>
      </c>
      <c r="B12" s="673" t="s">
        <v>1096</v>
      </c>
      <c r="C12" s="676">
        <f>G12</f>
        <v>4.6699999999999998E-2</v>
      </c>
      <c r="D12" s="676">
        <v>0.25290000000000001</v>
      </c>
      <c r="E12" s="676">
        <v>0</v>
      </c>
      <c r="F12" s="676">
        <v>0</v>
      </c>
      <c r="G12" s="676">
        <v>4.6699999999999998E-2</v>
      </c>
      <c r="H12" s="676">
        <v>1.5290999999999999</v>
      </c>
      <c r="I12" s="676"/>
      <c r="J12" s="676"/>
      <c r="K12" s="677"/>
      <c r="L12" s="676"/>
      <c r="M12" s="676">
        <f>M11+1</f>
        <v>4</v>
      </c>
    </row>
    <row r="13" spans="1:24" x14ac:dyDescent="0.25">
      <c r="A13" s="1" t="s">
        <v>1095</v>
      </c>
      <c r="B13" s="673" t="s">
        <v>1094</v>
      </c>
      <c r="C13" s="676">
        <f>G13</f>
        <v>0.1</v>
      </c>
      <c r="D13" s="676">
        <v>0.1</v>
      </c>
      <c r="E13" s="676">
        <v>0</v>
      </c>
      <c r="F13" s="676">
        <v>0.05</v>
      </c>
      <c r="G13" s="676">
        <v>0.1</v>
      </c>
      <c r="H13" s="676">
        <v>0.1</v>
      </c>
      <c r="I13" s="676"/>
      <c r="J13" s="676"/>
      <c r="K13" s="677"/>
      <c r="L13" s="676"/>
      <c r="M13" s="676">
        <f>M12+1</f>
        <v>5</v>
      </c>
    </row>
    <row r="14" spans="1:24" x14ac:dyDescent="0.25">
      <c r="A14" s="668"/>
      <c r="B14" s="194"/>
      <c r="C14" s="194"/>
      <c r="D14" s="194"/>
      <c r="E14" s="194"/>
      <c r="F14" s="194"/>
      <c r="G14" s="194"/>
      <c r="H14" s="194"/>
      <c r="I14" s="194"/>
      <c r="J14" s="194"/>
      <c r="K14" s="658"/>
    </row>
    <row r="15" spans="1:24" x14ac:dyDescent="0.25">
      <c r="A15" s="668" t="s">
        <v>1093</v>
      </c>
      <c r="B15" s="194"/>
      <c r="C15" s="675"/>
      <c r="D15" s="675"/>
      <c r="E15" s="675"/>
      <c r="F15" s="675"/>
      <c r="G15" s="675"/>
      <c r="H15" s="675"/>
      <c r="I15" s="675"/>
      <c r="J15" s="675"/>
      <c r="K15" s="658"/>
    </row>
    <row r="16" spans="1:24" x14ac:dyDescent="0.25">
      <c r="A16" s="668" t="s">
        <v>1092</v>
      </c>
      <c r="B16" s="194" t="s">
        <v>1091</v>
      </c>
      <c r="C16" s="674">
        <f t="shared" ref="C16:J16" si="1">C7</f>
        <v>0.82199999999999995</v>
      </c>
      <c r="D16" s="674">
        <f t="shared" si="1"/>
        <v>402.49591708176212</v>
      </c>
      <c r="E16" s="674">
        <f t="shared" si="1"/>
        <v>13.201520256</v>
      </c>
      <c r="F16" s="674">
        <f t="shared" si="1"/>
        <v>0</v>
      </c>
      <c r="G16" s="674">
        <f t="shared" si="1"/>
        <v>381.45658682762712</v>
      </c>
      <c r="H16" s="674">
        <f t="shared" si="1"/>
        <v>2.77</v>
      </c>
      <c r="I16" s="674">
        <f t="shared" si="1"/>
        <v>89.421999999999997</v>
      </c>
      <c r="J16" s="674">
        <f t="shared" si="1"/>
        <v>0</v>
      </c>
      <c r="K16" s="658"/>
    </row>
    <row r="17" spans="1:32" x14ac:dyDescent="0.25">
      <c r="A17" s="668"/>
      <c r="B17" s="194"/>
      <c r="C17" s="194"/>
      <c r="D17" s="194"/>
      <c r="E17" s="194"/>
      <c r="F17" s="194"/>
      <c r="G17" s="194"/>
      <c r="H17" s="194"/>
      <c r="I17" s="194"/>
      <c r="J17" s="194"/>
      <c r="K17" s="194"/>
      <c r="L17" s="658"/>
    </row>
    <row r="18" spans="1:32" x14ac:dyDescent="0.25">
      <c r="A18" s="672"/>
      <c r="B18" s="194"/>
      <c r="C18" s="671"/>
      <c r="D18" s="671"/>
      <c r="E18" s="671"/>
      <c r="F18" s="671"/>
      <c r="G18" s="671"/>
      <c r="H18" s="671"/>
      <c r="I18" s="671"/>
      <c r="J18" s="671"/>
      <c r="K18" s="671"/>
      <c r="L18" s="671"/>
      <c r="M18" s="658"/>
    </row>
    <row r="19" spans="1:32" x14ac:dyDescent="0.25">
      <c r="A19" s="670" t="s">
        <v>1053</v>
      </c>
      <c r="B19" s="670" t="s">
        <v>1052</v>
      </c>
      <c r="C19" s="654" t="str">
        <f>C5</f>
        <v>Oil Av Gasoline</v>
      </c>
      <c r="D19" s="654" t="str">
        <f>D5</f>
        <v>Oil Diesel</v>
      </c>
      <c r="E19" s="654" t="str">
        <f>E5</f>
        <v>Electricity</v>
      </c>
      <c r="F19" s="654"/>
      <c r="G19" s="654" t="str">
        <f>F5</f>
        <v>Gas</v>
      </c>
      <c r="H19" s="654" t="str">
        <f>G5</f>
        <v>Oil Gasoline</v>
      </c>
      <c r="I19" s="654" t="str">
        <f>H5</f>
        <v>Oil HFO</v>
      </c>
      <c r="J19" s="654" t="str">
        <f>I5</f>
        <v>Oil Jet Fuel</v>
      </c>
      <c r="K19" s="654" t="str">
        <f>J5</f>
        <v>Oil LPG</v>
      </c>
      <c r="L19" s="654"/>
      <c r="M19" s="654" t="str">
        <f>K5</f>
        <v>Hydrogen</v>
      </c>
      <c r="N19" s="654" t="str">
        <f>L5</f>
        <v>Oil Blended Gasoline-Ethanol-E85</v>
      </c>
    </row>
    <row r="20" spans="1:32" outlineLevel="1" x14ac:dyDescent="0.25">
      <c r="A20" s="669" t="s">
        <v>1051</v>
      </c>
      <c r="B20" s="668"/>
      <c r="C20" s="612"/>
      <c r="D20" s="612"/>
      <c r="E20" s="612"/>
      <c r="F20" s="612"/>
      <c r="G20" s="612"/>
      <c r="H20" s="612"/>
      <c r="I20" s="612"/>
      <c r="J20" s="612"/>
      <c r="K20" s="612"/>
      <c r="L20" s="612"/>
      <c r="M20" s="612"/>
      <c r="N20" s="612"/>
    </row>
    <row r="21" spans="1:32" outlineLevel="1" x14ac:dyDescent="0.25">
      <c r="A21" s="191" t="s">
        <v>1089</v>
      </c>
      <c r="B21" s="612" t="s">
        <v>516</v>
      </c>
      <c r="C21" s="667">
        <v>0</v>
      </c>
      <c r="D21" s="667">
        <f>SUMIF(Analytica!$B$17:$B$42,$B21&amp;RIGHT(D$6,3)&amp;"-E",Analytica!$AN$17:$AN$42)</f>
        <v>36.78</v>
      </c>
      <c r="E21" s="667">
        <f>SUMIF(Analytica!$B$17:$B$42,$B21&amp;RIGHT(E$6,3)&amp;"-E",Analytica!$AN$17:$AN$42)</f>
        <v>0</v>
      </c>
      <c r="F21" s="667"/>
      <c r="G21" s="667">
        <f>SUMIF(Analytica!$B$17:$B$42,$B21&amp;RIGHT(F$6,3)&amp;"-E",Analytica!$AN$17:$AN$42)</f>
        <v>0</v>
      </c>
      <c r="H21" s="667">
        <f>SUMIF(Analytica!$B$17:$B$42,$B21&amp;RIGHT(G$6,3)&amp;"-E",Analytica!$AN$17:$AN$42)</f>
        <v>42.48</v>
      </c>
      <c r="I21" s="667">
        <v>0</v>
      </c>
      <c r="J21" s="667">
        <v>0</v>
      </c>
      <c r="K21" s="667">
        <v>0</v>
      </c>
      <c r="L21" s="667"/>
      <c r="M21" s="667">
        <v>0</v>
      </c>
      <c r="N21" s="667">
        <v>0</v>
      </c>
    </row>
    <row r="22" spans="1:32" outlineLevel="1" x14ac:dyDescent="0.25">
      <c r="A22" s="191" t="s">
        <v>1088</v>
      </c>
      <c r="B22" s="612" t="s">
        <v>554</v>
      </c>
      <c r="C22" s="667">
        <v>0</v>
      </c>
      <c r="D22" s="667">
        <f>SUMIF(Analytica!$B$17:$B$42,$B22&amp;RIGHT(D$6,3)&amp;"-E",Analytica!$AN$17:$AN$42)</f>
        <v>19.53</v>
      </c>
      <c r="E22" s="667">
        <f>SUMIF(Analytica!$B$17:$B$42,$B22&amp;RIGHT(E$6,3)&amp;"-E",Analytica!$AN$17:$AN$42)</f>
        <v>4.3920000000000001E-3</v>
      </c>
      <c r="F22" s="667"/>
      <c r="G22" s="667">
        <f>SUMIF(Analytica!$B$17:$B$42,$B22&amp;RIGHT(F$6,3)&amp;"-E",Analytica!$AN$17:$AN$42)</f>
        <v>0</v>
      </c>
      <c r="H22" s="667">
        <f>SUMIF(Analytica!$B$17:$B$42,$B22&amp;RIGHT(G$6,3)&amp;"-E",Analytica!$AN$17:$AN$42)</f>
        <v>209.00360617320999</v>
      </c>
      <c r="I22" s="667">
        <v>0</v>
      </c>
      <c r="J22" s="667">
        <v>0</v>
      </c>
      <c r="K22" s="667">
        <v>0</v>
      </c>
      <c r="L22" s="667"/>
      <c r="M22" s="667">
        <v>0</v>
      </c>
      <c r="N22" s="667">
        <v>0</v>
      </c>
    </row>
    <row r="23" spans="1:32" outlineLevel="1" x14ac:dyDescent="0.25">
      <c r="A23" s="191" t="s">
        <v>1087</v>
      </c>
      <c r="B23" s="612" t="s">
        <v>512</v>
      </c>
      <c r="C23" s="667">
        <v>0</v>
      </c>
      <c r="D23" s="667">
        <f>SUMIF(Analytica!$B$17:$B$42,$B23&amp;RIGHT(D$6,3)&amp;"-E",Analytica!$AN$17:$AN$42)</f>
        <v>0</v>
      </c>
      <c r="E23" s="667">
        <f>SUMIF(Analytica!$B$17:$B$42,$B23&amp;RIGHT(E$6,3)&amp;"-E",Analytica!$AN$17:$AN$42)</f>
        <v>0</v>
      </c>
      <c r="F23" s="667"/>
      <c r="G23" s="667">
        <f>SUMIF(Analytica!$B$17:$B$42,$B23&amp;RIGHT(F$6,3)&amp;"-E",Analytica!$AN$17:$AN$42)</f>
        <v>0</v>
      </c>
      <c r="H23" s="667">
        <f>SUMIF(Analytica!$B$17:$B$42,$B23&amp;RIGHT(G$6,3)&amp;"-E",Analytica!$AN$17:$AN$42)</f>
        <v>10.127080654417099</v>
      </c>
      <c r="I23" s="667">
        <v>0</v>
      </c>
      <c r="J23" s="667">
        <v>0</v>
      </c>
      <c r="K23" s="667">
        <v>0</v>
      </c>
      <c r="L23" s="667"/>
      <c r="M23" s="667">
        <v>0</v>
      </c>
      <c r="N23" s="667">
        <v>0</v>
      </c>
    </row>
    <row r="24" spans="1:32" outlineLevel="1" x14ac:dyDescent="0.25">
      <c r="A24" s="191" t="s">
        <v>1086</v>
      </c>
      <c r="B24" s="612" t="s">
        <v>565</v>
      </c>
      <c r="C24" s="667">
        <v>0</v>
      </c>
      <c r="D24" s="667">
        <f>SUMIF(Analytica!$B$17:$B$42,$B24&amp;RIGHT(D$6,3)&amp;"-E",Analytica!$AN$17:$AN$42)</f>
        <v>9.9920000000000009</v>
      </c>
      <c r="E24" s="667">
        <f>SUMIF(Analytica!$B$17:$B$42,$B24&amp;RIGHT(E$6,3)&amp;"-E",Analytica!$AN$17:$AN$42)</f>
        <v>0</v>
      </c>
      <c r="F24" s="667"/>
      <c r="G24" s="667">
        <f>SUMIF(Analytica!$B$17:$B$42,$B24&amp;RIGHT(F$6,3)&amp;"-E",Analytica!$AN$17:$AN$42)</f>
        <v>0</v>
      </c>
      <c r="H24" s="667">
        <f>SUMIF(Analytica!$B$17:$B$42,$B24&amp;RIGHT(G$6,3)&amp;"-E",Analytica!$AN$17:$AN$42)</f>
        <v>0</v>
      </c>
      <c r="I24" s="667">
        <v>0</v>
      </c>
      <c r="J24" s="667">
        <v>0</v>
      </c>
      <c r="K24" s="667">
        <v>0</v>
      </c>
      <c r="L24" s="667"/>
      <c r="M24" s="667">
        <v>0</v>
      </c>
      <c r="N24" s="667">
        <v>0</v>
      </c>
    </row>
    <row r="25" spans="1:32" outlineLevel="1" x14ac:dyDescent="0.25">
      <c r="A25" s="191" t="s">
        <v>1085</v>
      </c>
      <c r="B25" s="612" t="s">
        <v>523</v>
      </c>
      <c r="C25" s="667">
        <v>0</v>
      </c>
      <c r="D25" s="667">
        <f>SUMIF(Analytica!$B$17:$B$42,$B25&amp;RIGHT(D$6,3)&amp;"-E",Analytica!$AN$17:$AN$42)</f>
        <v>9</v>
      </c>
      <c r="E25" s="667">
        <f>SUMIF(Analytica!$B$17:$B$42,$B25&amp;RIGHT(E$6,3)&amp;"-E",Analytica!$AN$17:$AN$42)</f>
        <v>0</v>
      </c>
      <c r="F25" s="667"/>
      <c r="G25" s="667">
        <f>SUMIF(Analytica!$B$17:$B$42,$B25&amp;RIGHT(F$6,3)&amp;"-E",Analytica!$AN$17:$AN$42)</f>
        <v>0</v>
      </c>
      <c r="H25" s="667">
        <f>SUMIF(Analytica!$B$17:$B$42,$B25&amp;RIGHT(G$6,3)&amp;"-E",Analytica!$AN$17:$AN$42)</f>
        <v>25.31</v>
      </c>
      <c r="I25" s="667">
        <v>0</v>
      </c>
      <c r="J25" s="667">
        <v>0</v>
      </c>
      <c r="K25" s="667">
        <v>0</v>
      </c>
      <c r="L25" s="667"/>
      <c r="M25" s="667">
        <v>0</v>
      </c>
      <c r="N25" s="667">
        <v>0</v>
      </c>
    </row>
    <row r="26" spans="1:32" outlineLevel="1" x14ac:dyDescent="0.25">
      <c r="A26" s="191" t="s">
        <v>1084</v>
      </c>
      <c r="B26" s="612" t="s">
        <v>503</v>
      </c>
      <c r="C26" s="667">
        <v>0</v>
      </c>
      <c r="D26" s="667">
        <f>SUMIF(Analytica!$B$17:$B$42,$B26&amp;RIGHT(D$6,3)&amp;"-E",Analytica!$AN$17:$AN$42)</f>
        <v>0</v>
      </c>
      <c r="E26" s="667">
        <f>SUMIF(Analytica!$B$17:$B$42,$B26&amp;RIGHT(E$6,3)&amp;"-E",Analytica!$AN$17:$AN$42)</f>
        <v>0</v>
      </c>
      <c r="F26" s="667"/>
      <c r="G26" s="667">
        <f>SUMIF(Analytica!$B$17:$B$42,$B26&amp;RIGHT(F$6,3)&amp;"-E",Analytica!$AN$17:$AN$42)</f>
        <v>0</v>
      </c>
      <c r="H26" s="667">
        <f>SUMIF(Analytica!$B$17:$B$42,$B26&amp;RIGHT(G$6,3)&amp;"-E",Analytica!$AN$17:$AN$42)</f>
        <v>0</v>
      </c>
      <c r="I26" s="667">
        <v>0</v>
      </c>
      <c r="J26" s="667">
        <v>0</v>
      </c>
      <c r="K26" s="667">
        <v>0</v>
      </c>
      <c r="L26" s="667"/>
      <c r="M26" s="667">
        <v>0</v>
      </c>
      <c r="N26" s="667">
        <v>0</v>
      </c>
    </row>
    <row r="27" spans="1:32" outlineLevel="1" x14ac:dyDescent="0.25">
      <c r="A27" s="191" t="s">
        <v>1083</v>
      </c>
      <c r="B27" s="612" t="s">
        <v>1082</v>
      </c>
      <c r="C27" s="667">
        <v>0</v>
      </c>
      <c r="D27" s="667">
        <f>SUMIF(Analytica!$B$17:$B$42,$B27&amp;RIGHT(D$6,3)&amp;"-E",Analytica!$AN$17:$AN$42)</f>
        <v>0</v>
      </c>
      <c r="E27" s="667">
        <f>SUMIF(Analytica!$B$17:$B$42,$B27&amp;RIGHT(E$6,3)&amp;"-E",Analytica!$AN$17:$AN$42)</f>
        <v>2.2562732159999994</v>
      </c>
      <c r="F27" s="667"/>
      <c r="G27" s="667">
        <f>SUMIF(Analytica!$B$17:$B$42,$B27&amp;RIGHT(F$6,3)&amp;"-E",Analytica!$AN$17:$AN$42)</f>
        <v>0</v>
      </c>
      <c r="H27" s="667">
        <f>SUMIF(Analytica!$B$17:$B$42,$B27&amp;RIGHT(G$6,3)&amp;"-E",Analytica!$AN$17:$AN$42)</f>
        <v>0</v>
      </c>
      <c r="I27" s="667">
        <v>0</v>
      </c>
      <c r="J27" s="667">
        <v>0</v>
      </c>
      <c r="K27" s="667">
        <v>0</v>
      </c>
      <c r="L27" s="667"/>
      <c r="M27" s="667">
        <v>0</v>
      </c>
      <c r="N27" s="667">
        <v>0</v>
      </c>
    </row>
    <row r="28" spans="1:32" outlineLevel="1" x14ac:dyDescent="0.25">
      <c r="A28" s="191" t="s">
        <v>1081</v>
      </c>
      <c r="B28" s="612" t="s">
        <v>1080</v>
      </c>
      <c r="C28" s="667">
        <v>0</v>
      </c>
      <c r="D28" s="667">
        <f>SUMIF(Analytica!$B$17:$B$42,$B28&amp;RIGHT(D$6,3)&amp;"-E",Analytica!$AN$17:$AN$42)</f>
        <v>0</v>
      </c>
      <c r="E28" s="667">
        <f>SUMIF(Analytica!$B$17:$B$42,$B28&amp;RIGHT(E$6,3)&amp;"-E",Analytica!$AN$17:$AN$42)</f>
        <v>0</v>
      </c>
      <c r="F28" s="667"/>
      <c r="G28" s="667">
        <f>SUMIF(Analytica!$B$17:$B$42,$B28&amp;RIGHT(F$6,3)&amp;"-E",Analytica!$AN$17:$AN$42)</f>
        <v>0</v>
      </c>
      <c r="H28" s="667">
        <f>SUMIF(Analytica!$B$17:$B$42,$B28&amp;RIGHT(G$6,3)&amp;"-E",Analytica!$AN$17:$AN$42)</f>
        <v>0</v>
      </c>
      <c r="I28" s="667">
        <v>0</v>
      </c>
      <c r="J28" s="667">
        <v>0</v>
      </c>
      <c r="K28" s="667">
        <v>0</v>
      </c>
      <c r="L28" s="667"/>
      <c r="M28" s="667">
        <v>0</v>
      </c>
      <c r="N28" s="667">
        <v>0</v>
      </c>
    </row>
    <row r="29" spans="1:32" outlineLevel="1" x14ac:dyDescent="0.25">
      <c r="A29" s="662" t="s">
        <v>1204</v>
      </c>
      <c r="B29" s="661"/>
      <c r="C29" s="659">
        <f>SUM(C21:C28)</f>
        <v>0</v>
      </c>
      <c r="D29" s="659">
        <f>SUM(D21:D28)</f>
        <v>75.302000000000007</v>
      </c>
      <c r="E29" s="659">
        <f>SUM(E21:E28)</f>
        <v>2.2606652159999996</v>
      </c>
      <c r="F29" s="659"/>
      <c r="G29" s="659">
        <f>SUM(G21:G28)</f>
        <v>0</v>
      </c>
      <c r="H29" s="659">
        <f>SUM(H21:H28)</f>
        <v>286.92068682762709</v>
      </c>
      <c r="I29" s="659">
        <f>SUM(I21:I28)</f>
        <v>0</v>
      </c>
      <c r="J29" s="659">
        <f>SUM(J21:J28)</f>
        <v>0</v>
      </c>
      <c r="K29" s="659">
        <f>SUM(K21:K28)</f>
        <v>0</v>
      </c>
      <c r="L29" s="659"/>
      <c r="M29" s="659">
        <f>SUM(M21:M28)</f>
        <v>0</v>
      </c>
      <c r="N29" s="659">
        <f>SUM(N21:N28)</f>
        <v>0</v>
      </c>
    </row>
    <row r="30" spans="1:32" outlineLevel="1" x14ac:dyDescent="0.25">
      <c r="A30" s="669" t="s">
        <v>1050</v>
      </c>
      <c r="B30" s="612"/>
      <c r="C30" s="666"/>
      <c r="D30" s="666"/>
      <c r="E30" s="666"/>
      <c r="F30" s="666"/>
      <c r="G30" s="666"/>
      <c r="H30" s="666"/>
      <c r="I30" s="666"/>
      <c r="J30" s="666"/>
      <c r="K30" s="666"/>
      <c r="L30" s="666"/>
      <c r="M30" s="666"/>
      <c r="N30" s="666"/>
    </row>
    <row r="31" spans="1:32" outlineLevel="1" x14ac:dyDescent="0.25">
      <c r="A31" s="191" t="s">
        <v>1079</v>
      </c>
      <c r="B31" s="612" t="s">
        <v>527</v>
      </c>
      <c r="C31" s="667">
        <v>0</v>
      </c>
      <c r="D31" s="667">
        <f>SUMIF(Analytica!$B$17:$B$42,$B31&amp;RIGHT(D$6,3)&amp;"-E",Analytica!$AN$17:$AN$42)</f>
        <v>119.2</v>
      </c>
      <c r="E31" s="667">
        <f>SUMIF(Analytica!$B$17:$B$42,$B31&amp;RIGHT(E$6,3)&amp;"-E",Analytica!$AN$17:$AN$42)</f>
        <v>0</v>
      </c>
      <c r="F31" s="667"/>
      <c r="G31" s="667">
        <f>SUMIF(Analytica!$B$17:$B$42,$B31&amp;RIGHT(F$6,3)&amp;"-E",Analytica!$AN$17:$AN$42)</f>
        <v>0</v>
      </c>
      <c r="H31" s="667">
        <f>SUMIF(Analytica!$B$17:$B$42,$B31&amp;RIGHT(G$6,3)&amp;"-E",Analytica!$AN$17:$AN$42)</f>
        <v>94.32</v>
      </c>
      <c r="I31" s="667">
        <v>0</v>
      </c>
      <c r="J31" s="667">
        <v>0</v>
      </c>
      <c r="K31" s="667">
        <v>0</v>
      </c>
      <c r="L31" s="667"/>
      <c r="M31" s="667">
        <v>0</v>
      </c>
      <c r="N31" s="667">
        <v>0</v>
      </c>
    </row>
    <row r="32" spans="1:32" s="626" customFormat="1" outlineLevel="1" x14ac:dyDescent="0.25">
      <c r="A32" s="191" t="s">
        <v>1078</v>
      </c>
      <c r="B32" s="612" t="s">
        <v>551</v>
      </c>
      <c r="C32" s="667"/>
      <c r="D32" s="667">
        <f>SUMIF(Analytica!$B$17:$B$42,$B32&amp;RIGHT(D$6,3)&amp;"-E",Analytica!$AN$17:$AN$42)</f>
        <v>21.25</v>
      </c>
      <c r="E32" s="667"/>
      <c r="F32" s="667"/>
      <c r="G32" s="667"/>
      <c r="H32" s="667">
        <f>SUMIF(Analytica!$B$17:$B$42,$B32&amp;RIGHT(G$6,3)&amp;"-E",Analytica!$AN$17:$AN$42)</f>
        <v>0.21590000000000001</v>
      </c>
      <c r="I32" s="667"/>
      <c r="J32" s="667"/>
      <c r="K32" s="667"/>
      <c r="L32" s="667"/>
      <c r="M32" s="667"/>
      <c r="N32" s="667"/>
      <c r="AF32"/>
    </row>
    <row r="33" spans="1:32" s="626" customFormat="1" outlineLevel="1" x14ac:dyDescent="0.25">
      <c r="A33" s="191" t="s">
        <v>1077</v>
      </c>
      <c r="B33" s="612" t="s">
        <v>549</v>
      </c>
      <c r="C33" s="667"/>
      <c r="D33" s="667">
        <f>SUMIF(Analytica!$B$17:$B$42,$B33&amp;RIGHT(D$6,3)&amp;"-E",Analytica!$AN$17:$AN$42)</f>
        <v>7.3520000000000003</v>
      </c>
      <c r="E33" s="667"/>
      <c r="F33" s="667"/>
      <c r="G33" s="667"/>
      <c r="H33" s="667">
        <f>SUMIF(Analytica!$B$17:$B$42,$B33&amp;RIGHT(G$6,3)&amp;"-E",Analytica!$AN$17:$AN$42)</f>
        <v>0</v>
      </c>
      <c r="I33" s="667"/>
      <c r="J33" s="667"/>
      <c r="K33" s="667"/>
      <c r="L33" s="667"/>
      <c r="M33" s="667"/>
      <c r="N33" s="667"/>
      <c r="AF33"/>
    </row>
    <row r="34" spans="1:32" s="626" customFormat="1" outlineLevel="1" x14ac:dyDescent="0.25">
      <c r="A34" s="191" t="s">
        <v>1076</v>
      </c>
      <c r="B34" s="612" t="s">
        <v>547</v>
      </c>
      <c r="C34" s="667"/>
      <c r="D34" s="667">
        <f>SUMIF(Analytica!$B$17:$B$42,$B34&amp;RIGHT(D$6,3)&amp;"-E",Analytica!$AN$17:$AN$42)</f>
        <v>27.66</v>
      </c>
      <c r="E34" s="667"/>
      <c r="F34" s="667"/>
      <c r="G34" s="667"/>
      <c r="H34" s="667">
        <f>SUMIF(Analytica!$B$17:$B$42,$B34&amp;RIGHT(G$6,3)&amp;"-E",Analytica!$AN$17:$AN$42)</f>
        <v>0</v>
      </c>
      <c r="I34" s="667"/>
      <c r="J34" s="667"/>
      <c r="K34" s="667"/>
      <c r="L34" s="667"/>
      <c r="M34" s="667"/>
      <c r="N34" s="667"/>
      <c r="AF34"/>
    </row>
    <row r="35" spans="1:32" s="626" customFormat="1" outlineLevel="1" x14ac:dyDescent="0.25">
      <c r="A35" s="191" t="s">
        <v>1075</v>
      </c>
      <c r="B35" s="612" t="s">
        <v>545</v>
      </c>
      <c r="C35" s="667"/>
      <c r="D35" s="667">
        <f>SUMIF(Analytica!$B$17:$B$42,$B35&amp;RIGHT(D$6,3)&amp;"-E",Analytica!$AN$17:$AN$42)</f>
        <v>5.8369999999999997</v>
      </c>
      <c r="E35" s="667"/>
      <c r="F35" s="667"/>
      <c r="G35" s="667"/>
      <c r="H35" s="667">
        <f>SUMIF(Analytica!$B$17:$B$42,$B35&amp;RIGHT(G$6,3)&amp;"-E",Analytica!$AN$17:$AN$42)</f>
        <v>0</v>
      </c>
      <c r="I35" s="667"/>
      <c r="J35" s="667"/>
      <c r="K35" s="667"/>
      <c r="L35" s="667"/>
      <c r="M35" s="667"/>
      <c r="N35" s="667"/>
      <c r="AF35"/>
    </row>
    <row r="36" spans="1:32" s="626" customFormat="1" outlineLevel="1" x14ac:dyDescent="0.25">
      <c r="A36" s="191" t="s">
        <v>1074</v>
      </c>
      <c r="B36" s="612" t="s">
        <v>543</v>
      </c>
      <c r="C36" s="667"/>
      <c r="D36" s="667">
        <f>SUMIF(Analytica!$B$17:$B$42,$B36&amp;RIGHT(D$6,3)&amp;"-E",Analytica!$AN$17:$AN$42)</f>
        <v>3.1549999999999998</v>
      </c>
      <c r="E36" s="667"/>
      <c r="F36" s="667"/>
      <c r="G36" s="667"/>
      <c r="H36" s="667">
        <f>SUMIF(Analytica!$B$17:$B$42,$B36&amp;RIGHT(G$6,3)&amp;"-E",Analytica!$AN$17:$AN$42)</f>
        <v>0</v>
      </c>
      <c r="I36" s="667"/>
      <c r="J36" s="667"/>
      <c r="K36" s="667"/>
      <c r="L36" s="667"/>
      <c r="M36" s="667"/>
      <c r="N36" s="667"/>
      <c r="AF36"/>
    </row>
    <row r="37" spans="1:32" s="626" customFormat="1" outlineLevel="1" x14ac:dyDescent="0.25">
      <c r="A37" s="191" t="s">
        <v>1073</v>
      </c>
      <c r="B37" s="612" t="s">
        <v>541</v>
      </c>
      <c r="C37" s="667"/>
      <c r="D37" s="667">
        <f>SUMIF(Analytica!$B$17:$B$42,$B37&amp;RIGHT(D$6,3)&amp;"-E",Analytica!$AN$17:$AN$42)</f>
        <v>102.3</v>
      </c>
      <c r="E37" s="667"/>
      <c r="F37" s="667"/>
      <c r="G37" s="667"/>
      <c r="H37" s="667">
        <f>SUMIF(Analytica!$B$17:$B$42,$B37&amp;RIGHT(G$6,3)&amp;"-E",Analytica!$AN$17:$AN$42)</f>
        <v>0</v>
      </c>
      <c r="I37" s="667"/>
      <c r="J37" s="667"/>
      <c r="K37" s="667"/>
      <c r="L37" s="667"/>
      <c r="M37" s="667"/>
      <c r="N37" s="667"/>
      <c r="AF37"/>
    </row>
    <row r="38" spans="1:32" s="626" customFormat="1" outlineLevel="1" x14ac:dyDescent="0.25">
      <c r="A38" s="191" t="s">
        <v>1072</v>
      </c>
      <c r="B38" s="612" t="s">
        <v>539</v>
      </c>
      <c r="C38" s="667"/>
      <c r="D38" s="667">
        <f>SUMIF(Analytica!$B$17:$B$42,$B38&amp;RIGHT(D$6,3)&amp;"-E",Analytica!$AN$17:$AN$42)</f>
        <v>31.66</v>
      </c>
      <c r="E38" s="667"/>
      <c r="F38" s="667"/>
      <c r="G38" s="667"/>
      <c r="H38" s="667">
        <f>SUMIF(Analytica!$B$17:$B$42,$B38&amp;RIGHT(G$6,3)&amp;"-E",Analytica!$AN$17:$AN$42)</f>
        <v>0</v>
      </c>
      <c r="I38" s="667"/>
      <c r="J38" s="667"/>
      <c r="K38" s="667"/>
      <c r="L38" s="667"/>
      <c r="M38" s="667"/>
      <c r="N38" s="667"/>
      <c r="AF38"/>
    </row>
    <row r="39" spans="1:32" s="626" customFormat="1" outlineLevel="1" x14ac:dyDescent="0.25">
      <c r="A39" s="191" t="s">
        <v>1071</v>
      </c>
      <c r="B39" s="612" t="s">
        <v>537</v>
      </c>
      <c r="C39" s="667"/>
      <c r="D39" s="667">
        <f>SUMIF(Analytica!$B$17:$B$42,$B39&amp;RIGHT(D$6,3)&amp;"-E",Analytica!$AN$17:$AN$42)</f>
        <v>1.766</v>
      </c>
      <c r="E39" s="667">
        <f>SUMIF(Analytica!$B$17:$B$42,$B39&amp;RIGHT(E$6,3)&amp;"-E",Analytica!$AN$17:$AN$42)</f>
        <v>0</v>
      </c>
      <c r="F39" s="667"/>
      <c r="G39" s="667">
        <f>SUMIF(Analytica!$B$17:$B$42,$B39&amp;RIGHT(F$6,3)&amp;"-E",Analytica!$AN$17:$AN$42)</f>
        <v>0</v>
      </c>
      <c r="H39" s="667">
        <f>SUMIF(Analytica!$B$17:$B$42,$B39&amp;RIGHT(G$6,3)&amp;"-E",Analytica!$AN$17:$AN$42)</f>
        <v>0</v>
      </c>
      <c r="I39" s="667"/>
      <c r="J39" s="667"/>
      <c r="K39" s="667"/>
      <c r="L39" s="667"/>
      <c r="M39" s="667"/>
      <c r="N39" s="667"/>
      <c r="AF39"/>
    </row>
    <row r="40" spans="1:32" s="626" customFormat="1" outlineLevel="1" x14ac:dyDescent="0.25">
      <c r="A40" s="191" t="s">
        <v>1070</v>
      </c>
      <c r="B40" s="612" t="s">
        <v>535</v>
      </c>
      <c r="C40" s="667"/>
      <c r="D40" s="667">
        <f>SUMIF(Analytica!$B$17:$B$42,$B40&amp;RIGHT(D$6,3)&amp;"-E",Analytica!$AN$17:$AN$42)</f>
        <v>0.54090000000000005</v>
      </c>
      <c r="E40" s="667"/>
      <c r="F40" s="667"/>
      <c r="G40" s="667">
        <f>SUMIF(Analytica!$B$17:$B$42,$B40&amp;RIGHT(F$6,3)&amp;"-E",Analytica!$AN$17:$AN$42)</f>
        <v>0</v>
      </c>
      <c r="H40" s="667">
        <f>SUMIF(Analytica!$B$17:$B$42,$B40&amp;RIGHT(G$6,3)&amp;"-E",Analytica!$AN$17:$AN$42)</f>
        <v>0</v>
      </c>
      <c r="I40" s="667"/>
      <c r="J40" s="667"/>
      <c r="K40" s="667"/>
      <c r="L40" s="667"/>
      <c r="M40" s="667"/>
      <c r="N40" s="667"/>
      <c r="AF40"/>
    </row>
    <row r="41" spans="1:32" outlineLevel="1" x14ac:dyDescent="0.25">
      <c r="A41" s="191" t="s">
        <v>1069</v>
      </c>
      <c r="B41" s="612" t="s">
        <v>1068</v>
      </c>
      <c r="C41" s="667"/>
      <c r="D41" s="667">
        <f>Calib_2017!$P42/1000</f>
        <v>2.5605771444500771</v>
      </c>
      <c r="E41" s="667">
        <f>Calib_2017!$S42/1000</f>
        <v>3.6787586919604651</v>
      </c>
      <c r="F41" s="667"/>
      <c r="G41" s="667"/>
      <c r="H41" s="667"/>
      <c r="I41" s="667"/>
      <c r="J41" s="667"/>
      <c r="K41" s="667"/>
      <c r="L41" s="667"/>
      <c r="M41" s="667"/>
      <c r="N41" s="667"/>
    </row>
    <row r="42" spans="1:32" outlineLevel="1" x14ac:dyDescent="0.25">
      <c r="A42" s="191" t="s">
        <v>1067</v>
      </c>
      <c r="B42" s="612" t="s">
        <v>1066</v>
      </c>
      <c r="C42" s="667"/>
      <c r="D42" s="667">
        <f>Calib_2017!$P43/1000</f>
        <v>1.2585029337895186</v>
      </c>
      <c r="E42" s="667">
        <f>Calib_2017!$S43/1000</f>
        <v>1.8080801105995357</v>
      </c>
      <c r="F42" s="667"/>
      <c r="G42" s="667"/>
      <c r="H42" s="667"/>
      <c r="I42" s="667"/>
      <c r="J42" s="667"/>
      <c r="K42" s="667"/>
      <c r="L42" s="667"/>
      <c r="M42" s="667"/>
      <c r="N42" s="667"/>
    </row>
    <row r="43" spans="1:32" outlineLevel="1" x14ac:dyDescent="0.25">
      <c r="A43" s="191" t="s">
        <v>1065</v>
      </c>
      <c r="B43" s="612" t="s">
        <v>1064</v>
      </c>
      <c r="C43" s="667"/>
      <c r="D43" s="667">
        <f>Calib_2017!$P44/1000</f>
        <v>2.6539370035224303</v>
      </c>
      <c r="E43" s="667">
        <f>Calib_2017!$S44/1000</f>
        <v>3.8128879814399999</v>
      </c>
      <c r="F43" s="667"/>
      <c r="G43" s="667"/>
      <c r="H43" s="667"/>
      <c r="I43" s="667"/>
      <c r="J43" s="667"/>
      <c r="K43" s="667"/>
      <c r="L43" s="667"/>
      <c r="M43" s="667"/>
      <c r="N43" s="667"/>
    </row>
    <row r="44" spans="1:32" outlineLevel="1" x14ac:dyDescent="0.25">
      <c r="A44" s="662" t="s">
        <v>1205</v>
      </c>
      <c r="B44" s="661"/>
      <c r="C44" s="659">
        <f>SUM(C31:C43)</f>
        <v>0</v>
      </c>
      <c r="D44" s="659">
        <f>SUM(D31:D43)</f>
        <v>327.19391708176209</v>
      </c>
      <c r="E44" s="659">
        <f>SUM(E31:E43)</f>
        <v>9.2997267840000006</v>
      </c>
      <c r="F44" s="659"/>
      <c r="G44" s="659">
        <f>SUM(G31:G43)</f>
        <v>0</v>
      </c>
      <c r="H44" s="659">
        <f>SUM(H31:H43)</f>
        <v>94.535899999999998</v>
      </c>
      <c r="I44" s="659">
        <f>SUM(I31:I43)</f>
        <v>0</v>
      </c>
      <c r="J44" s="659">
        <f>SUM(J31:J43)</f>
        <v>0</v>
      </c>
      <c r="K44" s="659">
        <f>SUM(K31:K43)</f>
        <v>0</v>
      </c>
      <c r="L44" s="659"/>
      <c r="M44" s="659">
        <f>SUM(M31:M43)</f>
        <v>0</v>
      </c>
      <c r="N44" s="659">
        <f>SUM(N31:N43)</f>
        <v>0</v>
      </c>
      <c r="Q44" s="2"/>
      <c r="R44" s="665"/>
    </row>
    <row r="45" spans="1:32" outlineLevel="1" x14ac:dyDescent="0.25">
      <c r="A45" s="668" t="s">
        <v>1049</v>
      </c>
      <c r="B45" s="612"/>
      <c r="C45" s="667"/>
      <c r="D45" s="667"/>
      <c r="E45" s="667"/>
      <c r="F45" s="667"/>
      <c r="G45" s="667"/>
      <c r="H45" s="667"/>
      <c r="I45" s="667"/>
      <c r="J45" s="667"/>
      <c r="K45" s="667"/>
      <c r="L45" s="667"/>
      <c r="M45" s="667"/>
      <c r="N45" s="667"/>
    </row>
    <row r="46" spans="1:32" outlineLevel="1" x14ac:dyDescent="0.25">
      <c r="A46" s="191" t="s">
        <v>1063</v>
      </c>
      <c r="B46" s="612" t="s">
        <v>1062</v>
      </c>
      <c r="C46" s="667"/>
      <c r="D46" s="667"/>
      <c r="E46" s="667">
        <f>EB_2017!BD86/1000</f>
        <v>1.641128256</v>
      </c>
      <c r="F46" s="667"/>
      <c r="G46" s="667"/>
      <c r="H46" s="667"/>
      <c r="I46" s="667"/>
      <c r="J46" s="667"/>
      <c r="K46" s="667"/>
      <c r="L46" s="667"/>
      <c r="M46" s="667"/>
      <c r="N46" s="667"/>
    </row>
    <row r="47" spans="1:32" outlineLevel="1" x14ac:dyDescent="0.25">
      <c r="A47" s="191" t="s">
        <v>1061</v>
      </c>
      <c r="B47" s="612" t="s">
        <v>1060</v>
      </c>
      <c r="C47" s="667"/>
      <c r="D47" s="667"/>
      <c r="E47" s="667"/>
      <c r="F47" s="667"/>
      <c r="G47" s="667"/>
      <c r="H47" s="667"/>
      <c r="I47" s="667"/>
      <c r="J47" s="667">
        <f>EB_2017!AI69/1000</f>
        <v>68.938999999999993</v>
      </c>
      <c r="K47" s="667"/>
      <c r="L47" s="667"/>
      <c r="M47" s="667"/>
      <c r="N47" s="667"/>
    </row>
    <row r="48" spans="1:32" outlineLevel="1" x14ac:dyDescent="0.25">
      <c r="A48" s="191" t="s">
        <v>1059</v>
      </c>
      <c r="B48" s="612" t="s">
        <v>1058</v>
      </c>
      <c r="C48" s="667"/>
      <c r="D48" s="667"/>
      <c r="E48" s="667"/>
      <c r="F48" s="667"/>
      <c r="G48" s="667"/>
      <c r="H48" s="667"/>
      <c r="I48" s="667"/>
      <c r="J48" s="667">
        <f>EB_2017!AI70/1000</f>
        <v>20.483000000000001</v>
      </c>
      <c r="K48" s="667"/>
      <c r="L48" s="667"/>
      <c r="M48" s="667"/>
      <c r="N48" s="667"/>
    </row>
    <row r="49" spans="1:34" outlineLevel="1" x14ac:dyDescent="0.25">
      <c r="A49" s="191" t="s">
        <v>1057</v>
      </c>
      <c r="B49" s="612" t="s">
        <v>1056</v>
      </c>
      <c r="C49" s="667">
        <f>EB_2017!AG68/1000</f>
        <v>0.82199999999999995</v>
      </c>
      <c r="D49" s="667"/>
      <c r="E49" s="667"/>
      <c r="F49" s="667"/>
      <c r="G49" s="667"/>
      <c r="H49" s="667"/>
      <c r="I49" s="667"/>
      <c r="J49" s="667"/>
      <c r="K49" s="667"/>
      <c r="L49" s="667"/>
      <c r="M49" s="667"/>
      <c r="N49" s="667"/>
    </row>
    <row r="50" spans="1:34" outlineLevel="1" x14ac:dyDescent="0.25">
      <c r="A50" s="191" t="s">
        <v>1055</v>
      </c>
      <c r="B50" s="612" t="s">
        <v>1054</v>
      </c>
      <c r="C50" s="666"/>
      <c r="D50" s="666"/>
      <c r="E50" s="666"/>
      <c r="F50" s="666"/>
      <c r="G50" s="666"/>
      <c r="H50" s="666"/>
      <c r="I50" s="667">
        <f>EB_2017!AL68/1000</f>
        <v>2.77</v>
      </c>
      <c r="J50" s="666"/>
      <c r="K50" s="666"/>
      <c r="L50" s="666"/>
      <c r="M50" s="666"/>
      <c r="N50" s="666"/>
      <c r="P50" s="1">
        <f>SUM(P63:P72)/1000</f>
        <v>7.7429715476704368</v>
      </c>
    </row>
    <row r="51" spans="1:34" outlineLevel="1" x14ac:dyDescent="0.25">
      <c r="A51" s="662" t="str">
        <f xml:space="preserve"> "Total: "&amp;A45</f>
        <v>Total: Other Transport</v>
      </c>
      <c r="B51" s="661"/>
      <c r="C51" s="659">
        <f>SUM(C46:C50)</f>
        <v>0.82199999999999995</v>
      </c>
      <c r="D51" s="659">
        <f>SUM(D46:D50)</f>
        <v>0</v>
      </c>
      <c r="E51" s="659">
        <f>SUM(E46:E50)</f>
        <v>1.641128256</v>
      </c>
      <c r="F51" s="659"/>
      <c r="G51" s="659">
        <f>SUM(G46:G50)</f>
        <v>0</v>
      </c>
      <c r="H51" s="659">
        <f>SUM(H46:H50)</f>
        <v>0</v>
      </c>
      <c r="I51" s="659">
        <f>SUM(I46:I50)</f>
        <v>2.77</v>
      </c>
      <c r="J51" s="659">
        <f>SUM(J46:J50)</f>
        <v>89.421999999999997</v>
      </c>
      <c r="K51" s="659">
        <f>SUM(K46:K50)</f>
        <v>0</v>
      </c>
      <c r="L51" s="659"/>
      <c r="M51" s="659">
        <f>SUM(M46:M50)</f>
        <v>0</v>
      </c>
      <c r="N51" s="659">
        <f>SUM(N46:N50)</f>
        <v>0</v>
      </c>
    </row>
    <row r="52" spans="1:34" x14ac:dyDescent="0.25">
      <c r="A52" s="662" t="s">
        <v>1048</v>
      </c>
      <c r="B52" s="661"/>
      <c r="C52" s="659">
        <f>C51+C44+C29</f>
        <v>0.82199999999999995</v>
      </c>
      <c r="D52" s="659">
        <f>D51+D44+D29</f>
        <v>402.49591708176212</v>
      </c>
      <c r="E52" s="659">
        <f>E51+E44+E29</f>
        <v>13.201520256</v>
      </c>
      <c r="F52" s="659"/>
      <c r="G52" s="659">
        <f>G51+G44+G29</f>
        <v>0</v>
      </c>
      <c r="H52" s="659">
        <f>H51+H44+H29</f>
        <v>381.45658682762712</v>
      </c>
      <c r="I52" s="659">
        <f>I51+I44+I29</f>
        <v>2.77</v>
      </c>
      <c r="J52" s="659">
        <f>J51+J44+J29</f>
        <v>89.421999999999997</v>
      </c>
      <c r="K52" s="659">
        <f>K51+K44+K29</f>
        <v>0</v>
      </c>
      <c r="L52" s="659"/>
      <c r="M52" s="659">
        <f>M51+M44+M29</f>
        <v>0</v>
      </c>
      <c r="N52" s="659">
        <f>N51+N44+N29</f>
        <v>0</v>
      </c>
      <c r="P52" s="665">
        <f>H52+D52</f>
        <v>783.95250390938918</v>
      </c>
    </row>
    <row r="53" spans="1:34" x14ac:dyDescent="0.25">
      <c r="A53" s="662" t="s">
        <v>1047</v>
      </c>
      <c r="B53" s="661"/>
      <c r="C53" s="659"/>
      <c r="D53" s="664">
        <f>EB_2017!AK68/1000</f>
        <v>402.19301708176204</v>
      </c>
      <c r="G53" s="659"/>
      <c r="H53" s="663">
        <f>EB_2017!AF68/1000</f>
        <v>381.58</v>
      </c>
      <c r="I53" s="659"/>
      <c r="J53" s="659"/>
      <c r="K53" s="659"/>
      <c r="L53" s="659"/>
      <c r="M53" s="658"/>
      <c r="N53" s="658"/>
    </row>
    <row r="54" spans="1:34" ht="18.75" x14ac:dyDescent="0.25">
      <c r="A54" s="662" t="s">
        <v>1046</v>
      </c>
      <c r="B54" s="661"/>
      <c r="C54" s="659"/>
      <c r="D54" s="660">
        <f>1-D53/D55</f>
        <v>-1.5580202765451023E-2</v>
      </c>
      <c r="E54" s="660"/>
      <c r="F54" s="660"/>
      <c r="G54" s="660"/>
      <c r="H54" s="660">
        <f>1-H53/H52</f>
        <v>-3.2353137063179105E-4</v>
      </c>
      <c r="I54" s="659"/>
      <c r="J54" s="659"/>
      <c r="K54" s="659"/>
      <c r="L54" s="659"/>
      <c r="M54" s="658"/>
      <c r="N54" s="658"/>
      <c r="R54" s="657" t="s">
        <v>1045</v>
      </c>
      <c r="AE54"/>
      <c r="AF54" s="1"/>
    </row>
    <row r="55" spans="1:34" ht="52.5" thickBot="1" x14ac:dyDescent="0.3">
      <c r="A55" s="656" t="s">
        <v>1044</v>
      </c>
      <c r="B55" s="655">
        <f>D55/38.1</f>
        <v>10.394301837270344</v>
      </c>
      <c r="C55" s="654" t="s">
        <v>1043</v>
      </c>
      <c r="D55" s="653">
        <f>D44+D29-SUM(D41:D43)</f>
        <v>396.02290000000011</v>
      </c>
      <c r="E55" s="652"/>
      <c r="F55" s="652"/>
      <c r="G55" s="652"/>
      <c r="H55" s="652"/>
      <c r="I55" s="652"/>
      <c r="J55" s="652"/>
      <c r="K55" s="652"/>
      <c r="P55" s="644" t="s">
        <v>1042</v>
      </c>
      <c r="R55" s="651">
        <f>Analytica!AU12</f>
        <v>0.8</v>
      </c>
      <c r="S55" s="651">
        <f>Analytica!AV12</f>
        <v>0</v>
      </c>
      <c r="T55" s="651">
        <f>Analytica!AW12</f>
        <v>0</v>
      </c>
      <c r="V55" s="644" t="s">
        <v>1041</v>
      </c>
      <c r="AC55"/>
      <c r="AF55" s="1"/>
    </row>
    <row r="56" spans="1:34" x14ac:dyDescent="0.25">
      <c r="C56" s="649"/>
      <c r="D56" s="649" t="s">
        <v>1040</v>
      </c>
      <c r="E56" s="649"/>
      <c r="F56" s="649"/>
      <c r="G56" s="649"/>
      <c r="H56" s="649"/>
      <c r="P56" s="650"/>
      <c r="AC56"/>
      <c r="AF56" s="1"/>
    </row>
    <row r="57" spans="1:34" x14ac:dyDescent="0.25">
      <c r="C57" s="649"/>
      <c r="D57" s="1" t="s">
        <v>1039</v>
      </c>
      <c r="E57" s="1" t="s">
        <v>594</v>
      </c>
      <c r="F57" s="1" t="s">
        <v>594</v>
      </c>
      <c r="G57" s="1" t="s">
        <v>594</v>
      </c>
      <c r="H57" s="1" t="s">
        <v>594</v>
      </c>
      <c r="I57" s="1" t="s">
        <v>594</v>
      </c>
      <c r="J57" s="1" t="s">
        <v>595</v>
      </c>
      <c r="K57" s="1" t="s">
        <v>595</v>
      </c>
      <c r="L57" s="1" t="s">
        <v>595</v>
      </c>
      <c r="M57" s="1" t="s">
        <v>595</v>
      </c>
      <c r="N57" s="1" t="s">
        <v>595</v>
      </c>
      <c r="O57" s="1" t="s">
        <v>596</v>
      </c>
      <c r="P57" s="1" t="s">
        <v>644</v>
      </c>
      <c r="Q57" s="1" t="s">
        <v>644</v>
      </c>
      <c r="R57" s="1" t="s">
        <v>644</v>
      </c>
      <c r="S57" s="1" t="s">
        <v>644</v>
      </c>
      <c r="T57" s="1" t="s">
        <v>644</v>
      </c>
      <c r="W57" s="61" t="s">
        <v>645</v>
      </c>
      <c r="X57" s="1" t="s">
        <v>646</v>
      </c>
      <c r="AC57"/>
      <c r="AD57" s="1" t="s">
        <v>646</v>
      </c>
      <c r="AF57" s="1"/>
    </row>
    <row r="58" spans="1:34" ht="26.25" x14ac:dyDescent="0.25">
      <c r="A58" s="648" t="s">
        <v>1038</v>
      </c>
      <c r="B58" s="648" t="s">
        <v>1037</v>
      </c>
      <c r="C58" s="648" t="s">
        <v>1036</v>
      </c>
      <c r="D58" s="648" t="s">
        <v>1035</v>
      </c>
      <c r="E58" s="648" t="str">
        <f>"EFF"&amp;$D$56&amp;E59</f>
        <v>EFF~2017</v>
      </c>
      <c r="F58" s="648" t="str">
        <f>"EFF"&amp;$D$56&amp;F59</f>
        <v>EFF~2020</v>
      </c>
      <c r="G58" s="648" t="str">
        <f>"EFF"&amp;$D$56&amp;G59</f>
        <v>EFF~2030</v>
      </c>
      <c r="H58" s="648" t="str">
        <f>"EFF"&amp;$D$56&amp;H59</f>
        <v>EFF~2040</v>
      </c>
      <c r="I58" s="648" t="str">
        <f>"EFF"&amp;$D$56&amp;I59</f>
        <v>EFF~2050</v>
      </c>
      <c r="J58" s="648" t="str">
        <f>"NCAP_AF"&amp;$D$56&amp;J59</f>
        <v>NCAP_AF~2017</v>
      </c>
      <c r="K58" s="648" t="str">
        <f>"NCAP_AF"&amp;$D$56&amp;K59</f>
        <v>NCAP_AF~2020</v>
      </c>
      <c r="L58" s="648" t="str">
        <f t="shared" ref="L58:N58" si="2">"NCAP_AF"&amp;$D$56&amp;L59</f>
        <v>NCAP_AF~2030</v>
      </c>
      <c r="M58" s="648" t="str">
        <f t="shared" si="2"/>
        <v>NCAP_AF~2040</v>
      </c>
      <c r="N58" s="648" t="str">
        <f t="shared" si="2"/>
        <v>NCAP_AF~2050</v>
      </c>
      <c r="O58" s="648" t="s">
        <v>596</v>
      </c>
      <c r="P58" s="648" t="str">
        <f>"STOCK"&amp;$D$56&amp;P59</f>
        <v>STOCK~2017</v>
      </c>
      <c r="Q58" s="648" t="str">
        <f>"STOCK"&amp;$D$56&amp;Q59</f>
        <v>STOCK~2020</v>
      </c>
      <c r="R58" s="648" t="str">
        <f>"STOCK"&amp;$D$56&amp;R59</f>
        <v>STOCK~2030</v>
      </c>
      <c r="S58" s="648" t="str">
        <f>"STOCK"&amp;$D$56&amp;S59</f>
        <v>STOCK~2040</v>
      </c>
      <c r="T58" s="648" t="str">
        <f>"STOCK"&amp;$D$56&amp;T59</f>
        <v>STOCK~2050</v>
      </c>
      <c r="U58" s="648" t="str">
        <f>"NCAP_BND"&amp;$D$56&amp;"0"</f>
        <v>NCAP_BND~0</v>
      </c>
      <c r="V58" s="648" t="str">
        <f>"NCAP_BND"&amp;$D$56&amp;"2017"</f>
        <v>NCAP_BND~2017</v>
      </c>
      <c r="AC58"/>
      <c r="AD58"/>
      <c r="AE58"/>
      <c r="AG58"/>
      <c r="AH58"/>
    </row>
    <row r="59" spans="1:34" s="635" customFormat="1" ht="39.75" thickBot="1" x14ac:dyDescent="0.3">
      <c r="A59" s="647" t="s">
        <v>1034</v>
      </c>
      <c r="B59" s="644" t="s">
        <v>1033</v>
      </c>
      <c r="C59" s="644" t="s">
        <v>1032</v>
      </c>
      <c r="D59" s="644" t="s">
        <v>1031</v>
      </c>
      <c r="E59" s="645">
        <v>2017</v>
      </c>
      <c r="F59" s="645">
        <v>2020</v>
      </c>
      <c r="G59" s="645">
        <v>2030</v>
      </c>
      <c r="H59" s="645">
        <v>2040</v>
      </c>
      <c r="I59" s="645">
        <v>2050</v>
      </c>
      <c r="J59" s="645">
        <v>2017</v>
      </c>
      <c r="K59" s="645">
        <v>2020</v>
      </c>
      <c r="L59" s="645">
        <v>2030</v>
      </c>
      <c r="M59" s="645">
        <v>2040</v>
      </c>
      <c r="N59" s="645">
        <v>2050</v>
      </c>
      <c r="O59" s="645" t="str">
        <f>Analytica!F16</f>
        <v>CapAct</v>
      </c>
      <c r="P59" s="645">
        <v>2017</v>
      </c>
      <c r="Q59" s="645">
        <v>2020</v>
      </c>
      <c r="R59" s="645">
        <v>2030</v>
      </c>
      <c r="S59" s="645">
        <v>2040</v>
      </c>
      <c r="T59" s="645">
        <v>2050</v>
      </c>
      <c r="U59" s="644"/>
      <c r="V59" s="644"/>
      <c r="W59" s="646">
        <v>20.170000000000002</v>
      </c>
      <c r="X59" s="644" t="s">
        <v>1028</v>
      </c>
      <c r="Y59" s="644" t="s">
        <v>483</v>
      </c>
      <c r="Z59" s="644" t="s">
        <v>1027</v>
      </c>
      <c r="AA59" s="645" t="s">
        <v>1030</v>
      </c>
      <c r="AB59" s="644" t="s">
        <v>1029</v>
      </c>
      <c r="AC59"/>
      <c r="AD59" s="644" t="s">
        <v>1028</v>
      </c>
      <c r="AE59" s="644" t="s">
        <v>483</v>
      </c>
      <c r="AF59" s="644" t="s">
        <v>1027</v>
      </c>
    </row>
    <row r="60" spans="1:34" x14ac:dyDescent="0.25">
      <c r="A60" s="643" t="s">
        <v>1026</v>
      </c>
      <c r="B60" s="622"/>
      <c r="C60" s="622"/>
      <c r="D60" s="622"/>
      <c r="E60" s="642"/>
      <c r="F60" s="642"/>
      <c r="G60" s="642"/>
      <c r="H60" s="642"/>
      <c r="I60" s="642"/>
      <c r="J60" s="642"/>
      <c r="K60" s="642"/>
      <c r="L60" s="642"/>
      <c r="M60" s="642"/>
      <c r="N60" s="642"/>
      <c r="O60" s="641" t="s">
        <v>1025</v>
      </c>
      <c r="P60" s="640" t="s">
        <v>1024</v>
      </c>
      <c r="Q60" s="640" t="s">
        <v>1024</v>
      </c>
      <c r="R60" s="640" t="s">
        <v>1024</v>
      </c>
      <c r="S60" s="640" t="s">
        <v>1024</v>
      </c>
      <c r="T60" s="640" t="s">
        <v>1024</v>
      </c>
      <c r="U60" s="640"/>
      <c r="V60" s="640"/>
      <c r="W60" s="194" t="s">
        <v>1023</v>
      </c>
      <c r="X60" s="194" t="s">
        <v>1020</v>
      </c>
      <c r="Y60" s="194" t="s">
        <v>1022</v>
      </c>
      <c r="Z60" s="194" t="s">
        <v>1022</v>
      </c>
      <c r="AB60" s="635" t="s">
        <v>1021</v>
      </c>
      <c r="AC60"/>
      <c r="AD60" s="194" t="s">
        <v>1020</v>
      </c>
      <c r="AF60" s="1"/>
    </row>
    <row r="61" spans="1:34" s="635" customFormat="1" x14ac:dyDescent="0.25">
      <c r="A61" s="639" t="s">
        <v>1013</v>
      </c>
      <c r="B61" s="638"/>
      <c r="C61" s="606">
        <v>1</v>
      </c>
      <c r="D61" s="606">
        <v>2</v>
      </c>
      <c r="E61" s="606">
        <v>4</v>
      </c>
      <c r="F61" s="606">
        <v>5</v>
      </c>
      <c r="G61" s="606">
        <v>6</v>
      </c>
      <c r="H61" s="606">
        <v>7</v>
      </c>
      <c r="I61" s="606">
        <v>8</v>
      </c>
      <c r="J61" s="606">
        <v>10</v>
      </c>
      <c r="K61" s="606">
        <v>11</v>
      </c>
      <c r="L61" s="606">
        <v>12</v>
      </c>
      <c r="M61" s="606">
        <v>13</v>
      </c>
      <c r="N61" s="606">
        <v>14</v>
      </c>
      <c r="O61" s="606">
        <v>15</v>
      </c>
      <c r="P61" s="606">
        <v>17</v>
      </c>
      <c r="Q61" s="606">
        <v>18</v>
      </c>
      <c r="R61" s="606">
        <v>19</v>
      </c>
      <c r="S61" s="606">
        <v>20</v>
      </c>
      <c r="T61" s="606">
        <v>21</v>
      </c>
      <c r="U61" s="606">
        <v>22</v>
      </c>
      <c r="V61" s="606">
        <v>23</v>
      </c>
      <c r="W61" s="637"/>
      <c r="X61" s="636"/>
      <c r="Y61" s="636"/>
      <c r="AA61" s="1"/>
      <c r="AB61" s="6">
        <v>5.0000000000000001E-3</v>
      </c>
      <c r="AC61"/>
      <c r="AD61" s="636"/>
    </row>
    <row r="62" spans="1:34" x14ac:dyDescent="0.25">
      <c r="A62" s="623" t="s">
        <v>1019</v>
      </c>
      <c r="B62" s="622"/>
      <c r="E62" s="625"/>
      <c r="F62" s="625"/>
      <c r="G62" s="625"/>
      <c r="H62" s="625"/>
      <c r="I62" s="625"/>
      <c r="J62" s="625"/>
      <c r="O62" s="634"/>
      <c r="AC62"/>
      <c r="AF62" s="1"/>
    </row>
    <row r="63" spans="1:34" x14ac:dyDescent="0.25">
      <c r="A63" s="191" t="str">
        <f>A$21&amp;" "&amp;TRP!D$19&amp;"-E"</f>
        <v>Transport Passenger SUV Priv.Veh. Oil Diesel-E</v>
      </c>
      <c r="B63" s="191" t="str">
        <f>D63&amp;RIGHT(C63,3)&amp;"-E"</f>
        <v>TPPRSUVODS-E</v>
      </c>
      <c r="C63" s="612" t="str">
        <f>$D$6</f>
        <v>TRAODS</v>
      </c>
      <c r="D63" s="612" t="str">
        <f>$B$21</f>
        <v>TPPRSUV</v>
      </c>
      <c r="E63" s="627">
        <f t="array" ref="E63">IFERROR(INDEX(Analytica!$F$17:$AS$49,MATCH(TRP!$B63,Analytica!$B$17:$B$49,0),MATCH(TRP!E$59&amp;TRP!E$57,Analytica!$F$16:$AR$16&amp;Analytica!$F$13:$AR$13,0)),"")</f>
        <v>0.23305744392160199</v>
      </c>
      <c r="F63" s="627">
        <f t="array" ref="F63">IFERROR(INDEX(Analytica!$F$17:$AS$49,MATCH(TRP!$B63,Analytica!$B$17:$B$49,0),MATCH(TRP!F$59&amp;TRP!F$57,Analytica!$F$16:$AR$16&amp;Analytica!$F$13:$AR$13,0)),"")</f>
        <v>0.23340599419800401</v>
      </c>
      <c r="G63" s="627">
        <f t="array" ref="G63">IFERROR(INDEX(Analytica!$F$17:$AS$49,MATCH(TRP!$B63,Analytica!$B$17:$B$49,0),MATCH(TRP!G$59&amp;TRP!G$57,Analytica!$F$16:$AR$16&amp;Analytica!$F$13:$AR$13,0)),"")</f>
        <v>0.23509880748513301</v>
      </c>
      <c r="H63" s="627">
        <f t="array" ref="H63">IFERROR(INDEX(Analytica!$F$17:$AS$49,MATCH(TRP!$B63,Analytica!$B$17:$B$49,0),MATCH(TRP!H$59&amp;TRP!H$57,Analytica!$F$16:$AR$16&amp;Analytica!$F$13:$AR$13,0)),"")</f>
        <v>0.237131336819111</v>
      </c>
      <c r="I63" s="627">
        <f t="array" ref="I63">IFERROR(INDEX(Analytica!$F$17:$AS$49,MATCH(TRP!$B63,Analytica!$B$17:$B$49,0),MATCH(TRP!I$59&amp;TRP!I$57,Analytica!$F$16:$AR$16&amp;Analytica!$F$13:$AR$13,0)),"")</f>
        <v>0.23904134817290701</v>
      </c>
      <c r="J63" s="627">
        <f t="array" ref="J63">IFERROR(INDEX(Analytica!$F$17:$AS$49,MATCH(TRP!$B63,Analytica!$B$17:$B$49,0),MATCH(TRP!J$59&amp;TRP!J$57,Analytica!$F$16:$AR$16&amp;Analytica!$F$13:$AR$13,0)),"")</f>
        <v>0.81296586924800007</v>
      </c>
      <c r="K63" s="627">
        <f t="array" ref="K63">IFERROR(INDEX(Analytica!$F$17:$AS$49,MATCH(TRP!$B63,Analytica!$B$17:$B$49,0),MATCH(TRP!K$59&amp;TRP!K$57,Analytica!$F$16:$AR$16&amp;Analytica!$F$13:$AR$13,0)),"")</f>
        <v>0.72582156475611248</v>
      </c>
      <c r="L63" s="627">
        <f t="array" ref="L63">IFERROR(INDEX(Analytica!$F$17:$AS$49,MATCH(TRP!$B63,Analytica!$B$17:$B$49,0),MATCH(TRP!L$59&amp;TRP!L$57,Analytica!$F$16:$AR$16&amp;Analytica!$F$13:$AR$13,0)),"")</f>
        <v>0.50210233773774582</v>
      </c>
      <c r="M63" s="627">
        <f t="array" ref="M63">IFERROR(INDEX(Analytica!$F$17:$AS$49,MATCH(TRP!$B63,Analytica!$B$17:$B$49,0),MATCH(TRP!M$59&amp;TRP!M$57,Analytica!$F$16:$AR$16&amp;Analytica!$F$13:$AR$13,0)),"")</f>
        <v>0.34928235472323665</v>
      </c>
      <c r="N63" s="627">
        <f t="array" ref="N63">IFERROR(INDEX(Analytica!$F$17:$AS$49,MATCH(TRP!$B63,Analytica!$B$17:$B$49,0),MATCH(TRP!N$59&amp;TRP!N$57,Analytica!$F$16:$AR$16&amp;Analytica!$F$13:$AR$13,0)),"")</f>
        <v>0.24228368202297001</v>
      </c>
      <c r="O63" s="628">
        <f t="array" ref="O63">IFERROR(INDEX(Analytica!$F$17:$AS$49,MATCH(TRP!$B63,Analytica!$B$17:$B$49,0),MATCH(TRP!O$59&amp;TRP!O$57,Analytica!$F$16:$AR$16&amp;Analytica!$F$13:$AR$13,0)),"")</f>
        <v>2.4E-2</v>
      </c>
      <c r="P63" s="627">
        <f t="array" ref="P63">IFERROR(INDEX(Analytica!$F$17:$AS$49,MATCH(TRP!$B63,Analytica!$B$17:$B$49,0),MATCH(TRP!P$59&amp;TRP!P$57,Analytica!$F$16:$AR$16&amp;Analytica!$F$13:$AR$13,0)),"")</f>
        <v>439.31608188194201</v>
      </c>
      <c r="Q63" s="627">
        <f t="array" ref="Q63">IFERROR(INDEX(Analytica!$F$17:$AS$49,MATCH(TRP!$B63,Analytica!$B$17:$B$49,0),MATCH(TRP!Q$59&amp;TRP!Q$57,Analytica!$F$16:$AR$16&amp;Analytica!$F$13:$AR$13,0)),"")</f>
        <v>423.99215654706899</v>
      </c>
      <c r="R63" s="627">
        <f t="array" ref="R63">IFERROR(INDEX(Analytica!$F$17:$AS$49,MATCH(TRP!$B63,Analytica!$B$17:$B$49,0),MATCH(TRP!R$59&amp;TRP!R$57,Analytica!$F$16:$AR$16&amp;Analytica!$F$13:$AR$13,0)),"")</f>
        <v>305.37671951021599</v>
      </c>
      <c r="S63" s="627">
        <f t="array" ref="S63">IFERROR(INDEX(Analytica!$F$17:$AS$49,MATCH(TRP!$B63,Analytica!$B$17:$B$49,0),MATCH(TRP!S$59&amp;TRP!S$57,Analytica!$F$16:$AR$16&amp;Analytica!$F$13:$AR$13,0)),"")</f>
        <v>0</v>
      </c>
      <c r="T63" s="627">
        <f t="array" ref="T63">IFERROR(INDEX(Analytica!$F$17:$AS$49,MATCH(TRP!$B63,Analytica!$B$17:$B$49,0),MATCH(TRP!T$59&amp;TRP!T$57,Analytica!$F$16:$AR$16&amp;Analytica!$F$13:$AR$13,0)),"")</f>
        <v>0</v>
      </c>
      <c r="U63" s="610">
        <v>3</v>
      </c>
      <c r="V63" s="610">
        <v>0</v>
      </c>
      <c r="W63" s="628">
        <f t="array" ref="W63">IFERROR(INDEX(Analytica!$F$17:$AS$49,MATCH(TRP!$B63,Analytica!$B$17:$B$49,0),MATCH(TRP!W$59&amp;TRP!W$57,Analytica!$F$16:$AR$16&amp;Analytica!$F$13:$AR$13,0)),"")</f>
        <v>0.46134144546391248</v>
      </c>
      <c r="X63" s="610">
        <f t="array" ref="X63">IFERROR(INDEX(Analytica!$F$17:$AS$49,MATCH(TRP!$B63,Analytica!$B$17:$B$49,0),MATCH(TRP!X$59&amp;TRP!X$57,Analytica!$F$16:$AR$16&amp;Analytica!$F$13:$AR$13,0)),"")</f>
        <v>36.78</v>
      </c>
      <c r="Y63" s="619">
        <f>X63*E63</f>
        <v>8.5718527874365211</v>
      </c>
      <c r="Z63" s="619">
        <f>J63*O63*P63</f>
        <v>8.5715755291626863</v>
      </c>
      <c r="AA63" s="1">
        <v>1</v>
      </c>
      <c r="AB63" s="1">
        <f t="shared" ref="AB63:AB68" si="3">ABS(1-(Z63/Y63))</f>
        <v>3.234519778982925E-5</v>
      </c>
      <c r="AC63"/>
      <c r="AD63" s="610"/>
      <c r="AE63" s="625"/>
      <c r="AF63" s="1"/>
    </row>
    <row r="64" spans="1:34" x14ac:dyDescent="0.25">
      <c r="A64" s="191" t="str">
        <f>A$21&amp;" "&amp;TRP!H$19&amp;"-E"</f>
        <v>Transport Passenger SUV Priv.Veh. Oil Gasoline-E</v>
      </c>
      <c r="B64" s="191" t="str">
        <f>D64&amp;RIGHT(C64,3)&amp;"-E"</f>
        <v>TPPRSUVOGS-E</v>
      </c>
      <c r="C64" s="612" t="str">
        <f>$G$6</f>
        <v>TRAOGS</v>
      </c>
      <c r="D64" s="612" t="str">
        <f>$B$21</f>
        <v>TPPRSUV</v>
      </c>
      <c r="E64" s="627">
        <f t="array" ref="E64">IFERROR(INDEX(Analytica!$F$17:$AS$49,MATCH(TRP!$B64,Analytica!$B$17:$B$49,0),MATCH(TRP!E$59&amp;TRP!E$57,Analytica!$F$16:$AR$16&amp;Analytica!$F$13:$AR$13,0)),"")</f>
        <v>0.21576687545224399</v>
      </c>
      <c r="F64" s="627">
        <f t="array" ref="F64">IFERROR(INDEX(Analytica!$F$17:$AS$49,MATCH(TRP!$B64,Analytica!$B$17:$B$49,0),MATCH(TRP!F$59&amp;TRP!F$57,Analytica!$F$16:$AR$16&amp;Analytica!$F$13:$AR$13,0)),"")</f>
        <v>0.21618578391000501</v>
      </c>
      <c r="G64" s="627">
        <f t="array" ref="G64">IFERROR(INDEX(Analytica!$F$17:$AS$49,MATCH(TRP!$B64,Analytica!$B$17:$B$49,0),MATCH(TRP!G$59&amp;TRP!G$57,Analytica!$F$16:$AR$16&amp;Analytica!$F$13:$AR$13,0)),"")</f>
        <v>0.218019202930891</v>
      </c>
      <c r="H64" s="627">
        <f t="array" ref="H64">IFERROR(INDEX(Analytica!$F$17:$AS$49,MATCH(TRP!$B64,Analytica!$B$17:$B$49,0),MATCH(TRP!H$59&amp;TRP!H$57,Analytica!$F$16:$AR$16&amp;Analytica!$F$13:$AR$13,0)),"")</f>
        <v>0.220066514706491</v>
      </c>
      <c r="I64" s="627">
        <f t="array" ref="I64">IFERROR(INDEX(Analytica!$F$17:$AS$49,MATCH(TRP!$B64,Analytica!$B$17:$B$49,0),MATCH(TRP!I$59&amp;TRP!I$57,Analytica!$F$16:$AR$16&amp;Analytica!$F$13:$AR$13,0)),"")</f>
        <v>0.22191326959965599</v>
      </c>
      <c r="J64" s="627">
        <f t="array" ref="J64">IFERROR(INDEX(Analytica!$F$17:$AS$49,MATCH(TRP!$B64,Analytica!$B$17:$B$49,0),MATCH(TRP!J$59&amp;TRP!J$57,Analytica!$F$16:$AR$16&amp;Analytica!$F$13:$AR$13,0)),"")</f>
        <v>0.80199601758945427</v>
      </c>
      <c r="K64" s="627">
        <f t="array" ref="K64">IFERROR(INDEX(Analytica!$F$17:$AS$49,MATCH(TRP!$B64,Analytica!$B$17:$B$49,0),MATCH(TRP!K$59&amp;TRP!K$57,Analytica!$F$16:$AR$16&amp;Analytica!$F$13:$AR$13,0)),"")</f>
        <v>0.71756577178729175</v>
      </c>
      <c r="L64" s="627">
        <f t="array" ref="L64">IFERROR(INDEX(Analytica!$F$17:$AS$49,MATCH(TRP!$B64,Analytica!$B$17:$B$49,0),MATCH(TRP!L$59&amp;TRP!L$57,Analytica!$F$16:$AR$16&amp;Analytica!$F$13:$AR$13,0)),"")</f>
        <v>0.49922132867142915</v>
      </c>
      <c r="M64" s="627">
        <f t="array" ref="M64">IFERROR(INDEX(Analytica!$F$17:$AS$49,MATCH(TRP!$B64,Analytica!$B$17:$B$49,0),MATCH(TRP!M$59&amp;TRP!M$57,Analytica!$F$16:$AR$16&amp;Analytica!$F$13:$AR$13,0)),"")</f>
        <v>0.34847106259439709</v>
      </c>
      <c r="N64" s="627">
        <f t="array" ref="N64">IFERROR(INDEX(Analytica!$F$17:$AS$49,MATCH(TRP!$B64,Analytica!$B$17:$B$49,0),MATCH(TRP!N$59&amp;TRP!N$57,Analytica!$F$16:$AR$16&amp;Analytica!$F$13:$AR$13,0)),"")</f>
        <v>0.24213269062880041</v>
      </c>
      <c r="O64" s="627">
        <f t="array" ref="O64">IFERROR(INDEX(Analytica!$F$17:$AS$49,MATCH(TRP!$B64,Analytica!$B$17:$B$49,0),MATCH(TRP!O$59&amp;TRP!O$57,Analytica!$F$16:$AR$16&amp;Analytica!$F$13:$AR$13,0)),"")</f>
        <v>2.4E-2</v>
      </c>
      <c r="P64" s="627">
        <f t="array" ref="P64">IFERROR(INDEX(Analytica!$F$17:$AS$49,MATCH(TRP!$B64,Analytica!$B$17:$B$49,0),MATCH(TRP!P$59&amp;TRP!P$57,Analytica!$F$16:$AR$16&amp;Analytica!$F$13:$AR$13,0)),"")</f>
        <v>476.243900144387</v>
      </c>
      <c r="Q64" s="627">
        <f t="array" ref="Q64">IFERROR(INDEX(Analytica!$F$17:$AS$49,MATCH(TRP!$B64,Analytica!$B$17:$B$49,0),MATCH(TRP!Q$59&amp;TRP!Q$57,Analytica!$F$16:$AR$16&amp;Analytica!$F$13:$AR$13,0)),"")</f>
        <v>456.37773432999398</v>
      </c>
      <c r="R64" s="627">
        <f t="array" ref="R64">IFERROR(INDEX(Analytica!$F$17:$AS$49,MATCH(TRP!$B64,Analytica!$B$17:$B$49,0),MATCH(TRP!R$59&amp;TRP!R$57,Analytica!$F$16:$AR$16&amp;Analytica!$F$13:$AR$13,0)),"")</f>
        <v>321.47565435311702</v>
      </c>
      <c r="S64" s="627">
        <f t="array" ref="S64">IFERROR(INDEX(Analytica!$F$17:$AS$49,MATCH(TRP!$B64,Analytica!$B$17:$B$49,0),MATCH(TRP!S$59&amp;TRP!S$57,Analytica!$F$16:$AR$16&amp;Analytica!$F$13:$AR$13,0)),"")</f>
        <v>0</v>
      </c>
      <c r="T64" s="627">
        <f t="array" ref="T64">IFERROR(INDEX(Analytica!$F$17:$AS$49,MATCH(TRP!$B64,Analytica!$B$17:$B$49,0),MATCH(TRP!T$59&amp;TRP!T$57,Analytica!$F$16:$AR$16&amp;Analytica!$F$13:$AR$13,0)),"")</f>
        <v>0</v>
      </c>
      <c r="U64" s="610">
        <v>3</v>
      </c>
      <c r="V64" s="610">
        <v>0</v>
      </c>
      <c r="W64" s="628">
        <f t="array" ref="W64">IFERROR(INDEX(Analytica!$F$17:$AS$49,MATCH(TRP!$B64,Analytica!$B$17:$B$49,0),MATCH(TRP!W$59&amp;TRP!W$57,Analytica!$F$16:$AR$16&amp;Analytica!$F$13:$AR$13,0)),"")</f>
        <v>0.53794220106962365</v>
      </c>
      <c r="X64" s="610">
        <f>SUMIF(Analytica!$B$17:$B$41,$B64,Analytica!AN$17:AN$41)</f>
        <v>42.48</v>
      </c>
      <c r="Y64" s="619">
        <f>X64*E64</f>
        <v>9.1657768692113244</v>
      </c>
      <c r="Z64" s="619">
        <f>J64*O64*P64</f>
        <v>9.1666970716096348</v>
      </c>
      <c r="AA64" s="1">
        <f>AA63+1</f>
        <v>2</v>
      </c>
      <c r="AB64" s="1">
        <f t="shared" si="3"/>
        <v>1.0039546144757772E-4</v>
      </c>
      <c r="AC64"/>
      <c r="AD64" s="610"/>
      <c r="AE64" s="625"/>
      <c r="AF64" s="1"/>
    </row>
    <row r="65" spans="1:32" x14ac:dyDescent="0.25">
      <c r="A65" s="191" t="str">
        <f>A$21&amp;" "&amp;TRP!H$19&amp;"Hybrid-E"</f>
        <v>Transport Passenger SUV Priv.Veh. Oil GasolineHybrid-E</v>
      </c>
      <c r="B65" s="191" t="str">
        <f>D65&amp;RIGHT(C65,3)&amp;"H-E"</f>
        <v>TPPRSUVOGSH-E</v>
      </c>
      <c r="C65" s="612" t="str">
        <f>$G$6</f>
        <v>TRAOGS</v>
      </c>
      <c r="D65" s="612" t="str">
        <f>$B$21</f>
        <v>TPPRSUV</v>
      </c>
      <c r="E65" s="627">
        <f t="array" ref="E65">IFERROR(INDEX(Analytica!$F$17:$AS$49,MATCH(TRP!$B65,Analytica!$B$17:$B$49,0),MATCH(TRP!E$59&amp;TRP!E$57,Analytica!$F$16:$AR$16&amp;Analytica!$F$13:$AR$13,0)),"")</f>
        <v>0.42759293682001998</v>
      </c>
      <c r="F65" s="627">
        <f t="array" ref="F65">IFERROR(INDEX(Analytica!$F$17:$AS$49,MATCH(TRP!$B65,Analytica!$B$17:$B$49,0),MATCH(TRP!F$59&amp;TRP!F$57,Analytica!$F$16:$AR$16&amp;Analytica!$F$13:$AR$13,0)),"")</f>
        <v>0.42775501230198898</v>
      </c>
      <c r="G65" s="627">
        <f t="array" ref="G65">IFERROR(INDEX(Analytica!$F$17:$AS$49,MATCH(TRP!$B65,Analytica!$B$17:$B$49,0),MATCH(TRP!G$59&amp;TRP!G$57,Analytica!$F$16:$AR$16&amp;Analytica!$F$13:$AR$13,0)),"")</f>
        <v>0.42938928409693999</v>
      </c>
      <c r="H65" s="627">
        <f t="array" ref="H65">IFERROR(INDEX(Analytica!$F$17:$AS$49,MATCH(TRP!$B65,Analytica!$B$17:$B$49,0),MATCH(TRP!H$59&amp;TRP!H$57,Analytica!$F$16:$AR$16&amp;Analytica!$F$13:$AR$13,0)),"")</f>
        <v>0.43322071824803499</v>
      </c>
      <c r="I65" s="627">
        <f t="array" ref="I65">IFERROR(INDEX(Analytica!$F$17:$AS$49,MATCH(TRP!$B65,Analytica!$B$17:$B$49,0),MATCH(TRP!I$59&amp;TRP!I$57,Analytica!$F$16:$AR$16&amp;Analytica!$F$13:$AR$13,0)),"")</f>
        <v>0.43867505244828803</v>
      </c>
      <c r="J65" s="627">
        <f t="array" ref="J65">IFERROR(INDEX(Analytica!$F$17:$AS$49,MATCH(TRP!$B65,Analytica!$B$17:$B$49,0),MATCH(TRP!J$59&amp;TRP!J$57,Analytica!$F$16:$AR$16&amp;Analytica!$F$13:$AR$13,0)),"")</f>
        <v>0.82589871967482076</v>
      </c>
      <c r="K65" s="627">
        <f t="array" ref="K65">IFERROR(INDEX(Analytica!$F$17:$AS$49,MATCH(TRP!$B65,Analytica!$B$17:$B$49,0),MATCH(TRP!K$59&amp;TRP!K$57,Analytica!$F$16:$AR$16&amp;Analytica!$F$13:$AR$13,0)),"")</f>
        <v>0.73361846696394994</v>
      </c>
      <c r="L65" s="627">
        <f t="array" ref="L65">IFERROR(INDEX(Analytica!$F$17:$AS$49,MATCH(TRP!$B65,Analytica!$B$17:$B$49,0),MATCH(TRP!L$59&amp;TRP!L$57,Analytica!$F$16:$AR$16&amp;Analytica!$F$13:$AR$13,0)),"")</f>
        <v>0.49931853558417916</v>
      </c>
      <c r="M65" s="627">
        <f t="array" ref="M65">IFERROR(INDEX(Analytica!$F$17:$AS$49,MATCH(TRP!$B65,Analytica!$B$17:$B$49,0),MATCH(TRP!M$59&amp;TRP!M$57,Analytica!$F$16:$AR$16&amp;Analytica!$F$13:$AR$13,0)),"")</f>
        <v>0.34695802486143246</v>
      </c>
      <c r="N65" s="627">
        <f t="array" ref="N65">IFERROR(INDEX(Analytica!$F$17:$AS$49,MATCH(TRP!$B65,Analytica!$B$17:$B$49,0),MATCH(TRP!N$59&amp;TRP!N$57,Analytica!$F$16:$AR$16&amp;Analytica!$F$13:$AR$13,0)),"")</f>
        <v>0.24494321746974082</v>
      </c>
      <c r="O65" s="627">
        <f t="array" ref="O65">IFERROR(INDEX(Analytica!$F$17:$AS$49,MATCH(TRP!$B65,Analytica!$B$17:$B$49,0),MATCH(TRP!O$59&amp;TRP!O$57,Analytica!$F$16:$AR$16&amp;Analytica!$F$13:$AR$13,0)),"")</f>
        <v>2.4E-2</v>
      </c>
      <c r="P65" s="627">
        <f t="array" ref="P65">IFERROR(INDEX(Analytica!$F$17:$AS$49,MATCH(TRP!$B65,Analytica!$B$17:$B$49,0),MATCH(TRP!P$59&amp;TRP!P$57,Analytica!$F$16:$AR$16&amp;Analytica!$F$13:$AR$13,0)),"")</f>
        <v>0.80312517525851201</v>
      </c>
      <c r="Q65" s="627">
        <f t="array" ref="Q65">IFERROR(INDEX(Analytica!$F$17:$AS$49,MATCH(TRP!$B65,Analytica!$B$17:$B$49,0),MATCH(TRP!Q$59&amp;TRP!Q$57,Analytica!$F$16:$AR$16&amp;Analytica!$F$13:$AR$13,0)),"")</f>
        <v>0.78934356053377797</v>
      </c>
      <c r="R65" s="627">
        <f t="array" ref="R65">IFERROR(INDEX(Analytica!$F$17:$AS$49,MATCH(TRP!$B65,Analytica!$B$17:$B$49,0),MATCH(TRP!R$59&amp;TRP!R$57,Analytica!$F$16:$AR$16&amp;Analytica!$F$13:$AR$13,0)),"")</f>
        <v>0.60265953422099805</v>
      </c>
      <c r="S65" s="627">
        <f t="array" ref="S65">IFERROR(INDEX(Analytica!$F$17:$AS$49,MATCH(TRP!$B65,Analytica!$B$17:$B$49,0),MATCH(TRP!S$59&amp;TRP!S$57,Analytica!$F$16:$AR$16&amp;Analytica!$F$13:$AR$13,0)),"")</f>
        <v>0</v>
      </c>
      <c r="T65" s="627">
        <f t="array" ref="T65">IFERROR(INDEX(Analytica!$F$17:$AS$49,MATCH(TRP!$B65,Analytica!$B$17:$B$49,0),MATCH(TRP!T$59&amp;TRP!T$57,Analytica!$F$16:$AR$16&amp;Analytica!$F$13:$AR$13,0)),"")</f>
        <v>0</v>
      </c>
      <c r="U65" s="610">
        <v>3</v>
      </c>
      <c r="V65" s="610">
        <v>0</v>
      </c>
      <c r="W65" s="628">
        <f t="array" ref="W65">IFERROR(INDEX(Analytica!$F$17:$AS$49,MATCH(TRP!$B65,Analytica!$B$17:$B$49,0),MATCH(TRP!W$59&amp;TRP!W$57,Analytica!$F$16:$AR$16&amp;Analytica!$F$13:$AR$13,0)),"")</f>
        <v>7.1635346646386339E-4</v>
      </c>
      <c r="X65" s="610">
        <f>SUMIF(Analytica!$B$17:$B$41,$B65,Analytica!AN$17:AN$41)</f>
        <v>3.7229999999999999E-2</v>
      </c>
      <c r="Y65" s="619">
        <f>X65*E65</f>
        <v>1.5919285037809344E-2</v>
      </c>
      <c r="Z65" s="619">
        <f>J65*O65*P65</f>
        <v>1.5919201295630906E-2</v>
      </c>
      <c r="AA65" s="1">
        <f>AA64+1</f>
        <v>3</v>
      </c>
      <c r="AB65" s="1">
        <f t="shared" si="3"/>
        <v>5.2604233318209737E-6</v>
      </c>
      <c r="AC65"/>
      <c r="AD65" s="610"/>
      <c r="AE65" s="625"/>
      <c r="AF65" s="1"/>
    </row>
    <row r="66" spans="1:32" x14ac:dyDescent="0.25">
      <c r="A66" s="191" t="str">
        <f>A$21&amp;" "&amp;TRP!E$19&amp;"-E"</f>
        <v>Transport Passenger SUV Priv.Veh. Electricity-E</v>
      </c>
      <c r="B66" s="191" t="str">
        <f>D66&amp;RIGHT(C66,3)&amp;"-E"</f>
        <v>TPPRSUVELC-E</v>
      </c>
      <c r="C66" s="612" t="str">
        <f>$E$6</f>
        <v>TRAELC</v>
      </c>
      <c r="D66" s="612" t="str">
        <f>$B$21</f>
        <v>TPPRSUV</v>
      </c>
      <c r="E66" s="627">
        <f t="array" ref="E66">IFERROR(INDEX(Analytica!$F$17:$AS$49,MATCH(TRP!$B66,Analytica!$B$17:$B$49,0),MATCH(TRP!E$59&amp;TRP!E$57,Analytica!$F$16:$AR$16&amp;Analytica!$F$13:$AR$13,0)),"")</f>
        <v>1.4770000000000001</v>
      </c>
      <c r="F66" s="627">
        <f t="array" ref="F66">IFERROR(INDEX(Analytica!$F$17:$AS$49,MATCH(TRP!$B66,Analytica!$B$17:$B$49,0),MATCH(TRP!F$59&amp;TRP!F$57,Analytica!$F$16:$AR$16&amp;Analytica!$F$13:$AR$13,0)),"")</f>
        <v>1.4770000000000001</v>
      </c>
      <c r="G66" s="627">
        <f t="array" ref="G66">IFERROR(INDEX(Analytica!$F$17:$AS$49,MATCH(TRP!$B66,Analytica!$B$17:$B$49,0),MATCH(TRP!G$59&amp;TRP!G$57,Analytica!$F$16:$AR$16&amp;Analytica!$F$13:$AR$13,0)),"")</f>
        <v>1.4770000000000001</v>
      </c>
      <c r="H66" s="627">
        <f t="array" ref="H66">IFERROR(INDEX(Analytica!$F$17:$AS$49,MATCH(TRP!$B66,Analytica!$B$17:$B$49,0),MATCH(TRP!H$59&amp;TRP!H$57,Analytica!$F$16:$AR$16&amp;Analytica!$F$13:$AR$13,0)),"")</f>
        <v>1.4770000000000001</v>
      </c>
      <c r="I66" s="627">
        <f t="array" ref="I66">IFERROR(INDEX(Analytica!$F$17:$AS$49,MATCH(TRP!$B66,Analytica!$B$17:$B$49,0),MATCH(TRP!I$59&amp;TRP!I$57,Analytica!$F$16:$AR$16&amp;Analytica!$F$13:$AR$13,0)),"")</f>
        <v>1.4770000000000001</v>
      </c>
      <c r="J66" s="627">
        <f t="array" ref="J66">IFERROR(INDEX(Analytica!$F$17:$AS$49,MATCH(TRP!$B66,Analytica!$B$17:$B$49,0),MATCH(TRP!J$59&amp;TRP!J$57,Analytica!$F$16:$AR$16&amp;Analytica!$F$13:$AR$13,0)),"")</f>
        <v>0.88237470217706671</v>
      </c>
      <c r="K66" s="627">
        <f t="array" ref="K66">IFERROR(INDEX(Analytica!$F$17:$AS$49,MATCH(TRP!$B66,Analytica!$B$17:$B$49,0),MATCH(TRP!K$59&amp;TRP!K$57,Analytica!$F$16:$AR$16&amp;Analytica!$F$13:$AR$13,0)),"")</f>
        <v>0.78267591281561666</v>
      </c>
      <c r="L66" s="627">
        <f t="array" ref="L66">IFERROR(INDEX(Analytica!$F$17:$AS$49,MATCH(TRP!$B66,Analytica!$B$17:$B$49,0),MATCH(TRP!L$59&amp;TRP!L$57,Analytica!$F$16:$AR$16&amp;Analytica!$F$13:$AR$13,0)),"")</f>
        <v>0.52550417082036249</v>
      </c>
      <c r="M66" s="627">
        <f t="array" ref="M66">IFERROR(INDEX(Analytica!$F$17:$AS$49,MATCH(TRP!$B66,Analytica!$B$17:$B$49,0),MATCH(TRP!M$59&amp;TRP!M$57,Analytica!$F$16:$AR$16&amp;Analytica!$F$13:$AR$13,0)),"")</f>
        <v>0.35378762629532456</v>
      </c>
      <c r="N66" s="627">
        <f t="array" ref="N66">IFERROR(INDEX(Analytica!$F$17:$AS$49,MATCH(TRP!$B66,Analytica!$B$17:$B$49,0),MATCH(TRP!N$59&amp;TRP!N$57,Analytica!$F$16:$AR$16&amp;Analytica!$F$13:$AR$13,0)),"")</f>
        <v>0.23886240471698916</v>
      </c>
      <c r="O66" s="627">
        <f t="array" ref="O66">IFERROR(INDEX(Analytica!$F$17:$AS$49,MATCH(TRP!$B66,Analytica!$B$17:$B$49,0),MATCH(TRP!O$59&amp;TRP!O$57,Analytica!$F$16:$AR$16&amp;Analytica!$F$13:$AR$13,0)),"")</f>
        <v>2.4E-2</v>
      </c>
      <c r="P66" s="627">
        <f t="array" ref="P66">IFERROR(INDEX(Analytica!$F$17:$AS$49,MATCH(TRP!$B66,Analytica!$B$17:$B$49,0),MATCH(TRP!P$59&amp;TRP!P$57,Analytica!$F$16:$AR$16&amp;Analytica!$F$13:$AR$13,0)),"")</f>
        <v>0</v>
      </c>
      <c r="Q66" s="627">
        <f t="array" ref="Q66">IFERROR(INDEX(Analytica!$F$17:$AS$49,MATCH(TRP!$B66,Analytica!$B$17:$B$49,0),MATCH(TRP!Q$59&amp;TRP!Q$57,Analytica!$F$16:$AR$16&amp;Analytica!$F$13:$AR$13,0)),"")</f>
        <v>0</v>
      </c>
      <c r="R66" s="627">
        <f t="array" ref="R66">IFERROR(INDEX(Analytica!$F$17:$AS$49,MATCH(TRP!$B66,Analytica!$B$17:$B$49,0),MATCH(TRP!R$59&amp;TRP!R$57,Analytica!$F$16:$AR$16&amp;Analytica!$F$13:$AR$13,0)),"")</f>
        <v>0</v>
      </c>
      <c r="S66" s="627">
        <f t="array" ref="S66">IFERROR(INDEX(Analytica!$F$17:$AS$49,MATCH(TRP!$B66,Analytica!$B$17:$B$49,0),MATCH(TRP!S$59&amp;TRP!S$57,Analytica!$F$16:$AR$16&amp;Analytica!$F$13:$AR$13,0)),"")</f>
        <v>0</v>
      </c>
      <c r="T66" s="627">
        <f t="array" ref="T66">IFERROR(INDEX(Analytica!$F$17:$AS$49,MATCH(TRP!$B66,Analytica!$B$17:$B$49,0),MATCH(TRP!T$59&amp;TRP!T$57,Analytica!$F$16:$AR$16&amp;Analytica!$F$13:$AR$13,0)),"")</f>
        <v>0</v>
      </c>
      <c r="U66" s="610">
        <v>3</v>
      </c>
      <c r="V66" s="610">
        <v>0</v>
      </c>
      <c r="W66" s="628">
        <f t="array" ref="W66">IFERROR(INDEX(Analytica!$F$17:$AS$49,MATCH(TRP!$B66,Analytica!$B$17:$B$49,0),MATCH(TRP!W$59&amp;TRP!W$57,Analytica!$F$16:$AR$16&amp;Analytica!$F$13:$AR$13,0)),"")</f>
        <v>0</v>
      </c>
      <c r="X66" s="610">
        <f>SUMIF(Analytica!$B$17:$B$41,$B66,Analytica!AN$17:AN$41)</f>
        <v>0</v>
      </c>
      <c r="Y66" s="619">
        <f>X66*E66</f>
        <v>0</v>
      </c>
      <c r="Z66" s="619">
        <f>J66*O66*P66</f>
        <v>0</v>
      </c>
      <c r="AA66" s="1">
        <f>AA64+1</f>
        <v>3</v>
      </c>
      <c r="AB66" s="1" t="e">
        <f t="shared" si="3"/>
        <v>#DIV/0!</v>
      </c>
      <c r="AC66"/>
      <c r="AD66" s="610"/>
      <c r="AE66" s="625"/>
      <c r="AF66" s="1"/>
    </row>
    <row r="67" spans="1:32" x14ac:dyDescent="0.25">
      <c r="A67" s="607" t="s">
        <v>1017</v>
      </c>
      <c r="B67" s="191"/>
      <c r="C67" s="612"/>
      <c r="D67" s="612"/>
      <c r="E67" s="627" t="str">
        <f t="array" ref="E67">IFERROR(INDEX(Analytica!$F$17:$AS$49,MATCH(TRP!$B67,Analytica!$B$17:$B$49,0),MATCH(TRP!E$59&amp;TRP!E$57,Analytica!$F$16:$AR$16&amp;Analytica!$F$13:$AR$13,0)),"")</f>
        <v/>
      </c>
      <c r="F67" s="627" t="str">
        <f t="array" ref="F67">IFERROR(INDEX(Analytica!$F$17:$AS$49,MATCH(TRP!$B67,Analytica!$B$17:$B$49,0),MATCH(TRP!F$59&amp;TRP!F$57,Analytica!$F$16:$AR$16&amp;Analytica!$F$13:$AR$13,0)),"")</f>
        <v/>
      </c>
      <c r="G67" s="627" t="str">
        <f t="array" ref="G67">IFERROR(INDEX(Analytica!$F$17:$AS$49,MATCH(TRP!$B67,Analytica!$B$17:$B$49,0),MATCH(TRP!G$59&amp;TRP!G$57,Analytica!$F$16:$AR$16&amp;Analytica!$F$13:$AR$13,0)),"")</f>
        <v/>
      </c>
      <c r="H67" s="627" t="str">
        <f t="array" ref="H67">IFERROR(INDEX(Analytica!$F$17:$AS$49,MATCH(TRP!$B67,Analytica!$B$17:$B$49,0),MATCH(TRP!H$59&amp;TRP!H$57,Analytica!$F$16:$AR$16&amp;Analytica!$F$13:$AR$13,0)),"")</f>
        <v/>
      </c>
      <c r="I67" s="627" t="str">
        <f t="array" ref="I67">IFERROR(INDEX(Analytica!$F$17:$AS$49,MATCH(TRP!$B67,Analytica!$B$17:$B$49,0),MATCH(TRP!I$59&amp;TRP!I$57,Analytica!$F$16:$AR$16&amp;Analytica!$F$13:$AR$13,0)),"")</f>
        <v/>
      </c>
      <c r="J67" s="627" t="str">
        <f t="array" ref="J67">IFERROR(INDEX(Analytica!$F$17:$AS$49,MATCH(TRP!$B67,Analytica!$B$17:$B$49,0),MATCH(TRP!J$59&amp;TRP!J$57,Analytica!$F$16:$AR$16&amp;Analytica!$F$13:$AR$13,0)),"")</f>
        <v/>
      </c>
      <c r="K67" s="627" t="str">
        <f t="array" ref="K67">IFERROR(INDEX(Analytica!$F$17:$AS$49,MATCH(TRP!$B67,Analytica!$B$17:$B$49,0),MATCH(TRP!K$59&amp;TRP!K$57,Analytica!$F$16:$AR$16&amp;Analytica!$F$13:$AR$13,0)),"")</f>
        <v/>
      </c>
      <c r="L67" s="627" t="str">
        <f t="array" ref="L67">IFERROR(INDEX(Analytica!$F$17:$AS$49,MATCH(TRP!$B67,Analytica!$B$17:$B$49,0),MATCH(TRP!L$59&amp;TRP!L$57,Analytica!$F$16:$AR$16&amp;Analytica!$F$13:$AR$13,0)),"")</f>
        <v/>
      </c>
      <c r="M67" s="627" t="str">
        <f t="array" ref="M67">IFERROR(INDEX(Analytica!$F$17:$AS$49,MATCH(TRP!$B67,Analytica!$B$17:$B$49,0),MATCH(TRP!M$59&amp;TRP!M$57,Analytica!$F$16:$AR$16&amp;Analytica!$F$13:$AR$13,0)),"")</f>
        <v/>
      </c>
      <c r="N67" s="627" t="str">
        <f t="array" ref="N67">IFERROR(INDEX(Analytica!$F$17:$AS$49,MATCH(TRP!$B67,Analytica!$B$17:$B$49,0),MATCH(TRP!N$59&amp;TRP!N$57,Analytica!$F$16:$AR$16&amp;Analytica!$F$13:$AR$13,0)),"")</f>
        <v/>
      </c>
      <c r="O67" s="627" t="str">
        <f t="array" ref="O67">IFERROR(INDEX(Analytica!$F$17:$AS$49,MATCH(TRP!$B67,Analytica!$B$17:$B$49,0),MATCH(TRP!O$59&amp;TRP!O$57,Analytica!$F$16:$AR$16&amp;Analytica!$F$13:$AR$13,0)),"")</f>
        <v/>
      </c>
      <c r="P67" s="627" t="str">
        <f t="array" ref="P67">IFERROR(INDEX(Analytica!$F$17:$AS$49,MATCH(TRP!$B67,Analytica!$B$17:$B$49,0),MATCH(TRP!P$59&amp;TRP!P$57,Analytica!$F$16:$AR$16&amp;Analytica!$F$13:$AR$13,0)),"")</f>
        <v/>
      </c>
      <c r="Q67" s="627" t="str">
        <f t="array" ref="Q67">IFERROR(INDEX(Analytica!$F$17:$AS$49,MATCH(TRP!$B67,Analytica!$B$17:$B$49,0),MATCH(TRP!Q$59&amp;TRP!Q$57,Analytica!$F$16:$AR$16&amp;Analytica!$F$13:$AR$13,0)),"")</f>
        <v/>
      </c>
      <c r="R67" s="627" t="str">
        <f t="array" ref="R67">IFERROR(INDEX(Analytica!$F$17:$AS$49,MATCH(TRP!$B67,Analytica!$B$17:$B$49,0),MATCH(TRP!R$59&amp;TRP!R$57,Analytica!$F$16:$AR$16&amp;Analytica!$F$13:$AR$13,0)),"")</f>
        <v/>
      </c>
      <c r="S67" s="627" t="str">
        <f t="array" ref="S67">IFERROR(INDEX(Analytica!$F$17:$AS$49,MATCH(TRP!$B67,Analytica!$B$17:$B$49,0),MATCH(TRP!S$59&amp;TRP!S$57,Analytica!$F$16:$AR$16&amp;Analytica!$F$13:$AR$13,0)),"")</f>
        <v/>
      </c>
      <c r="T67" s="627" t="str">
        <f t="array" ref="T67">IFERROR(INDEX(Analytica!$F$17:$AS$49,MATCH(TRP!$B67,Analytica!$B$17:$B$49,0),MATCH(TRP!T$59&amp;TRP!T$57,Analytica!$F$16:$AR$16&amp;Analytica!$F$13:$AR$13,0)),"")</f>
        <v/>
      </c>
      <c r="U67" s="633"/>
      <c r="V67" s="633"/>
      <c r="W67" s="627" t="str">
        <f t="array" ref="W67">IFERROR(INDEX(Analytica!$F$17:$AS$49,MATCH(TRP!$B67,Analytica!$B$17:$B$49,0),MATCH(TRP!W$59&amp;TRP!W$57,Analytica!$F$16:$AR$16&amp;Analytica!$F$13:$AR$13,0)),"")</f>
        <v/>
      </c>
      <c r="X67" s="613"/>
      <c r="Y67" s="624">
        <f>Y64+Y63</f>
        <v>17.737629656647847</v>
      </c>
      <c r="Z67" s="619"/>
      <c r="AA67" s="1">
        <f>AA64+1</f>
        <v>3</v>
      </c>
      <c r="AC67"/>
      <c r="AD67" s="613"/>
      <c r="AE67" s="625"/>
      <c r="AF67" s="1"/>
    </row>
    <row r="68" spans="1:32" x14ac:dyDescent="0.25">
      <c r="A68" s="191" t="str">
        <f>A$22&amp;" "&amp;TRP!D$19&amp;"-E"</f>
        <v>Transport Passenger Car Priv.Veh. Oil Diesel-E</v>
      </c>
      <c r="B68" s="191" t="str">
        <f>D68&amp;RIGHT(C68,3)&amp;"-E"</f>
        <v>TPPRCARODS-E</v>
      </c>
      <c r="C68" s="612" t="str">
        <f>$D$6</f>
        <v>TRAODS</v>
      </c>
      <c r="D68" s="612" t="str">
        <f>$B$22</f>
        <v>TPPRCAR</v>
      </c>
      <c r="E68" s="627">
        <f t="array" ref="E68">IFERROR(INDEX(Analytica!$F$17:$AS$49,MATCH(TRP!$B68,Analytica!$B$17:$B$49,0),MATCH(TRP!E$59&amp;TRP!E$57,Analytica!$F$16:$AR$16&amp;Analytica!$F$13:$AR$13,0)),"")</f>
        <v>0.332001778720379</v>
      </c>
      <c r="F68" s="627">
        <f t="array" ref="F68">IFERROR(INDEX(Analytica!$F$17:$AS$49,MATCH(TRP!$B68,Analytica!$B$17:$B$49,0),MATCH(TRP!F$59&amp;TRP!F$57,Analytica!$F$16:$AR$16&amp;Analytica!$F$13:$AR$13,0)),"")</f>
        <v>0.33265717758608498</v>
      </c>
      <c r="G68" s="627">
        <f t="array" ref="G68">IFERROR(INDEX(Analytica!$F$17:$AS$49,MATCH(TRP!$B68,Analytica!$B$17:$B$49,0),MATCH(TRP!G$59&amp;TRP!G$57,Analytica!$F$16:$AR$16&amp;Analytica!$F$13:$AR$13,0)),"")</f>
        <v>0.33651934650542698</v>
      </c>
      <c r="H68" s="627">
        <f t="array" ref="H68">IFERROR(INDEX(Analytica!$F$17:$AS$49,MATCH(TRP!$B68,Analytica!$B$17:$B$49,0),MATCH(TRP!H$59&amp;TRP!H$57,Analytica!$F$16:$AR$16&amp;Analytica!$F$13:$AR$13,0)),"")</f>
        <v>0.34211282028256701</v>
      </c>
      <c r="I68" s="627">
        <f t="array" ref="I68">IFERROR(INDEX(Analytica!$F$17:$AS$49,MATCH(TRP!$B68,Analytica!$B$17:$B$49,0),MATCH(TRP!I$59&amp;TRP!I$57,Analytica!$F$16:$AR$16&amp;Analytica!$F$13:$AR$13,0)),"")</f>
        <v>0.34710783356449998</v>
      </c>
      <c r="J68" s="627">
        <f t="array" ref="J68">IFERROR(INDEX(Analytica!$F$17:$AS$49,MATCH(TRP!$B68,Analytica!$B$17:$B$49,0),MATCH(TRP!J$59&amp;TRP!J$57,Analytica!$F$16:$AR$16&amp;Analytica!$F$13:$AR$13,0)),"")</f>
        <v>0.74353526714060447</v>
      </c>
      <c r="K68" s="627">
        <f t="array" ref="K68">IFERROR(INDEX(Analytica!$F$17:$AS$49,MATCH(TRP!$B68,Analytica!$B$17:$B$49,0),MATCH(TRP!K$59&amp;TRP!K$57,Analytica!$F$16:$AR$16&amp;Analytica!$F$13:$AR$13,0)),"")</f>
        <v>0.66511435113411999</v>
      </c>
      <c r="L68" s="627">
        <f t="array" ref="L68">IFERROR(INDEX(Analytica!$F$17:$AS$49,MATCH(TRP!$B68,Analytica!$B$17:$B$49,0),MATCH(TRP!L$59&amp;TRP!L$57,Analytica!$F$16:$AR$16&amp;Analytica!$F$13:$AR$13,0)),"")</f>
        <v>0.46809798221108001</v>
      </c>
      <c r="M68" s="627">
        <f t="array" ref="M68">IFERROR(INDEX(Analytica!$F$17:$AS$49,MATCH(TRP!$B68,Analytica!$B$17:$B$49,0),MATCH(TRP!M$59&amp;TRP!M$57,Analytica!$F$16:$AR$16&amp;Analytica!$F$13:$AR$13,0)),"")</f>
        <v>0.33651453387780311</v>
      </c>
      <c r="N68" s="627">
        <f t="array" ref="N68">IFERROR(INDEX(Analytica!$F$17:$AS$49,MATCH(TRP!$B68,Analytica!$B$17:$B$49,0),MATCH(TRP!N$59&amp;TRP!N$57,Analytica!$F$16:$AR$16&amp;Analytica!$F$13:$AR$13,0)),"")</f>
        <v>0.23993287366588575</v>
      </c>
      <c r="O68" s="627">
        <f t="array" ref="O68">IFERROR(INDEX(Analytica!$F$17:$AS$49,MATCH(TRP!$B68,Analytica!$B$17:$B$49,0),MATCH(TRP!O$59&amp;TRP!O$57,Analytica!$F$16:$AR$16&amp;Analytica!$F$13:$AR$13,0)),"")</f>
        <v>2.2499999999999999E-2</v>
      </c>
      <c r="P68" s="627">
        <f t="array" ref="P68">IFERROR(INDEX(Analytica!$F$17:$AS$49,MATCH(TRP!$B68,Analytica!$B$17:$B$49,0),MATCH(TRP!P$59&amp;TRP!P$57,Analytica!$F$16:$AR$16&amp;Analytica!$F$13:$AR$13,0)),"")</f>
        <v>387.58646835565298</v>
      </c>
      <c r="Q68" s="627">
        <f t="array" ref="Q68">IFERROR(INDEX(Analytica!$F$17:$AS$49,MATCH(TRP!$B68,Analytica!$B$17:$B$49,0),MATCH(TRP!Q$59&amp;TRP!Q$57,Analytica!$F$16:$AR$16&amp;Analytica!$F$13:$AR$13,0)),"")</f>
        <v>369.96010154816298</v>
      </c>
      <c r="R68" s="627">
        <f t="array" ref="R68">IFERROR(INDEX(Analytica!$F$17:$AS$49,MATCH(TRP!$B68,Analytica!$B$17:$B$49,0),MATCH(TRP!R$59&amp;TRP!R$57,Analytica!$F$16:$AR$16&amp;Analytica!$F$13:$AR$13,0)),"")</f>
        <v>243.13201263550999</v>
      </c>
      <c r="S68" s="627">
        <f t="array" ref="S68">IFERROR(INDEX(Analytica!$F$17:$AS$49,MATCH(TRP!$B68,Analytica!$B$17:$B$49,0),MATCH(TRP!S$59&amp;TRP!S$57,Analytica!$F$16:$AR$16&amp;Analytica!$F$13:$AR$13,0)),"")</f>
        <v>0</v>
      </c>
      <c r="T68" s="627">
        <f t="array" ref="T68">IFERROR(INDEX(Analytica!$F$17:$AS$49,MATCH(TRP!$B68,Analytica!$B$17:$B$49,0),MATCH(TRP!T$59&amp;TRP!T$57,Analytica!$F$16:$AR$16&amp;Analytica!$F$13:$AR$13,0)),"")</f>
        <v>0</v>
      </c>
      <c r="U68" s="610">
        <v>3</v>
      </c>
      <c r="V68" s="610">
        <v>0</v>
      </c>
      <c r="W68" s="627">
        <f t="array" ref="W68">IFERROR(INDEX(Analytica!$F$17:$AS$49,MATCH(TRP!$B68,Analytica!$B$17:$B$49,0),MATCH(TRP!W$59&amp;TRP!W$57,Analytica!$F$16:$AR$16&amp;Analytica!$F$13:$AR$13,0)),"")</f>
        <v>5.950319541892235E-2</v>
      </c>
      <c r="X68" s="610">
        <f>SUMIF(Analytica!$B$17:$B$41,$B68,Analytica!AN$17:AN$41)</f>
        <v>19.53</v>
      </c>
      <c r="Y68" s="619">
        <f>X68*E68</f>
        <v>6.4839947384090024</v>
      </c>
      <c r="Z68" s="619">
        <f>J68*O68*P68</f>
        <v>6.4841446865003372</v>
      </c>
      <c r="AA68" s="1">
        <f t="shared" ref="AA68:AA108" si="4">AA67+1</f>
        <v>4</v>
      </c>
      <c r="AB68" s="1">
        <f t="shared" si="3"/>
        <v>2.3125881094099299E-5</v>
      </c>
      <c r="AC68"/>
      <c r="AD68" s="610"/>
      <c r="AE68" s="625" t="s">
        <v>1018</v>
      </c>
      <c r="AF68" s="1"/>
    </row>
    <row r="69" spans="1:32" x14ac:dyDescent="0.25">
      <c r="A69" s="191" t="str">
        <f>A$22&amp;" "&amp;TRP!H$19&amp;"-E"</f>
        <v>Transport Passenger Car Priv.Veh. Oil Gasoline-E</v>
      </c>
      <c r="B69" s="191" t="str">
        <f>D69&amp;RIGHT(C69,3)&amp;"-E"</f>
        <v>TPPRCAROGS-E</v>
      </c>
      <c r="C69" s="612" t="str">
        <f>$G$6</f>
        <v>TRAOGS</v>
      </c>
      <c r="D69" s="612" t="str">
        <f>$B$22</f>
        <v>TPPRCAR</v>
      </c>
      <c r="E69" s="628">
        <f t="array" ref="E69">IFERROR(INDEX(Analytica!$F$17:$AS$49,MATCH(TRP!$B69,Analytica!$B$17:$B$49,0),MATCH(TRP!E$59&amp;TRP!E$57,Analytica!$F$16:$AR$16&amp;Analytica!$F$13:$AR$13,0)),"")</f>
        <v>0.35686173917097103</v>
      </c>
      <c r="F69" s="628">
        <f t="array" ref="F69">IFERROR(INDEX(Analytica!$F$17:$AS$49,MATCH(TRP!$B69,Analytica!$B$17:$B$49,0),MATCH(TRP!F$59&amp;TRP!F$57,Analytica!$F$16:$AR$16&amp;Analytica!$F$13:$AR$13,0)),"")</f>
        <v>0.35949352149263297</v>
      </c>
      <c r="G69" s="628">
        <f t="array" ref="G69">IFERROR(INDEX(Analytica!$F$17:$AS$49,MATCH(TRP!$B69,Analytica!$B$17:$B$49,0),MATCH(TRP!G$59&amp;TRP!G$57,Analytica!$F$16:$AR$16&amp;Analytica!$F$13:$AR$13,0)),"")</f>
        <v>0.36773748352763003</v>
      </c>
      <c r="H69" s="628">
        <f t="array" ref="H69">IFERROR(INDEX(Analytica!$F$17:$AS$49,MATCH(TRP!$B69,Analytica!$B$17:$B$49,0),MATCH(TRP!H$59&amp;TRP!H$57,Analytica!$F$16:$AR$16&amp;Analytica!$F$13:$AR$13,0)),"")</f>
        <v>0.374376610599086</v>
      </c>
      <c r="I69" s="628">
        <f t="array" ref="I69">IFERROR(INDEX(Analytica!$F$17:$AS$49,MATCH(TRP!$B69,Analytica!$B$17:$B$49,0),MATCH(TRP!I$59&amp;TRP!I$57,Analytica!$F$16:$AR$16&amp;Analytica!$F$13:$AR$13,0)),"")</f>
        <v>0.37938792131855897</v>
      </c>
      <c r="J69" s="630">
        <f t="array" ref="J69">IFERROR(INDEX(Analytica!$F$17:$AS$49,MATCH(TRP!$B69,Analytica!$B$17:$B$49,0),MATCH(TRP!J$59&amp;TRP!J$57,Analytica!$F$16:$AR$16&amp;Analytica!$F$13:$AR$13,0)),"")</f>
        <v>0.66163272647026705</v>
      </c>
      <c r="K69" s="627">
        <f t="array" ref="K69">IFERROR(INDEX(Analytica!$F$17:$AS$49,MATCH(TRP!$B69,Analytica!$B$17:$B$49,0),MATCH(TRP!K$59&amp;TRP!K$57,Analytica!$F$16:$AR$16&amp;Analytica!$F$13:$AR$13,0)),"")</f>
        <v>0.60743419260068587</v>
      </c>
      <c r="L69" s="627">
        <f t="array" ref="L69">IFERROR(INDEX(Analytica!$F$17:$AS$49,MATCH(TRP!$B69,Analytica!$B$17:$B$49,0),MATCH(TRP!L$59&amp;TRP!L$57,Analytica!$F$16:$AR$16&amp;Analytica!$F$13:$AR$13,0)),"")</f>
        <v>0.45202810845206859</v>
      </c>
      <c r="M69" s="627">
        <f t="array" ref="M69">IFERROR(INDEX(Analytica!$F$17:$AS$49,MATCH(TRP!$B69,Analytica!$B$17:$B$49,0),MATCH(TRP!M$59&amp;TRP!M$57,Analytica!$F$16:$AR$16&amp;Analytica!$F$13:$AR$13,0)),"")</f>
        <v>0.32818308468972252</v>
      </c>
      <c r="N69" s="627">
        <f t="array" ref="N69">IFERROR(INDEX(Analytica!$F$17:$AS$49,MATCH(TRP!$B69,Analytica!$B$17:$B$49,0),MATCH(TRP!N$59&amp;TRP!N$57,Analytica!$F$16:$AR$16&amp;Analytica!$F$13:$AR$13,0)),"")</f>
        <v>0.23311309769944608</v>
      </c>
      <c r="O69" s="629">
        <f t="array" ref="O69">IFERROR(INDEX(Analytica!$F$17:$AS$49,MATCH(TRP!$B69,Analytica!$B$17:$B$49,0),MATCH(TRP!O$59&amp;TRP!O$57,Analytica!$F$16:$AR$16&amp;Analytica!$F$13:$AR$13,0)),"")</f>
        <v>1.9099999999999999E-2</v>
      </c>
      <c r="P69" s="627">
        <f t="array" ref="P69">IFERROR(INDEX(Analytica!$F$17:$AS$49,MATCH(TRP!$B69,Analytica!$B$17:$B$49,0),MATCH(TRP!P$59&amp;TRP!P$57,Analytica!$F$16:$AR$16&amp;Analytica!$F$13:$AR$13,0)),"")</f>
        <v>5902.05729724512</v>
      </c>
      <c r="Q69" s="627">
        <f t="array" ref="Q69">IFERROR(INDEX(Analytica!$F$17:$AS$49,MATCH(TRP!$B69,Analytica!$B$17:$B$49,0),MATCH(TRP!Q$59&amp;TRP!Q$57,Analytica!$F$16:$AR$16&amp;Analytica!$F$13:$AR$13,0)),"")</f>
        <v>5259.5090745597199</v>
      </c>
      <c r="R69" s="627">
        <f t="array" ref="R69">IFERROR(INDEX(Analytica!$F$17:$AS$49,MATCH(TRP!$B69,Analytica!$B$17:$B$49,0),MATCH(TRP!R$59&amp;TRP!R$57,Analytica!$F$16:$AR$16&amp;Analytica!$F$13:$AR$13,0)),"")</f>
        <v>2963.6268741726399</v>
      </c>
      <c r="S69" s="627">
        <f t="array" ref="S69">IFERROR(INDEX(Analytica!$F$17:$AS$49,MATCH(TRP!$B69,Analytica!$B$17:$B$49,0),MATCH(TRP!S$59&amp;TRP!S$57,Analytica!$F$16:$AR$16&amp;Analytica!$F$13:$AR$13,0)),"")</f>
        <v>0</v>
      </c>
      <c r="T69" s="627">
        <f t="array" ref="T69">IFERROR(INDEX(Analytica!$F$17:$AS$49,MATCH(TRP!$B69,Analytica!$B$17:$B$49,0),MATCH(TRP!T$59&amp;TRP!T$57,Analytica!$F$16:$AR$16&amp;Analytica!$F$13:$AR$13,0)),"")</f>
        <v>0</v>
      </c>
      <c r="U69" s="610">
        <v>3</v>
      </c>
      <c r="V69" s="610">
        <v>0</v>
      </c>
      <c r="W69" s="627">
        <f t="array" ref="W69">IFERROR(INDEX(Analytica!$F$17:$AS$49,MATCH(TRP!$B69,Analytica!$B$17:$B$49,0),MATCH(TRP!W$59&amp;TRP!W$57,Analytica!$F$16:$AR$16&amp;Analytica!$F$13:$AR$13,0)),"")</f>
        <v>0.93935153516915204</v>
      </c>
      <c r="X69" s="610">
        <f>SUMIF(Analytica!$B$17:$B$49,$B69,Analytica!AN$17:AN$49)</f>
        <v>209.00360617320999</v>
      </c>
      <c r="Y69" s="619">
        <f>X69*E69</f>
        <v>74.585390391976418</v>
      </c>
      <c r="Z69" s="619">
        <f>J69*O69*P69</f>
        <v>74.58539039197646</v>
      </c>
      <c r="AA69" s="1">
        <f t="shared" si="4"/>
        <v>5</v>
      </c>
      <c r="AB69" s="1">
        <f>1-(Z69/Y69)</f>
        <v>0</v>
      </c>
      <c r="AC69"/>
      <c r="AD69" s="610"/>
      <c r="AE69" s="625"/>
      <c r="AF69" s="1"/>
    </row>
    <row r="70" spans="1:32" x14ac:dyDescent="0.25">
      <c r="A70" s="191" t="str">
        <f>A$22&amp;" "&amp;TRP!H$19&amp;"Hybrid-E"</f>
        <v>Transport Passenger Car Priv.Veh. Oil GasolineHybrid-E</v>
      </c>
      <c r="B70" s="191" t="str">
        <f>D70&amp;RIGHT(C70,3)&amp;"H-E"</f>
        <v>TPPRCAROGSH-E</v>
      </c>
      <c r="C70" s="612" t="str">
        <f>$G$6</f>
        <v>TRAOGS</v>
      </c>
      <c r="D70" s="612" t="str">
        <f>$B$22</f>
        <v>TPPRCAR</v>
      </c>
      <c r="E70" s="627">
        <f t="array" ref="E70">IFERROR(INDEX(Analytica!$F$17:$AS$49,MATCH(TRP!$B70,Analytica!$B$17:$B$49,0),MATCH(TRP!E$59&amp;TRP!E$57,Analytica!$F$16:$AR$16&amp;Analytica!$F$13:$AR$13,0)),"")</f>
        <v>0.48634218857827199</v>
      </c>
      <c r="F70" s="627">
        <f t="array" ref="F70">IFERROR(INDEX(Analytica!$F$17:$AS$49,MATCH(TRP!$B70,Analytica!$B$17:$B$49,0),MATCH(TRP!F$59&amp;TRP!F$57,Analytica!$F$16:$AR$16&amp;Analytica!$F$13:$AR$13,0)),"")</f>
        <v>0.48658239494189298</v>
      </c>
      <c r="G70" s="627">
        <f t="array" ref="G70">IFERROR(INDEX(Analytica!$F$17:$AS$49,MATCH(TRP!$B70,Analytica!$B$17:$B$49,0),MATCH(TRP!G$59&amp;TRP!G$57,Analytica!$F$16:$AR$16&amp;Analytica!$F$13:$AR$13,0)),"")</f>
        <v>0.48849585750196101</v>
      </c>
      <c r="H70" s="627">
        <f t="array" ref="H70">IFERROR(INDEX(Analytica!$F$17:$AS$49,MATCH(TRP!$B70,Analytica!$B$17:$B$49,0),MATCH(TRP!H$59&amp;TRP!H$57,Analytica!$F$16:$AR$16&amp;Analytica!$F$13:$AR$13,0)),"")</f>
        <v>0.492038428921173</v>
      </c>
      <c r="I70" s="627">
        <f t="array" ref="I70">IFERROR(INDEX(Analytica!$F$17:$AS$49,MATCH(TRP!$B70,Analytica!$B$17:$B$49,0),MATCH(TRP!I$59&amp;TRP!I$57,Analytica!$F$16:$AR$16&amp;Analytica!$F$13:$AR$13,0)),"")</f>
        <v>0.49648557965280099</v>
      </c>
      <c r="J70" s="627">
        <f t="array" ref="J70">IFERROR(INDEX(Analytica!$F$17:$AS$49,MATCH(TRP!$B70,Analytica!$B$17:$B$49,0),MATCH(TRP!J$59&amp;TRP!J$57,Analytica!$F$16:$AR$16&amp;Analytica!$F$13:$AR$13,0)),"")</f>
        <v>0.82349664056721994</v>
      </c>
      <c r="K70" s="627">
        <f t="array" ref="K70">IFERROR(INDEX(Analytica!$F$17:$AS$49,MATCH(TRP!$B70,Analytica!$B$17:$B$49,0),MATCH(TRP!K$59&amp;TRP!K$57,Analytica!$F$16:$AR$16&amp;Analytica!$F$13:$AR$13,0)),"")</f>
        <v>0.73189081439097003</v>
      </c>
      <c r="L70" s="627">
        <f t="array" ref="L70">IFERROR(INDEX(Analytica!$F$17:$AS$49,MATCH(TRP!$B70,Analytica!$B$17:$B$49,0),MATCH(TRP!L$59&amp;TRP!L$57,Analytica!$F$16:$AR$16&amp;Analytica!$F$13:$AR$13,0)),"")</f>
        <v>0.4986866685195705</v>
      </c>
      <c r="M70" s="627">
        <f t="array" ref="M70">IFERROR(INDEX(Analytica!$F$17:$AS$49,MATCH(TRP!$B70,Analytica!$B$17:$B$49,0),MATCH(TRP!M$59&amp;TRP!M$57,Analytica!$F$16:$AR$16&amp;Analytica!$F$13:$AR$13,0)),"")</f>
        <v>0.34446144946444851</v>
      </c>
      <c r="N70" s="627">
        <f t="array" ref="N70">IFERROR(INDEX(Analytica!$F$17:$AS$49,MATCH(TRP!$B70,Analytica!$B$17:$B$49,0),MATCH(TRP!N$59&amp;TRP!N$57,Analytica!$F$16:$AR$16&amp;Analytica!$F$13:$AR$13,0)),"")</f>
        <v>0.23965174138595799</v>
      </c>
      <c r="O70" s="630">
        <f t="array" ref="O70">IFERROR(INDEX(Analytica!$F$17:$AS$49,MATCH(TRP!$B70,Analytica!$B$17:$B$49,0),MATCH(TRP!O$59&amp;TRP!O$57,Analytica!$F$16:$AR$16&amp;Analytica!$F$13:$AR$13,0)),"")</f>
        <v>0.02</v>
      </c>
      <c r="P70" s="627">
        <f t="array" ref="P70">IFERROR(INDEX(Analytica!$F$17:$AS$49,MATCH(TRP!$B70,Analytica!$B$17:$B$49,0),MATCH(TRP!P$59&amp;TRP!P$57,Analytica!$F$16:$AR$16&amp;Analytica!$F$13:$AR$13,0)),"")</f>
        <v>4.1935845862025003</v>
      </c>
      <c r="Q70" s="627">
        <f t="array" ref="Q70">IFERROR(INDEX(Analytica!$F$17:$AS$49,MATCH(TRP!$B70,Analytica!$B$17:$B$49,0),MATCH(TRP!Q$59&amp;TRP!Q$57,Analytica!$F$16:$AR$16&amp;Analytica!$F$13:$AR$13,0)),"")</f>
        <v>4.11763972020184</v>
      </c>
      <c r="R70" s="627">
        <f t="array" ref="R70">IFERROR(INDEX(Analytica!$F$17:$AS$49,MATCH(TRP!$B70,Analytica!$B$17:$B$49,0),MATCH(TRP!R$59&amp;TRP!R$57,Analytica!$F$16:$AR$16&amp;Analytica!$F$13:$AR$13,0)),"")</f>
        <v>3.1386913845266902</v>
      </c>
      <c r="S70" s="627">
        <f t="array" ref="S70">IFERROR(INDEX(Analytica!$F$17:$AS$49,MATCH(TRP!$B70,Analytica!$B$17:$B$49,0),MATCH(TRP!S$59&amp;TRP!S$57,Analytica!$F$16:$AR$16&amp;Analytica!$F$13:$AR$13,0)),"")</f>
        <v>0</v>
      </c>
      <c r="T70" s="627">
        <f t="array" ref="T70">IFERROR(INDEX(Analytica!$F$17:$AS$49,MATCH(TRP!$B70,Analytica!$B$17:$B$49,0),MATCH(TRP!T$59&amp;TRP!T$57,Analytica!$F$16:$AR$16&amp;Analytica!$F$13:$AR$13,0)),"")</f>
        <v>0</v>
      </c>
      <c r="U70" s="610">
        <v>3</v>
      </c>
      <c r="V70" s="610">
        <v>0</v>
      </c>
      <c r="W70" s="627">
        <f t="array" ref="W70">IFERROR(INDEX(Analytica!$F$17:$AS$49,MATCH(TRP!$B70,Analytica!$B$17:$B$49,0),MATCH(TRP!W$59&amp;TRP!W$57,Analytica!$F$16:$AR$16&amp;Analytica!$F$13:$AR$13,0)),"")</f>
        <v>8.8338186721910602E-4</v>
      </c>
      <c r="X70" s="610">
        <f>SUMIF(Analytica!$B$17:$B$41,$B70,Analytica!AN$17:AN$41)</f>
        <v>0.14199999999999999</v>
      </c>
      <c r="Y70" s="619">
        <f>X70*E70</f>
        <v>6.9060590778114619E-2</v>
      </c>
      <c r="Z70" s="619">
        <f>J70*O70*P70</f>
        <v>6.9068056373444681E-2</v>
      </c>
      <c r="AA70" s="1">
        <f t="shared" si="4"/>
        <v>6</v>
      </c>
      <c r="AB70" s="1">
        <f>1-(Z70/Y70)</f>
        <v>-1.0810210636691409E-4</v>
      </c>
      <c r="AC70"/>
      <c r="AD70" s="610"/>
      <c r="AE70" s="625"/>
      <c r="AF70" s="1"/>
    </row>
    <row r="71" spans="1:32" x14ac:dyDescent="0.25">
      <c r="A71" s="607" t="s">
        <v>1017</v>
      </c>
      <c r="B71" s="191"/>
      <c r="C71" s="612"/>
      <c r="D71" s="612"/>
      <c r="E71" s="627" t="str">
        <f t="array" ref="E71">IFERROR(INDEX(Analytica!$F$17:$AS$49,MATCH(TRP!$B71,Analytica!$B$17:$B$49,0),MATCH(TRP!E$59&amp;TRP!E$57,Analytica!$F$16:$AR$16&amp;Analytica!$F$13:$AR$13,0)),"")</f>
        <v/>
      </c>
      <c r="F71" s="627" t="str">
        <f t="array" ref="F71">IFERROR(INDEX(Analytica!$F$17:$AS$49,MATCH(TRP!$B71,Analytica!$B$17:$B$49,0),MATCH(TRP!F$59&amp;TRP!F$57,Analytica!$F$16:$AR$16&amp;Analytica!$F$13:$AR$13,0)),"")</f>
        <v/>
      </c>
      <c r="G71" s="627" t="str">
        <f t="array" ref="G71">IFERROR(INDEX(Analytica!$F$17:$AS$49,MATCH(TRP!$B71,Analytica!$B$17:$B$49,0),MATCH(TRP!G$59&amp;TRP!G$57,Analytica!$F$16:$AR$16&amp;Analytica!$F$13:$AR$13,0)),"")</f>
        <v/>
      </c>
      <c r="H71" s="627" t="str">
        <f t="array" ref="H71">IFERROR(INDEX(Analytica!$F$17:$AS$49,MATCH(TRP!$B71,Analytica!$B$17:$B$49,0),MATCH(TRP!H$59&amp;TRP!H$57,Analytica!$F$16:$AR$16&amp;Analytica!$F$13:$AR$13,0)),"")</f>
        <v/>
      </c>
      <c r="I71" s="627" t="str">
        <f t="array" ref="I71">IFERROR(INDEX(Analytica!$F$17:$AS$49,MATCH(TRP!$B71,Analytica!$B$17:$B$49,0),MATCH(TRP!I$59&amp;TRP!I$57,Analytica!$F$16:$AR$16&amp;Analytica!$F$13:$AR$13,0)),"")</f>
        <v/>
      </c>
      <c r="J71" s="627" t="str">
        <f t="array" ref="J71">IFERROR(INDEX(Analytica!$F$17:$AS$49,MATCH(TRP!$B71,Analytica!$B$17:$B$49,0),MATCH(TRP!J$59&amp;TRP!J$57,Analytica!$F$16:$AR$16&amp;Analytica!$F$13:$AR$13,0)),"")</f>
        <v/>
      </c>
      <c r="K71" s="627" t="str">
        <f t="array" ref="K71">IFERROR(INDEX(Analytica!$F$17:$AS$49,MATCH(TRP!$B71,Analytica!$B$17:$B$49,0),MATCH(TRP!K$59&amp;TRP!K$57,Analytica!$F$16:$AR$16&amp;Analytica!$F$13:$AR$13,0)),"")</f>
        <v/>
      </c>
      <c r="L71" s="627" t="str">
        <f t="array" ref="L71">IFERROR(INDEX(Analytica!$F$17:$AS$49,MATCH(TRP!$B71,Analytica!$B$17:$B$49,0),MATCH(TRP!L$59&amp;TRP!L$57,Analytica!$F$16:$AR$16&amp;Analytica!$F$13:$AR$13,0)),"")</f>
        <v/>
      </c>
      <c r="M71" s="627" t="str">
        <f t="array" ref="M71">IFERROR(INDEX(Analytica!$F$17:$AS$49,MATCH(TRP!$B71,Analytica!$B$17:$B$49,0),MATCH(TRP!M$59&amp;TRP!M$57,Analytica!$F$16:$AR$16&amp;Analytica!$F$13:$AR$13,0)),"")</f>
        <v/>
      </c>
      <c r="N71" s="627" t="str">
        <f t="array" ref="N71">IFERROR(INDEX(Analytica!$F$17:$AS$49,MATCH(TRP!$B71,Analytica!$B$17:$B$49,0),MATCH(TRP!N$59&amp;TRP!N$57,Analytica!$F$16:$AR$16&amp;Analytica!$F$13:$AR$13,0)),"")</f>
        <v/>
      </c>
      <c r="O71" s="627" t="str">
        <f t="array" ref="O71">IFERROR(INDEX(Analytica!$F$17:$AS$49,MATCH(TRP!$B71,Analytica!$B$17:$B$49,0),MATCH(TRP!O$59&amp;TRP!O$57,Analytica!$F$16:$AR$16&amp;Analytica!$F$13:$AR$13,0)),"")</f>
        <v/>
      </c>
      <c r="P71" s="627" t="str">
        <f t="array" ref="P71">IFERROR(INDEX(Analytica!$F$17:$AS$49,MATCH(TRP!$B71,Analytica!$B$17:$B$49,0),MATCH(TRP!P$59&amp;TRP!P$57,Analytica!$F$16:$AR$16&amp;Analytica!$F$13:$AR$13,0)),"")</f>
        <v/>
      </c>
      <c r="Q71" s="627" t="str">
        <f t="array" ref="Q71">IFERROR(INDEX(Analytica!$F$17:$AS$49,MATCH(TRP!$B71,Analytica!$B$17:$B$49,0),MATCH(TRP!Q$59&amp;TRP!Q$57,Analytica!$F$16:$AR$16&amp;Analytica!$F$13:$AR$13,0)),"")</f>
        <v/>
      </c>
      <c r="R71" s="627" t="str">
        <f t="array" ref="R71">IFERROR(INDEX(Analytica!$F$17:$AS$49,MATCH(TRP!$B71,Analytica!$B$17:$B$49,0),MATCH(TRP!R$59&amp;TRP!R$57,Analytica!$F$16:$AR$16&amp;Analytica!$F$13:$AR$13,0)),"")</f>
        <v/>
      </c>
      <c r="S71" s="627" t="str">
        <f t="array" ref="S71">IFERROR(INDEX(Analytica!$F$17:$AS$49,MATCH(TRP!$B71,Analytica!$B$17:$B$49,0),MATCH(TRP!S$59&amp;TRP!S$57,Analytica!$F$16:$AR$16&amp;Analytica!$F$13:$AR$13,0)),"")</f>
        <v/>
      </c>
      <c r="T71" s="627" t="str">
        <f t="array" ref="T71">IFERROR(INDEX(Analytica!$F$17:$AS$49,MATCH(TRP!$B71,Analytica!$B$17:$B$49,0),MATCH(TRP!T$59&amp;TRP!T$57,Analytica!$F$16:$AR$16&amp;Analytica!$F$13:$AR$13,0)),"")</f>
        <v/>
      </c>
      <c r="U71" s="633"/>
      <c r="V71" s="633"/>
      <c r="W71" s="614"/>
      <c r="X71" s="613"/>
      <c r="Y71" s="624">
        <f>Y69+Y68+Y70</f>
        <v>81.138445721163535</v>
      </c>
      <c r="Z71" s="619"/>
      <c r="AA71" s="1">
        <f t="shared" si="4"/>
        <v>7</v>
      </c>
      <c r="AC71"/>
      <c r="AD71" s="613"/>
      <c r="AE71" s="625"/>
      <c r="AF71" s="1"/>
    </row>
    <row r="72" spans="1:32" x14ac:dyDescent="0.25">
      <c r="A72" s="191" t="str">
        <f>A$23&amp;" "&amp;TRP!H$19&amp;"-E"</f>
        <v>Transport Passenger Moto Priv.Veh. Oil Gasoline-E</v>
      </c>
      <c r="B72" s="191" t="str">
        <f>D72&amp;RIGHT(C72,3)&amp;"-E"</f>
        <v>TPPRMOTOGS-E</v>
      </c>
      <c r="C72" s="612" t="str">
        <f>$G$6</f>
        <v>TRAOGS</v>
      </c>
      <c r="D72" s="612" t="str">
        <f>$B$23</f>
        <v>TPPRMOT</v>
      </c>
      <c r="E72" s="627">
        <f t="array" ref="E72">IFERROR(INDEX(Analytica!$F$17:$AS$49,MATCH(TRP!$B72,Analytica!$B$17:$B$49,0),MATCH(TRP!E$59&amp;TRP!E$57,Analytica!$F$16:$AR$16&amp;Analytica!$F$13:$AR$13,0)),"")</f>
        <v>0.58484684820594601</v>
      </c>
      <c r="F72" s="627">
        <f t="array" ref="F72">IFERROR(INDEX(Analytica!$F$17:$AS$49,MATCH(TRP!$B72,Analytica!$B$17:$B$49,0),MATCH(TRP!F$59&amp;TRP!F$57,Analytica!$F$16:$AR$16&amp;Analytica!$F$13:$AR$13,0)),"")</f>
        <v>0.58792203407525001</v>
      </c>
      <c r="G72" s="627">
        <f t="array" ref="G72">IFERROR(INDEX(Analytica!$F$17:$AS$49,MATCH(TRP!$B72,Analytica!$B$17:$B$49,0),MATCH(TRP!G$59&amp;TRP!G$57,Analytica!$F$16:$AR$16&amp;Analytica!$F$13:$AR$13,0)),"")</f>
        <v>0.59899195036072195</v>
      </c>
      <c r="H72" s="627">
        <f t="array" ref="H72">IFERROR(INDEX(Analytica!$F$17:$AS$49,MATCH(TRP!$B72,Analytica!$B$17:$B$49,0),MATCH(TRP!H$59&amp;TRP!H$57,Analytica!$F$16:$AR$16&amp;Analytica!$F$13:$AR$13,0)),"")</f>
        <v>0.60882557636547696</v>
      </c>
      <c r="I72" s="627">
        <f t="array" ref="I72">IFERROR(INDEX(Analytica!$F$17:$AS$49,MATCH(TRP!$B72,Analytica!$B$17:$B$49,0),MATCH(TRP!I$59&amp;TRP!I$57,Analytica!$F$16:$AR$16&amp;Analytica!$F$13:$AR$13,0)),"")</f>
        <v>0.61566719645728296</v>
      </c>
      <c r="J72" s="627">
        <f t="array" ref="J72">IFERROR(INDEX(Analytica!$F$17:$AS$49,MATCH(TRP!$B72,Analytica!$B$17:$B$49,0),MATCH(TRP!J$59&amp;TRP!J$57,Analytica!$F$16:$AR$16&amp;Analytica!$F$13:$AR$13,0)),"")</f>
        <v>0.7411302039843134</v>
      </c>
      <c r="K72" s="627">
        <f t="array" ref="K72">IFERROR(INDEX(Analytica!$F$17:$AS$49,MATCH(TRP!$B72,Analytica!$B$17:$B$49,0),MATCH(TRP!K$59&amp;TRP!K$57,Analytica!$F$16:$AR$16&amp;Analytica!$F$13:$AR$13,0)),"")</f>
        <v>0.67310395943547341</v>
      </c>
      <c r="L72" s="627">
        <f t="array" ref="L72">IFERROR(INDEX(Analytica!$F$17:$AS$49,MATCH(TRP!$B72,Analytica!$B$17:$B$49,0),MATCH(TRP!L$59&amp;TRP!L$57,Analytica!$F$16:$AR$16&amp;Analytica!$F$13:$AR$13,0)),"")</f>
        <v>0.48967847643882134</v>
      </c>
      <c r="M72" s="627">
        <f t="array" ref="M72">IFERROR(INDEX(Analytica!$F$17:$AS$49,MATCH(TRP!$B72,Analytica!$B$17:$B$49,0),MATCH(TRP!M$59&amp;TRP!M$57,Analytica!$F$16:$AR$16&amp;Analytica!$F$13:$AR$13,0)),"")</f>
        <v>0.35215966369753199</v>
      </c>
      <c r="N72" s="627">
        <f t="array" ref="N72">IFERROR(INDEX(Analytica!$F$17:$AS$49,MATCH(TRP!$B72,Analytica!$B$17:$B$49,0),MATCH(TRP!N$59&amp;TRP!N$57,Analytica!$F$16:$AR$16&amp;Analytica!$F$13:$AR$13,0)),"")</f>
        <v>0.247618657994434</v>
      </c>
      <c r="O72" s="627">
        <f t="array" ref="O72">IFERROR(INDEX(Analytica!$F$17:$AS$49,MATCH(TRP!$B72,Analytica!$B$17:$B$49,0),MATCH(TRP!O$59&amp;TRP!O$57,Analytica!$F$16:$AR$16&amp;Analytica!$F$13:$AR$13,0)),"")</f>
        <v>1.4999999999999999E-2</v>
      </c>
      <c r="P72" s="627">
        <f t="array" ref="P72">IFERROR(INDEX(Analytica!$F$17:$AS$49,MATCH(TRP!$B72,Analytica!$B$17:$B$49,0),MATCH(TRP!P$59&amp;TRP!P$57,Analytica!$F$16:$AR$16&amp;Analytica!$F$13:$AR$13,0)),"")</f>
        <v>532.77109028187397</v>
      </c>
      <c r="Q72" s="627">
        <f t="array" ref="Q72">IFERROR(INDEX(Analytica!$F$17:$AS$49,MATCH(TRP!$B72,Analytica!$B$17:$B$49,0),MATCH(TRP!Q$59&amp;TRP!Q$57,Analytica!$F$16:$AR$16&amp;Analytica!$F$13:$AR$13,0)),"")</f>
        <v>480.39595774755702</v>
      </c>
      <c r="R72" s="627">
        <f t="array" ref="R72">IFERROR(INDEX(Analytica!$F$17:$AS$49,MATCH(TRP!$B72,Analytica!$B$17:$B$49,0),MATCH(TRP!R$59&amp;TRP!R$57,Analytica!$F$16:$AR$16&amp;Analytica!$F$13:$AR$13,0)),"")</f>
        <v>247.18185019438701</v>
      </c>
      <c r="S72" s="627">
        <f t="array" ref="S72">IFERROR(INDEX(Analytica!$F$17:$AS$49,MATCH(TRP!$B72,Analytica!$B$17:$B$49,0),MATCH(TRP!S$59&amp;TRP!S$57,Analytica!$F$16:$AR$16&amp;Analytica!$F$13:$AR$13,0)),"")</f>
        <v>0</v>
      </c>
      <c r="T72" s="627">
        <f t="array" ref="T72">IFERROR(INDEX(Analytica!$F$17:$AS$49,MATCH(TRP!$B72,Analytica!$B$17:$B$49,0),MATCH(TRP!T$59&amp;TRP!T$57,Analytica!$F$16:$AR$16&amp;Analytica!$F$13:$AR$13,0)),"")</f>
        <v>0</v>
      </c>
      <c r="U72" s="610">
        <v>3</v>
      </c>
      <c r="V72" s="610">
        <v>0</v>
      </c>
      <c r="W72" s="614">
        <f>SUMIF(Analytica!$B$17:$B$41,TRP!$B72,Analytica!$AV$17:$AV$41)</f>
        <v>16.186766778988599</v>
      </c>
      <c r="X72" s="610">
        <f>SUMIF(Analytica!$B$17:$B$41,$B72,Analytica!AN$17:AN$41)</f>
        <v>10.127080654417099</v>
      </c>
      <c r="Y72" s="619">
        <f>X72*E72</f>
        <v>5.9227912022632498</v>
      </c>
      <c r="Z72" s="619">
        <f>J72*O72*P72</f>
        <v>5.9227912022632543</v>
      </c>
      <c r="AA72" s="1">
        <f t="shared" si="4"/>
        <v>8</v>
      </c>
      <c r="AB72" s="1">
        <f t="shared" ref="AB72:AB110" si="5">ABS(1-(Z72/Y72))</f>
        <v>6.6613381477509392E-16</v>
      </c>
      <c r="AC72"/>
      <c r="AD72" s="610"/>
      <c r="AE72" s="625"/>
      <c r="AF72" s="1"/>
    </row>
    <row r="73" spans="1:32" x14ac:dyDescent="0.25">
      <c r="A73" s="607" t="s">
        <v>1017</v>
      </c>
      <c r="B73" s="191"/>
      <c r="C73" s="612"/>
      <c r="D73" s="612"/>
      <c r="E73" s="627" t="str">
        <f t="array" ref="E73">IFERROR(INDEX(Analytica!$F$17:$AS$49,MATCH(TRP!$B73,Analytica!$B$17:$B$49,0),MATCH(TRP!E$59&amp;TRP!E$57,Analytica!$F$16:$AR$16&amp;Analytica!$F$13:$AR$13,0)),"")</f>
        <v/>
      </c>
      <c r="F73" s="627" t="str">
        <f t="array" ref="F73">IFERROR(INDEX(Analytica!$F$17:$AS$49,MATCH(TRP!$B73,Analytica!$B$17:$B$49,0),MATCH(TRP!F$59&amp;TRP!F$57,Analytica!$F$16:$AR$16&amp;Analytica!$F$13:$AR$13,0)),"")</f>
        <v/>
      </c>
      <c r="G73" s="627" t="str">
        <f t="array" ref="G73">IFERROR(INDEX(Analytica!$F$17:$AS$49,MATCH(TRP!$B73,Analytica!$B$17:$B$49,0),MATCH(TRP!G$59&amp;TRP!G$57,Analytica!$F$16:$AR$16&amp;Analytica!$F$13:$AR$13,0)),"")</f>
        <v/>
      </c>
      <c r="H73" s="627" t="str">
        <f t="array" ref="H73">IFERROR(INDEX(Analytica!$F$17:$AS$49,MATCH(TRP!$B73,Analytica!$B$17:$B$49,0),MATCH(TRP!H$59&amp;TRP!H$57,Analytica!$F$16:$AR$16&amp;Analytica!$F$13:$AR$13,0)),"")</f>
        <v/>
      </c>
      <c r="I73" s="627" t="str">
        <f t="array" ref="I73">IFERROR(INDEX(Analytica!$F$17:$AS$49,MATCH(TRP!$B73,Analytica!$B$17:$B$49,0),MATCH(TRP!I$59&amp;TRP!I$57,Analytica!$F$16:$AR$16&amp;Analytica!$F$13:$AR$13,0)),"")</f>
        <v/>
      </c>
      <c r="J73" s="627" t="str">
        <f t="array" ref="J73">IFERROR(INDEX(Analytica!$F$17:$AS$49,MATCH(TRP!$B73,Analytica!$B$17:$B$49,0),MATCH(TRP!J$59&amp;TRP!J$57,Analytica!$F$16:$AR$16&amp;Analytica!$F$13:$AR$13,0)),"")</f>
        <v/>
      </c>
      <c r="K73" s="627" t="str">
        <f t="array" ref="K73">IFERROR(INDEX(Analytica!$F$17:$AS$49,MATCH(TRP!$B73,Analytica!$B$17:$B$49,0),MATCH(TRP!K$59&amp;TRP!K$57,Analytica!$F$16:$AR$16&amp;Analytica!$F$13:$AR$13,0)),"")</f>
        <v/>
      </c>
      <c r="L73" s="627" t="str">
        <f t="array" ref="L73">IFERROR(INDEX(Analytica!$F$17:$AS$49,MATCH(TRP!$B73,Analytica!$B$17:$B$49,0),MATCH(TRP!L$59&amp;TRP!L$57,Analytica!$F$16:$AR$16&amp;Analytica!$F$13:$AR$13,0)),"")</f>
        <v/>
      </c>
      <c r="M73" s="627" t="str">
        <f t="array" ref="M73">IFERROR(INDEX(Analytica!$F$17:$AS$49,MATCH(TRP!$B73,Analytica!$B$17:$B$49,0),MATCH(TRP!M$59&amp;TRP!M$57,Analytica!$F$16:$AR$16&amp;Analytica!$F$13:$AR$13,0)),"")</f>
        <v/>
      </c>
      <c r="N73" s="627" t="str">
        <f t="array" ref="N73">IFERROR(INDEX(Analytica!$F$17:$AS$49,MATCH(TRP!$B73,Analytica!$B$17:$B$49,0),MATCH(TRP!N$59&amp;TRP!N$57,Analytica!$F$16:$AR$16&amp;Analytica!$F$13:$AR$13,0)),"")</f>
        <v/>
      </c>
      <c r="O73" s="627" t="str">
        <f t="array" ref="O73">IFERROR(INDEX(Analytica!$F$17:$AS$49,MATCH(TRP!$B73,Analytica!$B$17:$B$49,0),MATCH(TRP!O$59&amp;TRP!O$57,Analytica!$F$16:$AR$16&amp;Analytica!$F$13:$AR$13,0)),"")</f>
        <v/>
      </c>
      <c r="P73" s="627" t="str">
        <f t="array" ref="P73">IFERROR(INDEX(Analytica!$F$17:$AS$49,MATCH(TRP!$B73,Analytica!$B$17:$B$49,0),MATCH(TRP!P$59&amp;TRP!P$57,Analytica!$F$16:$AR$16&amp;Analytica!$F$13:$AR$13,0)),"")</f>
        <v/>
      </c>
      <c r="Q73" s="627" t="str">
        <f t="array" ref="Q73">IFERROR(INDEX(Analytica!$F$17:$AS$49,MATCH(TRP!$B73,Analytica!$B$17:$B$49,0),MATCH(TRP!Q$59&amp;TRP!Q$57,Analytica!$F$16:$AR$16&amp;Analytica!$F$13:$AR$13,0)),"")</f>
        <v/>
      </c>
      <c r="R73" s="627" t="str">
        <f t="array" ref="R73">IFERROR(INDEX(Analytica!$F$17:$AS$49,MATCH(TRP!$B73,Analytica!$B$17:$B$49,0),MATCH(TRP!R$59&amp;TRP!R$57,Analytica!$F$16:$AR$16&amp;Analytica!$F$13:$AR$13,0)),"")</f>
        <v/>
      </c>
      <c r="S73" s="627" t="str">
        <f t="array" ref="S73">IFERROR(INDEX(Analytica!$F$17:$AS$49,MATCH(TRP!$B73,Analytica!$B$17:$B$49,0),MATCH(TRP!S$59&amp;TRP!S$57,Analytica!$F$16:$AR$16&amp;Analytica!$F$13:$AR$13,0)),"")</f>
        <v/>
      </c>
      <c r="T73" s="627" t="str">
        <f t="array" ref="T73">IFERROR(INDEX(Analytica!$F$17:$AS$49,MATCH(TRP!$B73,Analytica!$B$17:$B$49,0),MATCH(TRP!T$59&amp;TRP!T$57,Analytica!$F$16:$AR$16&amp;Analytica!$F$13:$AR$13,0)),"")</f>
        <v/>
      </c>
      <c r="U73" s="633"/>
      <c r="V73" s="633"/>
      <c r="W73" s="614"/>
      <c r="X73" s="613"/>
      <c r="Y73" s="624">
        <f>Y72</f>
        <v>5.9227912022632498</v>
      </c>
      <c r="Z73" s="619"/>
      <c r="AA73" s="1">
        <f t="shared" si="4"/>
        <v>9</v>
      </c>
      <c r="AC73"/>
      <c r="AD73" s="613"/>
      <c r="AE73" s="625"/>
      <c r="AF73" s="1"/>
    </row>
    <row r="74" spans="1:32" x14ac:dyDescent="0.25">
      <c r="A74" s="191" t="str">
        <f>A$24&amp;" "&amp;TRP!D$19&amp;"-E"</f>
        <v>Transport Passenger Bus Oil Diesel-E</v>
      </c>
      <c r="B74" s="191" t="str">
        <f>D74&amp;RIGHT(C74,3)&amp;"-E"</f>
        <v>TPPUBUSODS-E</v>
      </c>
      <c r="C74" s="612" t="str">
        <f>$D$6</f>
        <v>TRAODS</v>
      </c>
      <c r="D74" s="612" t="str">
        <f>$B$24</f>
        <v>TPPUBUS</v>
      </c>
      <c r="E74" s="627">
        <f t="array" ref="E74">IFERROR(INDEX(Analytica!$F$17:$AS$49,MATCH(TRP!$B74,Analytica!$B$17:$B$49,0),MATCH(TRP!E$59&amp;TRP!E$57,Analytica!$F$16:$AR$16&amp;Analytica!$F$13:$AR$13,0)),"")</f>
        <v>6.4348339348895098E-2</v>
      </c>
      <c r="F74" s="627">
        <f t="array" ref="F74">IFERROR(INDEX(Analytica!$F$17:$AS$49,MATCH(TRP!$B74,Analytica!$B$17:$B$49,0),MATCH(TRP!F$59&amp;TRP!F$57,Analytica!$F$16:$AR$16&amp;Analytica!$F$13:$AR$13,0)),"")</f>
        <v>6.4532835825940396E-2</v>
      </c>
      <c r="G74" s="627">
        <f t="array" ref="G74">IFERROR(INDEX(Analytica!$F$17:$AS$49,MATCH(TRP!$B74,Analytica!$B$17:$B$49,0),MATCH(TRP!G$59&amp;TRP!G$57,Analytica!$F$16:$AR$16&amp;Analytica!$F$13:$AR$13,0)),"")</f>
        <v>6.5227894002483106E-2</v>
      </c>
      <c r="H74" s="627">
        <f t="array" ref="H74">IFERROR(INDEX(Analytica!$F$17:$AS$49,MATCH(TRP!$B74,Analytica!$B$17:$B$49,0),MATCH(TRP!H$59&amp;TRP!H$57,Analytica!$F$16:$AR$16&amp;Analytica!$F$13:$AR$13,0)),"")</f>
        <v>6.6011283101863896E-2</v>
      </c>
      <c r="I74" s="627">
        <f t="array" ref="I74">IFERROR(INDEX(Analytica!$F$17:$AS$49,MATCH(TRP!$B74,Analytica!$B$17:$B$49,0),MATCH(TRP!I$59&amp;TRP!I$57,Analytica!$F$16:$AR$16&amp;Analytica!$F$13:$AR$13,0)),"")</f>
        <v>6.6777008175099004E-2</v>
      </c>
      <c r="J74" s="627">
        <f t="array" ref="J74">IFERROR(INDEX(Analytica!$F$17:$AS$49,MATCH(TRP!$B74,Analytica!$B$17:$B$49,0),MATCH(TRP!J$59&amp;TRP!J$57,Analytica!$F$16:$AR$16&amp;Analytica!$F$13:$AR$13,0)),"")</f>
        <v>0.42532283795650333</v>
      </c>
      <c r="K74" s="627">
        <f t="array" ref="K74">IFERROR(INDEX(Analytica!$F$17:$AS$49,MATCH(TRP!$B74,Analytica!$B$17:$B$49,0),MATCH(TRP!K$59&amp;TRP!K$57,Analytica!$F$16:$AR$16&amp;Analytica!$F$13:$AR$13,0)),"")</f>
        <v>0.33706878442068333</v>
      </c>
      <c r="L74" s="627">
        <f t="array" ref="L74">IFERROR(INDEX(Analytica!$F$17:$AS$49,MATCH(TRP!$B74,Analytica!$B$17:$B$49,0),MATCH(TRP!L$59&amp;TRP!L$57,Analytica!$F$16:$AR$16&amp;Analytica!$F$13:$AR$13,0)),"")</f>
        <v>0.15171434294469499</v>
      </c>
      <c r="M74" s="627">
        <f t="array" ref="M74">IFERROR(INDEX(Analytica!$F$17:$AS$49,MATCH(TRP!$B74,Analytica!$B$17:$B$49,0),MATCH(TRP!M$59&amp;TRP!M$57,Analytica!$F$16:$AR$16&amp;Analytica!$F$13:$AR$13,0)),"")</f>
        <v>6.6477490540613332E-2</v>
      </c>
      <c r="N74" s="627">
        <f t="array" ref="N74">IFERROR(INDEX(Analytica!$F$17:$AS$49,MATCH(TRP!$B74,Analytica!$B$17:$B$49,0),MATCH(TRP!N$59&amp;TRP!N$57,Analytica!$F$16:$AR$16&amp;Analytica!$F$13:$AR$13,0)),"")</f>
        <v>2.8637041139474666E-2</v>
      </c>
      <c r="O74" s="628">
        <f t="array" ref="O74">IFERROR(INDEX(Analytica!$F$17:$AS$49,MATCH(TRP!$B74,Analytica!$B$17:$B$49,0),MATCH(TRP!O$59&amp;TRP!O$57,Analytica!$F$16:$AR$16&amp;Analytica!$F$13:$AR$13,0)),"")</f>
        <v>0.06</v>
      </c>
      <c r="P74" s="627" cm="1">
        <f t="array" ref="P74">IFERROR(INDEX(Analytica!$F$17:$AS$49,MATCH(TRP!$B74,Analytica!$B$17:$B$49,0),MATCH(TRP!P$59&amp;TRP!P$57,Analytica!$F$16:$AR$16&amp;Analytica!$F$13:$AR$13,0)),"")</f>
        <v>25.1952522652347</v>
      </c>
      <c r="Q74" s="627">
        <f t="array" ref="Q74">IFERROR(INDEX(Analytica!$F$17:$AS$49,MATCH(TRP!$B74,Analytica!$B$17:$B$49,0),MATCH(TRP!Q$59&amp;TRP!Q$57,Analytica!$F$16:$AR$16&amp;Analytica!$F$13:$AR$13,0)),"")</f>
        <v>23.083651962362801</v>
      </c>
      <c r="R74" s="627">
        <f t="array" ref="R74">IFERROR(INDEX(Analytica!$F$17:$AS$49,MATCH(TRP!$B74,Analytica!$B$17:$B$49,0),MATCH(TRP!R$59&amp;TRP!R$57,Analytica!$F$16:$AR$16&amp;Analytica!$F$13:$AR$13,0)),"")</f>
        <v>15.5161252325553</v>
      </c>
      <c r="S74" s="627">
        <f t="array" ref="S74">IFERROR(INDEX(Analytica!$F$17:$AS$49,MATCH(TRP!$B74,Analytica!$B$17:$B$49,0),MATCH(TRP!S$59&amp;TRP!S$57,Analytica!$F$16:$AR$16&amp;Analytica!$F$13:$AR$13,0)),"")</f>
        <v>0</v>
      </c>
      <c r="T74" s="627">
        <f t="array" ref="T74">IFERROR(INDEX(Analytica!$F$17:$AS$49,MATCH(TRP!$B74,Analytica!$B$17:$B$49,0),MATCH(TRP!T$59&amp;TRP!T$57,Analytica!$F$16:$AR$16&amp;Analytica!$F$13:$AR$13,0)),"")</f>
        <v>0</v>
      </c>
      <c r="U74" s="610">
        <v>3</v>
      </c>
      <c r="V74" s="610">
        <v>0</v>
      </c>
      <c r="W74" s="614">
        <f>SUMIF(Analytica!$B$17:$B$41,TRP!$B74,Analytica!$AV$17:$AV$41)</f>
        <v>21.637905752302</v>
      </c>
      <c r="X74" s="610">
        <f>SUMIF(Analytica!$B$17:$B$41,$B74,Analytica!AN$17:AN$41)</f>
        <v>9.9920000000000009</v>
      </c>
      <c r="Y74" s="619">
        <f>X74*E74</f>
        <v>0.6429686067741599</v>
      </c>
      <c r="Z74" s="619">
        <f>J74*O74*P74</f>
        <v>0.64296697178877849</v>
      </c>
      <c r="AA74" s="1">
        <f t="shared" si="4"/>
        <v>10</v>
      </c>
      <c r="AB74" s="1">
        <f t="shared" si="5"/>
        <v>2.5428696893703417E-6</v>
      </c>
      <c r="AC74"/>
      <c r="AD74" s="610"/>
      <c r="AE74" s="625"/>
      <c r="AF74" s="1"/>
    </row>
    <row r="75" spans="1:32" x14ac:dyDescent="0.25">
      <c r="A75" s="607" t="s">
        <v>1017</v>
      </c>
      <c r="B75" s="191"/>
      <c r="C75" s="612"/>
      <c r="D75" s="612"/>
      <c r="E75" s="627" t="str">
        <f t="array" ref="E75">IFERROR(INDEX(Analytica!$F$17:$AS$49,MATCH(TRP!$B75,Analytica!$B$17:$B$49,0),MATCH(TRP!E$59&amp;TRP!E$57,Analytica!$F$16:$AR$16&amp;Analytica!$F$13:$AR$13,0)),"")</f>
        <v/>
      </c>
      <c r="F75" s="627" t="str">
        <f t="array" ref="F75">IFERROR(INDEX(Analytica!$F$17:$AS$49,MATCH(TRP!$B75,Analytica!$B$17:$B$49,0),MATCH(TRP!F$59&amp;TRP!F$57,Analytica!$F$16:$AR$16&amp;Analytica!$F$13:$AR$13,0)),"")</f>
        <v/>
      </c>
      <c r="G75" s="627" t="str">
        <f t="array" ref="G75">IFERROR(INDEX(Analytica!$F$17:$AS$49,MATCH(TRP!$B75,Analytica!$B$17:$B$49,0),MATCH(TRP!G$59&amp;TRP!G$57,Analytica!$F$16:$AR$16&amp;Analytica!$F$13:$AR$13,0)),"")</f>
        <v/>
      </c>
      <c r="H75" s="627" t="str">
        <f t="array" ref="H75">IFERROR(INDEX(Analytica!$F$17:$AS$49,MATCH(TRP!$B75,Analytica!$B$17:$B$49,0),MATCH(TRP!H$59&amp;TRP!H$57,Analytica!$F$16:$AR$16&amp;Analytica!$F$13:$AR$13,0)),"")</f>
        <v/>
      </c>
      <c r="I75" s="627" t="str">
        <f t="array" ref="I75">IFERROR(INDEX(Analytica!$F$17:$AS$49,MATCH(TRP!$B75,Analytica!$B$17:$B$49,0),MATCH(TRP!I$59&amp;TRP!I$57,Analytica!$F$16:$AR$16&amp;Analytica!$F$13:$AR$13,0)),"")</f>
        <v/>
      </c>
      <c r="J75" s="627" t="str">
        <f t="array" ref="J75">IFERROR(INDEX(Analytica!$F$17:$AS$49,MATCH(TRP!$B75,Analytica!$B$17:$B$49,0),MATCH(TRP!J$59&amp;TRP!J$57,Analytica!$F$16:$AR$16&amp;Analytica!$F$13:$AR$13,0)),"")</f>
        <v/>
      </c>
      <c r="K75" s="627" t="str">
        <f t="array" ref="K75">IFERROR(INDEX(Analytica!$F$17:$AS$49,MATCH(TRP!$B75,Analytica!$B$17:$B$49,0),MATCH(TRP!K$59&amp;TRP!K$57,Analytica!$F$16:$AR$16&amp;Analytica!$F$13:$AR$13,0)),"")</f>
        <v/>
      </c>
      <c r="L75" s="627" t="str">
        <f t="array" ref="L75">IFERROR(INDEX(Analytica!$F$17:$AS$49,MATCH(TRP!$B75,Analytica!$B$17:$B$49,0),MATCH(TRP!L$59&amp;TRP!L$57,Analytica!$F$16:$AR$16&amp;Analytica!$F$13:$AR$13,0)),"")</f>
        <v/>
      </c>
      <c r="M75" s="627" t="str">
        <f t="array" ref="M75">IFERROR(INDEX(Analytica!$F$17:$AS$49,MATCH(TRP!$B75,Analytica!$B$17:$B$49,0),MATCH(TRP!M$59&amp;TRP!M$57,Analytica!$F$16:$AR$16&amp;Analytica!$F$13:$AR$13,0)),"")</f>
        <v/>
      </c>
      <c r="N75" s="627" t="str">
        <f t="array" ref="N75">IFERROR(INDEX(Analytica!$F$17:$AS$49,MATCH(TRP!$B75,Analytica!$B$17:$B$49,0),MATCH(TRP!N$59&amp;TRP!N$57,Analytica!$F$16:$AR$16&amp;Analytica!$F$13:$AR$13,0)),"")</f>
        <v/>
      </c>
      <c r="O75" s="627" t="str">
        <f t="array" ref="O75">IFERROR(INDEX(Analytica!$F$17:$AS$49,MATCH(TRP!$B75,Analytica!$B$17:$B$49,0),MATCH(TRP!O$59&amp;TRP!O$57,Analytica!$F$16:$AR$16&amp;Analytica!$F$13:$AR$13,0)),"")</f>
        <v/>
      </c>
      <c r="P75" s="627" t="str">
        <f t="array" ref="P75">IFERROR(INDEX(Analytica!$F$17:$AS$49,MATCH(TRP!$B75,Analytica!$B$17:$B$49,0),MATCH(TRP!P$59&amp;TRP!P$57,Analytica!$F$16:$AR$16&amp;Analytica!$F$13:$AR$13,0)),"")</f>
        <v/>
      </c>
      <c r="Q75" s="627" t="str">
        <f t="array" ref="Q75">IFERROR(INDEX(Analytica!$F$17:$AS$49,MATCH(TRP!$B75,Analytica!$B$17:$B$49,0),MATCH(TRP!Q$59&amp;TRP!Q$57,Analytica!$F$16:$AR$16&amp;Analytica!$F$13:$AR$13,0)),"")</f>
        <v/>
      </c>
      <c r="R75" s="627" t="str">
        <f t="array" ref="R75">IFERROR(INDEX(Analytica!$F$17:$AS$49,MATCH(TRP!$B75,Analytica!$B$17:$B$49,0),MATCH(TRP!R$59&amp;TRP!R$57,Analytica!$F$16:$AR$16&amp;Analytica!$F$13:$AR$13,0)),"")</f>
        <v/>
      </c>
      <c r="S75" s="627" t="str">
        <f t="array" ref="S75">IFERROR(INDEX(Analytica!$F$17:$AS$49,MATCH(TRP!$B75,Analytica!$B$17:$B$49,0),MATCH(TRP!S$59&amp;TRP!S$57,Analytica!$F$16:$AR$16&amp;Analytica!$F$13:$AR$13,0)),"")</f>
        <v/>
      </c>
      <c r="T75" s="627" t="str">
        <f t="array" ref="T75">IFERROR(INDEX(Analytica!$F$17:$AS$49,MATCH(TRP!$B75,Analytica!$B$17:$B$49,0),MATCH(TRP!T$59&amp;TRP!T$57,Analytica!$F$16:$AR$16&amp;Analytica!$F$13:$AR$13,0)),"")</f>
        <v/>
      </c>
      <c r="U75" s="633"/>
      <c r="V75" s="633"/>
      <c r="W75" s="614"/>
      <c r="X75" s="613"/>
      <c r="Y75" s="624">
        <f>Y74</f>
        <v>0.6429686067741599</v>
      </c>
      <c r="Z75" s="619"/>
      <c r="AA75" s="1">
        <f t="shared" si="4"/>
        <v>11</v>
      </c>
      <c r="AC75"/>
      <c r="AD75" s="613"/>
      <c r="AE75" s="625"/>
      <c r="AF75" s="1"/>
    </row>
    <row r="76" spans="1:32" x14ac:dyDescent="0.25">
      <c r="A76" s="191" t="str">
        <f>A$25&amp;" "&amp;TRP!D$19&amp;"-E"</f>
        <v>Transport Passenger Minibus Oil Diesel-E</v>
      </c>
      <c r="B76" s="191" t="str">
        <f>D76&amp;RIGHT(C76,3)&amp;"-E"</f>
        <v>TPPUMBTODS-E</v>
      </c>
      <c r="C76" s="612" t="str">
        <f>$D$6</f>
        <v>TRAODS</v>
      </c>
      <c r="D76" s="612" t="str">
        <f>$B$25</f>
        <v>TPPUMBT</v>
      </c>
      <c r="E76" s="627">
        <f t="array" ref="E76">IFERROR(INDEX(Analytica!$F$17:$AS$49,MATCH(TRP!$B76,Analytica!$B$17:$B$49,0),MATCH(TRP!E$59&amp;TRP!E$57,Analytica!$F$16:$AR$16&amp;Analytica!$F$13:$AR$13,0)),"")</f>
        <v>0.23693697386285401</v>
      </c>
      <c r="F76" s="627">
        <f t="array" ref="F76">IFERROR(INDEX(Analytica!$F$17:$AS$49,MATCH(TRP!$B76,Analytica!$B$17:$B$49,0),MATCH(TRP!F$59&amp;TRP!F$57,Analytica!$F$16:$AR$16&amp;Analytica!$F$13:$AR$13,0)),"")</f>
        <v>0.23714071054781499</v>
      </c>
      <c r="G76" s="627">
        <f t="array" ref="G76">IFERROR(INDEX(Analytica!$F$17:$AS$49,MATCH(TRP!$B76,Analytica!$B$17:$B$49,0),MATCH(TRP!G$59&amp;TRP!G$57,Analytica!$F$16:$AR$16&amp;Analytica!$F$13:$AR$13,0)),"")</f>
        <v>0.23771796611346999</v>
      </c>
      <c r="H76" s="627">
        <f t="array" ref="H76">IFERROR(INDEX(Analytica!$F$17:$AS$49,MATCH(TRP!$B76,Analytica!$B$17:$B$49,0),MATCH(TRP!H$59&amp;TRP!H$57,Analytica!$F$16:$AR$16&amp;Analytica!$F$13:$AR$13,0)),"")</f>
        <v>0.238197153562765</v>
      </c>
      <c r="I76" s="627">
        <f t="array" ref="I76">IFERROR(INDEX(Analytica!$F$17:$AS$49,MATCH(TRP!$B76,Analytica!$B$17:$B$49,0),MATCH(TRP!I$59&amp;TRP!I$57,Analytica!$F$16:$AR$16&amp;Analytica!$F$13:$AR$13,0)),"")</f>
        <v>0.23860947241442801</v>
      </c>
      <c r="J76" s="627">
        <f t="array" ref="J76">IFERROR(INDEX(Analytica!$F$17:$AS$49,MATCH(TRP!$B76,Analytica!$B$17:$B$49,0),MATCH(TRP!J$59&amp;TRP!J$57,Analytica!$F$16:$AR$16&amp;Analytica!$F$13:$AR$13,0)),"")</f>
        <v>0.87237008971306285</v>
      </c>
      <c r="K76" s="627">
        <f t="array" ref="K76">IFERROR(INDEX(Analytica!$F$17:$AS$49,MATCH(TRP!$B76,Analytica!$B$17:$B$49,0),MATCH(TRP!K$59&amp;TRP!K$57,Analytica!$F$16:$AR$16&amp;Analytica!$F$13:$AR$13,0)),"")</f>
        <v>0.77665376321311141</v>
      </c>
      <c r="L76" s="627">
        <f t="array" ref="L76">IFERROR(INDEX(Analytica!$F$17:$AS$49,MATCH(TRP!$B76,Analytica!$B$17:$B$49,0),MATCH(TRP!L$59&amp;TRP!L$57,Analytica!$F$16:$AR$16&amp;Analytica!$F$13:$AR$13,0)),"")</f>
        <v>0.52618992875458293</v>
      </c>
      <c r="M76" s="627">
        <f t="array" ref="M76">IFERROR(INDEX(Analytica!$F$17:$AS$49,MATCH(TRP!$B76,Analytica!$B$17:$B$49,0),MATCH(TRP!M$59&amp;TRP!M$57,Analytica!$F$16:$AR$16&amp;Analytica!$F$13:$AR$13,0)),"")</f>
        <v>0.35582807474639144</v>
      </c>
      <c r="N76" s="627">
        <f t="array" ref="N76">IFERROR(INDEX(Analytica!$F$17:$AS$49,MATCH(TRP!$B76,Analytica!$B$17:$B$49,0),MATCH(TRP!N$59&amp;TRP!N$57,Analytica!$F$16:$AR$16&amp;Analytica!$F$13:$AR$13,0)),"")</f>
        <v>0.24031541952783342</v>
      </c>
      <c r="O76" s="627">
        <f t="array" ref="O76">IFERROR(INDEX(Analytica!$F$17:$AS$49,MATCH(TRP!$B76,Analytica!$B$17:$B$49,0),MATCH(TRP!O$59&amp;TRP!O$57,Analytica!$F$16:$AR$16&amp;Analytica!$F$13:$AR$13,0)),"")</f>
        <v>3.4999999999999996E-2</v>
      </c>
      <c r="P76" s="627">
        <f t="array" ref="P76">IFERROR(INDEX(Analytica!$F$17:$AS$49,MATCH(TRP!$B76,Analytica!$B$17:$B$49,0),MATCH(TRP!P$59&amp;TRP!P$57,Analytica!$F$16:$AR$16&amp;Analytica!$F$13:$AR$13,0)),"")</f>
        <v>69.8415661662536</v>
      </c>
      <c r="Q76" s="627">
        <f t="array" ref="Q76">IFERROR(INDEX(Analytica!$F$17:$AS$49,MATCH(TRP!$B76,Analytica!$B$17:$B$49,0),MATCH(TRP!Q$59&amp;TRP!Q$57,Analytica!$F$16:$AR$16&amp;Analytica!$F$13:$AR$13,0)),"")</f>
        <v>66.6909703537209</v>
      </c>
      <c r="R76" s="627">
        <f t="array" ref="R76">IFERROR(INDEX(Analytica!$F$17:$AS$49,MATCH(TRP!$B76,Analytica!$B$17:$B$49,0),MATCH(TRP!R$59&amp;TRP!R$57,Analytica!$F$16:$AR$16&amp;Analytica!$F$13:$AR$13,0)),"")</f>
        <v>48.344847105240099</v>
      </c>
      <c r="S76" s="627">
        <f t="array" ref="S76">IFERROR(INDEX(Analytica!$F$17:$AS$49,MATCH(TRP!$B76,Analytica!$B$17:$B$49,0),MATCH(TRP!S$59&amp;TRP!S$57,Analytica!$F$16:$AR$16&amp;Analytica!$F$13:$AR$13,0)),"")</f>
        <v>0</v>
      </c>
      <c r="T76" s="627">
        <f t="array" ref="T76">IFERROR(INDEX(Analytica!$F$17:$AS$49,MATCH(TRP!$B76,Analytica!$B$17:$B$49,0),MATCH(TRP!T$59&amp;TRP!T$57,Analytica!$F$16:$AR$16&amp;Analytica!$F$13:$AR$13,0)),"")</f>
        <v>0</v>
      </c>
      <c r="U76" s="610">
        <v>3</v>
      </c>
      <c r="V76" s="610">
        <v>0</v>
      </c>
      <c r="W76" s="614">
        <f>SUMIF(Analytica!$B$17:$B$41,TRP!$B76,Analytica!$AV$17:$AV$41)</f>
        <v>27.521793874852399</v>
      </c>
      <c r="X76" s="610">
        <f>SUMIF(Analytica!$B$17:$B$41,$B76,Analytica!AN$17:AN$41)</f>
        <v>9</v>
      </c>
      <c r="Y76" s="619">
        <f>X76*E76</f>
        <v>2.132432764765686</v>
      </c>
      <c r="Z76" s="619">
        <f>J76*O76*P76</f>
        <v>2.1324692669754413</v>
      </c>
      <c r="AA76" s="1">
        <f t="shared" si="4"/>
        <v>12</v>
      </c>
      <c r="AB76" s="1">
        <f t="shared" si="5"/>
        <v>1.7117636887942211E-5</v>
      </c>
      <c r="AC76"/>
      <c r="AD76" s="610"/>
      <c r="AE76" s="625"/>
      <c r="AF76" s="1"/>
    </row>
    <row r="77" spans="1:32" x14ac:dyDescent="0.25">
      <c r="A77" s="191" t="str">
        <f>A$25&amp;" "&amp;TRP!H$19&amp;"-E"</f>
        <v>Transport Passenger Minibus Oil Gasoline-E</v>
      </c>
      <c r="B77" s="191" t="str">
        <f>D77&amp;RIGHT(C77,3)&amp;"-E"</f>
        <v>TPPUMBTOGS-E</v>
      </c>
      <c r="C77" s="612" t="str">
        <f>$G$6</f>
        <v>TRAOGS</v>
      </c>
      <c r="D77" s="612" t="str">
        <f>$B$25</f>
        <v>TPPUMBT</v>
      </c>
      <c r="E77" s="627">
        <f t="array" ref="E77">IFERROR(INDEX(Analytica!$F$17:$AS$49,MATCH(TRP!$B77,Analytica!$B$17:$B$49,0),MATCH(TRP!E$59&amp;TRP!E$57,Analytica!$F$16:$AR$16&amp;Analytica!$F$13:$AR$13,0)),"")</f>
        <v>0.2007607462921</v>
      </c>
      <c r="F77" s="627">
        <f t="array" ref="F77">IFERROR(INDEX(Analytica!$F$17:$AS$49,MATCH(TRP!$B77,Analytica!$B$17:$B$49,0),MATCH(TRP!F$59&amp;TRP!F$57,Analytica!$F$16:$AR$16&amp;Analytica!$F$13:$AR$13,0)),"")</f>
        <v>0.20159853580370701</v>
      </c>
      <c r="G77" s="627">
        <f t="array" ref="G77">IFERROR(INDEX(Analytica!$F$17:$AS$49,MATCH(TRP!$B77,Analytica!$B$17:$B$49,0),MATCH(TRP!G$59&amp;TRP!G$57,Analytica!$F$16:$AR$16&amp;Analytica!$F$13:$AR$13,0)),"")</f>
        <v>0.203758901219809</v>
      </c>
      <c r="H77" s="627">
        <f t="array" ref="H77">IFERROR(INDEX(Analytica!$F$17:$AS$49,MATCH(TRP!$B77,Analytica!$B$17:$B$49,0),MATCH(TRP!H$59&amp;TRP!H$57,Analytica!$F$16:$AR$16&amp;Analytica!$F$13:$AR$13,0)),"")</f>
        <v>0.205400647316764</v>
      </c>
      <c r="I77" s="627">
        <f t="array" ref="I77">IFERROR(INDEX(Analytica!$F$17:$AS$49,MATCH(TRP!$B77,Analytica!$B$17:$B$49,0),MATCH(TRP!I$59&amp;TRP!I$57,Analytica!$F$16:$AR$16&amp;Analytica!$F$13:$AR$13,0)),"")</f>
        <v>0.206733282045863</v>
      </c>
      <c r="J77" s="627">
        <f t="array" ref="J77">IFERROR(INDEX(Analytica!$F$17:$AS$49,MATCH(TRP!$B77,Analytica!$B$17:$B$49,0),MATCH(TRP!J$59&amp;TRP!J$57,Analytica!$F$16:$AR$16&amp;Analytica!$F$13:$AR$13,0)),"")</f>
        <v>0.57175281338925998</v>
      </c>
      <c r="K77" s="627">
        <f t="array" ref="K77">IFERROR(INDEX(Analytica!$F$17:$AS$49,MATCH(TRP!$B77,Analytica!$B$17:$B$49,0),MATCH(TRP!K$59&amp;TRP!K$57,Analytica!$F$16:$AR$16&amp;Analytica!$F$13:$AR$13,0)),"")</f>
        <v>0.51619355860632565</v>
      </c>
      <c r="L77" s="627">
        <f t="array" ref="L77">IFERROR(INDEX(Analytica!$F$17:$AS$49,MATCH(TRP!$B77,Analytica!$B$17:$B$49,0),MATCH(TRP!L$59&amp;TRP!L$57,Analytica!$F$16:$AR$16&amp;Analytica!$F$13:$AR$13,0)),"")</f>
        <v>0.36251688170644575</v>
      </c>
      <c r="M77" s="627">
        <f t="array" ref="M77">IFERROR(INDEX(Analytica!$F$17:$AS$49,MATCH(TRP!$B77,Analytica!$B$17:$B$49,0),MATCH(TRP!M$59&amp;TRP!M$57,Analytica!$F$16:$AR$16&amp;Analytica!$F$13:$AR$13,0)),"")</f>
        <v>0.25189181905238711</v>
      </c>
      <c r="N77" s="627">
        <f t="array" ref="N77">IFERROR(INDEX(Analytica!$F$17:$AS$49,MATCH(TRP!$B77,Analytica!$B$17:$B$49,0),MATCH(TRP!N$59&amp;TRP!N$57,Analytica!$F$16:$AR$16&amp;Analytica!$F$13:$AR$13,0)),"")</f>
        <v>0.17389158868771801</v>
      </c>
      <c r="O77" s="627">
        <f t="array" ref="O77">IFERROR(INDEX(Analytica!$F$17:$AS$49,MATCH(TRP!$B77,Analytica!$B$17:$B$49,0),MATCH(TRP!O$59&amp;TRP!O$57,Analytica!$F$16:$AR$16&amp;Analytica!$F$13:$AR$13,0)),"")</f>
        <v>3.4999999999999996E-2</v>
      </c>
      <c r="P77" s="627">
        <f t="array" ref="P77">IFERROR(INDEX(Analytica!$F$17:$AS$49,MATCH(TRP!$B77,Analytica!$B$17:$B$49,0),MATCH(TRP!P$59&amp;TRP!P$57,Analytica!$F$16:$AR$16&amp;Analytica!$F$13:$AR$13,0)),"")</f>
        <v>253.885003628612</v>
      </c>
      <c r="Q77" s="627">
        <f t="array" ref="Q77">IFERROR(INDEX(Analytica!$F$17:$AS$49,MATCH(TRP!$B77,Analytica!$B$17:$B$49,0),MATCH(TRP!Q$59&amp;TRP!Q$57,Analytica!$F$16:$AR$16&amp;Analytica!$F$13:$AR$13,0)),"")</f>
        <v>223.81698991359701</v>
      </c>
      <c r="R77" s="627">
        <f t="array" ref="R77">IFERROR(INDEX(Analytica!$F$17:$AS$49,MATCH(TRP!$B77,Analytica!$B$17:$B$49,0),MATCH(TRP!R$59&amp;TRP!R$57,Analytica!$F$16:$AR$16&amp;Analytica!$F$13:$AR$13,0)),"")</f>
        <v>136.09445444360699</v>
      </c>
      <c r="S77" s="627">
        <f t="array" ref="S77">IFERROR(INDEX(Analytica!$F$17:$AS$49,MATCH(TRP!$B77,Analytica!$B$17:$B$49,0),MATCH(TRP!S$59&amp;TRP!S$57,Analytica!$F$16:$AR$16&amp;Analytica!$F$13:$AR$13,0)),"")</f>
        <v>0</v>
      </c>
      <c r="T77" s="627">
        <f t="array" ref="T77">IFERROR(INDEX(Analytica!$F$17:$AS$49,MATCH(TRP!$B77,Analytica!$B$17:$B$49,0),MATCH(TRP!T$59&amp;TRP!T$57,Analytica!$F$16:$AR$16&amp;Analytica!$F$13:$AR$13,0)),"")</f>
        <v>0</v>
      </c>
      <c r="U77" s="610">
        <v>3</v>
      </c>
      <c r="V77" s="610">
        <v>0</v>
      </c>
      <c r="W77" s="614">
        <f>SUMIF(Analytica!$B$17:$B$41,TRP!$B77,Analytica!$AV$17:$AV$41)</f>
        <v>75.042085398328496</v>
      </c>
      <c r="X77" s="610">
        <f>SUMIF(Analytica!$B$17:$B$41,$B77,Analytica!AN$17:AN$41)</f>
        <v>25.31</v>
      </c>
      <c r="Y77" s="619">
        <f>X77*E77</f>
        <v>5.0812544886530508</v>
      </c>
      <c r="Z77" s="619">
        <f>J77*O77*P77</f>
        <v>5.0805812785700475</v>
      </c>
      <c r="AA77" s="1">
        <f t="shared" si="4"/>
        <v>13</v>
      </c>
      <c r="AB77" s="1">
        <f t="shared" si="5"/>
        <v>1.3248895218820333E-4</v>
      </c>
      <c r="AC77"/>
      <c r="AD77" s="610"/>
      <c r="AE77" s="625"/>
      <c r="AF77" s="1"/>
    </row>
    <row r="78" spans="1:32" x14ac:dyDescent="0.25">
      <c r="A78" s="607" t="s">
        <v>1017</v>
      </c>
      <c r="B78" s="191"/>
      <c r="C78" s="612"/>
      <c r="D78" s="612"/>
      <c r="E78" s="627" t="str">
        <f t="array" ref="E78">IFERROR(INDEX(Analytica!$F$17:$AS$49,MATCH(TRP!$B78,Analytica!$B$17:$B$49,0),MATCH(TRP!E$59&amp;TRP!E$57,Analytica!$F$16:$AR$16&amp;Analytica!$F$13:$AR$13,0)),"")</f>
        <v/>
      </c>
      <c r="F78" s="627" t="str">
        <f t="array" ref="F78">IFERROR(INDEX(Analytica!$F$17:$AS$49,MATCH(TRP!$B78,Analytica!$B$17:$B$49,0),MATCH(TRP!F$59&amp;TRP!F$57,Analytica!$F$16:$AR$16&amp;Analytica!$F$13:$AR$13,0)),"")</f>
        <v/>
      </c>
      <c r="G78" s="627" t="str">
        <f t="array" ref="G78">IFERROR(INDEX(Analytica!$F$17:$AS$49,MATCH(TRP!$B78,Analytica!$B$17:$B$49,0),MATCH(TRP!G$59&amp;TRP!G$57,Analytica!$F$16:$AR$16&amp;Analytica!$F$13:$AR$13,0)),"")</f>
        <v/>
      </c>
      <c r="H78" s="627" t="str">
        <f t="array" ref="H78">IFERROR(INDEX(Analytica!$F$17:$AS$49,MATCH(TRP!$B78,Analytica!$B$17:$B$49,0),MATCH(TRP!H$59&amp;TRP!H$57,Analytica!$F$16:$AR$16&amp;Analytica!$F$13:$AR$13,0)),"")</f>
        <v/>
      </c>
      <c r="I78" s="627" t="str">
        <f t="array" ref="I78">IFERROR(INDEX(Analytica!$F$17:$AS$49,MATCH(TRP!$B78,Analytica!$B$17:$B$49,0),MATCH(TRP!I$59&amp;TRP!I$57,Analytica!$F$16:$AR$16&amp;Analytica!$F$13:$AR$13,0)),"")</f>
        <v/>
      </c>
      <c r="J78" s="627" t="str">
        <f t="array" ref="J78">IFERROR(INDEX(Analytica!$F$17:$AS$49,MATCH(TRP!$B78,Analytica!$B$17:$B$49,0),MATCH(TRP!J$59&amp;TRP!J$57,Analytica!$F$16:$AR$16&amp;Analytica!$F$13:$AR$13,0)),"")</f>
        <v/>
      </c>
      <c r="K78" s="627" t="str">
        <f t="array" ref="K78">IFERROR(INDEX(Analytica!$F$17:$AS$49,MATCH(TRP!$B78,Analytica!$B$17:$B$49,0),MATCH(TRP!K$59&amp;TRP!K$57,Analytica!$F$16:$AR$16&amp;Analytica!$F$13:$AR$13,0)),"")</f>
        <v/>
      </c>
      <c r="L78" s="627" t="str">
        <f t="array" ref="L78">IFERROR(INDEX(Analytica!$F$17:$AS$49,MATCH(TRP!$B78,Analytica!$B$17:$B$49,0),MATCH(TRP!L$59&amp;TRP!L$57,Analytica!$F$16:$AR$16&amp;Analytica!$F$13:$AR$13,0)),"")</f>
        <v/>
      </c>
      <c r="M78" s="627" t="str">
        <f t="array" ref="M78">IFERROR(INDEX(Analytica!$F$17:$AS$49,MATCH(TRP!$B78,Analytica!$B$17:$B$49,0),MATCH(TRP!M$59&amp;TRP!M$57,Analytica!$F$16:$AR$16&amp;Analytica!$F$13:$AR$13,0)),"")</f>
        <v/>
      </c>
      <c r="N78" s="627" t="str">
        <f t="array" ref="N78">IFERROR(INDEX(Analytica!$F$17:$AS$49,MATCH(TRP!$B78,Analytica!$B$17:$B$49,0),MATCH(TRP!N$59&amp;TRP!N$57,Analytica!$F$16:$AR$16&amp;Analytica!$F$13:$AR$13,0)),"")</f>
        <v/>
      </c>
      <c r="O78" s="627" t="str">
        <f t="array" ref="O78">IFERROR(INDEX(Analytica!$F$17:$AS$49,MATCH(TRP!$B78,Analytica!$B$17:$B$49,0),MATCH(TRP!O$59&amp;TRP!O$57,Analytica!$F$16:$AR$16&amp;Analytica!$F$13:$AR$13,0)),"")</f>
        <v/>
      </c>
      <c r="P78" s="627" t="str">
        <f t="array" ref="P78">IFERROR(INDEX(Analytica!$F$17:$AS$49,MATCH(TRP!$B78,Analytica!$B$17:$B$49,0),MATCH(TRP!P$59&amp;TRP!P$57,Analytica!$F$16:$AR$16&amp;Analytica!$F$13:$AR$13,0)),"")</f>
        <v/>
      </c>
      <c r="Q78" s="627" t="str">
        <f t="array" ref="Q78">IFERROR(INDEX(Analytica!$F$17:$AS$49,MATCH(TRP!$B78,Analytica!$B$17:$B$49,0),MATCH(TRP!Q$59&amp;TRP!Q$57,Analytica!$F$16:$AR$16&amp;Analytica!$F$13:$AR$13,0)),"")</f>
        <v/>
      </c>
      <c r="R78" s="627" t="str">
        <f t="array" ref="R78">IFERROR(INDEX(Analytica!$F$17:$AS$49,MATCH(TRP!$B78,Analytica!$B$17:$B$49,0),MATCH(TRP!R$59&amp;TRP!R$57,Analytica!$F$16:$AR$16&amp;Analytica!$F$13:$AR$13,0)),"")</f>
        <v/>
      </c>
      <c r="S78" s="627" t="str">
        <f t="array" ref="S78">IFERROR(INDEX(Analytica!$F$17:$AS$49,MATCH(TRP!$B78,Analytica!$B$17:$B$49,0),MATCH(TRP!S$59&amp;TRP!S$57,Analytica!$F$16:$AR$16&amp;Analytica!$F$13:$AR$13,0)),"")</f>
        <v/>
      </c>
      <c r="T78" s="627" t="str">
        <f t="array" ref="T78">IFERROR(INDEX(Analytica!$F$17:$AS$49,MATCH(TRP!$B78,Analytica!$B$17:$B$49,0),MATCH(TRP!T$59&amp;TRP!T$57,Analytica!$F$16:$AR$16&amp;Analytica!$F$13:$AR$13,0)),"")</f>
        <v/>
      </c>
      <c r="U78" s="613"/>
      <c r="V78" s="613"/>
      <c r="W78" s="614"/>
      <c r="X78" s="613"/>
      <c r="Y78" s="624">
        <f>Y77+Y76</f>
        <v>7.2136872534187368</v>
      </c>
      <c r="Z78" s="631"/>
      <c r="AA78" s="1">
        <f t="shared" si="4"/>
        <v>14</v>
      </c>
      <c r="AC78"/>
      <c r="AD78" s="613"/>
      <c r="AE78" s="625"/>
      <c r="AF78" s="1"/>
    </row>
    <row r="79" spans="1:32" x14ac:dyDescent="0.25">
      <c r="A79" s="191" t="str">
        <f>A$27&amp;" "&amp;TRP!E$19&amp;"-E"</f>
        <v>Transport Passenger Metro Rail Electricity-E</v>
      </c>
      <c r="B79" s="191" t="str">
        <f>D79&amp;RIGHT(C79,3)&amp;"-E"</f>
        <v>TPPUMERELC-E</v>
      </c>
      <c r="C79" s="612" t="str">
        <f>$E$6</f>
        <v>TRAELC</v>
      </c>
      <c r="D79" s="612" t="str">
        <f>$B$27</f>
        <v>TPPUMER</v>
      </c>
      <c r="E79" s="632">
        <v>3.858057479967961</v>
      </c>
      <c r="F79" s="627">
        <v>1</v>
      </c>
      <c r="G79" s="627">
        <f>F79</f>
        <v>1</v>
      </c>
      <c r="H79" s="627">
        <f>G79</f>
        <v>1</v>
      </c>
      <c r="I79" s="627">
        <f>H79</f>
        <v>1</v>
      </c>
      <c r="J79" s="627">
        <f t="array" ref="J79">IFERROR(INDEX(Analytica!$F$17:$AS$49,MATCH(TRP!$B79,Analytica!$B$17:$B$49,0),MATCH(TRP!J$59&amp;TRP!J$57,Analytica!$F$16:$AR$16&amp;Analytica!$F$13:$AR$13,0)),"")</f>
        <v>0</v>
      </c>
      <c r="K79" s="627">
        <f t="array" ref="K79">IFERROR(INDEX(Analytica!$F$17:$AS$49,MATCH(TRP!$B79,Analytica!$B$17:$B$49,0),MATCH(TRP!K$59&amp;TRP!K$57,Analytica!$F$16:$AR$16&amp;Analytica!$F$13:$AR$13,0)),"")</f>
        <v>1</v>
      </c>
      <c r="L79" s="627">
        <f t="array" ref="L79">IFERROR(INDEX(Analytica!$F$17:$AS$49,MATCH(TRP!$B79,Analytica!$B$17:$B$49,0),MATCH(TRP!L$59&amp;TRP!L$57,Analytica!$F$16:$AR$16&amp;Analytica!$F$13:$AR$13,0)),"")</f>
        <v>1</v>
      </c>
      <c r="M79" s="627">
        <f t="array" ref="M79">IFERROR(INDEX(Analytica!$F$17:$AS$49,MATCH(TRP!$B79,Analytica!$B$17:$B$49,0),MATCH(TRP!M$59&amp;TRP!M$57,Analytica!$F$16:$AR$16&amp;Analytica!$F$13:$AR$13,0)),"")</f>
        <v>1</v>
      </c>
      <c r="N79" s="627">
        <f t="array" ref="N79">IFERROR(INDEX(Analytica!$F$17:$AS$49,MATCH(TRP!$B79,Analytica!$B$17:$B$49,0),MATCH(TRP!N$59&amp;TRP!N$57,Analytica!$F$16:$AR$16&amp;Analytica!$F$13:$AR$13,0)),"")</f>
        <v>1</v>
      </c>
      <c r="O79" s="627">
        <f t="array" ref="O79">IFERROR(INDEX(Analytica!$F$17:$AS$49,MATCH(TRP!$B79,Analytica!$B$17:$B$49,0),MATCH(TRP!O$59&amp;TRP!O$57,Analytica!$F$16:$AR$16&amp;Analytica!$F$13:$AR$13,0)),"")</f>
        <v>1</v>
      </c>
      <c r="P79" s="627">
        <f t="array" ref="P79">IFERROR(INDEX(Analytica!$F$17:$AS$49,MATCH(TRP!$B79,Analytica!$B$17:$B$49,0),MATCH(TRP!P$59&amp;TRP!P$57,Analytica!$F$16:$AR$16&amp;Analytica!$F$13:$AR$13,0)),"")</f>
        <v>15.8</v>
      </c>
      <c r="Q79" s="627">
        <f t="array" ref="Q79">IFERROR(INDEX(Analytica!$F$17:$AS$49,MATCH(TRP!$B79,Analytica!$B$17:$B$49,0),MATCH(TRP!Q$59&amp;TRP!Q$57,Analytica!$F$16:$AR$16&amp;Analytica!$F$13:$AR$13,0)),"")</f>
        <v>15.8</v>
      </c>
      <c r="R79" s="627">
        <f t="array" ref="R79">IFERROR(INDEX(Analytica!$F$17:$AS$49,MATCH(TRP!$B79,Analytica!$B$17:$B$49,0),MATCH(TRP!R$59&amp;TRP!R$57,Analytica!$F$16:$AR$16&amp;Analytica!$F$13:$AR$13,0)),"")</f>
        <v>12.64</v>
      </c>
      <c r="S79" s="627">
        <f t="array" ref="S79">IFERROR(INDEX(Analytica!$F$17:$AS$49,MATCH(TRP!$B79,Analytica!$B$17:$B$49,0),MATCH(TRP!S$59&amp;TRP!S$57,Analytica!$F$16:$AR$16&amp;Analytica!$F$13:$AR$13,0)),"")</f>
        <v>0</v>
      </c>
      <c r="T79" s="627">
        <f t="array" ref="T79">IFERROR(INDEX(Analytica!$F$17:$AS$49,MATCH(TRP!$B79,Analytica!$B$17:$B$49,0),MATCH(TRP!T$59&amp;TRP!T$57,Analytica!$F$16:$AR$16&amp;Analytica!$F$13:$AR$13,0)),"")</f>
        <v>0</v>
      </c>
      <c r="U79" s="610">
        <v>3</v>
      </c>
      <c r="V79" s="610">
        <v>0</v>
      </c>
      <c r="W79" s="614">
        <v>1</v>
      </c>
      <c r="X79" s="610">
        <f>E27</f>
        <v>2.2562732159999994</v>
      </c>
      <c r="Y79" s="619">
        <f>X79*E79</f>
        <v>8.7048317578401644</v>
      </c>
      <c r="Z79" s="619">
        <f>Calib_2017!L73</f>
        <v>8.7048317578401644</v>
      </c>
      <c r="AA79" s="1">
        <f t="shared" si="4"/>
        <v>15</v>
      </c>
      <c r="AB79" s="1">
        <f t="shared" si="5"/>
        <v>0</v>
      </c>
      <c r="AC79"/>
      <c r="AD79" s="610"/>
      <c r="AE79" s="625"/>
      <c r="AF79" s="1"/>
    </row>
    <row r="80" spans="1:32" x14ac:dyDescent="0.25">
      <c r="A80" s="191" t="s">
        <v>1013</v>
      </c>
      <c r="B80" s="191"/>
      <c r="C80" s="612"/>
      <c r="D80" s="612"/>
      <c r="E80" s="627" t="str">
        <f t="array" ref="E80">IFERROR(INDEX(Analytica!$F$17:$AS$49,MATCH(TRP!$B80,Analytica!$B$17:$B$49,0),MATCH(TRP!E$59&amp;TRP!E$57,Analytica!$F$16:$AR$16&amp;Analytica!$F$13:$AR$13,0)),"")</f>
        <v/>
      </c>
      <c r="F80" s="627" t="str">
        <f t="array" ref="F80">IFERROR(INDEX(Analytica!$F$17:$AS$49,MATCH(TRP!$B80,Analytica!$B$17:$B$49,0),MATCH(TRP!F$59&amp;TRP!F$57,Analytica!$F$16:$AR$16&amp;Analytica!$F$13:$AR$13,0)),"")</f>
        <v/>
      </c>
      <c r="G80" s="627" t="str">
        <f t="array" ref="G80">IFERROR(INDEX(Analytica!$F$17:$AS$49,MATCH(TRP!$B80,Analytica!$B$17:$B$49,0),MATCH(TRP!G$59&amp;TRP!G$57,Analytica!$F$16:$AR$16&amp;Analytica!$F$13:$AR$13,0)),"")</f>
        <v/>
      </c>
      <c r="H80" s="627" t="str">
        <f t="array" ref="H80">IFERROR(INDEX(Analytica!$F$17:$AS$49,MATCH(TRP!$B80,Analytica!$B$17:$B$49,0),MATCH(TRP!H$59&amp;TRP!H$57,Analytica!$F$16:$AR$16&amp;Analytica!$F$13:$AR$13,0)),"")</f>
        <v/>
      </c>
      <c r="I80" s="627" t="str">
        <f t="array" ref="I80">IFERROR(INDEX(Analytica!$F$17:$AS$49,MATCH(TRP!$B80,Analytica!$B$17:$B$49,0),MATCH(TRP!I$59&amp;TRP!I$57,Analytica!$F$16:$AR$16&amp;Analytica!$F$13:$AR$13,0)),"")</f>
        <v/>
      </c>
      <c r="J80" s="627" t="str">
        <f t="array" ref="J80">IFERROR(INDEX(Analytica!$F$17:$AS$49,MATCH(TRP!$B80,Analytica!$B$17:$B$49,0),MATCH(TRP!J$59&amp;TRP!J$57,Analytica!$F$16:$AR$16&amp;Analytica!$F$13:$AR$13,0)),"")</f>
        <v/>
      </c>
      <c r="K80" s="627" t="str">
        <f t="array" ref="K80">IFERROR(INDEX(Analytica!$F$17:$AS$49,MATCH(TRP!$B80,Analytica!$B$17:$B$49,0),MATCH(TRP!K$59&amp;TRP!K$57,Analytica!$F$16:$AR$16&amp;Analytica!$F$13:$AR$13,0)),"")</f>
        <v/>
      </c>
      <c r="L80" s="627" t="str">
        <f t="array" ref="L80">IFERROR(INDEX(Analytica!$F$17:$AS$49,MATCH(TRP!$B80,Analytica!$B$17:$B$49,0),MATCH(TRP!L$59&amp;TRP!L$57,Analytica!$F$16:$AR$16&amp;Analytica!$F$13:$AR$13,0)),"")</f>
        <v/>
      </c>
      <c r="M80" s="627" t="str">
        <f t="array" ref="M80">IFERROR(INDEX(Analytica!$F$17:$AS$49,MATCH(TRP!$B80,Analytica!$B$17:$B$49,0),MATCH(TRP!M$59&amp;TRP!M$57,Analytica!$F$16:$AR$16&amp;Analytica!$F$13:$AR$13,0)),"")</f>
        <v/>
      </c>
      <c r="N80" s="627" t="str">
        <f t="array" ref="N80">IFERROR(INDEX(Analytica!$F$17:$AS$49,MATCH(TRP!$B80,Analytica!$B$17:$B$49,0),MATCH(TRP!N$59&amp;TRP!N$57,Analytica!$F$16:$AR$16&amp;Analytica!$F$13:$AR$13,0)),"")</f>
        <v/>
      </c>
      <c r="O80" s="627" t="str">
        <f t="array" ref="O80">IFERROR(INDEX(Analytica!$F$17:$AS$49,MATCH(TRP!$B80,Analytica!$B$17:$B$49,0),MATCH(TRP!O$59&amp;TRP!O$57,Analytica!$F$16:$AR$16&amp;Analytica!$F$13:$AR$13,0)),"")</f>
        <v/>
      </c>
      <c r="P80" s="627" t="str">
        <f t="array" ref="P80">IFERROR(INDEX(Analytica!$F$17:$AS$49,MATCH(TRP!$B80,Analytica!$B$17:$B$49,0),MATCH(TRP!P$59&amp;TRP!P$57,Analytica!$F$16:$AR$16&amp;Analytica!$F$13:$AR$13,0)),"")</f>
        <v/>
      </c>
      <c r="Q80" s="627" t="str">
        <f t="array" ref="Q80">IFERROR(INDEX(Analytica!$F$17:$AS$49,MATCH(TRP!$B80,Analytica!$B$17:$B$49,0),MATCH(TRP!Q$59&amp;TRP!Q$57,Analytica!$F$16:$AR$16&amp;Analytica!$F$13:$AR$13,0)),"")</f>
        <v/>
      </c>
      <c r="R80" s="627" t="str">
        <f t="array" ref="R80">IFERROR(INDEX(Analytica!$F$17:$AS$49,MATCH(TRP!$B80,Analytica!$B$17:$B$49,0),MATCH(TRP!R$59&amp;TRP!R$57,Analytica!$F$16:$AR$16&amp;Analytica!$F$13:$AR$13,0)),"")</f>
        <v/>
      </c>
      <c r="S80" s="627" t="str">
        <f t="array" ref="S80">IFERROR(INDEX(Analytica!$F$17:$AS$49,MATCH(TRP!$B80,Analytica!$B$17:$B$49,0),MATCH(TRP!S$59&amp;TRP!S$57,Analytica!$F$16:$AR$16&amp;Analytica!$F$13:$AR$13,0)),"")</f>
        <v/>
      </c>
      <c r="T80" s="627" t="str">
        <f t="array" ref="T80">IFERROR(INDEX(Analytica!$F$17:$AS$49,MATCH(TRP!$B80,Analytica!$B$17:$B$49,0),MATCH(TRP!T$59&amp;TRP!T$57,Analytica!$F$16:$AR$16&amp;Analytica!$F$13:$AR$13,0)),"")</f>
        <v/>
      </c>
      <c r="U80" s="610"/>
      <c r="V80" s="610"/>
      <c r="W80" s="614"/>
      <c r="X80" s="610"/>
      <c r="Y80" s="619"/>
      <c r="Z80" s="619"/>
      <c r="AA80" s="1">
        <f t="shared" si="4"/>
        <v>16</v>
      </c>
      <c r="AC80"/>
      <c r="AD80" s="610"/>
      <c r="AE80" s="625"/>
      <c r="AF80" s="1"/>
    </row>
    <row r="81" spans="1:33" x14ac:dyDescent="0.25">
      <c r="A81" s="623" t="s">
        <v>1016</v>
      </c>
      <c r="B81" s="191"/>
      <c r="C81" s="609"/>
      <c r="D81" s="609"/>
      <c r="E81" s="627" t="str">
        <f t="array" ref="E81">IFERROR(INDEX(Analytica!$F$17:$AS$49,MATCH(TRP!$B81,Analytica!$B$17:$B$49,0),MATCH(TRP!E$59&amp;TRP!E$57,Analytica!$F$16:$AR$16&amp;Analytica!$F$13:$AR$13,0)),"")</f>
        <v/>
      </c>
      <c r="F81" s="627" t="str">
        <f t="array" ref="F81">IFERROR(INDEX(Analytica!$F$17:$AS$49,MATCH(TRP!$B81,Analytica!$B$17:$B$49,0),MATCH(TRP!F$59&amp;TRP!F$57,Analytica!$F$16:$AR$16&amp;Analytica!$F$13:$AR$13,0)),"")</f>
        <v/>
      </c>
      <c r="G81" s="627" t="str">
        <f t="array" ref="G81">IFERROR(INDEX(Analytica!$F$17:$AS$49,MATCH(TRP!$B81,Analytica!$B$17:$B$49,0),MATCH(TRP!G$59&amp;TRP!G$57,Analytica!$F$16:$AR$16&amp;Analytica!$F$13:$AR$13,0)),"")</f>
        <v/>
      </c>
      <c r="H81" s="627" t="str">
        <f t="array" ref="H81">IFERROR(INDEX(Analytica!$F$17:$AS$49,MATCH(TRP!$B81,Analytica!$B$17:$B$49,0),MATCH(TRP!H$59&amp;TRP!H$57,Analytica!$F$16:$AR$16&amp;Analytica!$F$13:$AR$13,0)),"")</f>
        <v/>
      </c>
      <c r="I81" s="627" t="str">
        <f t="array" ref="I81">IFERROR(INDEX(Analytica!$F$17:$AS$49,MATCH(TRP!$B81,Analytica!$B$17:$B$49,0),MATCH(TRP!I$59&amp;TRP!I$57,Analytica!$F$16:$AR$16&amp;Analytica!$F$13:$AR$13,0)),"")</f>
        <v/>
      </c>
      <c r="J81" s="627" t="str">
        <f t="array" ref="J81">IFERROR(INDEX(Analytica!$F$17:$AS$49,MATCH(TRP!$B81,Analytica!$B$17:$B$49,0),MATCH(TRP!J$59&amp;TRP!J$57,Analytica!$F$16:$AR$16&amp;Analytica!$F$13:$AR$13,0)),"")</f>
        <v/>
      </c>
      <c r="K81" s="627" t="str">
        <f t="array" ref="K81">IFERROR(INDEX(Analytica!$F$17:$AS$49,MATCH(TRP!$B81,Analytica!$B$17:$B$49,0),MATCH(TRP!K$59&amp;TRP!K$57,Analytica!$F$16:$AR$16&amp;Analytica!$F$13:$AR$13,0)),"")</f>
        <v/>
      </c>
      <c r="L81" s="627" t="str">
        <f t="array" ref="L81">IFERROR(INDEX(Analytica!$F$17:$AS$49,MATCH(TRP!$B81,Analytica!$B$17:$B$49,0),MATCH(TRP!L$59&amp;TRP!L$57,Analytica!$F$16:$AR$16&amp;Analytica!$F$13:$AR$13,0)),"")</f>
        <v/>
      </c>
      <c r="M81" s="627" t="str">
        <f t="array" ref="M81">IFERROR(INDEX(Analytica!$F$17:$AS$49,MATCH(TRP!$B81,Analytica!$B$17:$B$49,0),MATCH(TRP!M$59&amp;TRP!M$57,Analytica!$F$16:$AR$16&amp;Analytica!$F$13:$AR$13,0)),"")</f>
        <v/>
      </c>
      <c r="N81" s="627" t="str">
        <f t="array" ref="N81">IFERROR(INDEX(Analytica!$F$17:$AS$49,MATCH(TRP!$B81,Analytica!$B$17:$B$49,0),MATCH(TRP!N$59&amp;TRP!N$57,Analytica!$F$16:$AR$16&amp;Analytica!$F$13:$AR$13,0)),"")</f>
        <v/>
      </c>
      <c r="O81" s="627" t="str">
        <f t="array" ref="O81">IFERROR(INDEX(Analytica!$F$17:$AS$49,MATCH(TRP!$B81,Analytica!$B$17:$B$49,0),MATCH(TRP!O$59&amp;TRP!O$57,Analytica!$F$16:$AR$16&amp;Analytica!$F$13:$AR$13,0)),"")</f>
        <v/>
      </c>
      <c r="P81" s="627" t="str">
        <f t="array" ref="P81">IFERROR(INDEX(Analytica!$F$17:$AS$49,MATCH(TRP!$B81,Analytica!$B$17:$B$49,0),MATCH(TRP!P$59&amp;TRP!P$57,Analytica!$F$16:$AR$16&amp;Analytica!$F$13:$AR$13,0)),"")</f>
        <v/>
      </c>
      <c r="Q81" s="627" t="str">
        <f t="array" ref="Q81">IFERROR(INDEX(Analytica!$F$17:$AS$49,MATCH(TRP!$B81,Analytica!$B$17:$B$49,0),MATCH(TRP!Q$59&amp;TRP!Q$57,Analytica!$F$16:$AR$16&amp;Analytica!$F$13:$AR$13,0)),"")</f>
        <v/>
      </c>
      <c r="R81" s="627" t="str">
        <f t="array" ref="R81">IFERROR(INDEX(Analytica!$F$17:$AS$49,MATCH(TRP!$B81,Analytica!$B$17:$B$49,0),MATCH(TRP!R$59&amp;TRP!R$57,Analytica!$F$16:$AR$16&amp;Analytica!$F$13:$AR$13,0)),"")</f>
        <v/>
      </c>
      <c r="S81" s="627" t="str">
        <f t="array" ref="S81">IFERROR(INDEX(Analytica!$F$17:$AS$49,MATCH(TRP!$B81,Analytica!$B$17:$B$49,0),MATCH(TRP!S$59&amp;TRP!S$57,Analytica!$F$16:$AR$16&amp;Analytica!$F$13:$AR$13,0)),"")</f>
        <v/>
      </c>
      <c r="T81" s="627" t="str">
        <f t="array" ref="T81">IFERROR(INDEX(Analytica!$F$17:$AS$49,MATCH(TRP!$B81,Analytica!$B$17:$B$49,0),MATCH(TRP!T$59&amp;TRP!T$57,Analytica!$F$16:$AR$16&amp;Analytica!$F$13:$AR$13,0)),"")</f>
        <v/>
      </c>
      <c r="U81" s="622"/>
      <c r="V81" s="622"/>
      <c r="W81" s="621"/>
      <c r="X81" s="621"/>
      <c r="Y81" s="631"/>
      <c r="Z81" s="631"/>
      <c r="AA81" s="1">
        <f t="shared" si="4"/>
        <v>17</v>
      </c>
      <c r="AC81"/>
      <c r="AD81" s="621"/>
      <c r="AE81" s="625"/>
      <c r="AF81" s="1"/>
    </row>
    <row r="82" spans="1:33" x14ac:dyDescent="0.25">
      <c r="A82" s="191" t="str">
        <f>A$31&amp;" "&amp;TRP!D$19&amp;"-E"</f>
        <v>Transport Freight - LCV Oil Diesel-E</v>
      </c>
      <c r="B82" s="191" t="str">
        <f>D82&amp;RIGHT(C82,3)&amp;"-E"</f>
        <v>TFLCVODS-E</v>
      </c>
      <c r="C82" s="612" t="str">
        <f>$D$6</f>
        <v>TRAODS</v>
      </c>
      <c r="D82" s="612" t="str">
        <f>$B$31</f>
        <v>TFLCV</v>
      </c>
      <c r="E82" s="627">
        <f t="array" ref="E82">IFERROR(INDEX(Analytica!$F$17:$AS$49,MATCH(TRP!$B82,Analytica!$B$17:$B$49,0),MATCH(TRP!E$59&amp;TRP!E$57,Analytica!$F$16:$AR$16&amp;Analytica!$F$13:$AR$13,0)),"")</f>
        <v>0.23594563867169499</v>
      </c>
      <c r="F82" s="627">
        <f t="array" ref="F82">IFERROR(INDEX(Analytica!$F$17:$AS$49,MATCH(TRP!$B82,Analytica!$B$17:$B$49,0),MATCH(TRP!F$59&amp;TRP!F$57,Analytica!$F$16:$AR$16&amp;Analytica!$F$13:$AR$13,0)),"")</f>
        <v>0.236416891901715</v>
      </c>
      <c r="G82" s="627">
        <f t="array" ref="G82">IFERROR(INDEX(Analytica!$F$17:$AS$49,MATCH(TRP!$B82,Analytica!$B$17:$B$49,0),MATCH(TRP!G$59&amp;TRP!G$57,Analytica!$F$16:$AR$16&amp;Analytica!$F$13:$AR$13,0)),"")</f>
        <v>0.237476755649043</v>
      </c>
      <c r="H82" s="627">
        <f t="array" ref="H82">IFERROR(INDEX(Analytica!$F$17:$AS$49,MATCH(TRP!$B82,Analytica!$B$17:$B$49,0),MATCH(TRP!H$59&amp;TRP!H$57,Analytica!$F$16:$AR$16&amp;Analytica!$F$13:$AR$13,0)),"")</f>
        <v>0.23820734864530901</v>
      </c>
      <c r="I82" s="630">
        <f t="array" ref="I82">IFERROR(INDEX(Analytica!$F$17:$AS$49,MATCH(TRP!$B82,Analytica!$B$17:$B$49,0),MATCH(TRP!I$59&amp;TRP!I$57,Analytica!$F$16:$AR$16&amp;Analytica!$F$13:$AR$13,0)),"")</f>
        <v>0.238773147737598</v>
      </c>
      <c r="J82" s="627">
        <f t="array" ref="J82">IFERROR(INDEX(Analytica!$F$17:$AS$49,MATCH(TRP!$B82,Analytica!$B$17:$B$49,0),MATCH(TRP!J$59&amp;TRP!J$57,Analytica!$F$16:$AR$16&amp;Analytica!$F$13:$AR$13,0)),"")</f>
        <v>0.61072362441792005</v>
      </c>
      <c r="K82" s="627">
        <f t="array" ref="K82">IFERROR(INDEX(Analytica!$F$17:$AS$49,MATCH(TRP!$B82,Analytica!$B$17:$B$49,0),MATCH(TRP!K$59&amp;TRP!K$57,Analytica!$F$16:$AR$16&amp;Analytica!$F$13:$AR$13,0)),"")</f>
        <v>0.49702259134711502</v>
      </c>
      <c r="L82" s="627">
        <f t="array" ref="L82">IFERROR(INDEX(Analytica!$F$17:$AS$49,MATCH(TRP!$B82,Analytica!$B$17:$B$49,0),MATCH(TRP!L$59&amp;TRP!L$57,Analytica!$F$16:$AR$16&amp;Analytica!$F$13:$AR$13,0)),"")</f>
        <v>0.245271759217078</v>
      </c>
      <c r="M82" s="627">
        <f t="array" ref="M82">IFERROR(INDEX(Analytica!$F$17:$AS$49,MATCH(TRP!$B82,Analytica!$B$17:$B$49,0),MATCH(TRP!M$59&amp;TRP!M$57,Analytica!$F$16:$AR$16&amp;Analytica!$F$13:$AR$13,0)),"")</f>
        <v>0.11943096485546</v>
      </c>
      <c r="N82" s="627">
        <f t="array" ref="N82">IFERROR(INDEX(Analytica!$F$17:$AS$49,MATCH(TRP!$B82,Analytica!$B$17:$B$49,0),MATCH(TRP!N$59&amp;TRP!N$57,Analytica!$F$16:$AR$16&amp;Analytica!$F$13:$AR$13,0)),"")</f>
        <v>5.7755469331756251E-2</v>
      </c>
      <c r="O82" s="627">
        <f t="array" ref="O82">IFERROR(INDEX(Analytica!$F$17:$AS$49,MATCH(TRP!$B82,Analytica!$B$17:$B$49,0),MATCH(TRP!O$59&amp;TRP!O$57,Analytica!$F$16:$AR$16&amp;Analytica!$F$13:$AR$13,0)),"")</f>
        <v>0.04</v>
      </c>
      <c r="P82" s="627">
        <f t="array" ref="P82">IFERROR(INDEX(Analytica!$F$17:$AS$49,MATCH(TRP!$B82,Analytica!$B$17:$B$49,0),MATCH(TRP!P$59&amp;TRP!P$57,Analytica!$F$16:$AR$16&amp;Analytica!$F$13:$AR$13,0)),"")</f>
        <v>1151.5302002553699</v>
      </c>
      <c r="Q82" s="627">
        <f t="array" ref="Q82">IFERROR(INDEX(Analytica!$F$17:$AS$49,MATCH(TRP!$B82,Analytica!$B$17:$B$49,0),MATCH(TRP!Q$59&amp;TRP!Q$57,Analytica!$F$16:$AR$16&amp;Analytica!$F$13:$AR$13,0)),"")</f>
        <v>1024.6176041897099</v>
      </c>
      <c r="R82" s="627">
        <f t="array" ref="R82">IFERROR(INDEX(Analytica!$F$17:$AS$49,MATCH(TRP!$B82,Analytica!$B$17:$B$49,0),MATCH(TRP!R$59&amp;TRP!R$57,Analytica!$F$16:$AR$16&amp;Analytica!$F$13:$AR$13,0)),"")</f>
        <v>609.23289367381597</v>
      </c>
      <c r="S82" s="627">
        <f t="array" ref="S82">IFERROR(INDEX(Analytica!$F$17:$AS$49,MATCH(TRP!$B82,Analytica!$B$17:$B$49,0),MATCH(TRP!S$59&amp;TRP!S$57,Analytica!$F$16:$AR$16&amp;Analytica!$F$13:$AR$13,0)),"")</f>
        <v>0</v>
      </c>
      <c r="T82" s="627">
        <f t="array" ref="T82">IFERROR(INDEX(Analytica!$F$17:$AS$49,MATCH(TRP!$B82,Analytica!$B$17:$B$49,0),MATCH(TRP!T$59&amp;TRP!T$57,Analytica!$F$16:$AR$16&amp;Analytica!$F$13:$AR$13,0)),"")</f>
        <v>0</v>
      </c>
      <c r="U82" s="610">
        <v>3</v>
      </c>
      <c r="V82" s="610">
        <v>0</v>
      </c>
      <c r="W82" s="614">
        <f>SUMIF(Analytica!$B$17:$B$41,TRP!$B82,Analytica!$AV$17:$AV$41)</f>
        <v>311.45806994273602</v>
      </c>
      <c r="X82" s="610">
        <f>SUMIF(Analytica!$B$17:$B$41,$B82,Analytica!AN$17:AN$41)</f>
        <v>119.2</v>
      </c>
      <c r="Y82" s="619">
        <f>X82*E82</f>
        <v>28.124720129666045</v>
      </c>
      <c r="Z82" s="619">
        <f>J82*O82*P82</f>
        <v>28.130667901066111</v>
      </c>
      <c r="AA82" s="1">
        <f t="shared" si="4"/>
        <v>18</v>
      </c>
      <c r="AB82" s="1">
        <f t="shared" si="5"/>
        <v>2.1147842085689206E-4</v>
      </c>
      <c r="AC82"/>
      <c r="AD82" s="610"/>
      <c r="AE82" s="625"/>
      <c r="AF82" s="1"/>
      <c r="AG82" s="103"/>
    </row>
    <row r="83" spans="1:33" customFormat="1" x14ac:dyDescent="0.25">
      <c r="A83" s="191" t="str">
        <f>A$31&amp;" "&amp;TRP!H$19&amp;"-E"</f>
        <v>Transport Freight - LCV Oil Gasoline-E</v>
      </c>
      <c r="B83" s="191" t="str">
        <f>D83&amp;RIGHT(C83,3)&amp;"-E"</f>
        <v>TFLCVOGS-E</v>
      </c>
      <c r="C83" s="612" t="str">
        <f>$G$6</f>
        <v>TRAOGS</v>
      </c>
      <c r="D83" s="612" t="str">
        <f>$B$31</f>
        <v>TFLCV</v>
      </c>
      <c r="E83" s="627">
        <f t="array" ref="E83">IFERROR(INDEX(Analytica!$F$17:$AS$49,MATCH(TRP!$B83,Analytica!$B$17:$B$49,0),MATCH(TRP!E$59&amp;TRP!E$57,Analytica!$F$16:$AR$16&amp;Analytica!$F$13:$AR$13,0)),"")</f>
        <v>0.206254237709705</v>
      </c>
      <c r="F83" s="627">
        <f t="array" ref="F83">IFERROR(INDEX(Analytica!$F$17:$AS$49,MATCH(TRP!$B83,Analytica!$B$17:$B$49,0),MATCH(TRP!F$59&amp;TRP!F$57,Analytica!$F$16:$AR$16&amp;Analytica!$F$13:$AR$13,0)),"")</f>
        <v>0.206726097108171</v>
      </c>
      <c r="G83" s="627">
        <f t="array" ref="G83">IFERROR(INDEX(Analytica!$F$17:$AS$49,MATCH(TRP!$B83,Analytica!$B$17:$B$49,0),MATCH(TRP!G$59&amp;TRP!G$57,Analytica!$F$16:$AR$16&amp;Analytica!$F$13:$AR$13,0)),"")</f>
        <v>0.20785170508495199</v>
      </c>
      <c r="H83" s="627">
        <f t="array" ref="H83">IFERROR(INDEX(Analytica!$F$17:$AS$49,MATCH(TRP!$B83,Analytica!$B$17:$B$49,0),MATCH(TRP!H$59&amp;TRP!H$57,Analytica!$F$16:$AR$16&amp;Analytica!$F$13:$AR$13,0)),"")</f>
        <v>0.20866460609364401</v>
      </c>
      <c r="I83" s="627">
        <f t="array" ref="I83">IFERROR(INDEX(Analytica!$F$17:$AS$49,MATCH(TRP!$B83,Analytica!$B$17:$B$49,0),MATCH(TRP!I$59&amp;TRP!I$57,Analytica!$F$16:$AR$16&amp;Analytica!$F$13:$AR$13,0)),"")</f>
        <v>0.209312603622752</v>
      </c>
      <c r="J83" s="627">
        <f t="array" ref="J83">IFERROR(INDEX(Analytica!$F$17:$AS$49,MATCH(TRP!$B83,Analytica!$B$17:$B$49,0),MATCH(TRP!J$59&amp;TRP!J$57,Analytica!$F$16:$AR$16&amp;Analytica!$F$13:$AR$13,0)),"")</f>
        <v>0.42864819562748002</v>
      </c>
      <c r="K83" s="627">
        <f t="array" ref="K83">IFERROR(INDEX(Analytica!$F$17:$AS$49,MATCH(TRP!$B83,Analytica!$B$17:$B$49,0),MATCH(TRP!K$59&amp;TRP!K$57,Analytica!$F$16:$AR$16&amp;Analytica!$F$13:$AR$13,0)),"")</f>
        <v>0.35290243326157716</v>
      </c>
      <c r="L83" s="627">
        <f t="array" ref="L83">IFERROR(INDEX(Analytica!$F$17:$AS$49,MATCH(TRP!$B83,Analytica!$B$17:$B$49,0),MATCH(TRP!L$59&amp;TRP!L$57,Analytica!$F$16:$AR$16&amp;Analytica!$F$13:$AR$13,0)),"")</f>
        <v>0.18153971605538344</v>
      </c>
      <c r="M83" s="627">
        <f t="array" ref="M83">IFERROR(INDEX(Analytica!$F$17:$AS$49,MATCH(TRP!$B83,Analytica!$B$17:$B$49,0),MATCH(TRP!M$59&amp;TRP!M$57,Analytica!$F$16:$AR$16&amp;Analytica!$F$13:$AR$13,0)),"")</f>
        <v>9.2245263435742852E-2</v>
      </c>
      <c r="N83" s="627">
        <f t="array" ref="N83">IFERROR(INDEX(Analytica!$F$17:$AS$49,MATCH(TRP!$B83,Analytica!$B$17:$B$49,0),MATCH(TRP!N$59&amp;TRP!N$57,Analytica!$F$16:$AR$16&amp;Analytica!$F$13:$AR$13,0)),"")</f>
        <v>4.6556841701712572E-2</v>
      </c>
      <c r="O83" s="627">
        <f t="array" ref="O83">IFERROR(INDEX(Analytica!$F$17:$AS$49,MATCH(TRP!$B83,Analytica!$B$17:$B$49,0),MATCH(TRP!O$59&amp;TRP!O$57,Analytica!$F$16:$AR$16&amp;Analytica!$F$13:$AR$13,0)),"")</f>
        <v>3.4999999999999996E-2</v>
      </c>
      <c r="P83" s="627">
        <f t="array" ref="P83">IFERROR(INDEX(Analytica!$F$17:$AS$49,MATCH(TRP!$B83,Analytica!$B$17:$B$49,0),MATCH(TRP!P$59&amp;TRP!P$57,Analytica!$F$16:$AR$16&amp;Analytica!$F$13:$AR$13,0)),"")</f>
        <v>1296.7112413349801</v>
      </c>
      <c r="Q83" s="627">
        <f t="array" ref="Q83">IFERROR(INDEX(Analytica!$F$17:$AS$49,MATCH(TRP!$B83,Analytica!$B$17:$B$49,0),MATCH(TRP!Q$59&amp;TRP!Q$57,Analytica!$F$16:$AR$16&amp;Analytica!$F$13:$AR$13,0)),"")</f>
        <v>1149.83638939547</v>
      </c>
      <c r="R83" s="627">
        <f t="array" ref="R83">IFERROR(INDEX(Analytica!$F$17:$AS$49,MATCH(TRP!$B83,Analytica!$B$17:$B$49,0),MATCH(TRP!R$59&amp;TRP!R$57,Analytica!$F$16:$AR$16&amp;Analytica!$F$13:$AR$13,0)),"")</f>
        <v>721.33104862899097</v>
      </c>
      <c r="S83" s="627">
        <f t="array" ref="S83">IFERROR(INDEX(Analytica!$F$17:$AS$49,MATCH(TRP!$B83,Analytica!$B$17:$B$49,0),MATCH(TRP!S$59&amp;TRP!S$57,Analytica!$F$16:$AR$16&amp;Analytica!$F$13:$AR$13,0)),"")</f>
        <v>0</v>
      </c>
      <c r="T83" s="627">
        <f t="array" ref="T83">IFERROR(INDEX(Analytica!$F$17:$AS$49,MATCH(TRP!$B83,Analytica!$B$17:$B$49,0),MATCH(TRP!T$59&amp;TRP!T$57,Analytica!$F$16:$AR$16&amp;Analytica!$F$13:$AR$13,0)),"")</f>
        <v>0</v>
      </c>
      <c r="U83" s="610">
        <v>3</v>
      </c>
      <c r="V83" s="610">
        <v>0</v>
      </c>
      <c r="W83" s="614">
        <f>SUMIF(Analytica!$B$17:$B$41,TRP!$B83,Analytica!$AV$17:$AV$41)</f>
        <v>418.48469439606998</v>
      </c>
      <c r="X83" s="610">
        <f>SUMIF(Analytica!$B$17:$B$41,$B83,Analytica!AN$17:AN$41)</f>
        <v>94.32</v>
      </c>
      <c r="Y83" s="619">
        <f>X83*E83</f>
        <v>19.453899700779374</v>
      </c>
      <c r="Z83" s="619">
        <f>J83*O83*P83</f>
        <v>19.454152684683812</v>
      </c>
      <c r="AA83" s="1">
        <f t="shared" si="4"/>
        <v>19</v>
      </c>
      <c r="AB83" s="1">
        <f t="shared" si="5"/>
        <v>1.3004277205519443E-5</v>
      </c>
    </row>
    <row r="84" spans="1:33" customFormat="1" x14ac:dyDescent="0.25">
      <c r="A84" s="191" t="s">
        <v>1013</v>
      </c>
      <c r="B84" s="191"/>
      <c r="C84" s="612"/>
      <c r="D84" s="612"/>
      <c r="E84" s="627" t="str">
        <f t="array" ref="E84">IFERROR(INDEX(Analytica!$F$17:$AS$49,MATCH(TRP!$B84,Analytica!$B$17:$B$49,0),MATCH(TRP!E$59&amp;TRP!E$57,Analytica!$F$16:$AR$16&amp;Analytica!$F$13:$AR$13,0)),"")</f>
        <v/>
      </c>
      <c r="F84" s="627" t="str">
        <f t="array" ref="F84">IFERROR(INDEX(Analytica!$F$17:$AS$49,MATCH(TRP!$B84,Analytica!$B$17:$B$49,0),MATCH(TRP!F$59&amp;TRP!F$57,Analytica!$F$16:$AR$16&amp;Analytica!$F$13:$AR$13,0)),"")</f>
        <v/>
      </c>
      <c r="G84" s="627" t="str">
        <f t="array" ref="G84">IFERROR(INDEX(Analytica!$F$17:$AS$49,MATCH(TRP!$B84,Analytica!$B$17:$B$49,0),MATCH(TRP!G$59&amp;TRP!G$57,Analytica!$F$16:$AR$16&amp;Analytica!$F$13:$AR$13,0)),"")</f>
        <v/>
      </c>
      <c r="H84" s="627" t="str">
        <f t="array" ref="H84">IFERROR(INDEX(Analytica!$F$17:$AS$49,MATCH(TRP!$B84,Analytica!$B$17:$B$49,0),MATCH(TRP!H$59&amp;TRP!H$57,Analytica!$F$16:$AR$16&amp;Analytica!$F$13:$AR$13,0)),"")</f>
        <v/>
      </c>
      <c r="I84" s="627" t="str">
        <f t="array" ref="I84">IFERROR(INDEX(Analytica!$F$17:$AS$49,MATCH(TRP!$B84,Analytica!$B$17:$B$49,0),MATCH(TRP!I$59&amp;TRP!I$57,Analytica!$F$16:$AR$16&amp;Analytica!$F$13:$AR$13,0)),"")</f>
        <v/>
      </c>
      <c r="J84" s="627" t="str">
        <f t="array" ref="J84">IFERROR(INDEX(Analytica!$F$17:$AS$49,MATCH(TRP!$B84,Analytica!$B$17:$B$49,0),MATCH(TRP!J$59&amp;TRP!J$57,Analytica!$F$16:$AR$16&amp;Analytica!$F$13:$AR$13,0)),"")</f>
        <v/>
      </c>
      <c r="K84" s="627" t="str">
        <f t="array" ref="K84">IFERROR(INDEX(Analytica!$F$17:$AS$49,MATCH(TRP!$B84,Analytica!$B$17:$B$49,0),MATCH(TRP!K$59&amp;TRP!K$57,Analytica!$F$16:$AR$16&amp;Analytica!$F$13:$AR$13,0)),"")</f>
        <v/>
      </c>
      <c r="L84" s="627" t="str">
        <f t="array" ref="L84">IFERROR(INDEX(Analytica!$F$17:$AS$49,MATCH(TRP!$B84,Analytica!$B$17:$B$49,0),MATCH(TRP!L$59&amp;TRP!L$57,Analytica!$F$16:$AR$16&amp;Analytica!$F$13:$AR$13,0)),"")</f>
        <v/>
      </c>
      <c r="M84" s="627" t="str">
        <f t="array" ref="M84">IFERROR(INDEX(Analytica!$F$17:$AS$49,MATCH(TRP!$B84,Analytica!$B$17:$B$49,0),MATCH(TRP!M$59&amp;TRP!M$57,Analytica!$F$16:$AR$16&amp;Analytica!$F$13:$AR$13,0)),"")</f>
        <v/>
      </c>
      <c r="N84" s="627" t="str">
        <f t="array" ref="N84">IFERROR(INDEX(Analytica!$F$17:$AS$49,MATCH(TRP!$B84,Analytica!$B$17:$B$49,0),MATCH(TRP!N$59&amp;TRP!N$57,Analytica!$F$16:$AR$16&amp;Analytica!$F$13:$AR$13,0)),"")</f>
        <v/>
      </c>
      <c r="O84" s="627" t="str">
        <f t="array" ref="O84">IFERROR(INDEX(Analytica!$F$17:$AS$49,MATCH(TRP!$B84,Analytica!$B$17:$B$49,0),MATCH(TRP!O$59&amp;TRP!O$57,Analytica!$F$16:$AR$16&amp;Analytica!$F$13:$AR$13,0)),"")</f>
        <v/>
      </c>
      <c r="P84" s="627" t="str">
        <f t="array" ref="P84">IFERROR(INDEX(Analytica!$F$17:$AS$49,MATCH(TRP!$B84,Analytica!$B$17:$B$49,0),MATCH(TRP!P$59&amp;TRP!P$57,Analytica!$F$16:$AR$16&amp;Analytica!$F$13:$AR$13,0)),"")</f>
        <v/>
      </c>
      <c r="Q84" s="627" t="str">
        <f t="array" ref="Q84">IFERROR(INDEX(Analytica!$F$17:$AS$49,MATCH(TRP!$B84,Analytica!$B$17:$B$49,0),MATCH(TRP!Q$59&amp;TRP!Q$57,Analytica!$F$16:$AR$16&amp;Analytica!$F$13:$AR$13,0)),"")</f>
        <v/>
      </c>
      <c r="R84" s="627" t="str">
        <f t="array" ref="R84">IFERROR(INDEX(Analytica!$F$17:$AS$49,MATCH(TRP!$B84,Analytica!$B$17:$B$49,0),MATCH(TRP!R$59&amp;TRP!R$57,Analytica!$F$16:$AR$16&amp;Analytica!$F$13:$AR$13,0)),"")</f>
        <v/>
      </c>
      <c r="S84" s="627" t="str">
        <f t="array" ref="S84">IFERROR(INDEX(Analytica!$F$17:$AS$49,MATCH(TRP!$B84,Analytica!$B$17:$B$49,0),MATCH(TRP!S$59&amp;TRP!S$57,Analytica!$F$16:$AR$16&amp;Analytica!$F$13:$AR$13,0)),"")</f>
        <v/>
      </c>
      <c r="T84" s="627" t="str">
        <f t="array" ref="T84">IFERROR(INDEX(Analytica!$F$17:$AS$49,MATCH(TRP!$B84,Analytica!$B$17:$B$49,0),MATCH(TRP!T$59&amp;TRP!T$57,Analytica!$F$16:$AR$16&amp;Analytica!$F$13:$AR$13,0)),"")</f>
        <v/>
      </c>
      <c r="U84" s="613"/>
      <c r="V84" s="613"/>
      <c r="W84" s="614">
        <f>SUMIF(Analytica!$B$17:$B$41,TRP!$B84,Analytica!$AV$17:$AV$41)</f>
        <v>0</v>
      </c>
      <c r="X84" s="610">
        <f>SUMIF(Analytica!$B$17:$B$41,$B84,Analytica!AN$17:AN$41)</f>
        <v>0</v>
      </c>
      <c r="Y84" s="624">
        <f>Y83+Y82</f>
        <v>47.578619830445419</v>
      </c>
      <c r="Z84" s="624">
        <f>Z83+Z82</f>
        <v>47.584820585749924</v>
      </c>
      <c r="AA84" s="1">
        <f t="shared" si="4"/>
        <v>20</v>
      </c>
      <c r="AB84" s="1">
        <f t="shared" si="5"/>
        <v>1.303265064560577E-4</v>
      </c>
    </row>
    <row r="85" spans="1:33" customFormat="1" x14ac:dyDescent="0.25">
      <c r="A85" s="191" t="str">
        <f>A$32&amp;" "&amp;TRP!D$19&amp;"-E"</f>
        <v>Transport Freight - HCV1 Oil Diesel-E</v>
      </c>
      <c r="B85" s="191" t="str">
        <f t="shared" ref="B85:B94" si="6">D85&amp;RIGHT(C85,3)&amp;"-E"</f>
        <v>TFHCV1ODS-E</v>
      </c>
      <c r="C85" s="612" t="str">
        <f>$D$6</f>
        <v>TRAODS</v>
      </c>
      <c r="D85" s="612" t="str">
        <f>$B$32</f>
        <v>TFHCV1</v>
      </c>
      <c r="E85" s="630">
        <f t="array" ref="E85">IFERROR(INDEX(Analytica!$F$17:$AS$49,MATCH(TRP!$B85,Analytica!$B$17:$B$49,0),MATCH(TRP!E$59&amp;TRP!E$57,Analytica!$F$16:$AR$16&amp;Analytica!$F$13:$AR$13,0)),"")</f>
        <v>0.170324176066042</v>
      </c>
      <c r="F85" s="629">
        <f t="array" ref="F85">IFERROR(INDEX(Analytica!$F$17:$AS$49,MATCH(TRP!$B85,Analytica!$B$17:$B$49,0),MATCH(TRP!F$59&amp;TRP!F$57,Analytica!$F$16:$AR$16&amp;Analytica!$F$13:$AR$13,0)),"")</f>
        <v>0.17019984843924499</v>
      </c>
      <c r="G85" s="627">
        <f t="array" ref="G85">IFERROR(INDEX(Analytica!$F$17:$AS$49,MATCH(TRP!$B85,Analytica!$B$17:$B$49,0),MATCH(TRP!G$59&amp;TRP!G$57,Analytica!$F$16:$AR$16&amp;Analytica!$F$13:$AR$13,0)),"")</f>
        <v>0.17409813013726</v>
      </c>
      <c r="H85" s="627">
        <f t="array" ref="H85">IFERROR(INDEX(Analytica!$F$17:$AS$49,MATCH(TRP!$B85,Analytica!$B$17:$B$49,0),MATCH(TRP!H$59&amp;TRP!H$57,Analytica!$F$16:$AR$16&amp;Analytica!$F$13:$AR$13,0)),"")</f>
        <v>0.17789366131389001</v>
      </c>
      <c r="I85" s="627">
        <f t="array" ref="I85">IFERROR(INDEX(Analytica!$F$17:$AS$49,MATCH(TRP!$B85,Analytica!$B$17:$B$49,0),MATCH(TRP!I$59&amp;TRP!I$57,Analytica!$F$16:$AR$16&amp;Analytica!$F$13:$AR$13,0)),"")</f>
        <v>0.18082625096775001</v>
      </c>
      <c r="J85" s="627">
        <f t="array" ref="J85">IFERROR(INDEX(Analytica!$F$17:$AS$49,MATCH(TRP!$B85,Analytica!$B$17:$B$49,0),MATCH(TRP!J$59&amp;TRP!J$57,Analytica!$F$16:$AR$16&amp;Analytica!$F$13:$AR$13,0)),"")</f>
        <v>0.52132555079955811</v>
      </c>
      <c r="K85" s="627">
        <f t="array" ref="K85">IFERROR(INDEX(Analytica!$F$17:$AS$49,MATCH(TRP!$B85,Analytica!$B$17:$B$49,0),MATCH(TRP!K$59&amp;TRP!K$57,Analytica!$F$16:$AR$16&amp;Analytica!$F$13:$AR$13,0)),"")</f>
        <v>0.40159996318135815</v>
      </c>
      <c r="L85" s="627">
        <f t="array" ref="L85">IFERROR(INDEX(Analytica!$F$17:$AS$49,MATCH(TRP!$B85,Analytica!$B$17:$B$49,0),MATCH(TRP!L$59&amp;TRP!L$57,Analytica!$F$16:$AR$16&amp;Analytica!$F$13:$AR$13,0)),"")</f>
        <v>0.19583030977494909</v>
      </c>
      <c r="M85" s="627">
        <f t="array" ref="M85">IFERROR(INDEX(Analytica!$F$17:$AS$49,MATCH(TRP!$B85,Analytica!$B$17:$B$49,0),MATCH(TRP!M$59&amp;TRP!M$57,Analytica!$F$16:$AR$16&amp;Analytica!$F$13:$AR$13,0)),"")</f>
        <v>9.3886552828972181E-2</v>
      </c>
      <c r="N85" s="627">
        <f t="array" ref="N85">IFERROR(INDEX(Analytica!$F$17:$AS$49,MATCH(TRP!$B85,Analytica!$B$17:$B$49,0),MATCH(TRP!N$59&amp;TRP!N$57,Analytica!$F$16:$AR$16&amp;Analytica!$F$13:$AR$13,0)),"")</f>
        <v>4.3288169440531814E-2</v>
      </c>
      <c r="O85" s="627">
        <f t="array" ref="O85">IFERROR(INDEX(Analytica!$F$17:$AS$49,MATCH(TRP!$B85,Analytica!$B$17:$B$49,0),MATCH(TRP!O$59&amp;TRP!O$57,Analytica!$F$16:$AR$16&amp;Analytica!$F$13:$AR$13,0)),"")</f>
        <v>5.5E-2</v>
      </c>
      <c r="P85" s="627">
        <f t="array" ref="P85">IFERROR(INDEX(Analytica!$F$17:$AS$49,MATCH(TRP!$B85,Analytica!$B$17:$B$49,0),MATCH(TRP!P$59&amp;TRP!P$57,Analytica!$F$16:$AR$16&amp;Analytica!$F$13:$AR$13,0)),"")</f>
        <v>126.227705550552</v>
      </c>
      <c r="Q85" s="627">
        <f t="array" ref="Q85">IFERROR(INDEX(Analytica!$F$17:$AS$49,MATCH(TRP!$B85,Analytica!$B$17:$B$49,0),MATCH(TRP!Q$59&amp;TRP!Q$57,Analytica!$F$16:$AR$16&amp;Analytica!$F$13:$AR$13,0)),"")</f>
        <v>128.85669585561601</v>
      </c>
      <c r="R85" s="627">
        <f t="array" ref="R85">IFERROR(INDEX(Analytica!$F$17:$AS$49,MATCH(TRP!$B85,Analytica!$B$17:$B$49,0),MATCH(TRP!R$59&amp;TRP!R$57,Analytica!$F$16:$AR$16&amp;Analytica!$F$13:$AR$13,0)),"")</f>
        <v>65.904742901988897</v>
      </c>
      <c r="S85" s="627">
        <f t="array" ref="S85">IFERROR(INDEX(Analytica!$F$17:$AS$49,MATCH(TRP!$B85,Analytica!$B$17:$B$49,0),MATCH(TRP!S$59&amp;TRP!S$57,Analytica!$F$16:$AR$16&amp;Analytica!$F$13:$AR$13,0)),"")</f>
        <v>0</v>
      </c>
      <c r="T85" s="627">
        <f t="array" ref="T85">IFERROR(INDEX(Analytica!$F$17:$AS$49,MATCH(TRP!$B85,Analytica!$B$17:$B$49,0),MATCH(TRP!T$59&amp;TRP!T$57,Analytica!$F$16:$AR$16&amp;Analytica!$F$13:$AR$13,0)),"")</f>
        <v>0</v>
      </c>
      <c r="U85" s="610">
        <v>3</v>
      </c>
      <c r="V85" s="610">
        <v>0</v>
      </c>
      <c r="W85" s="614">
        <f>SUMIF(Analytica!$B$17:$B$41,TRP!$B85,Analytica!$AV$17:$AV$41)</f>
        <v>16.632960198561999</v>
      </c>
      <c r="X85" s="610">
        <f>SUMIF(Analytica!$B$17:$B$41,$B85,Analytica!AN$17:AN$41)</f>
        <v>21.25</v>
      </c>
      <c r="Y85" s="619">
        <f t="shared" ref="Y85:Y94" si="7">X85*E85</f>
        <v>3.6193887414033923</v>
      </c>
      <c r="Z85" s="619">
        <f t="shared" ref="Z85:Z94" si="8">J85*O85*P85</f>
        <v>3.619315046726828</v>
      </c>
      <c r="AA85" s="626">
        <f t="shared" si="4"/>
        <v>21</v>
      </c>
      <c r="AB85" s="1">
        <f t="shared" si="5"/>
        <v>2.0361083550191061E-5</v>
      </c>
    </row>
    <row r="86" spans="1:33" customFormat="1" x14ac:dyDescent="0.25">
      <c r="A86" s="191" t="str">
        <f>A$32&amp;" "&amp;TRP!H$19&amp;"-E"</f>
        <v>Transport Freight - HCV1 Oil Gasoline-E</v>
      </c>
      <c r="B86" s="191" t="str">
        <f t="shared" si="6"/>
        <v>TFHCV1OGS-E</v>
      </c>
      <c r="C86" s="612" t="str">
        <f>$G$6</f>
        <v>TRAOGS</v>
      </c>
      <c r="D86" s="612" t="str">
        <f t="shared" ref="D86:D94" si="9">$B32</f>
        <v>TFHCV1</v>
      </c>
      <c r="E86" s="627">
        <f t="array" ref="E86">IFERROR(INDEX(Analytica!$F$17:$AS$49,MATCH(TRP!$B86,Analytica!$B$17:$B$49,0),MATCH(TRP!E$59&amp;TRP!E$57,Analytica!$F$16:$AR$16&amp;Analytica!$F$13:$AR$13,0)),"")</f>
        <v>0.14896435210389899</v>
      </c>
      <c r="F86" s="627">
        <f t="array" ref="F86">IFERROR(INDEX(Analytica!$F$17:$AS$49,MATCH(TRP!$B86,Analytica!$B$17:$B$49,0),MATCH(TRP!F$59&amp;TRP!F$57,Analytica!$F$16:$AR$16&amp;Analytica!$F$13:$AR$13,0)),"")</f>
        <v>0.152765483769921</v>
      </c>
      <c r="G86" s="627">
        <f t="array" ref="G86">IFERROR(INDEX(Analytica!$F$17:$AS$49,MATCH(TRP!$B86,Analytica!$B$17:$B$49,0),MATCH(TRP!G$59&amp;TRP!G$57,Analytica!$F$16:$AR$16&amp;Analytica!$F$13:$AR$13,0)),"")</f>
        <v>0.16609404654853699</v>
      </c>
      <c r="H86" s="627">
        <f t="array" ref="H86">IFERROR(INDEX(Analytica!$F$17:$AS$49,MATCH(TRP!$B86,Analytica!$B$17:$B$49,0),MATCH(TRP!H$59&amp;TRP!H$57,Analytica!$F$16:$AR$16&amp;Analytica!$F$13:$AR$13,0)),"")</f>
        <v>0.17211134514717899</v>
      </c>
      <c r="I86" s="627">
        <f t="array" ref="I86">IFERROR(INDEX(Analytica!$F$17:$AS$49,MATCH(TRP!$B86,Analytica!$B$17:$B$49,0),MATCH(TRP!I$59&amp;TRP!I$57,Analytica!$F$16:$AR$16&amp;Analytica!$F$13:$AR$13,0)),"")</f>
        <v>0.173986340906439</v>
      </c>
      <c r="J86" s="627">
        <f t="array" ref="J86">IFERROR(INDEX(Analytica!$F$17:$AS$49,MATCH(TRP!$B86,Analytica!$B$17:$B$49,0),MATCH(TRP!J$59&amp;TRP!J$57,Analytica!$F$16:$AR$16&amp;Analytica!$F$13:$AR$13,0)),"")</f>
        <v>0.28714519727711668</v>
      </c>
      <c r="K86" s="627">
        <f t="array" ref="K86">IFERROR(INDEX(Analytica!$F$17:$AS$49,MATCH(TRP!$B86,Analytica!$B$17:$B$49,0),MATCH(TRP!K$59&amp;TRP!K$57,Analytica!$F$16:$AR$16&amp;Analytica!$F$13:$AR$13,0)),"")</f>
        <v>0.26658873343393336</v>
      </c>
      <c r="L86" s="627">
        <f t="array" ref="L86">IFERROR(INDEX(Analytica!$F$17:$AS$49,MATCH(TRP!$B86,Analytica!$B$17:$B$49,0),MATCH(TRP!L$59&amp;TRP!L$57,Analytica!$F$16:$AR$16&amp;Analytica!$F$13:$AR$13,0)),"")</f>
        <v>0.21139702280495623</v>
      </c>
      <c r="M86" s="627">
        <f t="array" ref="M86">IFERROR(INDEX(Analytica!$F$17:$AS$49,MATCH(TRP!$B86,Analytica!$B$17:$B$49,0),MATCH(TRP!M$59&amp;TRP!M$57,Analytica!$F$16:$AR$16&amp;Analytica!$F$13:$AR$13,0)),"")</f>
        <v>0.13721446538439605</v>
      </c>
      <c r="N86" s="627">
        <f t="array" ref="N86">IFERROR(INDEX(Analytica!$F$17:$AS$49,MATCH(TRP!$B86,Analytica!$B$17:$B$49,0),MATCH(TRP!N$59&amp;TRP!N$57,Analytica!$F$16:$AR$16&amp;Analytica!$F$13:$AR$13,0)),"")</f>
        <v>7.793049325921042E-2</v>
      </c>
      <c r="O86" s="628">
        <f t="array" ref="O86">IFERROR(INDEX(Analytica!$F$17:$AS$49,MATCH(TRP!$B86,Analytica!$B$17:$B$49,0),MATCH(TRP!O$59&amp;TRP!O$57,Analytica!$F$16:$AR$16&amp;Analytica!$F$13:$AR$13,0)),"")</f>
        <v>4.8000000000000001E-2</v>
      </c>
      <c r="P86" s="627">
        <f t="array" ref="P86">IFERROR(INDEX(Analytica!$F$17:$AS$49,MATCH(TRP!$B86,Analytica!$B$17:$B$49,0),MATCH(TRP!P$59&amp;TRP!P$57,Analytica!$F$16:$AR$16&amp;Analytica!$F$13:$AR$13,0)),"")</f>
        <v>2.3335554859995198</v>
      </c>
      <c r="Q86" s="627">
        <f t="array" ref="Q86">IFERROR(INDEX(Analytica!$F$17:$AS$49,MATCH(TRP!$B86,Analytica!$B$17:$B$49,0),MATCH(TRP!Q$59&amp;TRP!Q$57,Analytica!$F$16:$AR$16&amp;Analytica!$F$13:$AR$13,0)),"")</f>
        <v>1.87929418014928</v>
      </c>
      <c r="R86" s="627">
        <f t="array" ref="R86">IFERROR(INDEX(Analytica!$F$17:$AS$49,MATCH(TRP!$B86,Analytica!$B$17:$B$49,0),MATCH(TRP!R$59&amp;TRP!R$57,Analytica!$F$16:$AR$16&amp;Analytica!$F$13:$AR$13,0)),"")</f>
        <v>0.35865569412206</v>
      </c>
      <c r="S86" s="627">
        <f t="array" ref="S86">IFERROR(INDEX(Analytica!$F$17:$AS$49,MATCH(TRP!$B86,Analytica!$B$17:$B$49,0),MATCH(TRP!S$59&amp;TRP!S$57,Analytica!$F$16:$AR$16&amp;Analytica!$F$13:$AR$13,0)),"")</f>
        <v>0</v>
      </c>
      <c r="T86" s="627">
        <f t="array" ref="T86">IFERROR(INDEX(Analytica!$F$17:$AS$49,MATCH(TRP!$B86,Analytica!$B$17:$B$49,0),MATCH(TRP!T$59&amp;TRP!T$57,Analytica!$F$16:$AR$16&amp;Analytica!$F$13:$AR$13,0)),"")</f>
        <v>0</v>
      </c>
      <c r="U86" s="610">
        <v>3</v>
      </c>
      <c r="V86" s="610">
        <v>0</v>
      </c>
      <c r="W86" s="614">
        <f>SUMIF(Analytica!$B$17:$B$41,TRP!$B86,Analytica!$AV$17:$AV$41)</f>
        <v>4.22482020202481E-2</v>
      </c>
      <c r="X86" s="616">
        <f>SUMIF(Analytica!$B$17:$B$41,$B86,Analytica!AN$17:AN$41)</f>
        <v>0.21590000000000001</v>
      </c>
      <c r="Y86" s="619">
        <f t="shared" si="7"/>
        <v>3.2161403619231796E-2</v>
      </c>
      <c r="Z86" s="619">
        <f t="shared" si="8"/>
        <v>3.2163324018452642E-2</v>
      </c>
      <c r="AA86" s="626">
        <f t="shared" si="4"/>
        <v>22</v>
      </c>
      <c r="AB86" s="1">
        <f t="shared" si="5"/>
        <v>5.9711300028464365E-5</v>
      </c>
    </row>
    <row r="87" spans="1:33" customFormat="1" x14ac:dyDescent="0.25">
      <c r="A87" s="191" t="str">
        <f>$A33&amp;" "&amp;TRP!D$19&amp;"-E"</f>
        <v>Transport Freight - HCV2 Oil Diesel-E</v>
      </c>
      <c r="B87" s="191" t="str">
        <f t="shared" si="6"/>
        <v>TFHCV2ODS-E</v>
      </c>
      <c r="C87" s="612" t="str">
        <f t="shared" ref="C87:C94" si="10">$D$6</f>
        <v>TRAODS</v>
      </c>
      <c r="D87" s="612" t="str">
        <f t="shared" si="9"/>
        <v>TFHCV2</v>
      </c>
      <c r="E87" s="627">
        <f t="array" ref="E87">IFERROR(INDEX(Analytica!$F$17:$AS$49,MATCH(TRP!$B87,Analytica!$B$17:$B$49,0),MATCH(TRP!E$59&amp;TRP!E$57,Analytica!$F$16:$AR$16&amp;Analytica!$F$13:$AR$13,0)),"")</f>
        <v>0.13643182834537301</v>
      </c>
      <c r="F87" s="627">
        <f t="array" ref="F87">IFERROR(INDEX(Analytica!$F$17:$AS$49,MATCH(TRP!$B87,Analytica!$B$17:$B$49,0),MATCH(TRP!F$59&amp;TRP!F$57,Analytica!$F$16:$AR$16&amp;Analytica!$F$13:$AR$13,0)),"")</f>
        <v>0.136459139072411</v>
      </c>
      <c r="G87" s="627">
        <f t="array" ref="G87">IFERROR(INDEX(Analytica!$F$17:$AS$49,MATCH(TRP!$B87,Analytica!$B$17:$B$49,0),MATCH(TRP!G$59&amp;TRP!G$57,Analytica!$F$16:$AR$16&amp;Analytica!$F$13:$AR$13,0)),"")</f>
        <v>0.14013799688852099</v>
      </c>
      <c r="H87" s="627">
        <f t="array" ref="H87">IFERROR(INDEX(Analytica!$F$17:$AS$49,MATCH(TRP!$B87,Analytica!$B$17:$B$49,0),MATCH(TRP!H$59&amp;TRP!H$57,Analytica!$F$16:$AR$16&amp;Analytica!$F$13:$AR$13,0)),"")</f>
        <v>0.143519603118716</v>
      </c>
      <c r="I87" s="627">
        <f t="array" ref="I87">IFERROR(INDEX(Analytica!$F$17:$AS$49,MATCH(TRP!$B87,Analytica!$B$17:$B$49,0),MATCH(TRP!I$59&amp;TRP!I$57,Analytica!$F$16:$AR$16&amp;Analytica!$F$13:$AR$13,0)),"")</f>
        <v>0.14596983768762201</v>
      </c>
      <c r="J87" s="627">
        <f t="array" ref="J87">IFERROR(INDEX(Analytica!$F$17:$AS$49,MATCH(TRP!$B87,Analytica!$B$17:$B$49,0),MATCH(TRP!J$59&amp;TRP!J$57,Analytica!$F$16:$AR$16&amp;Analytica!$F$13:$AR$13,0)),"")</f>
        <v>0.61587499088696462</v>
      </c>
      <c r="K87" s="627">
        <f t="array" ref="K87">IFERROR(INDEX(Analytica!$F$17:$AS$49,MATCH(TRP!$B87,Analytica!$B$17:$B$49,0),MATCH(TRP!K$59&amp;TRP!K$57,Analytica!$F$16:$AR$16&amp;Analytica!$F$13:$AR$13,0)),"")</f>
        <v>0.51036950900891664</v>
      </c>
      <c r="L87" s="627">
        <f t="array" ref="L87">IFERROR(INDEX(Analytica!$F$17:$AS$49,MATCH(TRP!$B87,Analytica!$B$17:$B$49,0),MATCH(TRP!L$59&amp;TRP!L$57,Analytica!$F$16:$AR$16&amp;Analytica!$F$13:$AR$13,0)),"")</f>
        <v>0.30439437240066253</v>
      </c>
      <c r="M87" s="627">
        <f t="array" ref="M87">IFERROR(INDEX(Analytica!$F$17:$AS$49,MATCH(TRP!$B87,Analytica!$B$17:$B$49,0),MATCH(TRP!M$59&amp;TRP!M$57,Analytica!$F$16:$AR$16&amp;Analytica!$F$13:$AR$13,0)),"")</f>
        <v>0.17798386054857626</v>
      </c>
      <c r="N87" s="627">
        <f t="array" ref="N87">IFERROR(INDEX(Analytica!$F$17:$AS$49,MATCH(TRP!$B87,Analytica!$B$17:$B$49,0),MATCH(TRP!N$59&amp;TRP!N$57,Analytica!$F$16:$AR$16&amp;Analytica!$F$13:$AR$13,0)),"")</f>
        <v>0.10044967598579917</v>
      </c>
      <c r="O87" s="627">
        <f t="array" ref="O87">IFERROR(INDEX(Analytica!$F$17:$AS$49,MATCH(TRP!$B87,Analytica!$B$17:$B$49,0),MATCH(TRP!O$59&amp;TRP!O$57,Analytica!$F$16:$AR$16&amp;Analytica!$F$13:$AR$13,0)),"")</f>
        <v>4.8000000000000001E-2</v>
      </c>
      <c r="P87" s="627">
        <f t="array" ref="P87">IFERROR(INDEX(Analytica!$F$17:$AS$49,MATCH(TRP!$B87,Analytica!$B$17:$B$49,0),MATCH(TRP!P$59&amp;TRP!P$57,Analytica!$F$16:$AR$16&amp;Analytica!$F$13:$AR$13,0)),"")</f>
        <v>33.929342714939402</v>
      </c>
      <c r="Q87" s="627">
        <f t="array" ref="Q87">IFERROR(INDEX(Analytica!$F$17:$AS$49,MATCH(TRP!$B87,Analytica!$B$17:$B$49,0),MATCH(TRP!Q$59&amp;TRP!Q$57,Analytica!$F$16:$AR$16&amp;Analytica!$F$13:$AR$13,0)),"")</f>
        <v>34.442063385055299</v>
      </c>
      <c r="R87" s="627">
        <f t="array" ref="R87">IFERROR(INDEX(Analytica!$F$17:$AS$49,MATCH(TRP!$B87,Analytica!$B$17:$B$49,0),MATCH(TRP!R$59&amp;TRP!R$57,Analytica!$F$16:$AR$16&amp;Analytica!$F$13:$AR$13,0)),"")</f>
        <v>18.009652806729299</v>
      </c>
      <c r="S87" s="627">
        <f t="array" ref="S87">IFERROR(INDEX(Analytica!$F$17:$AS$49,MATCH(TRP!$B87,Analytica!$B$17:$B$49,0),MATCH(TRP!S$59&amp;TRP!S$57,Analytica!$F$16:$AR$16&amp;Analytica!$F$13:$AR$13,0)),"")</f>
        <v>0</v>
      </c>
      <c r="T87" s="627">
        <f t="array" ref="T87">IFERROR(INDEX(Analytica!$F$17:$AS$49,MATCH(TRP!$B87,Analytica!$B$17:$B$49,0),MATCH(TRP!T$59&amp;TRP!T$57,Analytica!$F$16:$AR$16&amp;Analytica!$F$13:$AR$13,0)),"")</f>
        <v>0</v>
      </c>
      <c r="U87" s="610">
        <v>3</v>
      </c>
      <c r="V87" s="610">
        <v>0</v>
      </c>
      <c r="W87" s="614">
        <f>SUMIF(Analytica!$B$17:$B$41,TRP!$B87,Analytica!$AV$17:$AV$41)</f>
        <v>4.7708767415142903</v>
      </c>
      <c r="X87" s="610">
        <f>SUMIF(Analytica!$B$17:$B$41,$B87,Analytica!AN$17:AN$41)</f>
        <v>7.3520000000000003</v>
      </c>
      <c r="Y87" s="619">
        <f t="shared" si="7"/>
        <v>1.0030468019951824</v>
      </c>
      <c r="Z87" s="619">
        <f t="shared" si="8"/>
        <v>1.0030192144974721</v>
      </c>
      <c r="AA87" s="626">
        <f t="shared" si="4"/>
        <v>23</v>
      </c>
      <c r="AB87" s="1">
        <f t="shared" si="5"/>
        <v>2.7503699384090474E-5</v>
      </c>
    </row>
    <row r="88" spans="1:33" customFormat="1" x14ac:dyDescent="0.25">
      <c r="A88" s="191" t="str">
        <f>$A34&amp;" "&amp;TRP!D$19&amp;"-E"</f>
        <v>Transport Freight - HCV3 Oil Diesel-E</v>
      </c>
      <c r="B88" s="191" t="str">
        <f t="shared" si="6"/>
        <v>TFHCV3ODS-E</v>
      </c>
      <c r="C88" s="612" t="str">
        <f t="shared" si="10"/>
        <v>TRAODS</v>
      </c>
      <c r="D88" s="612" t="str">
        <f t="shared" si="9"/>
        <v>TFHCV3</v>
      </c>
      <c r="E88" s="627">
        <f t="array" ref="E88">IFERROR(INDEX(Analytica!$F$17:$AS$49,MATCH(TRP!$B88,Analytica!$B$17:$B$49,0),MATCH(TRP!E$59&amp;TRP!E$57,Analytica!$F$16:$AR$16&amp;Analytica!$F$13:$AR$13,0)),"")</f>
        <v>0.119281768417066</v>
      </c>
      <c r="F88" s="627">
        <f t="array" ref="F88">IFERROR(INDEX(Analytica!$F$17:$AS$49,MATCH(TRP!$B88,Analytica!$B$17:$B$49,0),MATCH(TRP!F$59&amp;TRP!F$57,Analytica!$F$16:$AR$16&amp;Analytica!$F$13:$AR$13,0)),"")</f>
        <v>0.11931868717182099</v>
      </c>
      <c r="G88" s="627">
        <f t="array" ref="G88">IFERROR(INDEX(Analytica!$F$17:$AS$49,MATCH(TRP!$B88,Analytica!$B$17:$B$49,0),MATCH(TRP!G$59&amp;TRP!G$57,Analytica!$F$16:$AR$16&amp;Analytica!$F$13:$AR$13,0)),"")</f>
        <v>0.12232153623233299</v>
      </c>
      <c r="H88" s="627">
        <f t="array" ref="H88">IFERROR(INDEX(Analytica!$F$17:$AS$49,MATCH(TRP!$B88,Analytica!$B$17:$B$49,0),MATCH(TRP!H$59&amp;TRP!H$57,Analytica!$F$16:$AR$16&amp;Analytica!$F$13:$AR$13,0)),"")</f>
        <v>0.12509253733459699</v>
      </c>
      <c r="I88" s="627">
        <f t="array" ref="I88">IFERROR(INDEX(Analytica!$F$17:$AS$49,MATCH(TRP!$B88,Analytica!$B$17:$B$49,0),MATCH(TRP!I$59&amp;TRP!I$57,Analytica!$F$16:$AR$16&amp;Analytica!$F$13:$AR$13,0)),"")</f>
        <v>0.12724056107916601</v>
      </c>
      <c r="J88" s="627">
        <f t="array" ref="J88">IFERROR(INDEX(Analytica!$F$17:$AS$49,MATCH(TRP!$B88,Analytica!$B$17:$B$49,0),MATCH(TRP!J$59&amp;TRP!J$57,Analytica!$F$16:$AR$16&amp;Analytica!$F$13:$AR$13,0)),"")</f>
        <v>0.61905509360465294</v>
      </c>
      <c r="K88" s="627">
        <f t="array" ref="K88">IFERROR(INDEX(Analytica!$F$17:$AS$49,MATCH(TRP!$B88,Analytica!$B$17:$B$49,0),MATCH(TRP!K$59&amp;TRP!K$57,Analytica!$F$16:$AR$16&amp;Analytica!$F$13:$AR$13,0)),"")</f>
        <v>0.51314017761153419</v>
      </c>
      <c r="L88" s="627">
        <f t="array" ref="L88">IFERROR(INDEX(Analytica!$F$17:$AS$49,MATCH(TRP!$B88,Analytica!$B$17:$B$49,0),MATCH(TRP!L$59&amp;TRP!L$57,Analytica!$F$16:$AR$16&amp;Analytica!$F$13:$AR$13,0)),"")</f>
        <v>0.30359332888790824</v>
      </c>
      <c r="M88" s="627">
        <f t="array" ref="M88">IFERROR(INDEX(Analytica!$F$17:$AS$49,MATCH(TRP!$B88,Analytica!$B$17:$B$49,0),MATCH(TRP!M$59&amp;TRP!M$57,Analytica!$F$16:$AR$16&amp;Analytica!$F$13:$AR$13,0)),"")</f>
        <v>0.17608516721814588</v>
      </c>
      <c r="N88" s="627">
        <f t="array" ref="N88">IFERROR(INDEX(Analytica!$F$17:$AS$49,MATCH(TRP!$B88,Analytica!$B$17:$B$49,0),MATCH(TRP!N$59&amp;TRP!N$57,Analytica!$F$16:$AR$16&amp;Analytica!$F$13:$AR$13,0)),"")</f>
        <v>9.9310384156559073E-2</v>
      </c>
      <c r="O88" s="627">
        <f t="array" ref="O88">IFERROR(INDEX(Analytica!$F$17:$AS$49,MATCH(TRP!$B88,Analytica!$B$17:$B$49,0),MATCH(TRP!O$59&amp;TRP!O$57,Analytica!$F$16:$AR$16&amp;Analytica!$F$13:$AR$13,0)),"")</f>
        <v>8.4999999999999992E-2</v>
      </c>
      <c r="P88" s="627">
        <f t="array" ref="P88">IFERROR(INDEX(Analytica!$F$17:$AS$49,MATCH(TRP!$B88,Analytica!$B$17:$B$49,0),MATCH(TRP!P$59&amp;TRP!P$57,Analytica!$F$16:$AR$16&amp;Analytica!$F$13:$AR$13,0)),"")</f>
        <v>62.7019053147121</v>
      </c>
      <c r="Q88" s="627">
        <f t="array" ref="Q88">IFERROR(INDEX(Analytica!$F$17:$AS$49,MATCH(TRP!$B88,Analytica!$B$17:$B$49,0),MATCH(TRP!Q$59&amp;TRP!Q$57,Analytica!$F$16:$AR$16&amp;Analytica!$F$13:$AR$13,0)),"")</f>
        <v>63.616850519339202</v>
      </c>
      <c r="R88" s="627">
        <f t="array" ref="R88">IFERROR(INDEX(Analytica!$F$17:$AS$49,MATCH(TRP!$B88,Analytica!$B$17:$B$49,0),MATCH(TRP!R$59&amp;TRP!R$57,Analytica!$F$16:$AR$16&amp;Analytica!$F$13:$AR$13,0)),"")</f>
        <v>33.590395028435502</v>
      </c>
      <c r="S88" s="627">
        <f t="array" ref="S88">IFERROR(INDEX(Analytica!$F$17:$AS$49,MATCH(TRP!$B88,Analytica!$B$17:$B$49,0),MATCH(TRP!S$59&amp;TRP!S$57,Analytica!$F$16:$AR$16&amp;Analytica!$F$13:$AR$13,0)),"")</f>
        <v>0</v>
      </c>
      <c r="T88" s="627">
        <f t="array" ref="T88">IFERROR(INDEX(Analytica!$F$17:$AS$49,MATCH(TRP!$B88,Analytica!$B$17:$B$49,0),MATCH(TRP!T$59&amp;TRP!T$57,Analytica!$F$16:$AR$16&amp;Analytica!$F$13:$AR$13,0)),"")</f>
        <v>0</v>
      </c>
      <c r="U88" s="610">
        <v>3</v>
      </c>
      <c r="V88" s="610">
        <v>0</v>
      </c>
      <c r="W88" s="614">
        <f>SUMIF(Analytica!$B$17:$B$41,TRP!$B88,Analytica!$AV$17:$AV$41)</f>
        <v>8.8510707400015196</v>
      </c>
      <c r="X88" s="610">
        <f>SUMIF(Analytica!$B$17:$B$41,$B88,Analytica!AN$17:AN$41)</f>
        <v>27.66</v>
      </c>
      <c r="Y88" s="619">
        <f t="shared" si="7"/>
        <v>3.2993337144160457</v>
      </c>
      <c r="Z88" s="619">
        <f t="shared" si="8"/>
        <v>3.2993543784220805</v>
      </c>
      <c r="AA88" s="626">
        <f t="shared" si="4"/>
        <v>24</v>
      </c>
      <c r="AB88" s="1">
        <f t="shared" si="5"/>
        <v>6.2630845569788818E-6</v>
      </c>
    </row>
    <row r="89" spans="1:33" customFormat="1" x14ac:dyDescent="0.25">
      <c r="A89" s="191" t="str">
        <f>$A35&amp;" "&amp;TRP!D$19&amp;"-E"</f>
        <v>Transport Freight - HCV4 Oil Diesel-E</v>
      </c>
      <c r="B89" s="191" t="str">
        <f t="shared" si="6"/>
        <v>TFHCV4ODS-E</v>
      </c>
      <c r="C89" s="612" t="str">
        <f t="shared" si="10"/>
        <v>TRAODS</v>
      </c>
      <c r="D89" s="612" t="str">
        <f t="shared" si="9"/>
        <v>TFHCV4</v>
      </c>
      <c r="E89" s="627">
        <f t="array" ref="E89">IFERROR(INDEX(Analytica!$F$17:$AS$49,MATCH(TRP!$B89,Analytica!$B$17:$B$49,0),MATCH(TRP!E$59&amp;TRP!E$57,Analytica!$F$16:$AR$16&amp;Analytica!$F$13:$AR$13,0)),"")</f>
        <v>0.102511485821615</v>
      </c>
      <c r="F89" s="627">
        <f t="array" ref="F89">IFERROR(INDEX(Analytica!$F$17:$AS$49,MATCH(TRP!$B89,Analytica!$B$17:$B$49,0),MATCH(TRP!F$59&amp;TRP!F$57,Analytica!$F$16:$AR$16&amp;Analytica!$F$13:$AR$13,0)),"")</f>
        <v>0.10254809996583</v>
      </c>
      <c r="G89" s="627">
        <f t="array" ref="G89">IFERROR(INDEX(Analytica!$F$17:$AS$49,MATCH(TRP!$B89,Analytica!$B$17:$B$49,0),MATCH(TRP!G$59&amp;TRP!G$57,Analytica!$F$16:$AR$16&amp;Analytica!$F$13:$AR$13,0)),"")</f>
        <v>0.105418203184048</v>
      </c>
      <c r="H89" s="627">
        <f t="array" ref="H89">IFERROR(INDEX(Analytica!$F$17:$AS$49,MATCH(TRP!$B89,Analytica!$B$17:$B$49,0),MATCH(TRP!H$59&amp;TRP!H$57,Analytica!$F$16:$AR$16&amp;Analytica!$F$13:$AR$13,0)),"")</f>
        <v>0.108304805407653</v>
      </c>
      <c r="I89" s="627">
        <f t="array" ref="I89">IFERROR(INDEX(Analytica!$F$17:$AS$49,MATCH(TRP!$B89,Analytica!$B$17:$B$49,0),MATCH(TRP!I$59&amp;TRP!I$57,Analytica!$F$16:$AR$16&amp;Analytica!$F$13:$AR$13,0)),"")</f>
        <v>0.110554573148034</v>
      </c>
      <c r="J89" s="627">
        <f t="array" ref="J89">IFERROR(INDEX(Analytica!$F$17:$AS$49,MATCH(TRP!$B89,Analytica!$B$17:$B$49,0),MATCH(TRP!J$59&amp;TRP!J$57,Analytica!$F$16:$AR$16&amp;Analytica!$F$13:$AR$13,0)),"")</f>
        <v>0.58392433243894237</v>
      </c>
      <c r="K89" s="627">
        <f t="array" ref="K89">IFERROR(INDEX(Analytica!$F$17:$AS$49,MATCH(TRP!$B89,Analytica!$B$17:$B$49,0),MATCH(TRP!K$59&amp;TRP!K$57,Analytica!$F$16:$AR$16&amp;Analytica!$F$13:$AR$13,0)),"")</f>
        <v>0.48445079931167884</v>
      </c>
      <c r="L89" s="627">
        <f t="array" ref="L89">IFERROR(INDEX(Analytica!$F$17:$AS$49,MATCH(TRP!$B89,Analytica!$B$17:$B$49,0),MATCH(TRP!L$59&amp;TRP!L$57,Analytica!$F$16:$AR$16&amp;Analytica!$F$13:$AR$13,0)),"")</f>
        <v>0.28918714533314122</v>
      </c>
      <c r="M89" s="627">
        <f t="array" ref="M89">IFERROR(INDEX(Analytica!$F$17:$AS$49,MATCH(TRP!$B89,Analytica!$B$17:$B$49,0),MATCH(TRP!M$59&amp;TRP!M$57,Analytica!$F$16:$AR$16&amp;Analytica!$F$13:$AR$13,0)),"")</f>
        <v>0.17123597116851411</v>
      </c>
      <c r="N89" s="627">
        <f t="array" ref="N89">IFERROR(INDEX(Analytica!$F$17:$AS$49,MATCH(TRP!$B89,Analytica!$B$17:$B$49,0),MATCH(TRP!N$59&amp;TRP!N$57,Analytica!$F$16:$AR$16&amp;Analytica!$F$13:$AR$13,0)),"")</f>
        <v>9.8290097907955287E-2</v>
      </c>
      <c r="O89" s="627">
        <f t="array" ref="O89">IFERROR(INDEX(Analytica!$F$17:$AS$49,MATCH(TRP!$B89,Analytica!$B$17:$B$49,0),MATCH(TRP!O$59&amp;TRP!O$57,Analytica!$F$16:$AR$16&amp;Analytica!$F$13:$AR$13,0)),"")</f>
        <v>8.4999999999999992E-2</v>
      </c>
      <c r="P89" s="627">
        <f t="array" ref="P89">IFERROR(INDEX(Analytica!$F$17:$AS$49,MATCH(TRP!$B89,Analytica!$B$17:$B$49,0),MATCH(TRP!P$59&amp;TRP!P$57,Analytica!$F$16:$AR$16&amp;Analytica!$F$13:$AR$13,0)),"")</f>
        <v>12.056497449546701</v>
      </c>
      <c r="Q89" s="627">
        <f t="array" ref="Q89">IFERROR(INDEX(Analytica!$F$17:$AS$49,MATCH(TRP!$B89,Analytica!$B$17:$B$49,0),MATCH(TRP!Q$59&amp;TRP!Q$57,Analytica!$F$16:$AR$16&amp;Analytica!$F$13:$AR$13,0)),"")</f>
        <v>12.2894367454119</v>
      </c>
      <c r="R89" s="627">
        <f t="array" ref="R89">IFERROR(INDEX(Analytica!$F$17:$AS$49,MATCH(TRP!$B89,Analytica!$B$17:$B$49,0),MATCH(TRP!R$59&amp;TRP!R$57,Analytica!$F$16:$AR$16&amp;Analytica!$F$13:$AR$13,0)),"")</f>
        <v>6.0737110439854698</v>
      </c>
      <c r="S89" s="627">
        <f t="array" ref="S89">IFERROR(INDEX(Analytica!$F$17:$AS$49,MATCH(TRP!$B89,Analytica!$B$17:$B$49,0),MATCH(TRP!S$59&amp;TRP!S$57,Analytica!$F$16:$AR$16&amp;Analytica!$F$13:$AR$13,0)),"")</f>
        <v>0</v>
      </c>
      <c r="T89" s="627">
        <f t="array" ref="T89">IFERROR(INDEX(Analytica!$F$17:$AS$49,MATCH(TRP!$B89,Analytica!$B$17:$B$49,0),MATCH(TRP!T$59&amp;TRP!T$57,Analytica!$F$16:$AR$16&amp;Analytica!$F$13:$AR$13,0)),"")</f>
        <v>0</v>
      </c>
      <c r="U89" s="610">
        <v>3</v>
      </c>
      <c r="V89" s="610">
        <v>0</v>
      </c>
      <c r="W89" s="614">
        <f>SUMIF(Analytica!$B$17:$B$41,TRP!$B89,Analytica!$AV$17:$AV$41)</f>
        <v>1.4756852509699701</v>
      </c>
      <c r="X89" s="610">
        <f>SUMIF(Analytica!$B$17:$B$41,$B89,Analytica!AN$17:AN$41)</f>
        <v>5.8369999999999997</v>
      </c>
      <c r="Y89" s="619">
        <f t="shared" si="7"/>
        <v>0.59835954274076675</v>
      </c>
      <c r="Z89" s="619">
        <f t="shared" si="8"/>
        <v>0.5984069891061613</v>
      </c>
      <c r="AA89" s="626">
        <f t="shared" si="4"/>
        <v>25</v>
      </c>
      <c r="AB89" s="1">
        <f t="shared" si="5"/>
        <v>7.9294073221047867E-5</v>
      </c>
    </row>
    <row r="90" spans="1:33" customFormat="1" x14ac:dyDescent="0.25">
      <c r="A90" s="191" t="str">
        <f>$A36&amp;" "&amp;TRP!D$19&amp;"-E"</f>
        <v>Transport Freight - HCV5 Oil Diesel-E</v>
      </c>
      <c r="B90" s="191" t="str">
        <f t="shared" si="6"/>
        <v>TFHCV5ODS-E</v>
      </c>
      <c r="C90" s="612" t="str">
        <f t="shared" si="10"/>
        <v>TRAODS</v>
      </c>
      <c r="D90" s="612" t="str">
        <f t="shared" si="9"/>
        <v>TFHCV5</v>
      </c>
      <c r="E90" s="627">
        <f t="array" ref="E90">IFERROR(INDEX(Analytica!$F$17:$AS$49,MATCH(TRP!$B90,Analytica!$B$17:$B$49,0),MATCH(TRP!E$59&amp;TRP!E$57,Analytica!$F$16:$AR$16&amp;Analytica!$F$13:$AR$13,0)),"")</f>
        <v>9.4439576839910805E-2</v>
      </c>
      <c r="F90" s="627">
        <f t="array" ref="F90">IFERROR(INDEX(Analytica!$F$17:$AS$49,MATCH(TRP!$B90,Analytica!$B$17:$B$49,0),MATCH(TRP!F$59&amp;TRP!F$57,Analytica!$F$16:$AR$16&amp;Analytica!$F$13:$AR$13,0)),"")</f>
        <v>9.4370120075289193E-2</v>
      </c>
      <c r="G90" s="627">
        <f t="array" ref="G90">IFERROR(INDEX(Analytica!$F$17:$AS$49,MATCH(TRP!$B90,Analytica!$B$17:$B$49,0),MATCH(TRP!G$59&amp;TRP!G$57,Analytica!$F$16:$AR$16&amp;Analytica!$F$13:$AR$13,0)),"")</f>
        <v>9.6441406801161797E-2</v>
      </c>
      <c r="H90" s="627">
        <f t="array" ref="H90">IFERROR(INDEX(Analytica!$F$17:$AS$49,MATCH(TRP!$B90,Analytica!$B$17:$B$49,0),MATCH(TRP!H$59&amp;TRP!H$57,Analytica!$F$16:$AR$16&amp;Analytica!$F$13:$AR$13,0)),"")</f>
        <v>9.8419663807944702E-2</v>
      </c>
      <c r="I90" s="627">
        <f t="array" ref="I90">IFERROR(INDEX(Analytica!$F$17:$AS$49,MATCH(TRP!$B90,Analytica!$B$17:$B$49,0),MATCH(TRP!I$59&amp;TRP!I$57,Analytica!$F$16:$AR$16&amp;Analytica!$F$13:$AR$13,0)),"")</f>
        <v>9.9889600984333304E-2</v>
      </c>
      <c r="J90" s="627">
        <f t="array" ref="J90">IFERROR(INDEX(Analytica!$F$17:$AS$49,MATCH(TRP!$B90,Analytica!$B$17:$B$49,0),MATCH(TRP!J$59&amp;TRP!J$57,Analytica!$F$16:$AR$16&amp;Analytica!$F$13:$AR$13,0)),"")</f>
        <v>0.49666887732492726</v>
      </c>
      <c r="K90" s="627">
        <f t="array" ref="K90">IFERROR(INDEX(Analytica!$F$17:$AS$49,MATCH(TRP!$B90,Analytica!$B$17:$B$49,0),MATCH(TRP!K$59&amp;TRP!K$57,Analytica!$F$16:$AR$16&amp;Analytica!$F$13:$AR$13,0)),"")</f>
        <v>0.37311307638456365</v>
      </c>
      <c r="L90" s="627">
        <f t="array" ref="L90">IFERROR(INDEX(Analytica!$F$17:$AS$49,MATCH(TRP!$B90,Analytica!$B$17:$B$49,0),MATCH(TRP!L$59&amp;TRP!L$57,Analytica!$F$16:$AR$16&amp;Analytica!$F$13:$AR$13,0)),"")</f>
        <v>0.16868898482817002</v>
      </c>
      <c r="M90" s="627">
        <f t="array" ref="M90">IFERROR(INDEX(Analytica!$F$17:$AS$49,MATCH(TRP!$B90,Analytica!$B$17:$B$49,0),MATCH(TRP!M$59&amp;TRP!M$57,Analytica!$F$16:$AR$16&amp;Analytica!$F$13:$AR$13,0)),"")</f>
        <v>7.4466556660093372E-2</v>
      </c>
      <c r="N90" s="627">
        <f t="array" ref="N90">IFERROR(INDEX(Analytica!$F$17:$AS$49,MATCH(TRP!$B90,Analytica!$B$17:$B$49,0),MATCH(TRP!N$59&amp;TRP!N$57,Analytica!$F$16:$AR$16&amp;Analytica!$F$13:$AR$13,0)),"")</f>
        <v>3.1359007692890725E-2</v>
      </c>
      <c r="O90" s="627">
        <f t="array" ref="O90">IFERROR(INDEX(Analytica!$F$17:$AS$49,MATCH(TRP!$B90,Analytica!$B$17:$B$49,0),MATCH(TRP!O$59&amp;TRP!O$57,Analytica!$F$16:$AR$16&amp;Analytica!$F$13:$AR$13,0)),"")</f>
        <v>0.11</v>
      </c>
      <c r="P90" s="627">
        <f t="array" ref="P90">IFERROR(INDEX(Analytica!$F$17:$AS$49,MATCH(TRP!$B90,Analytica!$B$17:$B$49,0),MATCH(TRP!P$59&amp;TRP!P$57,Analytica!$F$16:$AR$16&amp;Analytica!$F$13:$AR$13,0)),"")</f>
        <v>5.4543032895166199</v>
      </c>
      <c r="Q90" s="627">
        <f t="array" ref="Q90">IFERROR(INDEX(Analytica!$F$17:$AS$49,MATCH(TRP!$B90,Analytica!$B$17:$B$49,0),MATCH(TRP!Q$59&amp;TRP!Q$57,Analytica!$F$16:$AR$16&amp;Analytica!$F$13:$AR$13,0)),"")</f>
        <v>5.5364181807125403</v>
      </c>
      <c r="R90" s="627">
        <f t="array" ref="R90">IFERROR(INDEX(Analytica!$F$17:$AS$49,MATCH(TRP!$B90,Analytica!$B$17:$B$49,0),MATCH(TRP!R$59&amp;TRP!R$57,Analytica!$F$16:$AR$16&amp;Analytica!$F$13:$AR$13,0)),"")</f>
        <v>2.8461230389806702</v>
      </c>
      <c r="S90" s="627">
        <f t="array" ref="S90">IFERROR(INDEX(Analytica!$F$17:$AS$49,MATCH(TRP!$B90,Analytica!$B$17:$B$49,0),MATCH(TRP!S$59&amp;TRP!S$57,Analytica!$F$16:$AR$16&amp;Analytica!$F$13:$AR$13,0)),"")</f>
        <v>0</v>
      </c>
      <c r="T90" s="627">
        <f t="array" ref="T90">IFERROR(INDEX(Analytica!$F$17:$AS$49,MATCH(TRP!$B90,Analytica!$B$17:$B$49,0),MATCH(TRP!T$59&amp;TRP!T$57,Analytica!$F$16:$AR$16&amp;Analytica!$F$13:$AR$13,0)),"")</f>
        <v>0</v>
      </c>
      <c r="U90" s="610">
        <v>3</v>
      </c>
      <c r="V90" s="610">
        <v>0</v>
      </c>
      <c r="W90" s="614">
        <f>SUMIF(Analytica!$B$17:$B$41,TRP!$B90,Analytica!$AV$17:$AV$41)</f>
        <v>0.73235470220057197</v>
      </c>
      <c r="X90" s="610">
        <f>SUMIF(Analytica!$B$17:$B$41,$B90,Analytica!AN$17:AN$41)</f>
        <v>3.1549999999999998</v>
      </c>
      <c r="Y90" s="619">
        <f t="shared" si="7"/>
        <v>0.29795686492991857</v>
      </c>
      <c r="Z90" s="619">
        <f t="shared" si="8"/>
        <v>0.29798809605332649</v>
      </c>
      <c r="AA90" s="626">
        <f t="shared" si="4"/>
        <v>26</v>
      </c>
      <c r="AB90" s="1">
        <f t="shared" si="5"/>
        <v>1.0481759973979266E-4</v>
      </c>
    </row>
    <row r="91" spans="1:33" customFormat="1" x14ac:dyDescent="0.25">
      <c r="A91" s="191" t="str">
        <f>$A37&amp;" "&amp;TRP!D$19&amp;"-E"</f>
        <v>Transport Freight - HCV6 Oil Diesel-E</v>
      </c>
      <c r="B91" s="191" t="str">
        <f t="shared" si="6"/>
        <v>TFHCV6ODS-E</v>
      </c>
      <c r="C91" s="612" t="str">
        <f t="shared" si="10"/>
        <v>TRAODS</v>
      </c>
      <c r="D91" s="612" t="str">
        <f t="shared" si="9"/>
        <v>TFHCV6</v>
      </c>
      <c r="E91" s="627">
        <f t="array" ref="E91">IFERROR(INDEX(Analytica!$F$17:$AS$49,MATCH(TRP!$B91,Analytica!$B$17:$B$49,0),MATCH(TRP!E$59&amp;TRP!E$57,Analytica!$F$16:$AR$16&amp;Analytica!$F$13:$AR$13,0)),"")</f>
        <v>6.5140074152247901E-2</v>
      </c>
      <c r="F91" s="627">
        <f t="array" ref="F91">IFERROR(INDEX(Analytica!$F$17:$AS$49,MATCH(TRP!$B91,Analytica!$B$17:$B$49,0),MATCH(TRP!F$59&amp;TRP!F$57,Analytica!$F$16:$AR$16&amp;Analytica!$F$13:$AR$13,0)),"")</f>
        <v>6.5086835525467304E-2</v>
      </c>
      <c r="G91" s="627">
        <f t="array" ref="G91">IFERROR(INDEX(Analytica!$F$17:$AS$49,MATCH(TRP!$B91,Analytica!$B$17:$B$49,0),MATCH(TRP!G$59&amp;TRP!G$57,Analytica!$F$16:$AR$16&amp;Analytica!$F$13:$AR$13,0)),"")</f>
        <v>6.6124396909204006E-2</v>
      </c>
      <c r="H91" s="627">
        <f t="array" ref="H91">IFERROR(INDEX(Analytica!$F$17:$AS$49,MATCH(TRP!$B91,Analytica!$B$17:$B$49,0),MATCH(TRP!H$59&amp;TRP!H$57,Analytica!$F$16:$AR$16&amp;Analytica!$F$13:$AR$13,0)),"")</f>
        <v>6.7166260047415702E-2</v>
      </c>
      <c r="I91" s="627">
        <f t="array" ref="I91">IFERROR(INDEX(Analytica!$F$17:$AS$49,MATCH(TRP!$B91,Analytica!$B$17:$B$49,0),MATCH(TRP!I$59&amp;TRP!I$57,Analytica!$F$16:$AR$16&amp;Analytica!$F$13:$AR$13,0)),"")</f>
        <v>6.8012622129019304E-2</v>
      </c>
      <c r="J91" s="627">
        <f t="array" ref="J91">IFERROR(INDEX(Analytica!$F$17:$AS$49,MATCH(TRP!$B91,Analytica!$B$17:$B$49,0),MATCH(TRP!J$59&amp;TRP!J$57,Analytica!$F$16:$AR$16&amp;Analytica!$F$13:$AR$13,0)),"")</f>
        <v>0.57071749864109456</v>
      </c>
      <c r="K91" s="627">
        <f t="array" ref="K91">IFERROR(INDEX(Analytica!$F$17:$AS$49,MATCH(TRP!$B91,Analytica!$B$17:$B$49,0),MATCH(TRP!K$59&amp;TRP!K$57,Analytica!$F$16:$AR$16&amp;Analytica!$F$13:$AR$13,0)),"")</f>
        <v>0.42687257745772184</v>
      </c>
      <c r="L91" s="627">
        <f t="array" ref="L91">IFERROR(INDEX(Analytica!$F$17:$AS$49,MATCH(TRP!$B91,Analytica!$B$17:$B$49,0),MATCH(TRP!L$59&amp;TRP!L$57,Analytica!$F$16:$AR$16&amp;Analytica!$F$13:$AR$13,0)),"")</f>
        <v>0.18441407223283274</v>
      </c>
      <c r="M91" s="627">
        <f t="array" ref="M91">IFERROR(INDEX(Analytica!$F$17:$AS$49,MATCH(TRP!$B91,Analytica!$B$17:$B$49,0),MATCH(TRP!M$59&amp;TRP!M$57,Analytica!$F$16:$AR$16&amp;Analytica!$F$13:$AR$13,0)),"")</f>
        <v>7.847209305148109E-2</v>
      </c>
      <c r="N91" s="627">
        <f t="array" ref="N91">IFERROR(INDEX(Analytica!$F$17:$AS$49,MATCH(TRP!$B91,Analytica!$B$17:$B$49,0),MATCH(TRP!N$59&amp;TRP!N$57,Analytica!$F$16:$AR$16&amp;Analytica!$F$13:$AR$13,0)),"")</f>
        <v>3.245534059134618E-2</v>
      </c>
      <c r="O91" s="627">
        <f t="array" ref="O91">IFERROR(INDEX(Analytica!$F$17:$AS$49,MATCH(TRP!$B91,Analytica!$B$17:$B$49,0),MATCH(TRP!O$59&amp;TRP!O$57,Analytica!$F$16:$AR$16&amp;Analytica!$F$13:$AR$13,0)),"")</f>
        <v>0.11</v>
      </c>
      <c r="P91" s="627">
        <f t="array" ref="P91">IFERROR(INDEX(Analytica!$F$17:$AS$49,MATCH(TRP!$B91,Analytica!$B$17:$B$49,0),MATCH(TRP!P$59&amp;TRP!P$57,Analytica!$F$16:$AR$16&amp;Analytica!$F$13:$AR$13,0)),"")</f>
        <v>106.12140587784999</v>
      </c>
      <c r="Q91" s="627">
        <f t="array" ref="Q91">IFERROR(INDEX(Analytica!$F$17:$AS$49,MATCH(TRP!$B91,Analytica!$B$17:$B$49,0),MATCH(TRP!Q$59&amp;TRP!Q$57,Analytica!$F$16:$AR$16&amp;Analytica!$F$13:$AR$13,0)),"")</f>
        <v>107.749502594289</v>
      </c>
      <c r="R91" s="627">
        <f t="array" ref="R91">IFERROR(INDEX(Analytica!$F$17:$AS$49,MATCH(TRP!$B91,Analytica!$B$17:$B$49,0),MATCH(TRP!R$59&amp;TRP!R$57,Analytica!$F$16:$AR$16&amp;Analytica!$F$13:$AR$13,0)),"")</f>
        <v>61.863142535247199</v>
      </c>
      <c r="S91" s="627">
        <f t="array" ref="S91">IFERROR(INDEX(Analytica!$F$17:$AS$49,MATCH(TRP!$B91,Analytica!$B$17:$B$49,0),MATCH(TRP!S$59&amp;TRP!S$57,Analytica!$F$16:$AR$16&amp;Analytica!$F$13:$AR$13,0)),"")</f>
        <v>0</v>
      </c>
      <c r="T91" s="627">
        <f t="array" ref="T91">IFERROR(INDEX(Analytica!$F$17:$AS$49,MATCH(TRP!$B91,Analytica!$B$17:$B$49,0),MATCH(TRP!T$59&amp;TRP!T$57,Analytica!$F$16:$AR$16&amp;Analytica!$F$13:$AR$13,0)),"")</f>
        <v>0</v>
      </c>
      <c r="U91" s="610">
        <v>3</v>
      </c>
      <c r="V91" s="610">
        <v>0</v>
      </c>
      <c r="W91" s="614">
        <f>SUMIF(Analytica!$B$17:$B$41,TRP!$B91,Analytica!$AV$17:$AV$41)</f>
        <v>17.542312198330201</v>
      </c>
      <c r="X91" s="610">
        <f>SUMIF(Analytica!$B$17:$B$41,$B91,Analytica!AN$17:AN$41)</f>
        <v>102.3</v>
      </c>
      <c r="Y91" s="619">
        <f t="shared" si="7"/>
        <v>6.6638295857749599</v>
      </c>
      <c r="Z91" s="619">
        <f t="shared" si="8"/>
        <v>6.6621877646371193</v>
      </c>
      <c r="AA91" s="626">
        <f t="shared" si="4"/>
        <v>27</v>
      </c>
      <c r="AB91" s="1">
        <f t="shared" si="5"/>
        <v>2.4637801983196095E-4</v>
      </c>
    </row>
    <row r="92" spans="1:33" customFormat="1" x14ac:dyDescent="0.25">
      <c r="A92" s="191" t="str">
        <f>$A38&amp;" "&amp;TRP!D$19&amp;"-E"</f>
        <v>Transport Freight - HCV7 Oil Diesel-E</v>
      </c>
      <c r="B92" s="191" t="str">
        <f t="shared" si="6"/>
        <v>TFHCV7ODS-E</v>
      </c>
      <c r="C92" s="612" t="str">
        <f t="shared" si="10"/>
        <v>TRAODS</v>
      </c>
      <c r="D92" s="612" t="str">
        <f t="shared" si="9"/>
        <v>TFHCV7</v>
      </c>
      <c r="E92" s="627">
        <f t="array" ref="E92">IFERROR(INDEX(Analytica!$F$17:$AS$49,MATCH(TRP!$B92,Analytica!$B$17:$B$49,0),MATCH(TRP!E$59&amp;TRP!E$57,Analytica!$F$16:$AR$16&amp;Analytica!$F$13:$AR$13,0)),"")</f>
        <v>7.0317841528990704E-2</v>
      </c>
      <c r="F92" s="627">
        <f t="array" ref="F92">IFERROR(INDEX(Analytica!$F$17:$AS$49,MATCH(TRP!$B92,Analytica!$B$17:$B$49,0),MATCH(TRP!F$59&amp;TRP!F$57,Analytica!$F$16:$AR$16&amp;Analytica!$F$13:$AR$13,0)),"")</f>
        <v>7.0234604805822207E-2</v>
      </c>
      <c r="G92" s="627">
        <f t="array" ref="G92">IFERROR(INDEX(Analytica!$F$17:$AS$49,MATCH(TRP!$B92,Analytica!$B$17:$B$49,0),MATCH(TRP!G$59&amp;TRP!G$57,Analytica!$F$16:$AR$16&amp;Analytica!$F$13:$AR$13,0)),"")</f>
        <v>7.1524983519216004E-2</v>
      </c>
      <c r="H92" s="627">
        <f t="array" ref="H92">IFERROR(INDEX(Analytica!$F$17:$AS$49,MATCH(TRP!$B92,Analytica!$B$17:$B$49,0),MATCH(TRP!H$59&amp;TRP!H$57,Analytica!$F$16:$AR$16&amp;Analytica!$F$13:$AR$13,0)),"")</f>
        <v>7.2864914411162496E-2</v>
      </c>
      <c r="I92" s="627">
        <f t="array" ref="I92">IFERROR(INDEX(Analytica!$F$17:$AS$49,MATCH(TRP!$B92,Analytica!$B$17:$B$49,0),MATCH(TRP!I$59&amp;TRP!I$57,Analytica!$F$16:$AR$16&amp;Analytica!$F$13:$AR$13,0)),"")</f>
        <v>7.39190120279309E-2</v>
      </c>
      <c r="J92" s="627">
        <f t="array" ref="J92">IFERROR(INDEX(Analytica!$F$17:$AS$49,MATCH(TRP!$B92,Analytica!$B$17:$B$49,0),MATCH(TRP!J$59&amp;TRP!J$57,Analytica!$F$16:$AR$16&amp;Analytica!$F$13:$AR$13,0)),"")</f>
        <v>0.5377339456060668</v>
      </c>
      <c r="K92" s="627">
        <f t="array" ref="K92">IFERROR(INDEX(Analytica!$F$17:$AS$49,MATCH(TRP!$B92,Analytica!$B$17:$B$49,0),MATCH(TRP!K$59&amp;TRP!K$57,Analytica!$F$16:$AR$16&amp;Analytica!$F$13:$AR$13,0)),"")</f>
        <v>0.40097131317651941</v>
      </c>
      <c r="L92" s="627">
        <f t="array" ref="L92">IFERROR(INDEX(Analytica!$F$17:$AS$49,MATCH(TRP!$B92,Analytica!$B$17:$B$49,0),MATCH(TRP!L$59&amp;TRP!L$57,Analytica!$F$16:$AR$16&amp;Analytica!$F$13:$AR$13,0)),"")</f>
        <v>0.17515402018271126</v>
      </c>
      <c r="M92" s="627">
        <f t="array" ref="M92">IFERROR(INDEX(Analytica!$F$17:$AS$49,MATCH(TRP!$B92,Analytica!$B$17:$B$49,0),MATCH(TRP!M$59&amp;TRP!M$57,Analytica!$F$16:$AR$16&amp;Analytica!$F$13:$AR$13,0)),"")</f>
        <v>7.6221070320468751E-2</v>
      </c>
      <c r="N92" s="627">
        <f t="array" ref="N92">IFERROR(INDEX(Analytica!$F$17:$AS$49,MATCH(TRP!$B92,Analytica!$B$17:$B$49,0),MATCH(TRP!N$59&amp;TRP!N$57,Analytica!$F$16:$AR$16&amp;Analytica!$F$13:$AR$13,0)),"")</f>
        <v>3.2008878592661688E-2</v>
      </c>
      <c r="O92" s="627">
        <f t="array" ref="O92">IFERROR(INDEX(Analytica!$F$17:$AS$49,MATCH(TRP!$B92,Analytica!$B$17:$B$49,0),MATCH(TRP!O$59&amp;TRP!O$57,Analytica!$F$16:$AR$16&amp;Analytica!$F$13:$AR$13,0)),"")</f>
        <v>0.16</v>
      </c>
      <c r="P92" s="627">
        <f t="array" ref="P92">IFERROR(INDEX(Analytica!$F$17:$AS$49,MATCH(TRP!$B92,Analytica!$B$17:$B$49,0),MATCH(TRP!P$59&amp;TRP!P$57,Analytica!$F$16:$AR$16&amp;Analytica!$F$13:$AR$13,0)),"")</f>
        <v>25.874280497520701</v>
      </c>
      <c r="Q92" s="627">
        <f t="array" ref="Q92">IFERROR(INDEX(Analytica!$F$17:$AS$49,MATCH(TRP!$B92,Analytica!$B$17:$B$49,0),MATCH(TRP!Q$59&amp;TRP!Q$57,Analytica!$F$16:$AR$16&amp;Analytica!$F$13:$AR$13,0)),"")</f>
        <v>26.4741570116765</v>
      </c>
      <c r="R92" s="627">
        <f t="array" ref="R92">IFERROR(INDEX(Analytica!$F$17:$AS$49,MATCH(TRP!$B92,Analytica!$B$17:$B$49,0),MATCH(TRP!R$59&amp;TRP!R$57,Analytica!$F$16:$AR$16&amp;Analytica!$F$13:$AR$13,0)),"")</f>
        <v>14.5024186740093</v>
      </c>
      <c r="S92" s="627">
        <f t="array" ref="S92">IFERROR(INDEX(Analytica!$F$17:$AS$49,MATCH(TRP!$B92,Analytica!$B$17:$B$49,0),MATCH(TRP!S$59&amp;TRP!S$57,Analytica!$F$16:$AR$16&amp;Analytica!$F$13:$AR$13,0)),"")</f>
        <v>0</v>
      </c>
      <c r="T92" s="627">
        <f t="array" ref="T92">IFERROR(INDEX(Analytica!$F$17:$AS$49,MATCH(TRP!$B92,Analytica!$B$17:$B$49,0),MATCH(TRP!T$59&amp;TRP!T$57,Analytica!$F$16:$AR$16&amp;Analytica!$F$13:$AR$13,0)),"")</f>
        <v>0</v>
      </c>
      <c r="U92" s="610">
        <v>3</v>
      </c>
      <c r="V92" s="610">
        <v>0</v>
      </c>
      <c r="W92" s="614">
        <f>SUMIF(Analytica!$B$17:$B$41,TRP!$B92,Analytica!$AV$17:$AV$41)</f>
        <v>3.8743984997772198</v>
      </c>
      <c r="X92" s="610">
        <f>SUMIF(Analytica!$B$17:$B$41,$B92,Analytica!AN$17:AN$41)</f>
        <v>31.66</v>
      </c>
      <c r="Y92" s="619">
        <f t="shared" si="7"/>
        <v>2.2262628628078458</v>
      </c>
      <c r="Z92" s="619">
        <f t="shared" si="8"/>
        <v>2.2261566306639859</v>
      </c>
      <c r="AA92" s="626">
        <f t="shared" si="4"/>
        <v>28</v>
      </c>
      <c r="AB92" s="1">
        <f t="shared" si="5"/>
        <v>4.7717700202731805E-5</v>
      </c>
    </row>
    <row r="93" spans="1:33" customFormat="1" x14ac:dyDescent="0.25">
      <c r="A93" s="191" t="str">
        <f>$A39&amp;" "&amp;TRP!D$19&amp;"-E"</f>
        <v>Transport Freight - HCV8 Oil Diesel-E</v>
      </c>
      <c r="B93" s="191" t="str">
        <f t="shared" si="6"/>
        <v>TFHCV8ODS-E</v>
      </c>
      <c r="C93" s="612" t="str">
        <f t="shared" si="10"/>
        <v>TRAODS</v>
      </c>
      <c r="D93" s="612" t="str">
        <f t="shared" si="9"/>
        <v>TFHCV8</v>
      </c>
      <c r="E93" s="627">
        <f t="array" ref="E93">IFERROR(INDEX(Analytica!$F$17:$AS$49,MATCH(TRP!$B93,Analytica!$B$17:$B$49,0),MATCH(TRP!E$59&amp;TRP!E$57,Analytica!$F$16:$AR$16&amp;Analytica!$F$13:$AR$13,0)),"")</f>
        <v>6.9193607941341495E-2</v>
      </c>
      <c r="F93" s="627">
        <f t="array" ref="F93">IFERROR(INDEX(Analytica!$F$17:$AS$49,MATCH(TRP!$B93,Analytica!$B$17:$B$49,0),MATCH(TRP!F$59&amp;TRP!F$57,Analytica!$F$16:$AR$16&amp;Analytica!$F$13:$AR$13,0)),"")</f>
        <v>6.9134613553873694E-2</v>
      </c>
      <c r="G93" s="627">
        <f t="array" ref="G93">IFERROR(INDEX(Analytica!$F$17:$AS$49,MATCH(TRP!$B93,Analytica!$B$17:$B$49,0),MATCH(TRP!G$59&amp;TRP!G$57,Analytica!$F$16:$AR$16&amp;Analytica!$F$13:$AR$13,0)),"")</f>
        <v>6.9756638806478602E-2</v>
      </c>
      <c r="H93" s="627">
        <f t="array" ref="H93">IFERROR(INDEX(Analytica!$F$17:$AS$49,MATCH(TRP!$B93,Analytica!$B$17:$B$49,0),MATCH(TRP!H$59&amp;TRP!H$57,Analytica!$F$16:$AR$16&amp;Analytica!$F$13:$AR$13,0)),"")</f>
        <v>7.0539322337285895E-2</v>
      </c>
      <c r="I93" s="627">
        <f t="array" ref="I93">IFERROR(INDEX(Analytica!$F$17:$AS$49,MATCH(TRP!$B93,Analytica!$B$17:$B$49,0),MATCH(TRP!I$59&amp;TRP!I$57,Analytica!$F$16:$AR$16&amp;Analytica!$F$13:$AR$13,0)),"")</f>
        <v>7.1239826934415704E-2</v>
      </c>
      <c r="J93" s="627">
        <f t="array" ref="J93">IFERROR(INDEX(Analytica!$F$17:$AS$49,MATCH(TRP!$B93,Analytica!$B$17:$B$49,0),MATCH(TRP!J$59&amp;TRP!J$57,Analytica!$F$16:$AR$16&amp;Analytica!$F$13:$AR$13,0)),"")</f>
        <v>0.67700715609301876</v>
      </c>
      <c r="K93" s="627">
        <f t="array" ref="K93">IFERROR(INDEX(Analytica!$F$17:$AS$49,MATCH(TRP!$B93,Analytica!$B$17:$B$49,0),MATCH(TRP!K$59&amp;TRP!K$57,Analytica!$F$16:$AR$16&amp;Analytica!$F$13:$AR$13,0)),"")</f>
        <v>0.50325549202134368</v>
      </c>
      <c r="L93" s="627">
        <f t="array" ref="L93">IFERROR(INDEX(Analytica!$F$17:$AS$49,MATCH(TRP!$B93,Analytica!$B$17:$B$49,0),MATCH(TRP!L$59&amp;TRP!L$57,Analytica!$F$16:$AR$16&amp;Analytica!$F$13:$AR$13,0)),"")</f>
        <v>0.20297641470000749</v>
      </c>
      <c r="M93" s="627">
        <f t="array" ref="M93">IFERROR(INDEX(Analytica!$F$17:$AS$49,MATCH(TRP!$B93,Analytica!$B$17:$B$49,0),MATCH(TRP!M$59&amp;TRP!M$57,Analytica!$F$16:$AR$16&amp;Analytica!$F$13:$AR$13,0)),"")</f>
        <v>8.2989891398502505E-2</v>
      </c>
      <c r="N93" s="627">
        <f t="array" ref="N93">IFERROR(INDEX(Analytica!$F$17:$AS$49,MATCH(TRP!$B93,Analytica!$B$17:$B$49,0),MATCH(TRP!N$59&amp;TRP!N$57,Analytica!$F$16:$AR$16&amp;Analytica!$F$13:$AR$13,0)),"")</f>
        <v>3.3595291432656688E-2</v>
      </c>
      <c r="O93" s="627">
        <f t="array" ref="O93">IFERROR(INDEX(Analytica!$F$17:$AS$49,MATCH(TRP!$B93,Analytica!$B$17:$B$49,0),MATCH(TRP!O$59&amp;TRP!O$57,Analytica!$F$16:$AR$16&amp;Analytica!$F$13:$AR$13,0)),"")</f>
        <v>0.16</v>
      </c>
      <c r="P93" s="627">
        <f t="array" ref="P93">IFERROR(INDEX(Analytica!$F$17:$AS$49,MATCH(TRP!$B93,Analytica!$B$17:$B$49,0),MATCH(TRP!P$59&amp;TRP!P$57,Analytica!$F$16:$AR$16&amp;Analytica!$F$13:$AR$13,0)),"")</f>
        <v>1.1282532037320601</v>
      </c>
      <c r="Q93" s="627">
        <f t="array" ref="Q93">IFERROR(INDEX(Analytica!$F$17:$AS$49,MATCH(TRP!$B93,Analytica!$B$17:$B$49,0),MATCH(TRP!Q$59&amp;TRP!Q$57,Analytica!$F$16:$AR$16&amp;Analytica!$F$13:$AR$13,0)),"")</f>
        <v>1.1464635873024001</v>
      </c>
      <c r="R93" s="627">
        <f t="array" ref="R93">IFERROR(INDEX(Analytica!$F$17:$AS$49,MATCH(TRP!$B93,Analytica!$B$17:$B$49,0),MATCH(TRP!R$59&amp;TRP!R$57,Analytica!$F$16:$AR$16&amp;Analytica!$F$13:$AR$13,0)),"")</f>
        <v>0.75373569008702301</v>
      </c>
      <c r="S93" s="627">
        <f t="array" ref="S93">IFERROR(INDEX(Analytica!$F$17:$AS$49,MATCH(TRP!$B93,Analytica!$B$17:$B$49,0),MATCH(TRP!S$59&amp;TRP!S$57,Analytica!$F$16:$AR$16&amp;Analytica!$F$13:$AR$13,0)),"")</f>
        <v>0</v>
      </c>
      <c r="T93" s="627">
        <f t="array" ref="T93">IFERROR(INDEX(Analytica!$F$17:$AS$49,MATCH(TRP!$B93,Analytica!$B$17:$B$49,0),MATCH(TRP!T$59&amp;TRP!T$57,Analytica!$F$16:$AR$16&amp;Analytica!$F$13:$AR$13,0)),"")</f>
        <v>0</v>
      </c>
      <c r="U93" s="610">
        <v>3</v>
      </c>
      <c r="V93" s="610">
        <v>0</v>
      </c>
      <c r="W93" s="614">
        <f>SUMIF(Analytica!$B$17:$B$41,TRP!$B93,Analytica!$AV$17:$AV$41)</f>
        <v>0.238006104554429</v>
      </c>
      <c r="X93" s="610">
        <f>SUMIF(Analytica!$B$17:$B$41,$B93,Analytica!AN$17:AN$41)</f>
        <v>1.766</v>
      </c>
      <c r="Y93" s="619">
        <f t="shared" si="7"/>
        <v>0.12219591162440908</v>
      </c>
      <c r="Z93" s="619">
        <f t="shared" si="8"/>
        <v>0.12221367884983668</v>
      </c>
      <c r="AA93" s="626">
        <f t="shared" si="4"/>
        <v>29</v>
      </c>
      <c r="AB93" s="1">
        <f t="shared" si="5"/>
        <v>1.4539950798186929E-4</v>
      </c>
    </row>
    <row r="94" spans="1:33" customFormat="1" x14ac:dyDescent="0.25">
      <c r="A94" s="191" t="str">
        <f>$A40&amp;" "&amp;TRP!D$19&amp;"-E"</f>
        <v>Transport Freight - HCV9 Oil Diesel-E</v>
      </c>
      <c r="B94" s="191" t="str">
        <f t="shared" si="6"/>
        <v>TFHCV9ODS-E</v>
      </c>
      <c r="C94" s="612" t="str">
        <f t="shared" si="10"/>
        <v>TRAODS</v>
      </c>
      <c r="D94" s="612" t="str">
        <f t="shared" si="9"/>
        <v>TFHCV9</v>
      </c>
      <c r="E94" s="627">
        <f t="array" ref="E94">IFERROR(INDEX(Analytica!$F$17:$AS$49,MATCH(TRP!$B94,Analytica!$B$17:$B$49,0),MATCH(TRP!E$59&amp;TRP!E$57,Analytica!$F$16:$AR$16&amp;Analytica!$F$13:$AR$13,0)),"")</f>
        <v>5.4371364101907703E-2</v>
      </c>
      <c r="F94" s="627">
        <f t="array" ref="F94">IFERROR(INDEX(Analytica!$F$17:$AS$49,MATCH(TRP!$B94,Analytica!$B$17:$B$49,0),MATCH(TRP!F$59&amp;TRP!F$57,Analytica!$F$16:$AR$16&amp;Analytica!$F$13:$AR$13,0)),"")</f>
        <v>5.4374543331148002E-2</v>
      </c>
      <c r="G94" s="627">
        <f t="array" ref="G94">IFERROR(INDEX(Analytica!$F$17:$AS$49,MATCH(TRP!$B94,Analytica!$B$17:$B$49,0),MATCH(TRP!G$59&amp;TRP!G$57,Analytica!$F$16:$AR$16&amp;Analytica!$F$13:$AR$13,0)),"")</f>
        <v>5.4895435674524602E-2</v>
      </c>
      <c r="H94" s="627">
        <f t="array" ref="H94">IFERROR(INDEX(Analytica!$F$17:$AS$49,MATCH(TRP!$B94,Analytica!$B$17:$B$49,0),MATCH(TRP!H$59&amp;TRP!H$57,Analytica!$F$16:$AR$16&amp;Analytica!$F$13:$AR$13,0)),"")</f>
        <v>5.5820318048132901E-2</v>
      </c>
      <c r="I94" s="627">
        <f t="array" ref="I94">IFERROR(INDEX(Analytica!$F$17:$AS$49,MATCH(TRP!$B94,Analytica!$B$17:$B$49,0),MATCH(TRP!I$59&amp;TRP!I$57,Analytica!$F$16:$AR$16&amp;Analytica!$F$13:$AR$13,0)),"")</f>
        <v>5.7192352651667E-2</v>
      </c>
      <c r="J94" s="627">
        <f t="array" ref="J94">IFERROR(INDEX(Analytica!$F$17:$AS$49,MATCH(TRP!$B94,Analytica!$B$17:$B$49,0),MATCH(TRP!J$59&amp;TRP!J$57,Analytica!$F$16:$AR$16&amp;Analytica!$F$13:$AR$13,0)),"")</f>
        <v>0.3854073688786</v>
      </c>
      <c r="K94" s="627">
        <f t="array" ref="K94">IFERROR(INDEX(Analytica!$F$17:$AS$49,MATCH(TRP!$B94,Analytica!$B$17:$B$49,0),MATCH(TRP!K$59&amp;TRP!K$57,Analytica!$F$16:$AR$16&amp;Analytica!$F$13:$AR$13,0)),"")</f>
        <v>0.29044833906206613</v>
      </c>
      <c r="L94" s="627">
        <f t="array" ref="L94">IFERROR(INDEX(Analytica!$F$17:$AS$49,MATCH(TRP!$B94,Analytica!$B$17:$B$49,0),MATCH(TRP!L$59&amp;TRP!L$57,Analytica!$F$16:$AR$16&amp;Analytica!$F$13:$AR$13,0)),"")</f>
        <v>0.11637498864141833</v>
      </c>
      <c r="M94" s="627">
        <f t="array" ref="M94">IFERROR(INDEX(Analytica!$F$17:$AS$49,MATCH(TRP!$B94,Analytica!$B$17:$B$49,0),MATCH(TRP!M$59&amp;TRP!M$57,Analytica!$F$16:$AR$16&amp;Analytica!$F$13:$AR$13,0)),"")</f>
        <v>4.8355376514288277E-2</v>
      </c>
      <c r="N94" s="627">
        <f t="array" ref="N94">IFERROR(INDEX(Analytica!$F$17:$AS$49,MATCH(TRP!$B94,Analytica!$B$17:$B$49,0),MATCH(TRP!N$59&amp;TRP!N$57,Analytica!$F$16:$AR$16&amp;Analytica!$F$13:$AR$13,0)),"")</f>
        <v>2.1275930948661221E-2</v>
      </c>
      <c r="O94" s="627">
        <f t="array" ref="O94">IFERROR(INDEX(Analytica!$F$17:$AS$49,MATCH(TRP!$B94,Analytica!$B$17:$B$49,0),MATCH(TRP!O$59&amp;TRP!O$57,Analytica!$F$16:$AR$16&amp;Analytica!$F$13:$AR$13,0)),"")</f>
        <v>0.18</v>
      </c>
      <c r="P94" s="627">
        <f t="array" ref="P94">IFERROR(INDEX(Analytica!$F$17:$AS$49,MATCH(TRP!$B94,Analytica!$B$17:$B$49,0),MATCH(TRP!P$59&amp;TRP!P$57,Analytica!$F$16:$AR$16&amp;Analytica!$F$13:$AR$13,0)),"")</f>
        <v>0.42396796687300597</v>
      </c>
      <c r="Q94" s="627">
        <f t="array" ref="Q94">IFERROR(INDEX(Analytica!$F$17:$AS$49,MATCH(TRP!$B94,Analytica!$B$17:$B$49,0),MATCH(TRP!Q$59&amp;TRP!Q$57,Analytica!$F$16:$AR$16&amp;Analytica!$F$13:$AR$13,0)),"")</f>
        <v>0.44340231551193199</v>
      </c>
      <c r="R94" s="627">
        <f t="array" ref="R94">IFERROR(INDEX(Analytica!$F$17:$AS$49,MATCH(TRP!$B94,Analytica!$B$17:$B$49,0),MATCH(TRP!R$59&amp;TRP!R$57,Analytica!$F$16:$AR$16&amp;Analytica!$F$13:$AR$13,0)),"")</f>
        <v>0.19789597907123299</v>
      </c>
      <c r="S94" s="627">
        <f t="array" ref="S94">IFERROR(INDEX(Analytica!$F$17:$AS$49,MATCH(TRP!$B94,Analytica!$B$17:$B$49,0),MATCH(TRP!S$59&amp;TRP!S$57,Analytica!$F$16:$AR$16&amp;Analytica!$F$13:$AR$13,0)),"")</f>
        <v>0</v>
      </c>
      <c r="T94" s="627">
        <f t="array" ref="T94">IFERROR(INDEX(Analytica!$F$17:$AS$49,MATCH(TRP!$B94,Analytica!$B$17:$B$49,0),MATCH(TRP!T$59&amp;TRP!T$57,Analytica!$F$16:$AR$16&amp;Analytica!$F$13:$AR$13,0)),"")</f>
        <v>0</v>
      </c>
      <c r="U94" s="610">
        <v>3</v>
      </c>
      <c r="V94" s="610">
        <v>0</v>
      </c>
      <c r="W94" s="614">
        <f>SUMIF(Analytica!$B$17:$B$41,TRP!$B94,Analytica!$AV$17:$AV$41)</f>
        <v>3.2405837509481498E-2</v>
      </c>
      <c r="X94" s="610">
        <f>SUMIF(Analytica!$B$17:$B$41,$B94,Analytica!AN$17:AN$41)</f>
        <v>0.54090000000000005</v>
      </c>
      <c r="Y94" s="619">
        <f t="shared" si="7"/>
        <v>2.9409470842721878E-2</v>
      </c>
      <c r="Z94" s="619">
        <f t="shared" si="8"/>
        <v>2.9412068148240243E-2</v>
      </c>
      <c r="AA94" s="626">
        <f t="shared" si="4"/>
        <v>30</v>
      </c>
      <c r="AB94" s="1">
        <f t="shared" si="5"/>
        <v>8.8315275451611441E-5</v>
      </c>
      <c r="AE94" t="s">
        <v>1015</v>
      </c>
    </row>
    <row r="95" spans="1:33" x14ac:dyDescent="0.25">
      <c r="A95" s="618" t="s">
        <v>1013</v>
      </c>
      <c r="B95" s="191"/>
      <c r="C95" s="612"/>
      <c r="D95" s="612"/>
      <c r="E95" s="617"/>
      <c r="F95" s="617"/>
      <c r="G95" s="617"/>
      <c r="H95" s="617"/>
      <c r="I95" s="617"/>
      <c r="J95" s="616"/>
      <c r="K95" s="616"/>
      <c r="L95" s="616"/>
      <c r="M95" s="616"/>
      <c r="N95" s="616"/>
      <c r="O95" s="615"/>
      <c r="P95" s="610"/>
      <c r="Q95" s="610"/>
      <c r="R95" s="610"/>
      <c r="S95" s="610"/>
      <c r="T95" s="610"/>
      <c r="U95" s="610"/>
      <c r="V95" s="610"/>
      <c r="W95" s="614"/>
      <c r="X95" s="610"/>
      <c r="Y95" s="624">
        <f>SUM(Y85:Y94)</f>
        <v>17.891944900154474</v>
      </c>
      <c r="Z95" s="624">
        <f>SUM(Z85:Z94)</f>
        <v>17.890217191123501</v>
      </c>
      <c r="AA95" s="1">
        <f t="shared" si="4"/>
        <v>31</v>
      </c>
      <c r="AB95" s="1">
        <f t="shared" si="5"/>
        <v>9.6563511715164196E-5</v>
      </c>
      <c r="AC95"/>
      <c r="AD95" s="610"/>
      <c r="AE95" s="625"/>
      <c r="AF95" s="1"/>
    </row>
    <row r="96" spans="1:33" x14ac:dyDescent="0.25">
      <c r="A96" s="191" t="str">
        <f>A41&amp;" "&amp;TRP!D$19&amp;"-E"</f>
        <v>Transport Freight - Rail Corridor Oil Diesel-E</v>
      </c>
      <c r="B96" s="191" t="str">
        <f>D96&amp;RIGHT(C96,3)&amp;"-E"</f>
        <v>TFRCOODS-E</v>
      </c>
      <c r="C96" s="612" t="str">
        <f>$D$6</f>
        <v>TRAODS</v>
      </c>
      <c r="D96" s="612" t="str">
        <f>$B$41</f>
        <v>TFRCO</v>
      </c>
      <c r="E96" s="617">
        <f>Calib_2017!AF42</f>
        <v>2.8040417913534488</v>
      </c>
      <c r="F96" s="617">
        <f t="shared" ref="F96:I97" si="11">E96</f>
        <v>2.8040417913534488</v>
      </c>
      <c r="G96" s="617">
        <f t="shared" si="11"/>
        <v>2.8040417913534488</v>
      </c>
      <c r="H96" s="617">
        <f t="shared" si="11"/>
        <v>2.8040417913534488</v>
      </c>
      <c r="I96" s="617">
        <f t="shared" si="11"/>
        <v>2.8040417913534488</v>
      </c>
      <c r="J96" s="616">
        <v>1</v>
      </c>
      <c r="K96" s="616">
        <f>J96</f>
        <v>1</v>
      </c>
      <c r="L96" s="616">
        <f t="shared" ref="L96:N97" si="12">K96</f>
        <v>1</v>
      </c>
      <c r="M96" s="616">
        <f t="shared" si="12"/>
        <v>1</v>
      </c>
      <c r="N96" s="616">
        <f t="shared" si="12"/>
        <v>1</v>
      </c>
      <c r="O96" s="615">
        <v>1</v>
      </c>
      <c r="P96" s="610">
        <f>Y96</f>
        <v>7.1799653230224925</v>
      </c>
      <c r="Q96" s="610">
        <f>P96</f>
        <v>7.1799653230224925</v>
      </c>
      <c r="R96" s="610">
        <v>3.7282705735624746</v>
      </c>
      <c r="S96" s="620">
        <v>0</v>
      </c>
      <c r="T96" s="620">
        <v>0</v>
      </c>
      <c r="U96" s="610">
        <v>3</v>
      </c>
      <c r="V96" s="610">
        <v>0</v>
      </c>
      <c r="W96" s="614">
        <v>1</v>
      </c>
      <c r="X96" s="610">
        <f>D41</f>
        <v>2.5605771444500771</v>
      </c>
      <c r="Y96" s="619">
        <f>X96*E96</f>
        <v>7.1799653230224925</v>
      </c>
      <c r="Z96" s="619">
        <f t="shared" ref="Z96:Z103" si="13">J96*O96*P96</f>
        <v>7.1799653230224925</v>
      </c>
      <c r="AA96" s="1">
        <f t="shared" si="4"/>
        <v>32</v>
      </c>
      <c r="AB96" s="1">
        <f t="shared" si="5"/>
        <v>0</v>
      </c>
      <c r="AC96"/>
      <c r="AD96" s="610">
        <f>Calib_2017!$P42/1000</f>
        <v>2.5605771444500771</v>
      </c>
      <c r="AE96" s="613">
        <f>AD96*E96</f>
        <v>7.1799653230224925</v>
      </c>
      <c r="AF96" s="613">
        <f>J96*$O96*P96</f>
        <v>7.1799653230224925</v>
      </c>
    </row>
    <row r="97" spans="1:32" x14ac:dyDescent="0.25">
      <c r="A97" s="191" t="str">
        <f>A41&amp;" "&amp;TRP!E$19&amp;"-E"</f>
        <v>Transport Freight - Rail Corridor Electricity-E</v>
      </c>
      <c r="B97" s="191" t="str">
        <f>D97&amp;RIGHT(C97,3)&amp;"-E"</f>
        <v>TFRCOELC-E</v>
      </c>
      <c r="C97" s="612" t="str">
        <f>$E$6</f>
        <v>TRAELC</v>
      </c>
      <c r="D97" s="612" t="str">
        <f>$B$41</f>
        <v>TFRCO</v>
      </c>
      <c r="E97" s="617">
        <f>Calib_2017!AG42</f>
        <v>4.0285422116338081</v>
      </c>
      <c r="F97" s="617">
        <f t="shared" si="11"/>
        <v>4.0285422116338081</v>
      </c>
      <c r="G97" s="617">
        <f t="shared" si="11"/>
        <v>4.0285422116338081</v>
      </c>
      <c r="H97" s="617">
        <f t="shared" si="11"/>
        <v>4.0285422116338081</v>
      </c>
      <c r="I97" s="617">
        <f t="shared" si="11"/>
        <v>4.0285422116338081</v>
      </c>
      <c r="J97" s="616">
        <v>1</v>
      </c>
      <c r="K97" s="616">
        <f>J97</f>
        <v>1</v>
      </c>
      <c r="L97" s="616">
        <f t="shared" si="12"/>
        <v>1</v>
      </c>
      <c r="M97" s="616">
        <f t="shared" si="12"/>
        <v>1</v>
      </c>
      <c r="N97" s="616">
        <f t="shared" si="12"/>
        <v>1</v>
      </c>
      <c r="O97" s="615">
        <v>1</v>
      </c>
      <c r="P97" s="610">
        <f>Y97</f>
        <v>14.820034676977507</v>
      </c>
      <c r="Q97" s="610">
        <f>P97</f>
        <v>14.820034676977507</v>
      </c>
      <c r="R97" s="610">
        <f>Q97</f>
        <v>14.820034676977507</v>
      </c>
      <c r="S97" s="620">
        <f>R97</f>
        <v>14.820034676977507</v>
      </c>
      <c r="T97" s="620">
        <f>S97</f>
        <v>14.820034676977507</v>
      </c>
      <c r="U97" s="610">
        <v>3</v>
      </c>
      <c r="V97" s="610">
        <v>0</v>
      </c>
      <c r="W97" s="614">
        <v>1</v>
      </c>
      <c r="X97" s="610">
        <f>E41</f>
        <v>3.6787586919604651</v>
      </c>
      <c r="Y97" s="619">
        <f>X97*E97</f>
        <v>14.820034676977507</v>
      </c>
      <c r="Z97" s="619">
        <f t="shared" si="13"/>
        <v>14.820034676977507</v>
      </c>
      <c r="AA97" s="1">
        <f t="shared" si="4"/>
        <v>33</v>
      </c>
      <c r="AB97" s="1">
        <f t="shared" si="5"/>
        <v>0</v>
      </c>
      <c r="AC97"/>
      <c r="AD97" s="610">
        <f>Calib_2017!$S42/1000</f>
        <v>3.6787586919604651</v>
      </c>
      <c r="AE97" s="613">
        <f>AD97*E97</f>
        <v>14.820034676977507</v>
      </c>
      <c r="AF97" s="613">
        <f>J97*$O97*P97</f>
        <v>14.820034676977507</v>
      </c>
    </row>
    <row r="98" spans="1:32" x14ac:dyDescent="0.25">
      <c r="A98" s="618" t="s">
        <v>1013</v>
      </c>
      <c r="B98" s="191"/>
      <c r="C98" s="612"/>
      <c r="D98" s="617"/>
      <c r="E98" s="617"/>
      <c r="F98" s="617"/>
      <c r="G98" s="617"/>
      <c r="H98" s="617"/>
      <c r="I98" s="617"/>
      <c r="J98" s="616"/>
      <c r="K98" s="616"/>
      <c r="L98" s="616"/>
      <c r="M98" s="616"/>
      <c r="N98" s="616"/>
      <c r="O98" s="615"/>
      <c r="P98" s="610"/>
      <c r="Q98" s="610"/>
      <c r="R98" s="610"/>
      <c r="S98" s="610"/>
      <c r="T98" s="610"/>
      <c r="U98" s="610"/>
      <c r="V98" s="610"/>
      <c r="W98" s="614"/>
      <c r="X98" s="610"/>
      <c r="Y98" s="624">
        <f>Y97+Y96</f>
        <v>22</v>
      </c>
      <c r="Z98" s="624">
        <f>Z97+Z96</f>
        <v>22</v>
      </c>
      <c r="AA98" s="1">
        <f t="shared" si="4"/>
        <v>34</v>
      </c>
      <c r="AB98" s="1">
        <f t="shared" si="5"/>
        <v>0</v>
      </c>
      <c r="AC98"/>
      <c r="AD98" s="610"/>
      <c r="AE98" s="605">
        <f>SUM(AE96:AE97)</f>
        <v>22</v>
      </c>
      <c r="AF98" s="605">
        <f>SUM(AF96:AF97)</f>
        <v>22</v>
      </c>
    </row>
    <row r="99" spans="1:32" x14ac:dyDescent="0.25">
      <c r="A99" s="191" t="str">
        <f>A42&amp;" "&amp;TRP!D$19&amp;"-E"</f>
        <v>Transport Freight - Rail Other Oil Diesel-E</v>
      </c>
      <c r="B99" s="191" t="str">
        <f>D99&amp;RIGHT(C99,3)&amp;"-E"</f>
        <v>TFROTODS-E</v>
      </c>
      <c r="C99" s="612" t="str">
        <f>$D$6</f>
        <v>TRAODS</v>
      </c>
      <c r="D99" s="612" t="str">
        <f>$B$42</f>
        <v>TFROT</v>
      </c>
      <c r="E99" s="617">
        <f>Calib_old!AF43</f>
        <v>4.2248786996646812</v>
      </c>
      <c r="F99" s="617">
        <f t="shared" ref="F99:I100" si="14">E99</f>
        <v>4.2248786996646812</v>
      </c>
      <c r="G99" s="617">
        <f t="shared" si="14"/>
        <v>4.2248786996646812</v>
      </c>
      <c r="H99" s="617">
        <f t="shared" si="14"/>
        <v>4.2248786996646812</v>
      </c>
      <c r="I99" s="617">
        <f t="shared" si="14"/>
        <v>4.2248786996646812</v>
      </c>
      <c r="J99" s="616">
        <v>1</v>
      </c>
      <c r="K99" s="616">
        <f>J99</f>
        <v>1</v>
      </c>
      <c r="L99" s="616">
        <f t="shared" ref="L99:N100" si="15">K99</f>
        <v>1</v>
      </c>
      <c r="M99" s="616">
        <f t="shared" si="15"/>
        <v>1</v>
      </c>
      <c r="N99" s="616">
        <f t="shared" si="15"/>
        <v>1</v>
      </c>
      <c r="O99" s="615">
        <v>1</v>
      </c>
      <c r="P99" s="610">
        <f>Y99</f>
        <v>5.3170222384328474</v>
      </c>
      <c r="Q99" s="610">
        <f>P99</f>
        <v>5.3170222384328474</v>
      </c>
      <c r="R99" s="610">
        <f>Q99</f>
        <v>5.3170222384328474</v>
      </c>
      <c r="S99" s="620">
        <v>0</v>
      </c>
      <c r="T99" s="620">
        <v>0</v>
      </c>
      <c r="U99" s="610">
        <v>3</v>
      </c>
      <c r="V99" s="610">
        <v>0</v>
      </c>
      <c r="W99" s="614">
        <v>1</v>
      </c>
      <c r="X99" s="610">
        <f>D42</f>
        <v>1.2585029337895186</v>
      </c>
      <c r="Y99" s="619">
        <f>X99*E99</f>
        <v>5.3170222384328474</v>
      </c>
      <c r="Z99" s="619">
        <f t="shared" si="13"/>
        <v>5.3170222384328474</v>
      </c>
      <c r="AA99" s="1">
        <f t="shared" si="4"/>
        <v>35</v>
      </c>
      <c r="AB99" s="1">
        <f t="shared" si="5"/>
        <v>0</v>
      </c>
      <c r="AC99"/>
      <c r="AD99" s="610">
        <f>Calib_2017!$P43/1000</f>
        <v>1.2585029337895186</v>
      </c>
      <c r="AE99" s="613">
        <f>AD99*E99</f>
        <v>5.3170222384328474</v>
      </c>
      <c r="AF99" s="613">
        <f>J99*$O99*P99</f>
        <v>5.3170222384328474</v>
      </c>
    </row>
    <row r="100" spans="1:32" x14ac:dyDescent="0.25">
      <c r="A100" s="191" t="str">
        <f>A42&amp;" "&amp;TRP!E$19&amp;"-E"</f>
        <v>Transport Freight - Rail Other Electricity-E</v>
      </c>
      <c r="B100" s="191" t="str">
        <f>D100&amp;RIGHT(C100,3)&amp;"-E"</f>
        <v>TFROTELC-E</v>
      </c>
      <c r="C100" s="612" t="str">
        <f>$E$6</f>
        <v>TRAELC</v>
      </c>
      <c r="D100" s="612" t="str">
        <f>$B$42</f>
        <v>TFROT</v>
      </c>
      <c r="E100" s="617">
        <f>Calib_old!AG43</f>
        <v>12.071081999041946</v>
      </c>
      <c r="F100" s="617">
        <f t="shared" si="14"/>
        <v>12.071081999041946</v>
      </c>
      <c r="G100" s="617">
        <f t="shared" si="14"/>
        <v>12.071081999041946</v>
      </c>
      <c r="H100" s="617">
        <f t="shared" si="14"/>
        <v>12.071081999041946</v>
      </c>
      <c r="I100" s="617">
        <f t="shared" si="14"/>
        <v>12.071081999041946</v>
      </c>
      <c r="J100" s="616">
        <v>1</v>
      </c>
      <c r="K100" s="616">
        <f>J100</f>
        <v>1</v>
      </c>
      <c r="L100" s="616">
        <f t="shared" si="15"/>
        <v>1</v>
      </c>
      <c r="M100" s="616">
        <f t="shared" si="15"/>
        <v>1</v>
      </c>
      <c r="N100" s="616">
        <f t="shared" si="15"/>
        <v>1</v>
      </c>
      <c r="O100" s="615">
        <v>1</v>
      </c>
      <c r="P100" s="610">
        <f>Y100</f>
        <v>21.825483275883826</v>
      </c>
      <c r="Q100" s="610">
        <f>P100</f>
        <v>21.825483275883826</v>
      </c>
      <c r="R100" s="610">
        <f t="shared" ref="R100:T100" si="16">Q100</f>
        <v>21.825483275883826</v>
      </c>
      <c r="S100" s="620">
        <f t="shared" si="16"/>
        <v>21.825483275883826</v>
      </c>
      <c r="T100" s="620">
        <f t="shared" si="16"/>
        <v>21.825483275883826</v>
      </c>
      <c r="U100" s="610">
        <v>3</v>
      </c>
      <c r="V100" s="610">
        <v>0</v>
      </c>
      <c r="W100" s="614">
        <v>1</v>
      </c>
      <c r="X100" s="610">
        <f>E42</f>
        <v>1.8080801105995357</v>
      </c>
      <c r="Y100" s="619">
        <f>X100*E100</f>
        <v>21.825483275883826</v>
      </c>
      <c r="Z100" s="619">
        <f t="shared" si="13"/>
        <v>21.825483275883826</v>
      </c>
      <c r="AA100" s="1">
        <f t="shared" si="4"/>
        <v>36</v>
      </c>
      <c r="AB100" s="1">
        <f t="shared" si="5"/>
        <v>0</v>
      </c>
      <c r="AC100"/>
      <c r="AD100" s="610">
        <f>Calib_2017!$S43/1000</f>
        <v>1.8080801105995357</v>
      </c>
      <c r="AE100" s="613">
        <f>AD100*E100</f>
        <v>21.825483275883826</v>
      </c>
      <c r="AF100" s="613">
        <f>J100*$O100*P100</f>
        <v>21.825483275883826</v>
      </c>
    </row>
    <row r="101" spans="1:32" x14ac:dyDescent="0.25">
      <c r="A101" s="618" t="s">
        <v>1013</v>
      </c>
      <c r="B101" s="191"/>
      <c r="C101" s="612"/>
      <c r="D101" s="617"/>
      <c r="E101" s="617"/>
      <c r="F101" s="617"/>
      <c r="G101" s="617"/>
      <c r="H101" s="617"/>
      <c r="I101" s="617"/>
      <c r="J101" s="616"/>
      <c r="K101" s="616"/>
      <c r="L101" s="616"/>
      <c r="M101" s="616"/>
      <c r="N101" s="616"/>
      <c r="O101" s="615"/>
      <c r="P101" s="610"/>
      <c r="Q101" s="610"/>
      <c r="R101" s="610"/>
      <c r="S101" s="610"/>
      <c r="T101" s="610"/>
      <c r="U101" s="610"/>
      <c r="V101" s="610"/>
      <c r="W101" s="614"/>
      <c r="X101" s="610"/>
      <c r="Y101" s="624">
        <f>Y100+Y99</f>
        <v>27.142505514316674</v>
      </c>
      <c r="Z101" s="619"/>
      <c r="AA101" s="1">
        <f t="shared" si="4"/>
        <v>37</v>
      </c>
      <c r="AC101"/>
      <c r="AD101" s="610"/>
      <c r="AE101" s="605">
        <f>SUM(AE99:AE100)</f>
        <v>27.142505514316674</v>
      </c>
      <c r="AF101" s="605">
        <f>SUM(AF99:AF100)</f>
        <v>27.142505514316674</v>
      </c>
    </row>
    <row r="102" spans="1:32" x14ac:dyDescent="0.25">
      <c r="A102" s="191" t="str">
        <f>A$43&amp;" "&amp;TRP!D$19&amp;"-E"</f>
        <v>Transport Freight - Rail Export (bulk mining) Oil Diesel-E</v>
      </c>
      <c r="B102" s="191" t="str">
        <f>D102&amp;RIGHT(C102,3)&amp;"R-E"</f>
        <v>TFREXODSR-E</v>
      </c>
      <c r="C102" s="612" t="str">
        <f>$D$6</f>
        <v>TRAODS</v>
      </c>
      <c r="D102" s="612" t="str">
        <f>$B$43</f>
        <v>TFREX</v>
      </c>
      <c r="E102" s="617">
        <f>Calib_old!AF44</f>
        <v>6.545125793438701</v>
      </c>
      <c r="F102" s="617">
        <f t="shared" ref="F102:I103" si="17">E102</f>
        <v>6.545125793438701</v>
      </c>
      <c r="G102" s="617">
        <f t="shared" si="17"/>
        <v>6.545125793438701</v>
      </c>
      <c r="H102" s="617">
        <f t="shared" si="17"/>
        <v>6.545125793438701</v>
      </c>
      <c r="I102" s="617">
        <f t="shared" si="17"/>
        <v>6.545125793438701</v>
      </c>
      <c r="J102" s="616">
        <v>1</v>
      </c>
      <c r="K102" s="616">
        <f>J102</f>
        <v>1</v>
      </c>
      <c r="L102" s="616">
        <f t="shared" ref="L102:N103" si="18">K102</f>
        <v>1</v>
      </c>
      <c r="M102" s="616">
        <f t="shared" si="18"/>
        <v>1</v>
      </c>
      <c r="N102" s="616">
        <f t="shared" si="18"/>
        <v>1</v>
      </c>
      <c r="O102" s="615">
        <v>1</v>
      </c>
      <c r="P102" s="610">
        <f>Y102</f>
        <v>17.370351535916075</v>
      </c>
      <c r="Q102" s="610">
        <f>P102</f>
        <v>17.370351535916075</v>
      </c>
      <c r="R102" s="610">
        <f>Q102</f>
        <v>17.370351535916075</v>
      </c>
      <c r="S102" s="620">
        <v>0</v>
      </c>
      <c r="T102" s="620">
        <v>0</v>
      </c>
      <c r="U102" s="610">
        <v>3</v>
      </c>
      <c r="V102" s="610">
        <v>0</v>
      </c>
      <c r="W102" s="614">
        <v>1</v>
      </c>
      <c r="X102" s="610">
        <f>D43</f>
        <v>2.6539370035224303</v>
      </c>
      <c r="Y102" s="619">
        <f>X102*E102</f>
        <v>17.370351535916075</v>
      </c>
      <c r="Z102" s="619">
        <f t="shared" si="13"/>
        <v>17.370351535916075</v>
      </c>
      <c r="AA102" s="1">
        <f t="shared" si="4"/>
        <v>38</v>
      </c>
      <c r="AB102" s="1">
        <f t="shared" si="5"/>
        <v>0</v>
      </c>
      <c r="AC102"/>
      <c r="AD102" s="610">
        <f>Calib_2017!$P44/1000</f>
        <v>2.6539370035224303</v>
      </c>
      <c r="AE102" s="613">
        <f>AD102*E102</f>
        <v>17.370351535916075</v>
      </c>
      <c r="AF102" s="613">
        <f>J102*$O102*P102</f>
        <v>17.370351535916075</v>
      </c>
    </row>
    <row r="103" spans="1:32" x14ac:dyDescent="0.25">
      <c r="A103" s="191" t="str">
        <f>A$43&amp;" "&amp;TRP!E$19&amp;"-E"</f>
        <v>Transport Freight - Rail Export (bulk mining) Electricity-E</v>
      </c>
      <c r="B103" s="191" t="str">
        <f>D103&amp;RIGHT(C103,3)&amp;"R-E"</f>
        <v>TFREXELCR-E</v>
      </c>
      <c r="C103" s="612" t="str">
        <f>$E$6</f>
        <v>TRAELC</v>
      </c>
      <c r="D103" s="612" t="str">
        <f>$B$43</f>
        <v>TFREX</v>
      </c>
      <c r="E103" s="617">
        <f>Calib_old!AG44</f>
        <v>18.700359409824859</v>
      </c>
      <c r="F103" s="617">
        <f t="shared" si="17"/>
        <v>18.700359409824859</v>
      </c>
      <c r="G103" s="617">
        <f t="shared" si="17"/>
        <v>18.700359409824859</v>
      </c>
      <c r="H103" s="617">
        <f t="shared" si="17"/>
        <v>18.700359409824859</v>
      </c>
      <c r="I103" s="617">
        <f t="shared" si="17"/>
        <v>18.700359409824859</v>
      </c>
      <c r="J103" s="616">
        <v>1</v>
      </c>
      <c r="K103" s="616">
        <f>J103</f>
        <v>1</v>
      </c>
      <c r="L103" s="616">
        <f t="shared" si="18"/>
        <v>1</v>
      </c>
      <c r="M103" s="616">
        <f t="shared" si="18"/>
        <v>1</v>
      </c>
      <c r="N103" s="616">
        <f t="shared" si="18"/>
        <v>1</v>
      </c>
      <c r="O103" s="615">
        <v>1</v>
      </c>
      <c r="P103" s="610">
        <f>Y103</f>
        <v>71.302375642329608</v>
      </c>
      <c r="Q103" s="610">
        <f>P103</f>
        <v>71.302375642329608</v>
      </c>
      <c r="R103" s="610">
        <f>Q103</f>
        <v>71.302375642329608</v>
      </c>
      <c r="S103" s="620">
        <f>R103</f>
        <v>71.302375642329608</v>
      </c>
      <c r="T103" s="620">
        <f>S103</f>
        <v>71.302375642329608</v>
      </c>
      <c r="U103" s="610">
        <v>3</v>
      </c>
      <c r="V103" s="610">
        <v>0</v>
      </c>
      <c r="W103" s="614">
        <v>1</v>
      </c>
      <c r="X103" s="610">
        <f>E43</f>
        <v>3.8128879814399999</v>
      </c>
      <c r="Y103" s="619">
        <f>X103*E103</f>
        <v>71.302375642329608</v>
      </c>
      <c r="Z103" s="619">
        <f t="shared" si="13"/>
        <v>71.302375642329608</v>
      </c>
      <c r="AA103" s="1">
        <f t="shared" si="4"/>
        <v>39</v>
      </c>
      <c r="AB103" s="1">
        <f t="shared" si="5"/>
        <v>0</v>
      </c>
      <c r="AC103"/>
      <c r="AD103" s="610">
        <f>Calib_2017!$S44/1000</f>
        <v>3.8128879814399999</v>
      </c>
      <c r="AE103" s="613">
        <f>AD103*E103</f>
        <v>71.302375642329608</v>
      </c>
      <c r="AF103" s="613">
        <f>J103*$O103*P103</f>
        <v>71.302375642329608</v>
      </c>
    </row>
    <row r="104" spans="1:32" x14ac:dyDescent="0.25">
      <c r="A104" s="618" t="s">
        <v>1013</v>
      </c>
      <c r="B104" s="191"/>
      <c r="C104" s="612"/>
      <c r="D104" s="617"/>
      <c r="E104" s="617"/>
      <c r="F104" s="617"/>
      <c r="G104" s="617"/>
      <c r="H104" s="617"/>
      <c r="I104" s="617"/>
      <c r="J104" s="616"/>
      <c r="K104" s="616"/>
      <c r="L104" s="616"/>
      <c r="M104" s="616"/>
      <c r="N104" s="616"/>
      <c r="O104" s="615"/>
      <c r="P104" s="610"/>
      <c r="Q104" s="610"/>
      <c r="R104" s="610"/>
      <c r="S104" s="610"/>
      <c r="T104" s="610"/>
      <c r="U104" s="610"/>
      <c r="V104" s="610"/>
      <c r="W104" s="614"/>
      <c r="X104" s="610"/>
      <c r="Y104" s="624">
        <f>Y103+Y102</f>
        <v>88.67272717824568</v>
      </c>
      <c r="Z104" s="624">
        <f>Z103+Z102</f>
        <v>88.67272717824568</v>
      </c>
      <c r="AA104" s="1">
        <f t="shared" si="4"/>
        <v>40</v>
      </c>
      <c r="AB104" s="1">
        <f t="shared" si="5"/>
        <v>0</v>
      </c>
      <c r="AC104"/>
      <c r="AD104" s="610"/>
      <c r="AE104" s="605">
        <f>SUM(AE102:AE103)</f>
        <v>88.67272717824568</v>
      </c>
      <c r="AF104" s="605">
        <f>SUM(AF102:AF103)</f>
        <v>88.67272717824568</v>
      </c>
    </row>
    <row r="105" spans="1:32" x14ac:dyDescent="0.25">
      <c r="A105" s="623" t="s">
        <v>1014</v>
      </c>
      <c r="B105" s="191"/>
      <c r="C105" s="609"/>
      <c r="D105" s="622"/>
      <c r="E105" s="622"/>
      <c r="F105" s="622"/>
      <c r="G105" s="622"/>
      <c r="H105" s="622"/>
      <c r="I105" s="622"/>
      <c r="J105" s="610"/>
      <c r="K105" s="610"/>
      <c r="L105" s="610"/>
      <c r="M105" s="610"/>
      <c r="N105" s="610"/>
      <c r="O105" s="622"/>
      <c r="P105" s="610"/>
      <c r="Q105" s="610"/>
      <c r="R105" s="610"/>
      <c r="S105" s="622"/>
      <c r="T105" s="622"/>
      <c r="U105" s="622"/>
      <c r="V105" s="622"/>
      <c r="W105" s="621"/>
      <c r="X105" s="621"/>
      <c r="Z105" s="619"/>
      <c r="AA105" s="1">
        <f t="shared" si="4"/>
        <v>41</v>
      </c>
      <c r="AC105"/>
      <c r="AD105" s="621"/>
      <c r="AE105" s="9"/>
      <c r="AF105" s="9"/>
    </row>
    <row r="106" spans="1:32" x14ac:dyDescent="0.25">
      <c r="A106" s="191" t="str">
        <f>A$46&amp;" "&amp;TRP!E$19&amp;"-E"</f>
        <v>Transport Other - Pipeline Electricity-E</v>
      </c>
      <c r="B106" s="191" t="str">
        <f>D106&amp;RIGHT(C106,3)&amp;"-E"</f>
        <v>TFPIPELC-E</v>
      </c>
      <c r="C106" s="612" t="str">
        <f>$E$6</f>
        <v>TRAELC</v>
      </c>
      <c r="D106" s="612" t="str">
        <f>$B$46</f>
        <v>TFPIP</v>
      </c>
      <c r="E106" s="617">
        <v>1</v>
      </c>
      <c r="F106" s="617">
        <f t="shared" ref="F106:I110" si="19">E106</f>
        <v>1</v>
      </c>
      <c r="G106" s="617">
        <f t="shared" si="19"/>
        <v>1</v>
      </c>
      <c r="H106" s="617">
        <f t="shared" si="19"/>
        <v>1</v>
      </c>
      <c r="I106" s="617">
        <f t="shared" si="19"/>
        <v>1</v>
      </c>
      <c r="J106" s="616">
        <v>1</v>
      </c>
      <c r="K106" s="616">
        <f>J106</f>
        <v>1</v>
      </c>
      <c r="L106" s="616">
        <f t="shared" ref="L106:N110" si="20">K106</f>
        <v>1</v>
      </c>
      <c r="M106" s="616">
        <f t="shared" si="20"/>
        <v>1</v>
      </c>
      <c r="N106" s="616">
        <f t="shared" si="20"/>
        <v>1</v>
      </c>
      <c r="O106" s="615">
        <v>1</v>
      </c>
      <c r="P106" s="610">
        <f t="shared" ref="P106:P110" si="21">Y106</f>
        <v>1.641128256</v>
      </c>
      <c r="Q106" s="610">
        <f t="shared" ref="Q106:R106" si="22">P106</f>
        <v>1.641128256</v>
      </c>
      <c r="R106" s="610">
        <f t="shared" si="22"/>
        <v>1.641128256</v>
      </c>
      <c r="S106" s="620">
        <v>1.641128256</v>
      </c>
      <c r="T106" s="620">
        <v>1.641128256</v>
      </c>
      <c r="U106" s="610">
        <v>3</v>
      </c>
      <c r="V106" s="610">
        <v>0</v>
      </c>
      <c r="W106" s="614">
        <v>1</v>
      </c>
      <c r="X106" s="616">
        <f>E46</f>
        <v>1.641128256</v>
      </c>
      <c r="Y106" s="619">
        <f>X106*E106</f>
        <v>1.641128256</v>
      </c>
      <c r="Z106" s="619">
        <f t="shared" ref="Z106:Z110" si="23">J106*O106*P106</f>
        <v>1.641128256</v>
      </c>
      <c r="AA106" s="1">
        <f t="shared" si="4"/>
        <v>42</v>
      </c>
      <c r="AB106" s="1">
        <f t="shared" si="5"/>
        <v>0</v>
      </c>
      <c r="AC106"/>
      <c r="AD106" s="616">
        <f>EB_2017!BL136/1000</f>
        <v>0.808301088</v>
      </c>
      <c r="AE106" s="613">
        <f>AD106*E106</f>
        <v>0.808301088</v>
      </c>
      <c r="AF106" s="613">
        <f>J106*$O106*P106</f>
        <v>1.641128256</v>
      </c>
    </row>
    <row r="107" spans="1:32" x14ac:dyDescent="0.25">
      <c r="A107" s="191" t="str">
        <f>$A47&amp;"-E"</f>
        <v>Transport Other -  Aviation Int Jet Fuel -E</v>
      </c>
      <c r="B107" s="191" t="str">
        <f>D107&amp;RIGHT(C107,3)&amp;"-E"</f>
        <v>TAIJETOKE-E</v>
      </c>
      <c r="C107" s="612" t="str">
        <f>$I$6</f>
        <v>TRAOKE</v>
      </c>
      <c r="D107" s="612" t="str">
        <f>$B$47</f>
        <v>TAIJET</v>
      </c>
      <c r="E107" s="617">
        <v>1</v>
      </c>
      <c r="F107" s="617">
        <f t="shared" si="19"/>
        <v>1</v>
      </c>
      <c r="G107" s="617">
        <f t="shared" si="19"/>
        <v>1</v>
      </c>
      <c r="H107" s="617">
        <f t="shared" si="19"/>
        <v>1</v>
      </c>
      <c r="I107" s="617">
        <f t="shared" si="19"/>
        <v>1</v>
      </c>
      <c r="J107" s="616">
        <v>1</v>
      </c>
      <c r="K107" s="616">
        <f>J107</f>
        <v>1</v>
      </c>
      <c r="L107" s="616">
        <f t="shared" si="20"/>
        <v>1</v>
      </c>
      <c r="M107" s="616">
        <f t="shared" si="20"/>
        <v>1</v>
      </c>
      <c r="N107" s="616">
        <f t="shared" si="20"/>
        <v>1</v>
      </c>
      <c r="O107" s="615">
        <v>1</v>
      </c>
      <c r="P107" s="610">
        <f t="shared" si="21"/>
        <v>68.938999999999993</v>
      </c>
      <c r="Q107" s="610">
        <f t="shared" ref="Q107" si="24">P107</f>
        <v>68.938999999999993</v>
      </c>
      <c r="R107" s="610">
        <f>Q107*0.5</f>
        <v>34.469499999999996</v>
      </c>
      <c r="S107" s="620">
        <v>0</v>
      </c>
      <c r="T107" s="620">
        <v>0</v>
      </c>
      <c r="U107" s="610">
        <v>3</v>
      </c>
      <c r="V107" s="610">
        <v>0</v>
      </c>
      <c r="W107" s="614">
        <v>1</v>
      </c>
      <c r="X107" s="610">
        <f>J47</f>
        <v>68.938999999999993</v>
      </c>
      <c r="Y107" s="619">
        <f>X107*E107</f>
        <v>68.938999999999993</v>
      </c>
      <c r="Z107" s="619">
        <f t="shared" si="23"/>
        <v>68.938999999999993</v>
      </c>
      <c r="AA107" s="1">
        <f t="shared" si="4"/>
        <v>43</v>
      </c>
      <c r="AB107" s="1">
        <f t="shared" si="5"/>
        <v>0</v>
      </c>
      <c r="AC107"/>
      <c r="AD107" s="610"/>
      <c r="AF107" s="1"/>
    </row>
    <row r="108" spans="1:32" x14ac:dyDescent="0.25">
      <c r="A108" s="191" t="str">
        <f>$A48&amp;"-E"</f>
        <v>Transport Other -  Aviation Dom Jet Fuel -E</v>
      </c>
      <c r="B108" s="191" t="str">
        <f>D108&amp;RIGHT(C108,3)&amp;"-E"</f>
        <v>TADJETOKE-E</v>
      </c>
      <c r="C108" s="612" t="str">
        <f>$I$6</f>
        <v>TRAOKE</v>
      </c>
      <c r="D108" s="612" t="str">
        <f>$B$48</f>
        <v>TADJET</v>
      </c>
      <c r="E108" s="617">
        <v>1</v>
      </c>
      <c r="F108" s="617">
        <f t="shared" si="19"/>
        <v>1</v>
      </c>
      <c r="G108" s="617">
        <f t="shared" si="19"/>
        <v>1</v>
      </c>
      <c r="H108" s="617">
        <f t="shared" si="19"/>
        <v>1</v>
      </c>
      <c r="I108" s="617">
        <f t="shared" si="19"/>
        <v>1</v>
      </c>
      <c r="J108" s="616">
        <v>1</v>
      </c>
      <c r="K108" s="616">
        <f>J108</f>
        <v>1</v>
      </c>
      <c r="L108" s="616">
        <f t="shared" si="20"/>
        <v>1</v>
      </c>
      <c r="M108" s="616">
        <f t="shared" si="20"/>
        <v>1</v>
      </c>
      <c r="N108" s="616">
        <f t="shared" si="20"/>
        <v>1</v>
      </c>
      <c r="O108" s="615">
        <v>1</v>
      </c>
      <c r="P108" s="610">
        <f t="shared" si="21"/>
        <v>20.483000000000001</v>
      </c>
      <c r="Q108" s="610">
        <f t="shared" ref="Q108" si="25">P108</f>
        <v>20.483000000000001</v>
      </c>
      <c r="R108" s="610">
        <f t="shared" ref="R108:R109" si="26">Q108*0.5</f>
        <v>10.2415</v>
      </c>
      <c r="S108" s="620">
        <v>0</v>
      </c>
      <c r="T108" s="620">
        <v>0</v>
      </c>
      <c r="U108" s="610">
        <v>3</v>
      </c>
      <c r="V108" s="610">
        <v>0</v>
      </c>
      <c r="W108" s="614">
        <v>1</v>
      </c>
      <c r="X108" s="610">
        <f>J48</f>
        <v>20.483000000000001</v>
      </c>
      <c r="Y108" s="619">
        <f>X108*E108</f>
        <v>20.483000000000001</v>
      </c>
      <c r="Z108" s="619">
        <f t="shared" si="23"/>
        <v>20.483000000000001</v>
      </c>
      <c r="AA108" s="1">
        <f t="shared" si="4"/>
        <v>44</v>
      </c>
      <c r="AB108" s="1">
        <f t="shared" si="5"/>
        <v>0</v>
      </c>
      <c r="AC108"/>
      <c r="AD108" s="610"/>
      <c r="AF108" s="1"/>
    </row>
    <row r="109" spans="1:32" x14ac:dyDescent="0.25">
      <c r="A109" s="191" t="str">
        <f>A$49&amp;"-E"</f>
        <v>Transport Other - Aviation Gasoline-E</v>
      </c>
      <c r="B109" s="191" t="str">
        <f>D109&amp;RIGHT(C109,3)&amp;"-E"</f>
        <v>TAOAGOAG-E</v>
      </c>
      <c r="C109" s="612" t="str">
        <f>$C$6</f>
        <v>TRAOAG</v>
      </c>
      <c r="D109" s="612" t="str">
        <f>$B$49</f>
        <v>TAOAG</v>
      </c>
      <c r="E109" s="617">
        <v>1</v>
      </c>
      <c r="F109" s="617">
        <f t="shared" si="19"/>
        <v>1</v>
      </c>
      <c r="G109" s="617">
        <f t="shared" si="19"/>
        <v>1</v>
      </c>
      <c r="H109" s="617">
        <f t="shared" si="19"/>
        <v>1</v>
      </c>
      <c r="I109" s="617">
        <f t="shared" si="19"/>
        <v>1</v>
      </c>
      <c r="J109" s="616">
        <v>1</v>
      </c>
      <c r="K109" s="616">
        <f>J109</f>
        <v>1</v>
      </c>
      <c r="L109" s="616">
        <f t="shared" si="20"/>
        <v>1</v>
      </c>
      <c r="M109" s="616">
        <f t="shared" si="20"/>
        <v>1</v>
      </c>
      <c r="N109" s="616">
        <f t="shared" si="20"/>
        <v>1</v>
      </c>
      <c r="O109" s="615">
        <v>1</v>
      </c>
      <c r="P109" s="610">
        <f t="shared" si="21"/>
        <v>0.82199999999999995</v>
      </c>
      <c r="Q109" s="610">
        <f t="shared" ref="Q109" si="27">P109</f>
        <v>0.82199999999999995</v>
      </c>
      <c r="R109" s="610">
        <f t="shared" si="26"/>
        <v>0.41099999999999998</v>
      </c>
      <c r="S109" s="620">
        <v>0</v>
      </c>
      <c r="T109" s="620">
        <v>0</v>
      </c>
      <c r="U109" s="610">
        <v>3</v>
      </c>
      <c r="V109" s="610">
        <v>0</v>
      </c>
      <c r="W109" s="614">
        <v>1</v>
      </c>
      <c r="X109" s="610">
        <f>C49</f>
        <v>0.82199999999999995</v>
      </c>
      <c r="Y109" s="619">
        <f>X109*E109</f>
        <v>0.82199999999999995</v>
      </c>
      <c r="Z109" s="619">
        <f t="shared" si="23"/>
        <v>0.82199999999999995</v>
      </c>
      <c r="AA109" s="1">
        <f>AA107+1</f>
        <v>44</v>
      </c>
      <c r="AB109" s="1">
        <f t="shared" si="5"/>
        <v>0</v>
      </c>
      <c r="AC109"/>
      <c r="AD109" s="610"/>
      <c r="AF109" s="1"/>
    </row>
    <row r="110" spans="1:32" x14ac:dyDescent="0.25">
      <c r="A110" s="191" t="str">
        <f>A$50&amp;"-E"</f>
        <v>Transport Other - HFO-E</v>
      </c>
      <c r="B110" s="191" t="str">
        <f>D110&amp;RIGHT(C110,3)&amp;"-E"</f>
        <v>TSHFOOHF-E</v>
      </c>
      <c r="C110" s="612" t="str">
        <f>$H$6</f>
        <v>TRAOHF</v>
      </c>
      <c r="D110" s="612" t="str">
        <f>$B$50</f>
        <v>TSHFO</v>
      </c>
      <c r="E110" s="617">
        <v>1</v>
      </c>
      <c r="F110" s="617">
        <f t="shared" si="19"/>
        <v>1</v>
      </c>
      <c r="G110" s="617">
        <f t="shared" si="19"/>
        <v>1</v>
      </c>
      <c r="H110" s="617">
        <f t="shared" si="19"/>
        <v>1</v>
      </c>
      <c r="I110" s="617">
        <f t="shared" si="19"/>
        <v>1</v>
      </c>
      <c r="J110" s="616">
        <v>1</v>
      </c>
      <c r="K110" s="616">
        <f>J110</f>
        <v>1</v>
      </c>
      <c r="L110" s="616">
        <f t="shared" si="20"/>
        <v>1</v>
      </c>
      <c r="M110" s="616">
        <f t="shared" si="20"/>
        <v>1</v>
      </c>
      <c r="N110" s="616">
        <f t="shared" si="20"/>
        <v>1</v>
      </c>
      <c r="O110" s="615">
        <v>1</v>
      </c>
      <c r="P110" s="610">
        <f t="shared" si="21"/>
        <v>2.77</v>
      </c>
      <c r="Q110" s="610">
        <f t="shared" ref="Q110:R110" si="28">P110</f>
        <v>2.77</v>
      </c>
      <c r="R110" s="610">
        <f t="shared" si="28"/>
        <v>2.77</v>
      </c>
      <c r="S110" s="620">
        <v>0</v>
      </c>
      <c r="T110" s="620">
        <v>0</v>
      </c>
      <c r="U110" s="610">
        <v>3</v>
      </c>
      <c r="V110" s="610">
        <v>0</v>
      </c>
      <c r="W110" s="614">
        <v>1</v>
      </c>
      <c r="X110" s="617">
        <f>I50</f>
        <v>2.77</v>
      </c>
      <c r="Y110" s="619">
        <f>X110*E110</f>
        <v>2.77</v>
      </c>
      <c r="Z110" s="619">
        <f t="shared" si="23"/>
        <v>2.77</v>
      </c>
      <c r="AA110" s="1">
        <f>AA109+1</f>
        <v>45</v>
      </c>
      <c r="AB110" s="1">
        <f t="shared" si="5"/>
        <v>0</v>
      </c>
      <c r="AC110"/>
      <c r="AD110" s="617"/>
      <c r="AF110" s="1"/>
    </row>
    <row r="111" spans="1:32" x14ac:dyDescent="0.25">
      <c r="A111" s="618" t="s">
        <v>1013</v>
      </c>
      <c r="B111" s="191"/>
      <c r="C111" s="612"/>
      <c r="D111" s="612"/>
      <c r="E111" s="617"/>
      <c r="F111" s="617"/>
      <c r="G111" s="617"/>
      <c r="H111" s="617"/>
      <c r="I111" s="617"/>
      <c r="J111" s="616"/>
      <c r="K111" s="616"/>
      <c r="L111" s="616"/>
      <c r="M111" s="616"/>
      <c r="N111" s="616"/>
      <c r="O111" s="615"/>
      <c r="P111" s="610"/>
      <c r="Q111" s="610"/>
      <c r="R111" s="610"/>
      <c r="S111" s="610"/>
      <c r="T111" s="610"/>
      <c r="U111" s="610"/>
      <c r="V111" s="610"/>
      <c r="W111" s="614"/>
      <c r="X111" s="610"/>
      <c r="Y111" s="613"/>
      <c r="Z111" s="613"/>
      <c r="AA111" s="1">
        <f>AA110+1</f>
        <v>46</v>
      </c>
      <c r="AC111"/>
      <c r="AD111" s="610"/>
      <c r="AF111" s="1"/>
    </row>
    <row r="112" spans="1:32" x14ac:dyDescent="0.25">
      <c r="A112" s="607" t="s">
        <v>1012</v>
      </c>
      <c r="B112" s="191" t="s">
        <v>110</v>
      </c>
      <c r="C112" s="606" t="str">
        <f>C76</f>
        <v>TRAODS</v>
      </c>
      <c r="D112" s="612" t="s">
        <v>110</v>
      </c>
      <c r="E112" s="611"/>
      <c r="F112" s="611"/>
      <c r="G112" s="611"/>
      <c r="H112" s="611"/>
      <c r="I112" s="611"/>
      <c r="J112" s="610"/>
      <c r="K112" s="610"/>
      <c r="L112" s="610"/>
      <c r="M112" s="610"/>
      <c r="N112" s="610"/>
      <c r="O112" s="606"/>
      <c r="P112" s="609"/>
      <c r="Q112" s="609"/>
      <c r="R112" s="609"/>
      <c r="S112" s="609"/>
      <c r="T112" s="609"/>
      <c r="U112" s="609"/>
      <c r="V112" s="609"/>
      <c r="W112" s="608"/>
      <c r="X112" s="605">
        <f>SUMIF($C$63:$C$109,C112,$X$63:$X$109)</f>
        <v>402.49591708176212</v>
      </c>
      <c r="Y112" s="605"/>
      <c r="AC112"/>
      <c r="AD112" s="605">
        <f>SUMIF($C$63:$C$109,G112,$X$63:$X$109)</f>
        <v>0</v>
      </c>
      <c r="AF112" s="1"/>
    </row>
    <row r="113" spans="1:32" x14ac:dyDescent="0.25">
      <c r="A113" s="607" t="s">
        <v>1011</v>
      </c>
      <c r="B113" s="191" t="s">
        <v>110</v>
      </c>
      <c r="C113" s="606" t="str">
        <f>C77</f>
        <v>TRAOGS</v>
      </c>
      <c r="D113" s="612" t="s">
        <v>110</v>
      </c>
      <c r="E113" s="611"/>
      <c r="F113" s="611"/>
      <c r="G113" s="611"/>
      <c r="H113" s="611"/>
      <c r="I113" s="611"/>
      <c r="J113" s="610"/>
      <c r="K113" s="610"/>
      <c r="L113" s="610"/>
      <c r="M113" s="610"/>
      <c r="N113" s="610"/>
      <c r="O113" s="606"/>
      <c r="P113" s="609"/>
      <c r="Q113" s="609"/>
      <c r="R113" s="609"/>
      <c r="S113" s="609"/>
      <c r="T113" s="609"/>
      <c r="U113" s="609"/>
      <c r="V113" s="609"/>
      <c r="W113" s="608"/>
      <c r="X113" s="605">
        <f>SUMIF($C$63:$C$109,C113,$X$63:$X$109)</f>
        <v>381.63581682762708</v>
      </c>
      <c r="Y113" s="605"/>
      <c r="AC113"/>
      <c r="AD113" s="605">
        <f>SUMIF($C$63:$C$109,G113,$X$63:$X$109)</f>
        <v>0</v>
      </c>
      <c r="AF113" s="1"/>
    </row>
    <row r="114" spans="1:32" x14ac:dyDescent="0.25">
      <c r="A114" s="607" t="s">
        <v>1010</v>
      </c>
      <c r="C114" s="606" t="str">
        <f>C79</f>
        <v>TRAELC</v>
      </c>
      <c r="X114" s="605">
        <f>SUMIF($C$63:$C$109,C114,$X$63:$X$109)</f>
        <v>13.197128255999999</v>
      </c>
      <c r="Y114" s="605"/>
      <c r="AC114"/>
      <c r="AD114" s="605">
        <f>SUMIF($C$63:$C$109,G114,$X$63:$X$109)</f>
        <v>0</v>
      </c>
      <c r="AF114" s="1"/>
    </row>
    <row r="115" spans="1:32" s="604" customFormat="1" x14ac:dyDescent="0.25">
      <c r="A115" s="604" t="s">
        <v>1009</v>
      </c>
      <c r="B115" s="604">
        <f>SUMPRODUCT(--(B63:B114&lt;&gt;""))</f>
        <v>37</v>
      </c>
      <c r="AA115" s="604">
        <f>+COUNTIF(AA63:AA111,"&gt;0")+1</f>
        <v>50</v>
      </c>
      <c r="AB115" s="1"/>
      <c r="AC115"/>
    </row>
    <row r="116" spans="1:32" x14ac:dyDescent="0.25">
      <c r="AD116"/>
      <c r="AF116" s="1"/>
    </row>
    <row r="117" spans="1:32" x14ac:dyDescent="0.25">
      <c r="AD117"/>
      <c r="AF117" s="1"/>
    </row>
  </sheetData>
  <mergeCells count="1">
    <mergeCell ref="B1:D1"/>
  </mergeCells>
  <conditionalFormatting sqref="AB63:AB115">
    <cfRule type="expression" dxfId="3" priority="1">
      <formula>ABS(1-(Z63/Y63)) &gt;$AB$61</formula>
    </cfRule>
    <cfRule type="expression" dxfId="2" priority="2">
      <formula>ABS(1-(Z63/Y63)) &lt; $AB$61</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046F-26B4-40FC-B0CB-AE8A722AB468}">
  <sheetPr codeName="Sheet3">
    <tabColor theme="4"/>
  </sheetPr>
  <dimension ref="A2:H57"/>
  <sheetViews>
    <sheetView topLeftCell="A24" workbookViewId="0">
      <selection activeCell="C17" sqref="C17"/>
    </sheetView>
  </sheetViews>
  <sheetFormatPr defaultColWidth="9.140625" defaultRowHeight="11.25" x14ac:dyDescent="0.2"/>
  <cols>
    <col min="1" max="1" width="12.42578125" style="682" customWidth="1"/>
    <col min="2" max="2" width="14.42578125" style="682" customWidth="1"/>
    <col min="3" max="3" width="45.42578125" style="682" customWidth="1"/>
    <col min="4" max="4" width="10.140625" style="682" customWidth="1"/>
    <col min="5" max="5" width="12" style="682" customWidth="1"/>
    <col min="6" max="7" width="9.140625" style="682"/>
    <col min="8" max="8" width="9.140625" style="683"/>
    <col min="9" max="16384" width="9.140625" style="682"/>
  </cols>
  <sheetData>
    <row r="2" spans="1:7" ht="15" x14ac:dyDescent="0.25">
      <c r="B2" s="687" t="s">
        <v>1129</v>
      </c>
    </row>
    <row r="3" spans="1:7" ht="15" x14ac:dyDescent="0.25">
      <c r="B3" s="686" t="s">
        <v>1037</v>
      </c>
      <c r="C3" s="686" t="s">
        <v>1038</v>
      </c>
      <c r="D3" s="686" t="s">
        <v>1128</v>
      </c>
      <c r="E3" s="686" t="s">
        <v>1127</v>
      </c>
      <c r="F3" s="686" t="s">
        <v>1126</v>
      </c>
      <c r="G3" s="686" t="s">
        <v>1125</v>
      </c>
    </row>
    <row r="4" spans="1:7" x14ac:dyDescent="0.2">
      <c r="A4" s="682" t="s">
        <v>1124</v>
      </c>
      <c r="B4" s="685" t="s">
        <v>1123</v>
      </c>
      <c r="C4" s="685"/>
      <c r="D4" s="685"/>
      <c r="E4" s="685"/>
      <c r="F4" s="685"/>
    </row>
    <row r="5" spans="1:7" x14ac:dyDescent="0.2">
      <c r="A5" s="682" t="str">
        <f>IF(LEFT(TRP!A63,2)="\I","*","")</f>
        <v/>
      </c>
      <c r="B5" s="682" t="str">
        <f>IF(A5="*","",TRP!B63)</f>
        <v>TPPRSUVODS-E</v>
      </c>
      <c r="C5" s="682" t="str">
        <f>IF(A5="*","",TRP!A63)</f>
        <v>Transport Passenger SUV Priv.Veh. Oil Diesel-E</v>
      </c>
      <c r="D5" s="684"/>
      <c r="E5" s="684"/>
      <c r="F5" s="682" t="s">
        <v>1122</v>
      </c>
      <c r="G5" s="682" t="s">
        <v>1121</v>
      </c>
    </row>
    <row r="6" spans="1:7" x14ac:dyDescent="0.2">
      <c r="A6" s="682" t="str">
        <f>IF(LEFT(TRP!A64,2)="\I","*","")</f>
        <v/>
      </c>
      <c r="B6" s="682" t="str">
        <f>IF(A6="*","",TRP!B64)</f>
        <v>TPPRSUVOGS-E</v>
      </c>
      <c r="C6" s="682" t="str">
        <f>IF(A6="*","",TRP!A64)</f>
        <v>Transport Passenger SUV Priv.Veh. Oil Gasoline-E</v>
      </c>
      <c r="D6" s="684"/>
      <c r="E6" s="684"/>
      <c r="F6" s="682" t="s">
        <v>1122</v>
      </c>
      <c r="G6" s="682" t="s">
        <v>1121</v>
      </c>
    </row>
    <row r="7" spans="1:7" x14ac:dyDescent="0.2">
      <c r="A7" s="682" t="str">
        <f>IF(LEFT(TRP!A65,2)="\I","*","")</f>
        <v/>
      </c>
      <c r="B7" s="682" t="str">
        <f>IF(A7="*","",TRP!B65)</f>
        <v>TPPRSUVOGSH-E</v>
      </c>
      <c r="C7" s="682" t="str">
        <f>IF(A7="*","",TRP!A65)</f>
        <v>Transport Passenger SUV Priv.Veh. Oil GasolineHybrid-E</v>
      </c>
      <c r="D7" s="684"/>
      <c r="E7" s="684"/>
      <c r="F7" s="682" t="s">
        <v>1122</v>
      </c>
      <c r="G7" s="682" t="s">
        <v>1121</v>
      </c>
    </row>
    <row r="8" spans="1:7" x14ac:dyDescent="0.2">
      <c r="A8" s="682" t="str">
        <f>IF(LEFT(TRP!A66,2)="\I","*","")</f>
        <v/>
      </c>
      <c r="B8" s="682" t="str">
        <f>IF(A8="*","",TRP!B66)</f>
        <v>TPPRSUVELC-E</v>
      </c>
      <c r="C8" s="682" t="str">
        <f>IF(A8="*","",TRP!A66)</f>
        <v>Transport Passenger SUV Priv.Veh. Electricity-E</v>
      </c>
      <c r="D8" s="684"/>
      <c r="E8" s="684"/>
      <c r="F8" s="682" t="s">
        <v>1122</v>
      </c>
      <c r="G8" s="682" t="s">
        <v>1121</v>
      </c>
    </row>
    <row r="9" spans="1:7" x14ac:dyDescent="0.2">
      <c r="A9" s="682" t="str">
        <f>IF(LEFT(TRP!A67,2)="\I","*","")</f>
        <v>*</v>
      </c>
      <c r="B9" s="682" t="str">
        <f>IF(A9="*","",TRP!B67)</f>
        <v/>
      </c>
      <c r="C9" s="682" t="str">
        <f>IF(A9="*","",TRP!A67)</f>
        <v/>
      </c>
      <c r="D9" s="684"/>
      <c r="E9" s="684"/>
    </row>
    <row r="10" spans="1:7" x14ac:dyDescent="0.2">
      <c r="A10" s="682" t="str">
        <f>IF(LEFT(TRP!A68,2)="\I","*","")</f>
        <v/>
      </c>
      <c r="B10" s="682" t="str">
        <f>IF(A10="*","",TRP!B68)</f>
        <v>TPPRCARODS-E</v>
      </c>
      <c r="C10" s="682" t="str">
        <f>IF(A10="*","",TRP!A68)</f>
        <v>Transport Passenger Car Priv.Veh. Oil Diesel-E</v>
      </c>
      <c r="D10" s="684"/>
      <c r="E10" s="684"/>
      <c r="F10" s="682" t="s">
        <v>1122</v>
      </c>
      <c r="G10" s="682" t="s">
        <v>1121</v>
      </c>
    </row>
    <row r="11" spans="1:7" x14ac:dyDescent="0.2">
      <c r="A11" s="682" t="str">
        <f>IF(LEFT(TRP!A69,2)="\I","*","")</f>
        <v/>
      </c>
      <c r="B11" s="682" t="str">
        <f>IF(A11="*","",TRP!B69)</f>
        <v>TPPRCAROGS-E</v>
      </c>
      <c r="C11" s="682" t="str">
        <f>IF(A11="*","",TRP!A69)</f>
        <v>Transport Passenger Car Priv.Veh. Oil Gasoline-E</v>
      </c>
      <c r="D11" s="684"/>
      <c r="E11" s="684"/>
      <c r="F11" s="682" t="s">
        <v>1122</v>
      </c>
      <c r="G11" s="682" t="s">
        <v>1121</v>
      </c>
    </row>
    <row r="12" spans="1:7" x14ac:dyDescent="0.2">
      <c r="A12" s="682" t="str">
        <f>IF(LEFT(TRP!A70,2)="\I","*","")</f>
        <v/>
      </c>
      <c r="B12" s="682" t="str">
        <f>IF(A12="*","",TRP!B70)</f>
        <v>TPPRCAROGSH-E</v>
      </c>
      <c r="C12" s="682" t="str">
        <f>IF(A12="*","",TRP!A70)</f>
        <v>Transport Passenger Car Priv.Veh. Oil GasolineHybrid-E</v>
      </c>
      <c r="D12" s="684"/>
      <c r="E12" s="684"/>
      <c r="F12" s="682" t="s">
        <v>1122</v>
      </c>
      <c r="G12" s="682" t="s">
        <v>1121</v>
      </c>
    </row>
    <row r="13" spans="1:7" x14ac:dyDescent="0.2">
      <c r="A13" s="682" t="str">
        <f>IF(LEFT(TRP!A71,2)="\I","*","")</f>
        <v>*</v>
      </c>
      <c r="B13" s="682" t="str">
        <f>IF(A13="*","",TRP!B71)</f>
        <v/>
      </c>
      <c r="C13" s="682" t="str">
        <f>IF(A13="*","",TRP!A71)</f>
        <v/>
      </c>
      <c r="D13" s="684"/>
      <c r="E13" s="684"/>
    </row>
    <row r="14" spans="1:7" x14ac:dyDescent="0.2">
      <c r="A14" s="682" t="str">
        <f>IF(LEFT(TRP!A72,2)="\I","*","")</f>
        <v/>
      </c>
      <c r="B14" s="682" t="str">
        <f>IF(A14="*","",TRP!B72)</f>
        <v>TPPRMOTOGS-E</v>
      </c>
      <c r="C14" s="682" t="str">
        <f>IF(A14="*","",TRP!A72)</f>
        <v>Transport Passenger Moto Priv.Veh. Oil Gasoline-E</v>
      </c>
      <c r="D14" s="684"/>
      <c r="E14" s="684"/>
      <c r="F14" s="682" t="s">
        <v>1122</v>
      </c>
      <c r="G14" s="682" t="s">
        <v>1121</v>
      </c>
    </row>
    <row r="15" spans="1:7" x14ac:dyDescent="0.2">
      <c r="A15" s="682" t="str">
        <f>IF(LEFT(TRP!A73,2)="\I","*","")</f>
        <v>*</v>
      </c>
      <c r="B15" s="682" t="str">
        <f>IF(A15="*","",TRP!B73)</f>
        <v/>
      </c>
      <c r="C15" s="682" t="str">
        <f>IF(A15="*","",TRP!A73)</f>
        <v/>
      </c>
      <c r="D15" s="684"/>
      <c r="E15" s="684"/>
      <c r="F15" s="682" t="s">
        <v>1122</v>
      </c>
      <c r="G15" s="682" t="s">
        <v>1121</v>
      </c>
    </row>
    <row r="16" spans="1:7" x14ac:dyDescent="0.2">
      <c r="A16" s="682" t="str">
        <f>IF(LEFT(TRP!A74,2)="\I","*","")</f>
        <v/>
      </c>
      <c r="B16" s="682" t="str">
        <f>IF(A16="*","",TRP!B74)</f>
        <v>TPPUBUSODS-E</v>
      </c>
      <c r="C16" s="682" t="str">
        <f>IF(A16="*","",TRP!A74)</f>
        <v>Transport Passenger Bus Oil Diesel-E</v>
      </c>
      <c r="D16" s="684"/>
      <c r="E16" s="684"/>
      <c r="F16" s="682" t="s">
        <v>1122</v>
      </c>
      <c r="G16" s="682" t="s">
        <v>1121</v>
      </c>
    </row>
    <row r="17" spans="1:7" x14ac:dyDescent="0.2">
      <c r="A17" s="682" t="str">
        <f>IF(LEFT(TRP!A75,2)="\I","*","")</f>
        <v>*</v>
      </c>
      <c r="B17" s="682" t="str">
        <f>IF(A17="*","",TRP!B75)</f>
        <v/>
      </c>
      <c r="C17" s="682" t="str">
        <f>IF(A17="*","",TRP!A75)</f>
        <v/>
      </c>
      <c r="D17" s="684"/>
      <c r="E17" s="684"/>
    </row>
    <row r="18" spans="1:7" x14ac:dyDescent="0.2">
      <c r="A18" s="682" t="str">
        <f>IF(LEFT(TRP!A76,2)="\I","*","")</f>
        <v/>
      </c>
      <c r="B18" s="682" t="str">
        <f>IF(A18="*","",TRP!B76)</f>
        <v>TPPUMBTODS-E</v>
      </c>
      <c r="C18" s="682" t="str">
        <f>IF(A18="*","",TRP!A76)</f>
        <v>Transport Passenger Minibus Oil Diesel-E</v>
      </c>
      <c r="D18" s="684"/>
      <c r="E18" s="684"/>
      <c r="F18" s="682" t="s">
        <v>1122</v>
      </c>
      <c r="G18" s="682" t="s">
        <v>1121</v>
      </c>
    </row>
    <row r="19" spans="1:7" x14ac:dyDescent="0.2">
      <c r="A19" s="682" t="str">
        <f>IF(LEFT(TRP!A77,2)="\I","*","")</f>
        <v/>
      </c>
      <c r="B19" s="682" t="str">
        <f>IF(A19="*","",TRP!B77)</f>
        <v>TPPUMBTOGS-E</v>
      </c>
      <c r="C19" s="682" t="str">
        <f>IF(A19="*","",TRP!A77)</f>
        <v>Transport Passenger Minibus Oil Gasoline-E</v>
      </c>
      <c r="D19" s="684"/>
      <c r="E19" s="684"/>
      <c r="F19" s="682" t="s">
        <v>1122</v>
      </c>
      <c r="G19" s="682" t="s">
        <v>1121</v>
      </c>
    </row>
    <row r="20" spans="1:7" x14ac:dyDescent="0.2">
      <c r="A20" s="682" t="str">
        <f>IF(LEFT(TRP!A78,2)="\I","*","")</f>
        <v>*</v>
      </c>
      <c r="B20" s="682" t="str">
        <f>IF(A20="*","",TRP!B78)</f>
        <v/>
      </c>
      <c r="C20" s="682" t="str">
        <f>IF(A20="*","",TRP!A78)</f>
        <v/>
      </c>
      <c r="D20" s="684"/>
      <c r="E20" s="684"/>
    </row>
    <row r="21" spans="1:7" x14ac:dyDescent="0.2">
      <c r="A21" s="682" t="str">
        <f>IF(LEFT(TRP!A79,2)="\I","*","")</f>
        <v/>
      </c>
      <c r="B21" s="682" t="str">
        <f>IF(A21="*","",TRP!B79)</f>
        <v>TPPUMERELC-E</v>
      </c>
      <c r="C21" s="682" t="str">
        <f>IF(A21="*","",TRP!A79)</f>
        <v>Transport Passenger Metro Rail Electricity-E</v>
      </c>
      <c r="D21" s="684" t="s">
        <v>1185</v>
      </c>
      <c r="E21" s="684" t="s">
        <v>1186</v>
      </c>
      <c r="F21" s="682" t="s">
        <v>1122</v>
      </c>
      <c r="G21" s="682" t="s">
        <v>1121</v>
      </c>
    </row>
    <row r="22" spans="1:7" x14ac:dyDescent="0.2">
      <c r="A22" s="682" t="str">
        <f>IF(LEFT(TRP!A80,2)="\I","*","")</f>
        <v>*</v>
      </c>
      <c r="B22" s="682" t="str">
        <f>IF(A22="*","",TRP!B80)</f>
        <v/>
      </c>
      <c r="C22" s="682" t="str">
        <f>IF(A22="*","",TRP!A80)</f>
        <v/>
      </c>
      <c r="D22" s="684"/>
      <c r="E22" s="684"/>
    </row>
    <row r="23" spans="1:7" x14ac:dyDescent="0.2">
      <c r="A23" s="682" t="str">
        <f>IF(LEFT(TRP!A81,2)="\I","*","")</f>
        <v>*</v>
      </c>
      <c r="B23" s="682" t="str">
        <f>IF(A23="*","",TRP!B81)</f>
        <v/>
      </c>
      <c r="C23" s="682" t="str">
        <f>IF(A23="*","",TRP!A81)</f>
        <v/>
      </c>
      <c r="D23" s="684"/>
      <c r="E23" s="684"/>
    </row>
    <row r="24" spans="1:7" x14ac:dyDescent="0.2">
      <c r="A24" s="682" t="str">
        <f>IF(LEFT(TRP!A82,2)="\I","*","")</f>
        <v/>
      </c>
      <c r="B24" s="682" t="str">
        <f>IF(A24="*","",TRP!B82)</f>
        <v>TFLCVODS-E</v>
      </c>
      <c r="C24" s="682" t="str">
        <f>IF(A24="*","",TRP!A82)</f>
        <v>Transport Freight - LCV Oil Diesel-E</v>
      </c>
      <c r="D24" s="684"/>
      <c r="E24" s="684"/>
      <c r="F24" s="682" t="s">
        <v>1122</v>
      </c>
      <c r="G24" s="682" t="s">
        <v>1121</v>
      </c>
    </row>
    <row r="25" spans="1:7" x14ac:dyDescent="0.2">
      <c r="A25" s="682" t="str">
        <f>IF(LEFT(TRP!A83,2)="\I","*","")</f>
        <v/>
      </c>
      <c r="B25" s="682" t="str">
        <f>IF(A25="*","",TRP!B83)</f>
        <v>TFLCVOGS-E</v>
      </c>
      <c r="C25" s="682" t="str">
        <f>IF(A25="*","",TRP!A83)</f>
        <v>Transport Freight - LCV Oil Gasoline-E</v>
      </c>
      <c r="D25" s="684"/>
      <c r="E25" s="684"/>
      <c r="F25" s="682" t="s">
        <v>1122</v>
      </c>
      <c r="G25" s="682" t="s">
        <v>1121</v>
      </c>
    </row>
    <row r="26" spans="1:7" x14ac:dyDescent="0.2">
      <c r="A26" s="682" t="str">
        <f>IF(LEFT(TRP!A84,2)="\I","*","")</f>
        <v>*</v>
      </c>
      <c r="B26" s="682" t="str">
        <f>IF(A26="*","",TRP!B84)</f>
        <v/>
      </c>
      <c r="C26" s="682" t="str">
        <f>IF(A26="*","",TRP!A84)</f>
        <v/>
      </c>
      <c r="D26" s="684"/>
      <c r="E26" s="684"/>
    </row>
    <row r="27" spans="1:7" x14ac:dyDescent="0.2">
      <c r="A27" s="682" t="str">
        <f>IF(LEFT(TRP!A85,2)="\I","*","")</f>
        <v/>
      </c>
      <c r="B27" s="682" t="str">
        <f>IF(A27="*","",TRP!B85)</f>
        <v>TFHCV1ODS-E</v>
      </c>
      <c r="C27" s="682" t="str">
        <f>IF(A27="*","",TRP!A85)</f>
        <v>Transport Freight - HCV1 Oil Diesel-E</v>
      </c>
      <c r="D27" s="684"/>
      <c r="E27" s="684"/>
      <c r="F27" s="682" t="s">
        <v>1122</v>
      </c>
      <c r="G27" s="682" t="s">
        <v>1121</v>
      </c>
    </row>
    <row r="28" spans="1:7" x14ac:dyDescent="0.2">
      <c r="A28" s="682" t="str">
        <f>IF(LEFT(TRP!A86,2)="\I","*","")</f>
        <v/>
      </c>
      <c r="B28" s="682" t="str">
        <f>IF(A28="*","",TRP!B86)</f>
        <v>TFHCV1OGS-E</v>
      </c>
      <c r="C28" s="682" t="str">
        <f>IF(A28="*","",TRP!A86)</f>
        <v>Transport Freight - HCV1 Oil Gasoline-E</v>
      </c>
      <c r="D28" s="684"/>
      <c r="E28" s="684"/>
      <c r="F28" s="682" t="s">
        <v>1122</v>
      </c>
      <c r="G28" s="682" t="s">
        <v>1121</v>
      </c>
    </row>
    <row r="29" spans="1:7" x14ac:dyDescent="0.2">
      <c r="A29" s="682" t="str">
        <f>IF(LEFT(TRP!A87,2)="\I","*","")</f>
        <v/>
      </c>
      <c r="B29" s="682" t="str">
        <f>IF(A29="*","",TRP!B87)</f>
        <v>TFHCV2ODS-E</v>
      </c>
      <c r="C29" s="682" t="str">
        <f>IF(A29="*","",TRP!A87)</f>
        <v>Transport Freight - HCV2 Oil Diesel-E</v>
      </c>
      <c r="D29" s="684"/>
      <c r="E29" s="684"/>
      <c r="F29" s="682" t="s">
        <v>1122</v>
      </c>
      <c r="G29" s="682" t="s">
        <v>1121</v>
      </c>
    </row>
    <row r="30" spans="1:7" x14ac:dyDescent="0.2">
      <c r="A30" s="682" t="str">
        <f>IF(LEFT(TRP!A88,2)="\I","*","")</f>
        <v/>
      </c>
      <c r="B30" s="682" t="str">
        <f>IF(A30="*","",TRP!B88)</f>
        <v>TFHCV3ODS-E</v>
      </c>
      <c r="C30" s="682" t="str">
        <f>IF(A30="*","",TRP!A88)</f>
        <v>Transport Freight - HCV3 Oil Diesel-E</v>
      </c>
      <c r="D30" s="684"/>
      <c r="E30" s="684"/>
      <c r="F30" s="682" t="s">
        <v>1122</v>
      </c>
      <c r="G30" s="682" t="s">
        <v>1121</v>
      </c>
    </row>
    <row r="31" spans="1:7" x14ac:dyDescent="0.2">
      <c r="A31" s="682" t="str">
        <f>IF(LEFT(TRP!A89,2)="\I","*","")</f>
        <v/>
      </c>
      <c r="B31" s="682" t="str">
        <f>IF(A31="*","",TRP!B89)</f>
        <v>TFHCV4ODS-E</v>
      </c>
      <c r="C31" s="682" t="str">
        <f>IF(A31="*","",TRP!A89)</f>
        <v>Transport Freight - HCV4 Oil Diesel-E</v>
      </c>
      <c r="D31" s="684"/>
      <c r="E31" s="684"/>
      <c r="F31" s="682" t="s">
        <v>1122</v>
      </c>
      <c r="G31" s="682" t="s">
        <v>1121</v>
      </c>
    </row>
    <row r="32" spans="1:7" x14ac:dyDescent="0.2">
      <c r="A32" s="682" t="str">
        <f>IF(LEFT(TRP!A90,2)="\I","*","")</f>
        <v/>
      </c>
      <c r="B32" s="682" t="str">
        <f>IF(A32="*","",TRP!B90)</f>
        <v>TFHCV5ODS-E</v>
      </c>
      <c r="C32" s="682" t="str">
        <f>IF(A32="*","",TRP!A90)</f>
        <v>Transport Freight - HCV5 Oil Diesel-E</v>
      </c>
      <c r="D32" s="684"/>
      <c r="E32" s="684"/>
      <c r="F32" s="682" t="s">
        <v>1122</v>
      </c>
      <c r="G32" s="682" t="s">
        <v>1121</v>
      </c>
    </row>
    <row r="33" spans="1:7" x14ac:dyDescent="0.2">
      <c r="A33" s="682" t="str">
        <f>IF(LEFT(TRP!A91,2)="\I","*","")</f>
        <v/>
      </c>
      <c r="B33" s="682" t="str">
        <f>IF(A33="*","",TRP!B91)</f>
        <v>TFHCV6ODS-E</v>
      </c>
      <c r="C33" s="682" t="str">
        <f>IF(A33="*","",TRP!A91)</f>
        <v>Transport Freight - HCV6 Oil Diesel-E</v>
      </c>
      <c r="D33" s="684"/>
      <c r="E33" s="684"/>
      <c r="F33" s="682" t="s">
        <v>1122</v>
      </c>
      <c r="G33" s="682" t="s">
        <v>1121</v>
      </c>
    </row>
    <row r="34" spans="1:7" x14ac:dyDescent="0.2">
      <c r="A34" s="682" t="str">
        <f>IF(LEFT(TRP!A92,2)="\I","*","")</f>
        <v/>
      </c>
      <c r="B34" s="682" t="str">
        <f>IF(A34="*","",TRP!B92)</f>
        <v>TFHCV7ODS-E</v>
      </c>
      <c r="C34" s="682" t="str">
        <f>IF(A34="*","",TRP!A92)</f>
        <v>Transport Freight - HCV7 Oil Diesel-E</v>
      </c>
      <c r="D34" s="684"/>
      <c r="E34" s="684"/>
      <c r="F34" s="682" t="s">
        <v>1122</v>
      </c>
      <c r="G34" s="682" t="s">
        <v>1121</v>
      </c>
    </row>
    <row r="35" spans="1:7" x14ac:dyDescent="0.2">
      <c r="A35" s="682" t="str">
        <f>IF(LEFT(TRP!A93,2)="\I","*","")</f>
        <v/>
      </c>
      <c r="B35" s="682" t="str">
        <f>IF(A35="*","",TRP!B93)</f>
        <v>TFHCV8ODS-E</v>
      </c>
      <c r="C35" s="682" t="str">
        <f>IF(A35="*","",TRP!A93)</f>
        <v>Transport Freight - HCV8 Oil Diesel-E</v>
      </c>
      <c r="D35" s="684"/>
      <c r="E35" s="684"/>
      <c r="F35" s="682" t="s">
        <v>1122</v>
      </c>
      <c r="G35" s="682" t="s">
        <v>1121</v>
      </c>
    </row>
    <row r="36" spans="1:7" x14ac:dyDescent="0.2">
      <c r="A36" s="682" t="str">
        <f>IF(LEFT(TRP!A94,2)="\I","*","")</f>
        <v/>
      </c>
      <c r="B36" s="682" t="str">
        <f>IF(A36="*","",TRP!B94)</f>
        <v>TFHCV9ODS-E</v>
      </c>
      <c r="C36" s="682" t="str">
        <f>IF(A36="*","",TRP!A94)</f>
        <v>Transport Freight - HCV9 Oil Diesel-E</v>
      </c>
      <c r="D36" s="684"/>
      <c r="E36" s="684"/>
      <c r="F36" s="682" t="s">
        <v>1122</v>
      </c>
      <c r="G36" s="682" t="s">
        <v>1121</v>
      </c>
    </row>
    <row r="37" spans="1:7" x14ac:dyDescent="0.2">
      <c r="A37" s="682" t="str">
        <f>IF(LEFT(TRP!A95,2)="\I","*","")</f>
        <v>*</v>
      </c>
      <c r="B37" s="682" t="str">
        <f>IF(A37="*","",TRP!B95)</f>
        <v/>
      </c>
      <c r="C37" s="682" t="str">
        <f>IF(A37="*","",TRP!A95)</f>
        <v/>
      </c>
      <c r="D37" s="684"/>
      <c r="E37" s="684"/>
    </row>
    <row r="38" spans="1:7" x14ac:dyDescent="0.2">
      <c r="A38" s="682" t="str">
        <f>IF(LEFT(TRP!A96,2)="\I","*","")</f>
        <v/>
      </c>
      <c r="B38" s="682" t="str">
        <f>IF(A38="*","",TRP!B96)</f>
        <v>TFRCOODS-E</v>
      </c>
      <c r="C38" s="682" t="str">
        <f>IF(A38="*","",TRP!A96)</f>
        <v>Transport Freight - Rail Corridor Oil Diesel-E</v>
      </c>
      <c r="D38" s="684" t="s">
        <v>1188</v>
      </c>
      <c r="E38" s="684" t="s">
        <v>1189</v>
      </c>
      <c r="F38" s="682" t="s">
        <v>1122</v>
      </c>
      <c r="G38" s="682" t="s">
        <v>1121</v>
      </c>
    </row>
    <row r="39" spans="1:7" x14ac:dyDescent="0.2">
      <c r="A39" s="682" t="str">
        <f>IF(LEFT(TRP!A97,2)="\I","*","")</f>
        <v/>
      </c>
      <c r="B39" s="682" t="str">
        <f>IF(A39="*","",TRP!B97)</f>
        <v>TFRCOELC-E</v>
      </c>
      <c r="C39" s="682" t="str">
        <f>IF(A39="*","",TRP!A97)</f>
        <v>Transport Freight - Rail Corridor Electricity-E</v>
      </c>
      <c r="D39" s="684" t="s">
        <v>1188</v>
      </c>
      <c r="E39" s="684" t="s">
        <v>1189</v>
      </c>
      <c r="F39" s="682" t="s">
        <v>1122</v>
      </c>
      <c r="G39" s="682" t="s">
        <v>1121</v>
      </c>
    </row>
    <row r="40" spans="1:7" x14ac:dyDescent="0.2">
      <c r="A40" s="682" t="str">
        <f>IF(LEFT(TRP!A98,2)="\I","*","")</f>
        <v>*</v>
      </c>
      <c r="B40" s="682" t="str">
        <f>IF(A40="*","",TRP!B98)</f>
        <v/>
      </c>
      <c r="C40" s="682" t="str">
        <f>IF(A40="*","",TRP!A98)</f>
        <v/>
      </c>
      <c r="D40" s="684"/>
      <c r="E40" s="684"/>
    </row>
    <row r="41" spans="1:7" x14ac:dyDescent="0.2">
      <c r="A41" s="682" t="str">
        <f>IF(LEFT(TRP!A99,2)="\I","*","")</f>
        <v/>
      </c>
      <c r="B41" s="682" t="str">
        <f>IF(A41="*","",TRP!B99)</f>
        <v>TFROTODS-E</v>
      </c>
      <c r="C41" s="682" t="str">
        <f>IF(A41="*","",TRP!A99)</f>
        <v>Transport Freight - Rail Other Oil Diesel-E</v>
      </c>
      <c r="D41" s="684" t="s">
        <v>1188</v>
      </c>
      <c r="E41" s="684" t="s">
        <v>1189</v>
      </c>
      <c r="F41" s="682" t="s">
        <v>1122</v>
      </c>
      <c r="G41" s="682" t="s">
        <v>1121</v>
      </c>
    </row>
    <row r="42" spans="1:7" x14ac:dyDescent="0.2">
      <c r="A42" s="682" t="str">
        <f>IF(LEFT(TRP!A100,2)="\I","*","")</f>
        <v/>
      </c>
      <c r="B42" s="682" t="str">
        <f>IF(A42="*","",TRP!B100)</f>
        <v>TFROTELC-E</v>
      </c>
      <c r="C42" s="682" t="str">
        <f>IF(A42="*","",TRP!A100)</f>
        <v>Transport Freight - Rail Other Electricity-E</v>
      </c>
      <c r="D42" s="684" t="s">
        <v>1188</v>
      </c>
      <c r="E42" s="684" t="s">
        <v>1189</v>
      </c>
      <c r="F42" s="682" t="s">
        <v>1122</v>
      </c>
      <c r="G42" s="682" t="s">
        <v>1121</v>
      </c>
    </row>
    <row r="43" spans="1:7" x14ac:dyDescent="0.2">
      <c r="A43" s="682" t="str">
        <f>IF(LEFT(TRP!A101,2)="\I","*","")</f>
        <v>*</v>
      </c>
      <c r="B43" s="682" t="str">
        <f>IF(A43="*","",TRP!B101)</f>
        <v/>
      </c>
      <c r="C43" s="682" t="str">
        <f>IF(A43="*","",TRP!A101)</f>
        <v/>
      </c>
      <c r="D43" s="684"/>
      <c r="E43" s="684"/>
    </row>
    <row r="44" spans="1:7" x14ac:dyDescent="0.2">
      <c r="A44" s="682" t="str">
        <f>IF(LEFT(TRP!A102,2)="\I","*","")</f>
        <v/>
      </c>
      <c r="B44" s="682" t="str">
        <f>IF(A44="*","",TRP!B102)</f>
        <v>TFREXODSR-E</v>
      </c>
      <c r="C44" s="682" t="str">
        <f>IF(A44="*","",TRP!A102)</f>
        <v>Transport Freight - Rail Export (bulk mining) Oil Diesel-E</v>
      </c>
      <c r="D44" s="684" t="s">
        <v>1188</v>
      </c>
      <c r="E44" s="684" t="s">
        <v>1189</v>
      </c>
      <c r="F44" s="682" t="s">
        <v>1122</v>
      </c>
      <c r="G44" s="682" t="s">
        <v>1121</v>
      </c>
    </row>
    <row r="45" spans="1:7" x14ac:dyDescent="0.2">
      <c r="A45" s="682" t="str">
        <f>IF(LEFT(TRP!A103,2)="\I","*","")</f>
        <v/>
      </c>
      <c r="B45" s="682" t="str">
        <f>IF(A45="*","",TRP!B103)</f>
        <v>TFREXELCR-E</v>
      </c>
      <c r="C45" s="682" t="str">
        <f>IF(A45="*","",TRP!A103)</f>
        <v>Transport Freight - Rail Export (bulk mining) Electricity-E</v>
      </c>
      <c r="D45" s="684" t="s">
        <v>1188</v>
      </c>
      <c r="E45" s="684" t="s">
        <v>1189</v>
      </c>
      <c r="F45" s="682" t="s">
        <v>1122</v>
      </c>
      <c r="G45" s="682" t="s">
        <v>1121</v>
      </c>
    </row>
    <row r="46" spans="1:7" x14ac:dyDescent="0.2">
      <c r="A46" s="682" t="str">
        <f>IF(LEFT(TRP!A104,2)="\I","*","")</f>
        <v>*</v>
      </c>
      <c r="B46" s="682" t="str">
        <f>IF(A46="*","",TRP!B104)</f>
        <v/>
      </c>
      <c r="C46" s="682" t="str">
        <f>IF(A46="*","",TRP!A104)</f>
        <v/>
      </c>
      <c r="D46" s="684"/>
      <c r="E46" s="684"/>
    </row>
    <row r="47" spans="1:7" x14ac:dyDescent="0.2">
      <c r="A47" s="682" t="str">
        <f>IF(LEFT(TRP!A105,2)="\I","*","")</f>
        <v>*</v>
      </c>
      <c r="B47" s="682" t="str">
        <f>IF(A47="*","",TRP!B105)</f>
        <v/>
      </c>
      <c r="C47" s="682" t="str">
        <f>IF(A47="*","",TRP!A105)</f>
        <v/>
      </c>
      <c r="D47" s="684"/>
      <c r="E47" s="684"/>
    </row>
    <row r="48" spans="1:7" x14ac:dyDescent="0.2">
      <c r="A48" s="682" t="str">
        <f>IF(LEFT(TRP!A106,2)="\I","*","")</f>
        <v/>
      </c>
      <c r="B48" s="682" t="str">
        <f>IF(A48="*","",TRP!B106)</f>
        <v>TFPIPELC-E</v>
      </c>
      <c r="C48" s="682" t="str">
        <f>IF(A48="*","",TRP!A106)</f>
        <v>Transport Other - Pipeline Electricity-E</v>
      </c>
      <c r="D48" s="684" t="s">
        <v>20</v>
      </c>
      <c r="E48" s="684" t="s">
        <v>1187</v>
      </c>
      <c r="F48" s="682" t="s">
        <v>1122</v>
      </c>
      <c r="G48" s="682" t="s">
        <v>1121</v>
      </c>
    </row>
    <row r="49" spans="1:7" x14ac:dyDescent="0.2">
      <c r="A49" s="682" t="str">
        <f>IF(LEFT(TRP!A107,2)="\I","*","")</f>
        <v/>
      </c>
      <c r="B49" s="682" t="str">
        <f>IF(A49="*","",TRP!B107)</f>
        <v>TAIJETOKE-E</v>
      </c>
      <c r="C49" s="682" t="str">
        <f>IF(A49="*","",TRP!A107)</f>
        <v>Transport Other -  Aviation Int Jet Fuel -E</v>
      </c>
      <c r="D49" s="684" t="s">
        <v>20</v>
      </c>
      <c r="E49" s="684" t="s">
        <v>1187</v>
      </c>
      <c r="F49" s="682" t="s">
        <v>1122</v>
      </c>
      <c r="G49" s="682" t="s">
        <v>1121</v>
      </c>
    </row>
    <row r="50" spans="1:7" x14ac:dyDescent="0.2">
      <c r="A50" s="682" t="str">
        <f>IF(LEFT(TRP!A108,2)="\I","*","")</f>
        <v/>
      </c>
      <c r="B50" s="682" t="str">
        <f>IF(A50="*","",TRP!B108)</f>
        <v>TADJETOKE-E</v>
      </c>
      <c r="C50" s="682" t="str">
        <f>IF(A50="*","",TRP!A108)</f>
        <v>Transport Other -  Aviation Dom Jet Fuel -E</v>
      </c>
      <c r="D50" s="684" t="s">
        <v>20</v>
      </c>
      <c r="E50" s="684" t="s">
        <v>1187</v>
      </c>
      <c r="F50" s="682" t="s">
        <v>1122</v>
      </c>
      <c r="G50" s="682" t="s">
        <v>1121</v>
      </c>
    </row>
    <row r="51" spans="1:7" x14ac:dyDescent="0.2">
      <c r="A51" s="682" t="str">
        <f>IF(LEFT(TRP!A109,2)="\I","*","")</f>
        <v/>
      </c>
      <c r="B51" s="682" t="str">
        <f>IF(A51="*","",TRP!B109)</f>
        <v>TAOAGOAG-E</v>
      </c>
      <c r="C51" s="682" t="str">
        <f>IF(A51="*","",TRP!A109)</f>
        <v>Transport Other - Aviation Gasoline-E</v>
      </c>
      <c r="D51" s="684" t="s">
        <v>20</v>
      </c>
      <c r="E51" s="684" t="s">
        <v>1187</v>
      </c>
      <c r="F51" s="682" t="s">
        <v>1122</v>
      </c>
      <c r="G51" s="682" t="s">
        <v>1121</v>
      </c>
    </row>
    <row r="52" spans="1:7" x14ac:dyDescent="0.2">
      <c r="A52" s="682" t="str">
        <f>IF(LEFT(TRP!A110,2)="\I","*","")</f>
        <v/>
      </c>
      <c r="B52" s="682" t="str">
        <f>IF(A52="*","",TRP!B110)</f>
        <v>TSHFOOHF-E</v>
      </c>
      <c r="C52" s="682" t="str">
        <f>IF(A52="*","",TRP!A110)</f>
        <v>Transport Other - HFO-E</v>
      </c>
      <c r="D52" s="684" t="s">
        <v>20</v>
      </c>
      <c r="E52" s="684" t="s">
        <v>1187</v>
      </c>
      <c r="F52" s="682" t="s">
        <v>1122</v>
      </c>
      <c r="G52" s="682" t="s">
        <v>1121</v>
      </c>
    </row>
    <row r="53" spans="1:7" x14ac:dyDescent="0.2">
      <c r="A53" s="682" t="str">
        <f>IF(LEFT(TRP!A111,2)="\I","*","")</f>
        <v>*</v>
      </c>
      <c r="B53" s="682" t="str">
        <f>IF(A53="*","",TRP!B111)</f>
        <v/>
      </c>
      <c r="C53" s="682" t="str">
        <f>IF(A53="*","",TRP!A111)</f>
        <v/>
      </c>
      <c r="D53" s="684" t="str">
        <f>IF(A53="*","","PJ,PJa")</f>
        <v/>
      </c>
      <c r="E53" s="684" t="str">
        <f>IF(A53="*","","PRC,DMD,ANNUAL")</f>
        <v/>
      </c>
    </row>
    <row r="54" spans="1:7" x14ac:dyDescent="0.2">
      <c r="A54" s="682" t="str">
        <f>IF(LEFT(TRP!A112,2)="\I","*","")</f>
        <v>*</v>
      </c>
      <c r="B54" s="682" t="str">
        <f>IF(A54="*","",TRP!B112)</f>
        <v/>
      </c>
      <c r="C54" s="682" t="str">
        <f>IF(A54="*","",TRP!A112)</f>
        <v/>
      </c>
      <c r="D54" s="684" t="str">
        <f>IF(A54="*","","PJ,PJa")</f>
        <v/>
      </c>
      <c r="E54" s="684" t="str">
        <f>IF(A54="*","","PRC,DMD,ANNUAL")</f>
        <v/>
      </c>
    </row>
    <row r="55" spans="1:7" x14ac:dyDescent="0.2">
      <c r="A55" s="682" t="str">
        <f>IF(LEFT(TRP!A114,2)="\I","*","")</f>
        <v>*</v>
      </c>
      <c r="B55" s="682" t="str">
        <f>IF(A55="*","",TRP!B114)</f>
        <v/>
      </c>
      <c r="C55" s="682" t="str">
        <f>IF(A55="*","",TRP!A114)</f>
        <v/>
      </c>
      <c r="D55" s="684" t="str">
        <f>IF(A55="*","","PJ,PJa")</f>
        <v/>
      </c>
      <c r="E55" s="684" t="str">
        <f>IF(A55="*","","PRC,DMD,ANNUAL")</f>
        <v/>
      </c>
    </row>
    <row r="56" spans="1:7" x14ac:dyDescent="0.2">
      <c r="A56" s="682" t="str">
        <f>IF(LEFT(TRP!A115,2)="\I","*","")</f>
        <v>*</v>
      </c>
      <c r="B56" s="682" t="str">
        <f>IF(A56="*","",TRP!B115)</f>
        <v/>
      </c>
      <c r="C56" s="682" t="str">
        <f>IF(A56="*","",TRP!A115)</f>
        <v/>
      </c>
      <c r="D56" s="684" t="str">
        <f>IF(A56="*","","PJ,PJa")</f>
        <v/>
      </c>
      <c r="E56" s="684" t="str">
        <f>IF(A56="*","","PRC,DMD,ANNUAL")</f>
        <v/>
      </c>
    </row>
    <row r="57" spans="1:7" x14ac:dyDescent="0.2">
      <c r="A57" s="682" t="str">
        <f>IF(LEFT(TRP!A119,2)="\I","*","")</f>
        <v/>
      </c>
    </row>
  </sheetData>
  <pageMargins left="0.75" right="0.75" top="1" bottom="1"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A2CE-E4B7-46D8-887F-AE779DF4DC0C}">
  <sheetPr codeName="Sheet4">
    <tabColor theme="4"/>
  </sheetPr>
  <dimension ref="A1:CT125"/>
  <sheetViews>
    <sheetView topLeftCell="A12" zoomScale="80" zoomScaleNormal="80" workbookViewId="0">
      <pane xSplit="3" ySplit="4" topLeftCell="D39" activePane="bottomRight" state="frozen"/>
      <selection activeCell="A12" sqref="A12"/>
      <selection pane="topRight" activeCell="D12" sqref="D12"/>
      <selection pane="bottomLeft" activeCell="A16" sqref="A16"/>
      <selection pane="bottomRight" activeCell="A96" sqref="A96:H96"/>
    </sheetView>
  </sheetViews>
  <sheetFormatPr defaultColWidth="8.85546875" defaultRowHeight="12.75" x14ac:dyDescent="0.2"/>
  <cols>
    <col min="1" max="1" width="47.42578125" style="1" customWidth="1"/>
    <col min="2" max="2" width="19.42578125" style="1" customWidth="1"/>
    <col min="3" max="3" width="14.42578125" style="1" customWidth="1"/>
    <col min="4" max="5" width="13" style="1" customWidth="1"/>
    <col min="6" max="7" width="10" style="1" customWidth="1"/>
    <col min="8" max="8" width="11.5703125" style="1" customWidth="1"/>
    <col min="9" max="10" width="10" style="1" customWidth="1"/>
    <col min="11" max="11" width="11.42578125" style="1" customWidth="1"/>
    <col min="12" max="14" width="10" style="1" customWidth="1"/>
    <col min="15" max="16" width="14" style="688" customWidth="1"/>
    <col min="17" max="32" width="10" style="1" customWidth="1"/>
    <col min="33" max="33" width="8.85546875" style="635"/>
    <col min="34" max="34" width="11.5703125" style="1" customWidth="1"/>
    <col min="35" max="35" width="13.5703125" style="1" customWidth="1"/>
    <col min="36" max="36" width="24.85546875" style="1" customWidth="1"/>
    <col min="37" max="37" width="18.5703125" style="1" customWidth="1"/>
    <col min="38" max="38" width="19.140625" style="1" customWidth="1"/>
    <col min="39" max="39" width="10.140625" style="635" customWidth="1"/>
    <col min="40" max="40" width="14.5703125" style="1" customWidth="1"/>
    <col min="41" max="41" width="8.85546875" style="1"/>
    <col min="42" max="42" width="9" style="1" customWidth="1"/>
    <col min="43" max="44" width="8.85546875" style="1"/>
    <col min="45" max="45" width="10.42578125" style="1" customWidth="1"/>
    <col min="46" max="46" width="9" style="635" bestFit="1" customWidth="1"/>
    <col min="47" max="47" width="9.140625" style="1" bestFit="1" customWidth="1"/>
    <col min="48" max="50" width="9.140625" style="1" customWidth="1"/>
    <col min="51" max="52" width="8.85546875" style="1"/>
    <col min="53" max="53" width="14.140625" style="1" customWidth="1"/>
    <col min="54" max="57" width="8.85546875" style="1"/>
    <col min="58" max="58" width="9" style="635" bestFit="1" customWidth="1"/>
    <col min="59" max="59" width="9.140625" style="1" bestFit="1" customWidth="1"/>
    <col min="60" max="60" width="9.140625" style="1" customWidth="1"/>
    <col min="61" max="62" width="8.42578125" style="1" customWidth="1"/>
    <col min="63" max="71" width="8.85546875" style="1"/>
    <col min="72" max="72" width="9" style="635" bestFit="1" customWidth="1"/>
    <col min="73" max="73" width="9.140625" style="1" bestFit="1" customWidth="1"/>
    <col min="74" max="76" width="9.140625" style="1" customWidth="1"/>
    <col min="77" max="79" width="8.85546875" style="1"/>
    <col min="80" max="80" width="15.85546875" style="1" customWidth="1"/>
    <col min="81" max="81" width="129.42578125" style="1" customWidth="1"/>
    <col min="82" max="82" width="57" style="1" customWidth="1"/>
    <col min="83" max="90" width="8.85546875" style="1"/>
    <col min="91" max="92" width="8.85546875" style="635"/>
    <col min="93" max="96" width="8.85546875" style="1"/>
    <col min="97" max="97" width="7.5703125" style="1" customWidth="1"/>
    <col min="98" max="98" width="8.85546875" style="1"/>
    <col min="99" max="99" width="9.140625" style="1" customWidth="1"/>
    <col min="100" max="101" width="8.85546875" style="1"/>
    <col min="102" max="102" width="9.5703125" style="1" bestFit="1" customWidth="1"/>
    <col min="103" max="16384" width="8.85546875" style="1"/>
  </cols>
  <sheetData>
    <row r="1" spans="1:94" ht="30.75" customHeight="1" x14ac:dyDescent="0.25">
      <c r="A1" s="680" t="s">
        <v>1120</v>
      </c>
      <c r="B1" s="988" t="s">
        <v>1119</v>
      </c>
      <c r="C1" s="988"/>
      <c r="D1" s="988"/>
      <c r="E1" s="681"/>
      <c r="F1" s="681"/>
      <c r="G1" s="668"/>
      <c r="H1" s="680"/>
      <c r="I1" s="668"/>
      <c r="J1" s="680"/>
      <c r="K1" s="680"/>
      <c r="L1" s="680"/>
      <c r="M1" s="680"/>
    </row>
    <row r="2" spans="1:94" ht="15.75" x14ac:dyDescent="0.25">
      <c r="A2" s="767"/>
      <c r="B2" s="766"/>
      <c r="C2" s="658"/>
      <c r="D2" s="658"/>
      <c r="E2" s="658"/>
      <c r="F2" s="658"/>
      <c r="G2" s="194"/>
      <c r="H2" s="658"/>
      <c r="I2" s="658"/>
      <c r="J2" s="658"/>
      <c r="K2" s="658"/>
      <c r="L2" s="658"/>
      <c r="M2" s="658"/>
      <c r="N2" s="194"/>
      <c r="Q2" s="658"/>
      <c r="R2" s="658"/>
      <c r="S2" s="658"/>
      <c r="T2" s="658"/>
      <c r="U2" s="658"/>
      <c r="V2" s="658"/>
      <c r="W2" s="194"/>
      <c r="X2" s="658"/>
      <c r="Y2" s="658"/>
      <c r="Z2" s="658"/>
      <c r="AA2" s="658"/>
      <c r="AB2" s="658"/>
      <c r="AC2" s="658"/>
      <c r="AD2" s="658"/>
      <c r="AE2" s="658"/>
      <c r="AF2" s="658"/>
    </row>
    <row r="3" spans="1:94" x14ac:dyDescent="0.2">
      <c r="A3" s="194"/>
      <c r="B3" s="194"/>
      <c r="C3" s="671" t="s">
        <v>1118</v>
      </c>
      <c r="D3" s="671"/>
      <c r="E3" s="671"/>
      <c r="F3" s="671"/>
      <c r="G3" s="671"/>
      <c r="H3" s="671"/>
      <c r="I3" s="671"/>
      <c r="J3" s="671"/>
      <c r="K3" s="671"/>
      <c r="L3" s="671"/>
      <c r="M3" s="671"/>
      <c r="N3" s="194"/>
      <c r="Q3" s="658"/>
      <c r="R3" s="658"/>
      <c r="S3" s="658"/>
      <c r="T3" s="658"/>
      <c r="U3" s="658"/>
      <c r="V3" s="658"/>
      <c r="W3" s="658"/>
      <c r="X3" s="658"/>
      <c r="Y3" s="658"/>
      <c r="Z3" s="658"/>
      <c r="AA3" s="658"/>
      <c r="AB3" s="658"/>
      <c r="AC3" s="658"/>
      <c r="AD3" s="658"/>
      <c r="AE3" s="658"/>
      <c r="AF3" s="658"/>
    </row>
    <row r="4" spans="1:94" s="635" customFormat="1" x14ac:dyDescent="0.2">
      <c r="A4" s="765" t="s">
        <v>1116</v>
      </c>
      <c r="B4" s="194"/>
      <c r="C4" s="194"/>
      <c r="D4" s="194"/>
      <c r="E4" s="194"/>
      <c r="F4" s="194"/>
      <c r="G4" s="194"/>
      <c r="H4" s="194"/>
      <c r="I4" s="194"/>
      <c r="J4" s="194"/>
      <c r="K4" s="194"/>
      <c r="L4" s="194"/>
      <c r="M4" s="194"/>
      <c r="N4" s="764"/>
      <c r="O4" s="763"/>
      <c r="P4" s="763"/>
    </row>
    <row r="5" spans="1:94" x14ac:dyDescent="0.2">
      <c r="A5" s="671" t="s">
        <v>1115</v>
      </c>
      <c r="B5" s="194" t="s">
        <v>1114</v>
      </c>
      <c r="C5" s="1" t="s">
        <v>1113</v>
      </c>
      <c r="D5" s="194" t="s">
        <v>1112</v>
      </c>
      <c r="E5" s="194" t="s">
        <v>140</v>
      </c>
      <c r="F5" s="194" t="s">
        <v>130</v>
      </c>
      <c r="G5" s="194" t="s">
        <v>1111</v>
      </c>
      <c r="H5" s="194" t="s">
        <v>1110</v>
      </c>
      <c r="I5" s="194" t="s">
        <v>1109</v>
      </c>
      <c r="J5" s="194" t="s">
        <v>1108</v>
      </c>
      <c r="K5" s="194" t="s">
        <v>1174</v>
      </c>
      <c r="L5" s="194" t="s">
        <v>1175</v>
      </c>
      <c r="M5" s="194"/>
      <c r="N5" s="658"/>
      <c r="Q5" s="658"/>
      <c r="R5" s="658"/>
      <c r="S5" s="658"/>
      <c r="T5" s="658"/>
      <c r="U5" s="658"/>
      <c r="V5" s="658"/>
      <c r="W5" s="658"/>
      <c r="X5" s="194"/>
      <c r="Y5" s="194"/>
      <c r="Z5" s="194"/>
      <c r="AA5" s="194"/>
      <c r="AB5" s="194"/>
      <c r="AC5" s="194"/>
      <c r="AD5" s="194"/>
      <c r="AE5" s="194"/>
      <c r="AF5" s="194"/>
      <c r="AY5" s="1">
        <v>2020</v>
      </c>
      <c r="AZ5" s="1">
        <v>2030</v>
      </c>
      <c r="BA5" s="1">
        <v>2040</v>
      </c>
      <c r="BB5" s="1">
        <v>2050</v>
      </c>
    </row>
    <row r="6" spans="1:94" ht="15.75" x14ac:dyDescent="0.25">
      <c r="A6" s="668" t="s">
        <v>1107</v>
      </c>
      <c r="B6" s="194" t="s">
        <v>1106</v>
      </c>
      <c r="C6" s="658" t="s">
        <v>1176</v>
      </c>
      <c r="D6" s="658" t="s">
        <v>1177</v>
      </c>
      <c r="E6" s="658" t="s">
        <v>1131</v>
      </c>
      <c r="F6" s="658" t="s">
        <v>1178</v>
      </c>
      <c r="G6" s="658" t="s">
        <v>1179</v>
      </c>
      <c r="H6" s="658" t="s">
        <v>1180</v>
      </c>
      <c r="I6" s="658" t="s">
        <v>1181</v>
      </c>
      <c r="J6" s="658" t="s">
        <v>1182</v>
      </c>
      <c r="K6" s="658" t="s">
        <v>1130</v>
      </c>
      <c r="L6" s="658" t="s">
        <v>1183</v>
      </c>
      <c r="M6" s="658"/>
      <c r="P6" s="778">
        <v>253.25598236623085</v>
      </c>
      <c r="Q6" s="779">
        <v>233.01022890384667</v>
      </c>
      <c r="R6" s="779">
        <v>155.89943525653939</v>
      </c>
      <c r="S6" s="779">
        <v>159.30398338651003</v>
      </c>
      <c r="T6" s="779">
        <v>162.70853151648063</v>
      </c>
      <c r="U6" s="779">
        <v>166.12010524536515</v>
      </c>
      <c r="AX6" s="745" t="s">
        <v>1170</v>
      </c>
      <c r="AY6" s="742">
        <v>0.6</v>
      </c>
      <c r="AZ6" s="742">
        <v>1</v>
      </c>
      <c r="BA6" s="742">
        <v>1</v>
      </c>
      <c r="BB6" s="742">
        <v>1</v>
      </c>
    </row>
    <row r="7" spans="1:94" ht="15.75" x14ac:dyDescent="0.25">
      <c r="A7" s="668"/>
      <c r="B7" s="676"/>
      <c r="C7" s="678"/>
      <c r="D7" s="678"/>
      <c r="E7" s="678"/>
      <c r="F7" s="678"/>
      <c r="G7" s="678"/>
      <c r="H7" s="678"/>
      <c r="I7" s="678"/>
      <c r="J7" s="678"/>
      <c r="K7" s="678"/>
      <c r="L7" s="678"/>
      <c r="M7" s="678"/>
      <c r="N7" s="678"/>
      <c r="AX7" s="745" t="s">
        <v>1169</v>
      </c>
      <c r="AY7" s="742">
        <v>0.2</v>
      </c>
      <c r="AZ7" s="742">
        <v>0.5</v>
      </c>
      <c r="BA7" s="742">
        <v>1</v>
      </c>
      <c r="BB7" s="742">
        <v>1</v>
      </c>
    </row>
    <row r="8" spans="1:94" ht="15.75" x14ac:dyDescent="0.25">
      <c r="A8" s="668"/>
      <c r="B8" s="194"/>
      <c r="C8" s="194"/>
      <c r="D8" s="194"/>
      <c r="E8" s="194"/>
      <c r="F8" s="194"/>
      <c r="G8" s="194"/>
      <c r="H8" s="194"/>
      <c r="I8" s="194"/>
      <c r="J8" s="194"/>
      <c r="K8" s="194"/>
      <c r="L8" s="194"/>
      <c r="M8" s="194"/>
      <c r="N8" s="194"/>
      <c r="O8" s="709"/>
      <c r="P8" s="709"/>
      <c r="AX8" s="745" t="s">
        <v>1168</v>
      </c>
      <c r="AY8" s="742">
        <v>0.15</v>
      </c>
      <c r="AZ8" s="742">
        <v>0.25</v>
      </c>
      <c r="BA8" s="742">
        <f>AVERAGE(AZ8,BB8)</f>
        <v>0.32500000000000001</v>
      </c>
      <c r="BB8" s="742">
        <v>0.4</v>
      </c>
    </row>
    <row r="9" spans="1:94" s="757" customFormat="1" ht="33" customHeight="1" x14ac:dyDescent="0.25">
      <c r="A9" s="762"/>
      <c r="B9" s="761"/>
      <c r="C9" s="760"/>
      <c r="D9" s="760"/>
      <c r="E9" s="760"/>
      <c r="F9" s="760"/>
      <c r="G9" s="760"/>
      <c r="H9" s="760"/>
      <c r="I9" s="760"/>
      <c r="J9" s="760"/>
      <c r="K9" s="760"/>
      <c r="L9" s="760"/>
      <c r="M9" s="760"/>
      <c r="N9" s="759"/>
      <c r="AD9" s="747" t="s">
        <v>1167</v>
      </c>
      <c r="AE9" s="758"/>
      <c r="AI9"/>
      <c r="AK9" s="758"/>
      <c r="AR9" s="758"/>
      <c r="BR9" s="758"/>
      <c r="CK9" s="758"/>
      <c r="CL9" s="758"/>
    </row>
    <row r="10" spans="1:94" ht="15.75" x14ac:dyDescent="0.25">
      <c r="A10" s="662"/>
      <c r="B10" s="661"/>
      <c r="C10" s="659"/>
      <c r="D10" s="659"/>
      <c r="E10" s="659" t="s">
        <v>594</v>
      </c>
      <c r="F10" s="659" t="s">
        <v>594</v>
      </c>
      <c r="G10" s="659" t="s">
        <v>594</v>
      </c>
      <c r="H10" s="659" t="s">
        <v>594</v>
      </c>
      <c r="I10" s="659"/>
      <c r="J10" s="659"/>
      <c r="K10" s="659"/>
      <c r="L10" s="659"/>
      <c r="M10" s="659"/>
      <c r="N10" s="709"/>
      <c r="O10" s="659" t="s">
        <v>596</v>
      </c>
      <c r="P10" s="659" t="s">
        <v>593</v>
      </c>
      <c r="Q10" s="659" t="s">
        <v>593</v>
      </c>
      <c r="R10" s="659" t="s">
        <v>593</v>
      </c>
      <c r="S10" s="659" t="s">
        <v>593</v>
      </c>
      <c r="T10" s="659" t="s">
        <v>593</v>
      </c>
      <c r="U10" s="659" t="s">
        <v>593</v>
      </c>
      <c r="V10" s="659" t="s">
        <v>592</v>
      </c>
      <c r="W10" s="659" t="s">
        <v>592</v>
      </c>
      <c r="X10" s="659" t="s">
        <v>592</v>
      </c>
      <c r="Y10" s="659" t="s">
        <v>592</v>
      </c>
      <c r="AB10" s="747">
        <v>6</v>
      </c>
      <c r="AC10" s="635"/>
      <c r="AG10"/>
      <c r="AI10" s="635"/>
      <c r="AJ10" s="755" t="s">
        <v>1166</v>
      </c>
      <c r="AK10" s="754"/>
      <c r="AL10" s="754"/>
      <c r="AM10" s="754"/>
      <c r="AN10" s="754"/>
      <c r="AO10" s="754"/>
      <c r="AP10" s="756">
        <v>0</v>
      </c>
      <c r="AQ10" s="752" t="str">
        <f>IF(AP10,BJ10,AX10)</f>
        <v>Reference Scenario</v>
      </c>
      <c r="AR10" s="752"/>
      <c r="AS10" s="752"/>
      <c r="AT10" s="752"/>
      <c r="AU10" s="752"/>
      <c r="AV10" s="752"/>
      <c r="AW10" s="751"/>
      <c r="AX10" s="755" t="s">
        <v>1165</v>
      </c>
      <c r="AY10" s="754"/>
      <c r="AZ10" s="754"/>
      <c r="BA10" s="754"/>
      <c r="BB10" s="754"/>
      <c r="BC10" s="753"/>
      <c r="BD10" s="752"/>
      <c r="BE10" s="752"/>
      <c r="BF10" s="752"/>
      <c r="BG10" s="752"/>
      <c r="BH10" s="752"/>
      <c r="BI10" s="751"/>
      <c r="BJ10" s="755" t="s">
        <v>1164</v>
      </c>
      <c r="BK10" s="754"/>
      <c r="BL10" s="754"/>
      <c r="BM10" s="754"/>
      <c r="BN10" s="754"/>
      <c r="BO10" s="754"/>
      <c r="BP10" s="753"/>
      <c r="BQ10" s="752"/>
      <c r="BR10" s="752"/>
      <c r="BS10" s="752"/>
      <c r="BT10" s="752"/>
      <c r="BU10" s="752"/>
      <c r="BV10" s="752"/>
      <c r="BW10" s="751"/>
      <c r="CI10" s="635" t="s">
        <v>511</v>
      </c>
      <c r="CJ10" s="635">
        <v>38.1</v>
      </c>
      <c r="CM10" s="1"/>
      <c r="CN10" s="1"/>
    </row>
    <row r="11" spans="1:94" ht="18" x14ac:dyDescent="0.25">
      <c r="A11" s="656" t="s">
        <v>1163</v>
      </c>
      <c r="B11" s="750"/>
      <c r="C11" s="652"/>
      <c r="D11" s="652"/>
      <c r="E11" s="652"/>
      <c r="F11" s="652"/>
      <c r="G11" s="652"/>
      <c r="H11" s="652"/>
      <c r="I11" s="652"/>
      <c r="J11" s="652"/>
      <c r="K11" s="652"/>
      <c r="L11" s="652"/>
      <c r="M11" s="652"/>
      <c r="N11" s="771"/>
      <c r="O11" s="1"/>
      <c r="P11" s="1"/>
      <c r="AB11" s="747" t="s">
        <v>1154</v>
      </c>
      <c r="AC11" s="635"/>
      <c r="AF11" s="725"/>
      <c r="AG11"/>
      <c r="AH11" s="725"/>
      <c r="AI11" s="725"/>
      <c r="AJ11" s="749">
        <v>2012</v>
      </c>
      <c r="AK11" s="737">
        <v>2015</v>
      </c>
      <c r="AL11" s="737">
        <v>2020</v>
      </c>
      <c r="AM11" s="737">
        <v>2030</v>
      </c>
      <c r="AN11" s="737">
        <v>2040</v>
      </c>
      <c r="AO11" s="737">
        <v>2050</v>
      </c>
      <c r="AP11" s="737"/>
      <c r="AQ11" s="737">
        <f>AJ11</f>
        <v>2012</v>
      </c>
      <c r="AR11" s="737">
        <f>AK11</f>
        <v>2015</v>
      </c>
      <c r="AS11" s="737">
        <v>2020</v>
      </c>
      <c r="AT11" s="737">
        <v>2030</v>
      </c>
      <c r="AU11" s="737">
        <f>AN11</f>
        <v>2040</v>
      </c>
      <c r="AV11" s="737">
        <f>AO11</f>
        <v>2050</v>
      </c>
      <c r="AW11" s="724"/>
      <c r="AX11" s="748"/>
      <c r="AY11" s="737">
        <v>2020</v>
      </c>
      <c r="AZ11" s="737">
        <v>2030</v>
      </c>
      <c r="BA11" s="737">
        <v>2040</v>
      </c>
      <c r="BB11" s="737">
        <v>2050</v>
      </c>
      <c r="BC11" s="737"/>
      <c r="BD11" s="737"/>
      <c r="BE11" s="737">
        <f>AY11</f>
        <v>2020</v>
      </c>
      <c r="BF11" s="737">
        <f>AZ11</f>
        <v>2030</v>
      </c>
      <c r="BG11" s="737">
        <f>BA11</f>
        <v>2040</v>
      </c>
      <c r="BH11" s="737">
        <f>BB11</f>
        <v>2050</v>
      </c>
      <c r="BI11" s="724"/>
      <c r="BJ11" s="748"/>
      <c r="BK11" s="737" t="e">
        <f>#REF!</f>
        <v>#REF!</v>
      </c>
      <c r="BL11" s="737">
        <f>AY11</f>
        <v>2020</v>
      </c>
      <c r="BM11" s="737">
        <f>AZ11</f>
        <v>2030</v>
      </c>
      <c r="BN11" s="737">
        <f>BA11</f>
        <v>2040</v>
      </c>
      <c r="BO11" s="737">
        <f>BB11</f>
        <v>2050</v>
      </c>
      <c r="BP11" s="737"/>
      <c r="BQ11" s="737"/>
      <c r="BR11" s="737" t="e">
        <f>#REF!</f>
        <v>#REF!</v>
      </c>
      <c r="BS11" s="737">
        <f>AY11</f>
        <v>2020</v>
      </c>
      <c r="BT11" s="737">
        <f>AZ11</f>
        <v>2030</v>
      </c>
      <c r="BU11" s="737">
        <f>BA11</f>
        <v>2040</v>
      </c>
      <c r="BV11" s="737">
        <f>BB11</f>
        <v>2050</v>
      </c>
      <c r="BW11" s="724"/>
      <c r="CI11" s="635" t="s">
        <v>573</v>
      </c>
      <c r="CJ11" s="635">
        <v>34.200000000000003</v>
      </c>
      <c r="CM11" s="1"/>
      <c r="CN11" s="1"/>
    </row>
    <row r="12" spans="1:94" ht="15.75" x14ac:dyDescent="0.25">
      <c r="C12" s="649"/>
      <c r="D12" s="649" t="s">
        <v>1040</v>
      </c>
      <c r="E12" s="649"/>
      <c r="F12" s="649"/>
      <c r="G12" s="649"/>
      <c r="N12" s="688"/>
      <c r="O12" s="1"/>
      <c r="P12" s="1"/>
      <c r="AB12" s="747">
        <v>13</v>
      </c>
      <c r="AC12" s="635"/>
      <c r="AG12" s="725"/>
      <c r="AH12" s="725"/>
      <c r="AI12" s="725"/>
      <c r="AJ12" s="740"/>
      <c r="AK12" s="728"/>
      <c r="AL12" s="728"/>
      <c r="AM12" s="728"/>
      <c r="AN12" s="728"/>
      <c r="AO12" s="728"/>
      <c r="AP12" s="727"/>
      <c r="AQ12" s="728"/>
      <c r="AR12" s="728"/>
      <c r="AS12" s="728"/>
      <c r="AT12" s="728"/>
      <c r="AU12" s="728"/>
      <c r="AV12" s="728"/>
      <c r="AW12" s="724"/>
      <c r="AX12" s="770" t="str">
        <f>AX7</f>
        <v>Optimistic Upper Investment Limits</v>
      </c>
      <c r="AY12" s="746">
        <f>INDEX(AY6:AY8,MATCH($AX$12,$AX$6:$AX$8,0))</f>
        <v>0.2</v>
      </c>
      <c r="AZ12" s="746">
        <f t="shared" ref="AZ12:BB12" si="0">INDEX(AZ6:AZ8,MATCH($AX$12,$AX$6:$AX$8,0))</f>
        <v>0.5</v>
      </c>
      <c r="BA12" s="746">
        <f t="shared" si="0"/>
        <v>1</v>
      </c>
      <c r="BB12" s="746">
        <f t="shared" si="0"/>
        <v>1</v>
      </c>
      <c r="BC12" s="744" t="s">
        <v>1161</v>
      </c>
      <c r="BD12" s="743"/>
      <c r="BE12" s="742">
        <v>0.7</v>
      </c>
      <c r="BF12" s="742">
        <f>1-AZ12</f>
        <v>0.5</v>
      </c>
      <c r="BG12" s="742">
        <f>1-BA12</f>
        <v>0</v>
      </c>
      <c r="BH12" s="742">
        <f>1-BB12</f>
        <v>0</v>
      </c>
      <c r="BI12" s="724"/>
      <c r="BJ12" s="745" t="s">
        <v>1162</v>
      </c>
      <c r="BK12" s="742">
        <v>0.02</v>
      </c>
      <c r="BL12" s="742"/>
      <c r="BM12" s="742"/>
      <c r="BN12" s="742">
        <v>0.25</v>
      </c>
      <c r="BO12" s="742">
        <v>0.5</v>
      </c>
      <c r="BP12" s="744" t="s">
        <v>1161</v>
      </c>
      <c r="BQ12" s="743"/>
      <c r="BR12" s="742">
        <v>1</v>
      </c>
      <c r="BS12" s="742"/>
      <c r="BT12" s="742"/>
      <c r="BU12" s="742">
        <v>0.25</v>
      </c>
      <c r="BV12" s="742">
        <v>0.1</v>
      </c>
      <c r="BW12" s="724"/>
      <c r="CI12" s="635"/>
      <c r="CJ12" s="635"/>
      <c r="CM12" s="1"/>
      <c r="CN12" s="1"/>
    </row>
    <row r="13" spans="1:94" x14ac:dyDescent="0.2">
      <c r="C13" s="649"/>
      <c r="D13" s="1" t="s">
        <v>1039</v>
      </c>
      <c r="I13" s="649"/>
      <c r="J13" s="649"/>
      <c r="K13" s="649"/>
      <c r="L13" s="649"/>
      <c r="M13" s="649"/>
      <c r="N13" s="688"/>
      <c r="O13" s="1"/>
      <c r="P13" s="1"/>
      <c r="AB13" s="741">
        <f>base.year+6</f>
        <v>2018</v>
      </c>
      <c r="AC13" s="635"/>
      <c r="AF13" s="728"/>
      <c r="AG13" s="728"/>
      <c r="AH13" s="728"/>
      <c r="AI13" s="727"/>
      <c r="AJ13" s="740"/>
      <c r="AK13" s="728"/>
      <c r="AL13" s="728"/>
      <c r="AM13" s="728"/>
      <c r="AN13" s="728"/>
      <c r="AO13" s="728"/>
      <c r="AP13" s="727"/>
      <c r="AQ13" s="728"/>
      <c r="AR13" s="728"/>
      <c r="AS13" s="728"/>
      <c r="AT13" s="728"/>
      <c r="AU13" s="728"/>
      <c r="AV13" s="728"/>
      <c r="AW13" s="724"/>
      <c r="AX13" s="740"/>
      <c r="AY13" s="728"/>
      <c r="AZ13" s="728"/>
      <c r="BA13" s="728"/>
      <c r="BB13" s="728"/>
      <c r="BC13" s="727"/>
      <c r="BD13" s="728"/>
      <c r="BE13" s="728"/>
      <c r="BF13" s="728"/>
      <c r="BG13" s="728"/>
      <c r="BH13" s="728"/>
      <c r="BI13" s="724"/>
      <c r="BJ13" s="740"/>
      <c r="BK13" s="728"/>
      <c r="BL13" s="728"/>
      <c r="BM13" s="728"/>
      <c r="BN13" s="728"/>
      <c r="BO13" s="728"/>
      <c r="BP13" s="727"/>
      <c r="BQ13" s="728"/>
      <c r="BR13" s="728"/>
      <c r="BS13" s="728"/>
      <c r="BT13" s="728"/>
      <c r="BU13" s="728"/>
      <c r="BV13" s="728"/>
      <c r="BW13" s="724"/>
      <c r="CI13" s="635"/>
      <c r="CJ13" s="635"/>
      <c r="CM13" s="1"/>
      <c r="CN13" s="1"/>
    </row>
    <row r="14" spans="1:94" ht="26.25" x14ac:dyDescent="0.25">
      <c r="A14" s="648" t="s">
        <v>1038</v>
      </c>
      <c r="B14" s="648" t="s">
        <v>1037</v>
      </c>
      <c r="C14" s="648" t="s">
        <v>1036</v>
      </c>
      <c r="D14" s="648" t="s">
        <v>1035</v>
      </c>
      <c r="E14" s="648" t="str">
        <f>"EFF"&amp;$D$12&amp;E15</f>
        <v>EFF~2020</v>
      </c>
      <c r="F14" s="648" t="str">
        <f>"EFF"&amp;$D$12&amp;F15</f>
        <v>EFF~2030</v>
      </c>
      <c r="G14" s="648" t="str">
        <f>"EFF"&amp;$D$12&amp;G15</f>
        <v>EFF~2040</v>
      </c>
      <c r="H14" s="648" t="str">
        <f>"EFF"&amp;$D$12&amp;H15</f>
        <v>EFF~2050</v>
      </c>
      <c r="I14" s="648" t="str">
        <f>"NCAP_AF"&amp;$D$12&amp;I15</f>
        <v>NCAP_AF~2012</v>
      </c>
      <c r="J14" s="648" t="str">
        <f t="shared" ref="J14:M14" si="1">"NCAP_AF"&amp;$D$12&amp;J15</f>
        <v>NCAP_AF~2020</v>
      </c>
      <c r="K14" s="648" t="str">
        <f t="shared" si="1"/>
        <v>NCAP_AF~2030</v>
      </c>
      <c r="L14" s="648" t="str">
        <f t="shared" si="1"/>
        <v>NCAP_AF~2040</v>
      </c>
      <c r="M14" s="648" t="str">
        <f t="shared" si="1"/>
        <v>NCAP_AF~2050</v>
      </c>
      <c r="N14" s="739" t="s">
        <v>1184</v>
      </c>
      <c r="O14" s="648" t="s">
        <v>596</v>
      </c>
      <c r="P14" s="648" t="str">
        <f t="shared" ref="P14:U14" si="2">"INVCOST"&amp;$D$12&amp;P15</f>
        <v>INVCOST~2020</v>
      </c>
      <c r="Q14" s="648" t="str">
        <f t="shared" si="2"/>
        <v>INVCOST~2025</v>
      </c>
      <c r="R14" s="648" t="str">
        <f t="shared" si="2"/>
        <v>INVCOST~2030</v>
      </c>
      <c r="S14" s="648" t="str">
        <f t="shared" si="2"/>
        <v>INVCOST~2035</v>
      </c>
      <c r="T14" s="648" t="str">
        <f t="shared" si="2"/>
        <v>INVCOST~2040</v>
      </c>
      <c r="U14" s="648" t="str">
        <f t="shared" si="2"/>
        <v>INVCOST~2050</v>
      </c>
      <c r="V14" s="648" t="str">
        <f t="shared" ref="V14:Y14" si="3">"FIXOM"&amp;$D$12&amp;V15</f>
        <v>FIXOM~2020</v>
      </c>
      <c r="W14" s="648" t="str">
        <f t="shared" si="3"/>
        <v>FIXOM~2030</v>
      </c>
      <c r="X14" s="648" t="str">
        <f t="shared" si="3"/>
        <v>FIXOM~2040</v>
      </c>
      <c r="Y14" s="648" t="str">
        <f t="shared" si="3"/>
        <v>FIXOM~2050</v>
      </c>
      <c r="Z14" s="648" t="s">
        <v>1288</v>
      </c>
      <c r="AA14" s="648" t="s">
        <v>1289</v>
      </c>
      <c r="AB14" s="648" t="s">
        <v>1160</v>
      </c>
      <c r="AC14" s="635"/>
      <c r="AF14" s="728"/>
      <c r="AG14" s="728"/>
      <c r="AH14" s="728"/>
      <c r="AI14" s="727" t="s">
        <v>1159</v>
      </c>
      <c r="AJ14" s="738"/>
      <c r="AK14" s="725" t="str">
        <f>"U"&amp;AK$11</f>
        <v>U2015</v>
      </c>
      <c r="AL14" s="725" t="str">
        <f>"U"&amp;AL$11</f>
        <v>U2020</v>
      </c>
      <c r="AM14" s="725" t="str">
        <f>"U"&amp;AM$11</f>
        <v>U2030</v>
      </c>
      <c r="AN14" s="725" t="str">
        <f>"U"&amp;AN$11</f>
        <v>U2040</v>
      </c>
      <c r="AO14" s="725" t="str">
        <f>"U"&amp;AO$11</f>
        <v>U2050</v>
      </c>
      <c r="AP14" s="192" t="s">
        <v>1158</v>
      </c>
      <c r="AQ14" s="737">
        <v>2012</v>
      </c>
      <c r="AR14" s="725" t="str">
        <f>"L"&amp;AR$11</f>
        <v>L2015</v>
      </c>
      <c r="AS14" s="725" t="str">
        <f>"L"&amp;AS$11</f>
        <v>L2020</v>
      </c>
      <c r="AT14" s="725" t="str">
        <f>"L"&amp;AT$11</f>
        <v>L2030</v>
      </c>
      <c r="AU14" s="725" t="str">
        <f>"L"&amp;AU$11</f>
        <v>L2040</v>
      </c>
      <c r="AV14" s="725" t="str">
        <f>"L"&amp;AV$11</f>
        <v>L2050</v>
      </c>
      <c r="AW14" s="724"/>
      <c r="AX14" s="738"/>
      <c r="AY14" s="725" t="str">
        <f>"U"&amp;AY$11</f>
        <v>U2020</v>
      </c>
      <c r="AZ14" s="725" t="s">
        <v>1157</v>
      </c>
      <c r="BA14" s="725" t="str">
        <f>"U"&amp;BA$11</f>
        <v>U2040</v>
      </c>
      <c r="BB14" s="725" t="str">
        <f>"U"&amp;BB$11</f>
        <v>U2050</v>
      </c>
      <c r="BC14" s="192"/>
      <c r="BD14" s="737">
        <v>2012</v>
      </c>
      <c r="BE14" s="725" t="str">
        <f>"L"&amp;BE$11</f>
        <v>L2020</v>
      </c>
      <c r="BF14" s="725" t="s">
        <v>1157</v>
      </c>
      <c r="BG14" s="725" t="str">
        <f>"L"&amp;BG$11</f>
        <v>L2040</v>
      </c>
      <c r="BH14" s="725" t="str">
        <f>"L"&amp;BH$11</f>
        <v>L2050</v>
      </c>
      <c r="BI14" s="724"/>
      <c r="BJ14" s="738"/>
      <c r="BK14" s="725" t="e">
        <f>"U"&amp;BK$11</f>
        <v>#REF!</v>
      </c>
      <c r="BL14" s="725" t="str">
        <f>"U"&amp;BL$11</f>
        <v>U2020</v>
      </c>
      <c r="BM14" s="725" t="s">
        <v>1157</v>
      </c>
      <c r="BN14" s="725" t="str">
        <f>"U"&amp;BN$11</f>
        <v>U2040</v>
      </c>
      <c r="BO14" s="725" t="str">
        <f>"U"&amp;BO$11</f>
        <v>U2050</v>
      </c>
      <c r="BP14" s="192"/>
      <c r="BQ14" s="737">
        <v>2012</v>
      </c>
      <c r="BR14" s="725" t="e">
        <f>"L"&amp;BR$11</f>
        <v>#REF!</v>
      </c>
      <c r="BS14" s="725" t="str">
        <f>"L"&amp;BS$11</f>
        <v>L2020</v>
      </c>
      <c r="BT14" s="725" t="s">
        <v>1157</v>
      </c>
      <c r="BU14" s="725" t="str">
        <f>"L"&amp;BU$11</f>
        <v>L2040</v>
      </c>
      <c r="BV14" s="725" t="str">
        <f>"L"&amp;BV$11</f>
        <v>L2050</v>
      </c>
      <c r="BW14" s="724"/>
      <c r="CI14" s="635" t="s">
        <v>1156</v>
      </c>
      <c r="CJ14" s="635"/>
      <c r="CK14" s="1" t="s">
        <v>1155</v>
      </c>
      <c r="CL14" s="717">
        <v>0.08</v>
      </c>
      <c r="CM14" s="1"/>
      <c r="CN14" s="1"/>
    </row>
    <row r="15" spans="1:94" s="635" customFormat="1" ht="52.5" thickBot="1" x14ac:dyDescent="0.3">
      <c r="A15" s="647" t="s">
        <v>1034</v>
      </c>
      <c r="B15" s="644" t="s">
        <v>1033</v>
      </c>
      <c r="C15" s="645" t="s">
        <v>1032</v>
      </c>
      <c r="D15" s="645" t="s">
        <v>1031</v>
      </c>
      <c r="E15" s="645">
        <v>2020</v>
      </c>
      <c r="F15" s="645">
        <v>2030</v>
      </c>
      <c r="G15" s="645">
        <v>2040</v>
      </c>
      <c r="H15" s="645">
        <v>2050</v>
      </c>
      <c r="I15" s="645">
        <v>2012</v>
      </c>
      <c r="J15" s="645">
        <v>2020</v>
      </c>
      <c r="K15" s="645">
        <v>2030</v>
      </c>
      <c r="L15" s="645">
        <v>2040</v>
      </c>
      <c r="M15" s="645">
        <v>2050</v>
      </c>
      <c r="N15" s="736"/>
      <c r="O15" s="645" t="str">
        <f>TRP!O59</f>
        <v>CapAct</v>
      </c>
      <c r="P15" s="645">
        <v>2020</v>
      </c>
      <c r="Q15" s="645">
        <v>2025</v>
      </c>
      <c r="R15" s="645">
        <v>2030</v>
      </c>
      <c r="S15" s="645">
        <v>2035</v>
      </c>
      <c r="T15" s="645">
        <v>2040</v>
      </c>
      <c r="U15" s="645">
        <v>2050</v>
      </c>
      <c r="V15" s="645">
        <v>2020</v>
      </c>
      <c r="W15" s="645">
        <v>2030</v>
      </c>
      <c r="X15" s="645">
        <v>2040</v>
      </c>
      <c r="Y15" s="645">
        <v>2050</v>
      </c>
      <c r="Z15" s="645">
        <v>2012</v>
      </c>
      <c r="AA15" s="645">
        <v>2012</v>
      </c>
      <c r="AB15" s="645"/>
      <c r="AC15" s="644" t="s">
        <v>1030</v>
      </c>
      <c r="AD15" s="644" t="s">
        <v>1154</v>
      </c>
      <c r="AE15" s="644" t="s">
        <v>1153</v>
      </c>
      <c r="AF15" s="644" t="s">
        <v>1152</v>
      </c>
      <c r="AG15" s="644" t="s">
        <v>1151</v>
      </c>
      <c r="AH15" s="644" t="s">
        <v>1150</v>
      </c>
      <c r="AI15" s="644"/>
      <c r="AJ15" s="735" t="s">
        <v>1149</v>
      </c>
      <c r="AK15" s="734" t="s">
        <v>1147</v>
      </c>
      <c r="AL15" s="734" t="s">
        <v>1147</v>
      </c>
      <c r="AM15" s="734" t="s">
        <v>1147</v>
      </c>
      <c r="AN15" s="734" t="s">
        <v>1147</v>
      </c>
      <c r="AO15" s="734" t="s">
        <v>1147</v>
      </c>
      <c r="AP15"/>
      <c r="AQ15" s="734" t="s">
        <v>1148</v>
      </c>
      <c r="AR15" s="734" t="s">
        <v>1146</v>
      </c>
      <c r="AS15" s="734" t="s">
        <v>1146</v>
      </c>
      <c r="AT15" s="734" t="s">
        <v>1146</v>
      </c>
      <c r="AU15" s="734" t="s">
        <v>1146</v>
      </c>
      <c r="AV15" s="734" t="s">
        <v>1146</v>
      </c>
      <c r="AW15" s="733" t="s">
        <v>1030</v>
      </c>
      <c r="AX15" s="735" t="s">
        <v>1149</v>
      </c>
      <c r="AY15" s="734" t="s">
        <v>1147</v>
      </c>
      <c r="AZ15" s="734" t="s">
        <v>1147</v>
      </c>
      <c r="BA15" s="734" t="s">
        <v>1147</v>
      </c>
      <c r="BB15" s="734" t="s">
        <v>1147</v>
      </c>
      <c r="BC15"/>
      <c r="BD15" s="734" t="s">
        <v>1148</v>
      </c>
      <c r="BE15" s="734" t="s">
        <v>1146</v>
      </c>
      <c r="BF15" s="734" t="s">
        <v>1147</v>
      </c>
      <c r="BG15" s="734" t="s">
        <v>1146</v>
      </c>
      <c r="BH15" s="734" t="s">
        <v>1146</v>
      </c>
      <c r="BI15" s="733" t="s">
        <v>1030</v>
      </c>
      <c r="BJ15" s="735" t="s">
        <v>1149</v>
      </c>
      <c r="BK15" s="734" t="s">
        <v>1147</v>
      </c>
      <c r="BL15" s="734" t="s">
        <v>1147</v>
      </c>
      <c r="BM15" s="734" t="s">
        <v>1147</v>
      </c>
      <c r="BN15" s="734" t="s">
        <v>1147</v>
      </c>
      <c r="BO15" s="734" t="s">
        <v>1147</v>
      </c>
      <c r="BP15"/>
      <c r="BQ15" s="734" t="s">
        <v>1148</v>
      </c>
      <c r="BR15" s="734" t="s">
        <v>1146</v>
      </c>
      <c r="BS15" s="734" t="s">
        <v>1146</v>
      </c>
      <c r="BT15" s="734" t="s">
        <v>1147</v>
      </c>
      <c r="BU15" s="734" t="s">
        <v>1146</v>
      </c>
      <c r="BV15" s="734" t="s">
        <v>1146</v>
      </c>
      <c r="BW15" s="733" t="s">
        <v>1030</v>
      </c>
      <c r="BY15" s="635" t="s">
        <v>1145</v>
      </c>
      <c r="BZ15" s="635" t="s">
        <v>1144</v>
      </c>
      <c r="CJ15" s="635" t="s">
        <v>1143</v>
      </c>
      <c r="CK15" s="635" t="s">
        <v>1142</v>
      </c>
      <c r="CL15" s="635" t="s">
        <v>581</v>
      </c>
      <c r="CM15" s="635" t="s">
        <v>1141</v>
      </c>
      <c r="CN15" s="635" t="s">
        <v>1140</v>
      </c>
      <c r="CO15" s="635" t="s">
        <v>1139</v>
      </c>
      <c r="CP15" s="635" t="s">
        <v>1138</v>
      </c>
    </row>
    <row r="16" spans="1:94" s="635" customFormat="1" ht="15" x14ac:dyDescent="0.25">
      <c r="A16" s="690" t="s">
        <v>1026</v>
      </c>
      <c r="B16" s="732"/>
      <c r="C16" s="622"/>
      <c r="D16" s="622"/>
      <c r="E16" s="642"/>
      <c r="F16" s="642"/>
      <c r="G16" s="642"/>
      <c r="H16" s="642"/>
      <c r="I16" s="642"/>
      <c r="J16" s="642"/>
      <c r="K16" s="642"/>
      <c r="L16" s="642"/>
      <c r="M16" s="642"/>
      <c r="N16" s="731"/>
      <c r="O16" s="641" t="s">
        <v>1025</v>
      </c>
      <c r="P16" s="658" t="s">
        <v>572</v>
      </c>
      <c r="Q16" s="658" t="s">
        <v>572</v>
      </c>
      <c r="R16" s="658" t="s">
        <v>572</v>
      </c>
      <c r="S16" s="658" t="s">
        <v>572</v>
      </c>
      <c r="T16" s="658" t="s">
        <v>572</v>
      </c>
      <c r="U16" s="658" t="s">
        <v>572</v>
      </c>
      <c r="V16" s="658"/>
      <c r="W16" s="658"/>
      <c r="X16" s="658"/>
      <c r="Y16" s="658"/>
      <c r="Z16" s="640"/>
      <c r="AA16" s="640"/>
      <c r="AB16" s="640"/>
      <c r="AF16" s="727"/>
      <c r="AG16" s="727"/>
      <c r="AH16" s="727"/>
      <c r="AI16" s="727"/>
      <c r="AJ16" s="730"/>
      <c r="AK16" s="725"/>
      <c r="AL16" s="725"/>
      <c r="AM16" s="725"/>
      <c r="AN16" s="725"/>
      <c r="AO16" s="725"/>
      <c r="AP16"/>
      <c r="AQ16" s="725"/>
      <c r="AR16" s="725"/>
      <c r="AS16" s="725"/>
      <c r="AT16" s="725"/>
      <c r="AU16" s="725"/>
      <c r="AV16" s="725"/>
      <c r="AW16" s="729"/>
      <c r="AX16" s="730"/>
      <c r="AY16" s="725"/>
      <c r="AZ16" s="725"/>
      <c r="BA16" s="725"/>
      <c r="BB16" s="725"/>
      <c r="BC16"/>
      <c r="BD16" s="725"/>
      <c r="BE16" s="725"/>
      <c r="BF16" s="725"/>
      <c r="BG16" s="725"/>
      <c r="BH16" s="725"/>
      <c r="BI16" s="729"/>
      <c r="BJ16" s="730"/>
      <c r="BK16" s="725"/>
      <c r="BL16" s="725"/>
      <c r="BM16" s="725"/>
      <c r="BN16" s="725"/>
      <c r="BO16" s="725"/>
      <c r="BP16"/>
      <c r="BQ16" s="725"/>
      <c r="BR16" s="725"/>
      <c r="BS16" s="725"/>
      <c r="BT16" s="725"/>
      <c r="BU16" s="725"/>
      <c r="BV16" s="725"/>
      <c r="BW16" s="729"/>
      <c r="CI16" s="635" t="s">
        <v>1137</v>
      </c>
      <c r="CJ16" s="635" t="s">
        <v>1136</v>
      </c>
      <c r="CK16" s="635" t="s">
        <v>1135</v>
      </c>
      <c r="CL16" s="635" t="s">
        <v>574</v>
      </c>
      <c r="CM16" s="635" t="s">
        <v>1132</v>
      </c>
      <c r="CN16" s="635" t="s">
        <v>1134</v>
      </c>
      <c r="CO16" s="635" t="s">
        <v>1133</v>
      </c>
      <c r="CP16" s="635" t="s">
        <v>1132</v>
      </c>
    </row>
    <row r="17" spans="1:98" ht="15" x14ac:dyDescent="0.25">
      <c r="A17" s="623" t="s">
        <v>1019</v>
      </c>
      <c r="B17" s="622"/>
      <c r="N17" s="688"/>
      <c r="O17" s="634"/>
      <c r="P17" s="1"/>
      <c r="AC17" s="635"/>
      <c r="AF17" s="728"/>
      <c r="AG17" s="728"/>
      <c r="AH17" s="728"/>
      <c r="AI17" s="727"/>
      <c r="AJ17" s="726"/>
      <c r="AK17" s="725"/>
      <c r="AL17" s="725"/>
      <c r="AM17" s="725"/>
      <c r="AN17" s="725"/>
      <c r="AO17" s="725"/>
      <c r="AP17"/>
      <c r="AQ17" s="725"/>
      <c r="AR17" s="725"/>
      <c r="AS17" s="725"/>
      <c r="AT17" s="725"/>
      <c r="AU17" s="725"/>
      <c r="AV17" s="725"/>
      <c r="AW17" s="724"/>
      <c r="AX17" s="726"/>
      <c r="AY17" s="725"/>
      <c r="AZ17" s="725"/>
      <c r="BA17" s="725"/>
      <c r="BB17" s="725"/>
      <c r="BC17"/>
      <c r="BD17" s="725"/>
      <c r="BE17" s="725"/>
      <c r="BF17" s="725"/>
      <c r="BG17" s="725"/>
      <c r="BH17" s="725"/>
      <c r="BI17" s="724"/>
      <c r="BJ17" s="726"/>
      <c r="BK17" s="725"/>
      <c r="BL17" s="725"/>
      <c r="BM17" s="725"/>
      <c r="BN17" s="725"/>
      <c r="BO17" s="725"/>
      <c r="BP17"/>
      <c r="BQ17" s="725"/>
      <c r="BR17" s="725"/>
      <c r="BS17" s="725"/>
      <c r="BT17" s="725"/>
      <c r="BU17" s="725"/>
      <c r="BV17" s="725"/>
      <c r="BW17" s="724"/>
      <c r="CI17" s="635"/>
      <c r="CJ17" s="635"/>
      <c r="CM17" s="1"/>
      <c r="CN17" s="1"/>
    </row>
    <row r="18" spans="1:98" x14ac:dyDescent="0.2">
      <c r="A18" s="191" t="str">
        <f>ITEMS_nTech!C9</f>
        <v>Transport Passenger SUV Priv.Veh. Oil Diesel-N</v>
      </c>
      <c r="B18" s="191" t="str">
        <f>D18&amp;RIGHT(C18,3)&amp;"-N"</f>
        <v>TPPRSUVODS-N</v>
      </c>
      <c r="C18" s="612" t="str">
        <f>$D$6</f>
        <v>TRAODS</v>
      </c>
      <c r="D18" s="612" t="str">
        <f>TRP!$B$21</f>
        <v>TPPRSUV</v>
      </c>
      <c r="E18" s="702">
        <f t="array" ref="E18">IFERROR(INDEX(Analytica!$F$59:$AY$138,MATCH($B18,Analytica!$B$59:$B$168,0),MATCH(E$15&amp;E$10,Analytica!$F$58:$AY$58&amp;Analytica!$F$51:'Analytica'!$AY$51,0)),"")</f>
        <v>0.23658855771912971</v>
      </c>
      <c r="F18" s="702">
        <f t="array" ref="F18">IFERROR(INDEX(Analytica!$F$59:$AY$138,MATCH($B18,Analytica!$B$59:$B$168,0),MATCH(F$15&amp;F$10,Analytica!$F$58:$AY$58&amp;Analytica!$F$51:'Analytica'!$AY$51,0)),"")</f>
        <v>0.25508715046378805</v>
      </c>
      <c r="G18" s="702">
        <f t="array" ref="G18">IFERROR(INDEX(Analytica!$F$59:$AY$138,MATCH($B18,Analytica!$B$59:$B$168,0),MATCH(G$15&amp;G$10,Analytica!$F$58:$AY$58&amp;Analytica!$F$51:'Analytica'!$AY$51,0)),"")</f>
        <v>0.28205684025891897</v>
      </c>
      <c r="H18" s="702" cm="1">
        <f t="array" ref="H18">IFERROR(INDEX(Analytica!$F$59:$AY$138,MATCH($B18,Analytica!$B$59:$B$168,0),MATCH(H$15&amp;H$10,Analytica!$F$58:$AY$58&amp;Analytica!$F$51:'Analytica'!$AY$51,0)),"")</f>
        <v>0.31187796402994067</v>
      </c>
      <c r="I18" s="701">
        <v>1</v>
      </c>
      <c r="J18" s="701">
        <v>1</v>
      </c>
      <c r="K18" s="701">
        <v>1</v>
      </c>
      <c r="L18" s="701">
        <v>1</v>
      </c>
      <c r="M18" s="701">
        <v>1</v>
      </c>
      <c r="N18" s="696">
        <v>1</v>
      </c>
      <c r="O18" s="702">
        <f t="array" ref="O18">IFERROR(INDEX(Analytica!$F$59:$AY$138,MATCH($B18,Analytica!$B$59:$B$168,0),MATCH(O$15&amp;O$10,Analytica!$F$58:$AY$58&amp;Analytica!$F$51:'Analytica'!$AY$51,0)),"")</f>
        <v>2.4E-2</v>
      </c>
      <c r="P18" s="620" cm="1">
        <f t="array" ref="P18">IFERROR(INDEX(Analytica!$F$59:$AY$138,MATCH($B18,Analytica!$B$59:$B$168,0),MATCH(P$15&amp;P$10,Analytica!$F$58:$AY$58&amp;Analytica!$F$51:'Analytica'!$AY$51,0)),"")</f>
        <v>496.02431464990411</v>
      </c>
      <c r="Q18" s="620">
        <f t="array" ref="Q18">IFERROR(INDEX(Analytica!$F$59:$AY$138,MATCH($B18,Analytica!$B$59:$B$168,0),MATCH(Q$15&amp;Q$10,Analytica!$F$58:$AY$58&amp;Analytica!$F$51:'Analytica'!$AY$51,0)),"")</f>
        <v>504.86263896951328</v>
      </c>
      <c r="R18" s="620">
        <f t="array" ref="R18">IFERROR(INDEX(Analytica!$F$59:$AY$138,MATCH($B18,Analytica!$B$59:$B$168,0),MATCH(R$15&amp;R$10,Analytica!$F$58:$AY$58&amp;Analytica!$F$51:'Analytica'!$AY$51,0)),"")</f>
        <v>363.56136717159279</v>
      </c>
      <c r="S18" s="620">
        <f t="array" ref="S18">IFERROR(INDEX(Analytica!$F$59:$AY$138,MATCH($B18,Analytica!$B$59:$B$168,0),MATCH(S$15&amp;S$10,Analytica!$F$58:$AY$58&amp;Analytica!$F$51:'Analytica'!$AY$51,0)),"")</f>
        <v>371.50085823323019</v>
      </c>
      <c r="T18" s="620">
        <f t="array" ref="T18">IFERROR(INDEX(Analytica!$F$59:$AY$138,MATCH($B18,Analytica!$B$59:$B$168,0),MATCH(T$15&amp;T$10,Analytica!$F$58:$AY$58&amp;Analytica!$F$51:'Analytica'!$AY$51,0)),"")</f>
        <v>379.44034929486759</v>
      </c>
      <c r="U18" s="620">
        <f t="array" ref="U18">IFERROR(INDEX(Analytica!$F$59:$AY$138,MATCH($B18,Analytica!$B$59:$B$168,0),MATCH(U$15&amp;U$10,Analytica!$F$58:$AY$58&amp;Analytica!$F$51:'Analytica'!$AY$51,0)),"")</f>
        <v>387.39622422821134</v>
      </c>
      <c r="V18" s="620">
        <f t="array" ref="V18">IFERROR(INDEX(Analytica!$F$59:$AY$138,MATCH($B18,Analytica!$B$59:$B$168,0),MATCH(V$15&amp;V$10,Analytica!$F$58:$AY$58&amp;Analytica!$F$51:'Analytica'!$AY$51,0)),"")</f>
        <v>13.392656495547412</v>
      </c>
      <c r="W18" s="620">
        <f t="array" ref="W18">IFERROR(INDEX(Analytica!$F$59:$AY$138,MATCH($B18,Analytica!$B$59:$B$168,0),MATCH(W$15&amp;W$10,Analytica!$F$58:$AY$58&amp;Analytica!$F$51:'Analytica'!$AY$51,0)),"")</f>
        <v>9.8161569136330051</v>
      </c>
      <c r="X18" s="620">
        <f t="array" ref="X18">IFERROR(INDEX(Analytica!$F$59:$AY$138,MATCH($B18,Analytica!$B$59:$B$168,0),MATCH(X$15&amp;X$10,Analytica!$F$58:$AY$58&amp;Analytica!$F$51:'Analytica'!$AY$51,0)),"")</f>
        <v>10.244889430961425</v>
      </c>
      <c r="Y18" s="620">
        <f t="array" ref="Y18">IFERROR(INDEX(Analytica!$F$59:$AY$138,MATCH($B18,Analytica!$B$59:$B$168,0),MATCH(Y$15&amp;Y$10,Analytica!$F$58:$AY$58&amp;Analytica!$F$51:'Analytica'!$AY$51,0)),"")</f>
        <v>10.459698054161706</v>
      </c>
      <c r="Z18" s="694">
        <v>20</v>
      </c>
      <c r="AA18" s="694">
        <f t="shared" ref="AA18:AA49" si="4">Z18</f>
        <v>20</v>
      </c>
      <c r="AB18" s="694">
        <f>IF(AD18,base.year+$AB$12,base.year+$AB$10)</f>
        <v>2018</v>
      </c>
      <c r="AC18" s="1">
        <f t="shared" ref="AC18:AC49" ca="1" si="5">OFFSET(AC18,-1,0)+1</f>
        <v>1</v>
      </c>
      <c r="AE18" s="1" t="str">
        <f t="shared" ref="AE18:AE49" si="6">"S_"&amp;D18</f>
        <v>S_TPPRSUV</v>
      </c>
      <c r="AF18" s="1" t="str">
        <f t="shared" ref="AF18:AF25" si="7">IF(B18="","","S_"&amp;LEFT(B18,LEN(B18)-2))</f>
        <v>S_TPPRSUVODS</v>
      </c>
      <c r="AG18" s="1" t="str">
        <f t="shared" ref="AG18:AG25" si="8">B18&amp;"_L"</f>
        <v>TPPRSUVODS-N_L</v>
      </c>
      <c r="AH18" s="1" t="str">
        <f t="shared" ref="AH18:AH25" si="9">B18&amp;"_U"</f>
        <v>TPPRSUVODS-N_U</v>
      </c>
      <c r="AI18" s="194">
        <v>0</v>
      </c>
      <c r="AJ18" s="699">
        <f>SUMIF(Analytica!$B$59:$B$137,B18,Analytica!$BA$59:$BA$192)</f>
        <v>0.46134144546391248</v>
      </c>
      <c r="AK18" s="715">
        <f>AJ18</f>
        <v>0.46134144546391248</v>
      </c>
      <c r="AL18" s="715">
        <f>AK18</f>
        <v>0.46134144546391248</v>
      </c>
      <c r="AM18" s="715">
        <f>AL18</f>
        <v>0.46134144546391248</v>
      </c>
      <c r="AN18" s="715">
        <f>AM18</f>
        <v>0.46134144546391248</v>
      </c>
      <c r="AO18" s="715">
        <f>AN18</f>
        <v>0.46134144546391248</v>
      </c>
      <c r="AP18" s="194">
        <v>1</v>
      </c>
      <c r="AQ18" s="650">
        <f t="shared" ref="AQ18:AQ25" si="10">AJ18</f>
        <v>0.46134144546391248</v>
      </c>
      <c r="AR18" s="719" t="e">
        <f>IF($AP$10,BR18,#REF!)</f>
        <v>#REF!</v>
      </c>
      <c r="AS18" s="719" t="e">
        <f t="shared" ref="AS18:AV25" si="11">IF($AP$10,BS18,BE18)</f>
        <v>#REF!</v>
      </c>
      <c r="AT18" s="719">
        <f t="shared" si="11"/>
        <v>0.23067072273195624</v>
      </c>
      <c r="AU18" s="697">
        <f t="shared" si="11"/>
        <v>0</v>
      </c>
      <c r="AV18" s="697">
        <f t="shared" si="11"/>
        <v>0</v>
      </c>
      <c r="AX18" s="698">
        <f>$AJ18</f>
        <v>0.46134144546391248</v>
      </c>
      <c r="AY18" s="697" t="e">
        <f>IF(#REF!&lt;&gt;"",(AY$11-#REF!)/(BA$11-#REF!)*(BA18-#REF!)+#REF!,"")</f>
        <v>#REF!</v>
      </c>
      <c r="AZ18" s="697" t="e">
        <f t="shared" ref="AZ18:AZ49" si="12">AY18+(AZ$11-AY$11)/(BA$11-AY$11)*(BA18-AY18)</f>
        <v>#REF!</v>
      </c>
      <c r="BA18" s="697">
        <f t="shared" ref="BA18:BB37" si="13">MIN(1,$AJ18+BA$12)</f>
        <v>1</v>
      </c>
      <c r="BB18" s="697">
        <f t="shared" si="13"/>
        <v>1</v>
      </c>
      <c r="BC18" s="194"/>
      <c r="BD18" s="650">
        <f t="shared" ref="BD18:BD49" si="14">AJ18</f>
        <v>0.46134144546391248</v>
      </c>
      <c r="BE18" s="697" t="e">
        <f>IF(#REF!&lt;&gt;"",(BE$11-#REF!)/(BG$11-#REF!)*(BG18-#REF!)+#REF!,"")</f>
        <v>#REF!</v>
      </c>
      <c r="BF18" s="697">
        <f t="shared" ref="BF18:BH37" si="15">$AQ18*BF$12</f>
        <v>0.23067072273195624</v>
      </c>
      <c r="BG18" s="697">
        <f t="shared" si="15"/>
        <v>0</v>
      </c>
      <c r="BH18" s="697">
        <f t="shared" si="15"/>
        <v>0</v>
      </c>
      <c r="BI18" s="692"/>
      <c r="BJ18" s="693">
        <f>$AJ18</f>
        <v>0.46134144546391248</v>
      </c>
      <c r="BK18" s="697">
        <f>MIN(1,$AJ18+BK$12)</f>
        <v>0.4813414454639125</v>
      </c>
      <c r="BL18" s="697" t="e">
        <f>IF(BK18&lt;&gt;"",(BL$11-BK$11)/(BN$11-BK$11)*(BN18-BK18)+BK18,"")</f>
        <v>#REF!</v>
      </c>
      <c r="BM18" s="697" t="e">
        <f t="shared" ref="BM18:BM25" si="16">BL18+(BM$11-BL$11)/(BN$11-BL$11)*(BN18-BL18)</f>
        <v>#REF!</v>
      </c>
      <c r="BN18" s="697">
        <f t="shared" ref="BN18:BO21" si="17">MIN(1,$AJ18+BN$12)</f>
        <v>0.71134144546391243</v>
      </c>
      <c r="BO18" s="697">
        <f t="shared" si="17"/>
        <v>0.96134144546391243</v>
      </c>
      <c r="BP18" s="194"/>
      <c r="BQ18" s="650">
        <f t="shared" ref="BQ18:BQ25" si="18">AJ18</f>
        <v>0.46134144546391248</v>
      </c>
      <c r="BR18" s="697">
        <v>0.39677967432849887</v>
      </c>
      <c r="BS18" s="697" t="e">
        <f>IF(BR18&lt;&gt;"",(BS$11-BR$11)/(BU$11-BR$11)*(BU18-BR18)+BR18,"")</f>
        <v>#REF!</v>
      </c>
      <c r="BT18" s="697" t="e">
        <f t="shared" ref="BT18:BT25" si="19">BS18+(BT$11-BS$11)/(BU$11-BS$11)*(BU18-BS18)</f>
        <v>#REF!</v>
      </c>
      <c r="BU18" s="697">
        <v>0.10121930467563747</v>
      </c>
      <c r="BV18" s="697">
        <v>0.05</v>
      </c>
      <c r="BW18" s="692"/>
      <c r="BX18" s="1" t="str">
        <f t="shared" ref="BX18:BX25" si="20">B18</f>
        <v>TPPRSUVODS-N</v>
      </c>
      <c r="BY18" s="1" t="str">
        <f t="shared" ref="BY18:BY58" ca="1" si="21">"-"&amp;CHAR(9)&amp;AF18&amp;CHAR(9)&amp;"1"&amp;CHAR(9)&amp;BX18&amp;" Set"&amp;CHAR(9)&amp;"1"&amp;CHAR(9)&amp;TEXT(NOW(),"mm/dd/yyyy H:mm:ss")&amp;CHAR(9)&amp;"null"&amp;CHAR(9)&amp;"((tblITEMS.Item Like "&amp;CHAR(34)&amp;BX18&amp;"*"&amp;CHAR(34)&amp;"))"&amp;CHAR(9)&amp;"null"&amp;CHAR(9)&amp;"null"&amp;CHAR(9)&amp;"null"&amp;CHAR(9)&amp;"null"&amp;CHAR(9)&amp;"null"&amp;CHAR(9)&amp;"null"&amp;CHAR(9)&amp;"null"</f>
        <v>-	S_TPPRSUVODS	1	TPPRSUVODS-N Set	1	10/03/2023 17:53:59	null	((tblITEMS.Item Like "TPPRSUVODS-N*"))	null	null	null	null	null	null	null</v>
      </c>
      <c r="BZ18" s="1" t="str">
        <f t="shared" ref="BZ18:BZ58" si="22">"-"&amp;CHAR(9)&amp;AF18&amp;CHAR(9)&amp;"1"&amp;CHAR(9)&amp;"1"&amp;CHAR(9)&amp;"True"&amp;CHAR(9)&amp;"Like "&amp;CHAR(34)&amp;BX18&amp;"*"&amp;CHAR(34)</f>
        <v>-	S_TPPRSUVODS	1	1	True	Like "TPPRSUVODS-N*"</v>
      </c>
      <c r="CI18" s="1">
        <f>SUMIF($CI$10:$CI$11,RIGHT(C18,3),$CJ$10:$CJ$11)</f>
        <v>38.1</v>
      </c>
      <c r="CJ18" s="1">
        <v>10</v>
      </c>
      <c r="CK18" s="625">
        <f>CJ18/CI18</f>
        <v>0.26246719160104987</v>
      </c>
      <c r="CL18" s="625" t="e">
        <f>#REF!</f>
        <v>#REF!</v>
      </c>
      <c r="CM18" s="625" t="e">
        <f>CK18/#REF!</f>
        <v>#REF!</v>
      </c>
      <c r="CN18" s="2" t="e">
        <f>#REF!*1000</f>
        <v>#REF!</v>
      </c>
      <c r="CO18" s="2">
        <f>O18*1000000</f>
        <v>24000</v>
      </c>
      <c r="CP18" s="9" t="e">
        <f>-PMT($CL$14,Z18,CN18)/CO18</f>
        <v>#REF!</v>
      </c>
      <c r="CQ18" s="9" t="e">
        <f>CP18+CM18</f>
        <v>#REF!</v>
      </c>
      <c r="CS18" s="1" t="str">
        <f>LEFT(B18,LEN(B18)-2)</f>
        <v>TPPRSUVODS</v>
      </c>
    </row>
    <row r="19" spans="1:98" x14ac:dyDescent="0.2">
      <c r="A19" s="191" t="str">
        <f>ITEMS_nTech!C10</f>
        <v>Transport Passenger SUV Priv.Veh. Oil Gasoline-N</v>
      </c>
      <c r="B19" s="191" t="str">
        <f>D19&amp;RIGHT(C19,3)&amp;"-N"</f>
        <v>TPPRSUVOGS-N</v>
      </c>
      <c r="C19" s="612" t="str">
        <f>$G$6</f>
        <v>TRAOGS</v>
      </c>
      <c r="D19" s="612" t="str">
        <f>TRP!$B$21</f>
        <v>TPPRSUV</v>
      </c>
      <c r="E19" s="702">
        <f t="array" ref="E19">IFERROR(INDEX(Analytica!$F$59:$AY$138,MATCH($B19,Analytica!$B$59:$B$168,0),MATCH(E$15&amp;E$10,Analytica!$F$58:$AY$58&amp;Analytica!$F$51:'Analytica'!$AY$51,0)),"")</f>
        <v>0.43407150834094715</v>
      </c>
      <c r="F19" s="702">
        <f t="array" ref="F19">IFERROR(INDEX(Analytica!$F$59:$AY$138,MATCH($B19,Analytica!$B$59:$B$168,0),MATCH(F$15&amp;F$10,Analytica!$F$58:$AY$58&amp;Analytica!$F$51:'Analytica'!$AY$51,0)),"")</f>
        <v>0.46801107047476492</v>
      </c>
      <c r="G19" s="702">
        <f t="array" ref="G19">IFERROR(INDEX(Analytica!$F$59:$AY$138,MATCH($B19,Analytica!$B$59:$B$168,0),MATCH(G$15&amp;G$10,Analytica!$F$58:$AY$58&amp;Analytica!$F$51:'Analytica'!$AY$51,0)),"")</f>
        <v>0.51749264321742416</v>
      </c>
      <c r="H19" s="702">
        <f t="array" ref="H19">IFERROR(INDEX(Analytica!$F$59:$AY$138,MATCH($B19,Analytica!$B$59:$B$168,0),MATCH(H$15&amp;H$10,Analytica!$F$58:$AY$58&amp;Analytica!$F$51:'Analytica'!$AY$51,0)),"")</f>
        <v>0.57220577178333198</v>
      </c>
      <c r="I19" s="701">
        <v>1</v>
      </c>
      <c r="J19" s="701">
        <v>1</v>
      </c>
      <c r="K19" s="701">
        <v>1</v>
      </c>
      <c r="L19" s="701">
        <v>1</v>
      </c>
      <c r="M19" s="701">
        <v>1</v>
      </c>
      <c r="N19" s="696">
        <f>IF(B19="","",MAX(N$18:N18)+1)</f>
        <v>2</v>
      </c>
      <c r="O19" s="702">
        <f t="array" ref="O19">IFERROR(INDEX(Analytica!$F$59:$AY$138,MATCH($B19,Analytica!$B$59:$B$168,0),MATCH(O$15&amp;O$10,Analytica!$F$58:$AY$58&amp;Analytica!$F$51:'Analytica'!$AY$51,0)),"")</f>
        <v>2.4E-2</v>
      </c>
      <c r="P19" s="620">
        <f t="array" ref="P19">IFERROR(INDEX(Analytica!$F$59:$AY$138,MATCH($B19,Analytica!$B$59:$B$168,0),MATCH(P$15&amp;P$10,Analytica!$F$58:$AY$58&amp;Analytica!$F$51:'Analytica'!$AY$51,0)),"")</f>
        <v>350.63787759734595</v>
      </c>
      <c r="Q19" s="620">
        <f t="array" ref="Q19">IFERROR(INDEX(Analytica!$F$59:$AY$138,MATCH($B19,Analytica!$B$59:$B$168,0),MATCH(Q$15&amp;Q$10,Analytica!$F$58:$AY$58&amp;Analytica!$F$51:'Analytica'!$AY$51,0)),"")</f>
        <v>357.09962238446946</v>
      </c>
      <c r="R19" s="620">
        <f t="array" ref="R19">IFERROR(INDEX(Analytica!$F$59:$AY$138,MATCH($B19,Analytica!$B$59:$B$168,0),MATCH(R$15&amp;R$10,Analytica!$F$58:$AY$58&amp;Analytica!$F$51:'Analytica'!$AY$51,0)),"")</f>
        <v>363.56136717159279</v>
      </c>
      <c r="S19" s="620">
        <f t="array" ref="S19">IFERROR(INDEX(Analytica!$F$59:$AY$138,MATCH($B19,Analytica!$B$59:$B$168,0),MATCH(S$15&amp;S$10,Analytica!$F$58:$AY$58&amp;Analytica!$F$51:'Analytica'!$AY$51,0)),"")</f>
        <v>371.50085823323019</v>
      </c>
      <c r="T19" s="620">
        <f t="array" ref="T19">IFERROR(INDEX(Analytica!$F$59:$AY$138,MATCH($B19,Analytica!$B$59:$B$168,0),MATCH(T$15&amp;T$10,Analytica!$F$58:$AY$58&amp;Analytica!$F$51:'Analytica'!$AY$51,0)),"")</f>
        <v>379.44034929486759</v>
      </c>
      <c r="U19" s="620">
        <f t="array" ref="U19">IFERROR(INDEX(Analytica!$F$59:$AY$138,MATCH($B19,Analytica!$B$59:$B$168,0),MATCH(U$15&amp;U$10,Analytica!$F$58:$AY$58&amp;Analytica!$F$51:'Analytica'!$AY$51,0)),"")</f>
        <v>387.39622422821134</v>
      </c>
      <c r="V19" s="620">
        <f t="array" ref="V19">IFERROR(INDEX(Analytica!$F$59:$AY$138,MATCH($B19,Analytica!$B$59:$B$168,0),MATCH(V$15&amp;V$10,Analytica!$F$58:$AY$58&amp;Analytica!$F$51:'Analytica'!$AY$51,0)),"")</f>
        <v>9.4672226951283402</v>
      </c>
      <c r="W19" s="620">
        <f t="array" ref="W19">IFERROR(INDEX(Analytica!$F$59:$AY$138,MATCH($B19,Analytica!$B$59:$B$168,0),MATCH(W$15&amp;W$10,Analytica!$F$58:$AY$58&amp;Analytica!$F$51:'Analytica'!$AY$51,0)),"")</f>
        <v>9.8161569136330051</v>
      </c>
      <c r="X19" s="620">
        <f t="array" ref="X19">IFERROR(INDEX(Analytica!$F$59:$AY$138,MATCH($B19,Analytica!$B$59:$B$168,0),MATCH(X$15&amp;X$10,Analytica!$F$58:$AY$58&amp;Analytica!$F$51:'Analytica'!$AY$51,0)),"")</f>
        <v>10.244889430961425</v>
      </c>
      <c r="Y19" s="620">
        <f t="array" ref="Y19">IFERROR(INDEX(Analytica!$F$59:$AY$138,MATCH($B19,Analytica!$B$59:$B$168,0),MATCH(Y$15&amp;Y$10,Analytica!$F$58:$AY$58&amp;Analytica!$F$51:'Analytica'!$AY$51,0)),"")</f>
        <v>10.459698054161706</v>
      </c>
      <c r="Z19" s="694">
        <f>Z18</f>
        <v>20</v>
      </c>
      <c r="AA19" s="694">
        <f t="shared" si="4"/>
        <v>20</v>
      </c>
      <c r="AB19" s="694">
        <f>IF(AD19,base.year+$AB$12,base.year+$AB$10)</f>
        <v>2018</v>
      </c>
      <c r="AC19" s="1">
        <f t="shared" ca="1" si="5"/>
        <v>2</v>
      </c>
      <c r="AE19" s="1" t="str">
        <f t="shared" si="6"/>
        <v>S_TPPRSUV</v>
      </c>
      <c r="AF19" s="1" t="str">
        <f t="shared" si="7"/>
        <v>S_TPPRSUVOGS</v>
      </c>
      <c r="AG19" s="1" t="str">
        <f t="shared" si="8"/>
        <v>TPPRSUVOGS-N_L</v>
      </c>
      <c r="AH19" s="1" t="str">
        <f t="shared" si="9"/>
        <v>TPPRSUVOGS-N_U</v>
      </c>
      <c r="AI19" s="194">
        <v>0</v>
      </c>
      <c r="AJ19" s="699">
        <f>SUMIF(Analytica!$B$59:$B$137,B19,Analytica!$BA$59:$BA$192)</f>
        <v>0.53794220106962365</v>
      </c>
      <c r="AK19" s="697" t="e">
        <f>IF($AP$10,BK19,#REF!)</f>
        <v>#REF!</v>
      </c>
      <c r="AL19" s="697" t="e">
        <f t="shared" ref="AL19:AO25" si="23">IF($AP$10,BL19,AY19)</f>
        <v>#REF!</v>
      </c>
      <c r="AM19" s="697" t="e">
        <f t="shared" si="23"/>
        <v>#REF!</v>
      </c>
      <c r="AN19" s="697">
        <f t="shared" si="23"/>
        <v>1</v>
      </c>
      <c r="AO19" s="697">
        <f t="shared" si="23"/>
        <v>1</v>
      </c>
      <c r="AP19" s="194">
        <v>1</v>
      </c>
      <c r="AQ19" s="650">
        <f t="shared" si="10"/>
        <v>0.53794220106962365</v>
      </c>
      <c r="AR19" s="697" t="e">
        <f>IF($AP$10,BR19,#REF!)</f>
        <v>#REF!</v>
      </c>
      <c r="AS19" s="697" t="e">
        <f t="shared" si="11"/>
        <v>#REF!</v>
      </c>
      <c r="AT19" s="697">
        <f t="shared" si="11"/>
        <v>0.26897110053481182</v>
      </c>
      <c r="AU19" s="697">
        <f t="shared" si="11"/>
        <v>0</v>
      </c>
      <c r="AV19" s="697">
        <f t="shared" si="11"/>
        <v>0</v>
      </c>
      <c r="AX19" s="698">
        <f>$AJ19</f>
        <v>0.53794220106962365</v>
      </c>
      <c r="AY19" s="697" t="e">
        <f>IF(#REF!&lt;&gt;"",(AY$11-#REF!)/(BA$11-#REF!)*(BA19-#REF!)+#REF!,"")</f>
        <v>#REF!</v>
      </c>
      <c r="AZ19" s="697" t="e">
        <f t="shared" si="12"/>
        <v>#REF!</v>
      </c>
      <c r="BA19" s="697">
        <f t="shared" si="13"/>
        <v>1</v>
      </c>
      <c r="BB19" s="697">
        <f t="shared" si="13"/>
        <v>1</v>
      </c>
      <c r="BC19" s="711"/>
      <c r="BD19" s="697">
        <f t="shared" si="14"/>
        <v>0.53794220106962365</v>
      </c>
      <c r="BE19" s="697" t="e">
        <f>IF(#REF!&lt;&gt;"",(BE$11-#REF!)/(BG$11-#REF!)*(BG19-#REF!)+#REF!,"")</f>
        <v>#REF!</v>
      </c>
      <c r="BF19" s="697">
        <f t="shared" si="15"/>
        <v>0.26897110053481182</v>
      </c>
      <c r="BG19" s="697">
        <f t="shared" si="15"/>
        <v>0</v>
      </c>
      <c r="BH19" s="697">
        <f t="shared" si="15"/>
        <v>0</v>
      </c>
      <c r="BI19" s="692"/>
      <c r="BJ19" s="693">
        <f>$AJ19</f>
        <v>0.53794220106962365</v>
      </c>
      <c r="BK19" s="697">
        <f>MIN(1,$AJ19+BK$12)</f>
        <v>0.55794220106962367</v>
      </c>
      <c r="BL19" s="697" t="e">
        <f>IF(BK19&lt;&gt;"",(BL$11-BK$11)/(BN$11-BK$11)*(BN19-BK19)+BK19,"")</f>
        <v>#REF!</v>
      </c>
      <c r="BM19" s="697" t="e">
        <f t="shared" si="16"/>
        <v>#REF!</v>
      </c>
      <c r="BN19" s="697">
        <f t="shared" si="17"/>
        <v>0.78794220106962365</v>
      </c>
      <c r="BO19" s="697">
        <f t="shared" si="17"/>
        <v>1</v>
      </c>
      <c r="BP19" s="194"/>
      <c r="BQ19" s="650">
        <f t="shared" si="18"/>
        <v>0.53794220106962365</v>
      </c>
      <c r="BR19" s="697">
        <v>0.58322032567150106</v>
      </c>
      <c r="BS19" s="697" t="e">
        <f>IF(BR19&lt;&gt;"",(BS$11-BR$11)/(BU$11-BR$11)*(BU19-BR19)+BR19,"")</f>
        <v>#REF!</v>
      </c>
      <c r="BT19" s="697" t="e">
        <f t="shared" si="19"/>
        <v>#REF!</v>
      </c>
      <c r="BU19" s="715">
        <v>0.3</v>
      </c>
      <c r="BV19" s="715">
        <v>0.15</v>
      </c>
      <c r="BW19" s="692"/>
      <c r="BX19" s="1" t="str">
        <f t="shared" si="20"/>
        <v>TPPRSUVOGS-N</v>
      </c>
      <c r="BY19" s="1" t="str">
        <f t="shared" ca="1" si="21"/>
        <v>-	S_TPPRSUVOGS	1	TPPRSUVOGS-N Set	1	10/03/2023 17:53:59	null	((tblITEMS.Item Like "TPPRSUVOGS-N*"))	null	null	null	null	null	null	null</v>
      </c>
      <c r="BZ19" s="1" t="str">
        <f t="shared" si="22"/>
        <v>-	S_TPPRSUVOGS	1	1	True	Like "TPPRSUVOGS-N*"</v>
      </c>
      <c r="CI19" s="1">
        <f>SUMIF($CI$10:$CI$11,RIGHT(C19,3),$CJ$10:$CJ$11)</f>
        <v>34.200000000000003</v>
      </c>
      <c r="CJ19" s="1">
        <v>10</v>
      </c>
      <c r="CK19" s="625">
        <f>CJ19/CI19</f>
        <v>0.29239766081871343</v>
      </c>
      <c r="CL19" s="625" t="e">
        <f>#REF!</f>
        <v>#REF!</v>
      </c>
      <c r="CM19" s="625" t="e">
        <f>CK19/#REF!</f>
        <v>#REF!</v>
      </c>
      <c r="CN19" s="2" t="e">
        <f>#REF!*1000</f>
        <v>#REF!</v>
      </c>
      <c r="CO19" s="2">
        <f>O19*1000000</f>
        <v>24000</v>
      </c>
      <c r="CP19" s="9" t="e">
        <f>-PMT($CL$14,Z19,CN19)/CO19</f>
        <v>#REF!</v>
      </c>
      <c r="CQ19" s="9" t="e">
        <f>CP19+CM19</f>
        <v>#REF!</v>
      </c>
    </row>
    <row r="20" spans="1:98" ht="15" x14ac:dyDescent="0.25">
      <c r="A20" s="191" t="str">
        <f>ITEMS_nTech!C11</f>
        <v>Transport Passenger SUV Priv.Veh. Oil Diesel Hybrid-N</v>
      </c>
      <c r="B20" s="191" t="str">
        <f>D20&amp;RIGHT(C20,3)&amp;"H-N"</f>
        <v>TPPRSUVODSH-N</v>
      </c>
      <c r="C20" s="612" t="str">
        <f>$D$6</f>
        <v>TRAODS</v>
      </c>
      <c r="D20" s="612" t="str">
        <f>TRP!$B$21</f>
        <v>TPPRSUV</v>
      </c>
      <c r="E20" s="702">
        <f t="array" ref="E20">IFERROR(INDEX(Analytica!$F$59:$AY$138,MATCH($B20,Analytica!$B$59:$B$168,0),MATCH(E$15&amp;E$10,Analytica!$F$58:$AY$58&amp;Analytica!$F$51:'Analytica'!$AY$51,0)),"")</f>
        <v>0.50926334545412344</v>
      </c>
      <c r="F20" s="702">
        <f t="array" ref="F20">IFERROR(INDEX(Analytica!$F$59:$AY$138,MATCH($B20,Analytica!$B$59:$B$168,0),MATCH(F$15&amp;F$10,Analytica!$F$58:$AY$58&amp;Analytica!$F$51:'Analytica'!$AY$51,0)),"")</f>
        <v>0.54908207260711606</v>
      </c>
      <c r="G20" s="702">
        <f t="array" ref="G20">IFERROR(INDEX(Analytica!$F$59:$AY$138,MATCH($B20,Analytica!$B$59:$B$168,0),MATCH(G$15&amp;G$10,Analytica!$F$58:$AY$58&amp;Analytica!$F$51:'Analytica'!$AY$51,0)),"")</f>
        <v>0.60713506799852335</v>
      </c>
      <c r="H20" s="702">
        <f t="array" ref="H20">IFERROR(INDEX(Analytica!$F$59:$AY$138,MATCH($B20,Analytica!$B$59:$B$168,0),MATCH(H$15&amp;H$10,Analytica!$F$58:$AY$58&amp;Analytica!$F$51:'Analytica'!$AY$51,0)),"")</f>
        <v>0.67132585306117754</v>
      </c>
      <c r="I20" s="701">
        <v>1</v>
      </c>
      <c r="J20" s="701">
        <v>1</v>
      </c>
      <c r="K20" s="701">
        <v>1</v>
      </c>
      <c r="L20" s="701">
        <v>1</v>
      </c>
      <c r="M20" s="701">
        <v>1</v>
      </c>
      <c r="N20" s="696">
        <f>IF(B20="","",MAX(N$18:N19)+1)</f>
        <v>3</v>
      </c>
      <c r="O20" s="702">
        <f t="array" ref="O20">IFERROR(INDEX(Analytica!$F$59:$AY$138,MATCH($B20,Analytica!$B$59:$B$168,0),MATCH(O$15&amp;O$10,Analytica!$F$58:$AY$58&amp;Analytica!$F$51:'Analytica'!$AY$51,0)),"")</f>
        <v>2.4E-2</v>
      </c>
      <c r="P20" s="620">
        <f t="array" ref="P20">IFERROR(INDEX(Analytica!$F$59:$AY$138,MATCH($B20,Analytica!$B$59:$B$168,0),MATCH(P$15&amp;P$10,Analytica!$F$58:$AY$58&amp;Analytica!$F$51:'Analytica'!$AY$51,0)),"")</f>
        <v>676.04693374770159</v>
      </c>
      <c r="Q20" s="620">
        <f t="array" ref="Q20">IFERROR(INDEX(Analytica!$F$59:$AY$138,MATCH($B20,Analytica!$B$59:$B$168,0),MATCH(Q$15&amp;Q$10,Analytica!$F$58:$AY$58&amp;Analytica!$F$51:'Analytica'!$AY$51,0)),"")</f>
        <v>671.50401988044803</v>
      </c>
      <c r="R20" s="620">
        <f t="array" ref="R20">IFERROR(INDEX(Analytica!$F$59:$AY$138,MATCH($B20,Analytica!$B$59:$B$168,0),MATCH(R$15&amp;R$10,Analytica!$F$58:$AY$58&amp;Analytica!$F$51:'Analytica'!$AY$51,0)),"")</f>
        <v>363.56136717159279</v>
      </c>
      <c r="S20" s="620">
        <f t="array" ref="S20">IFERROR(INDEX(Analytica!$F$59:$AY$138,MATCH($B20,Analytica!$B$59:$B$168,0),MATCH(S$15&amp;S$10,Analytica!$F$58:$AY$58&amp;Analytica!$F$51:'Analytica'!$AY$51,0)),"")</f>
        <v>371.50085823323019</v>
      </c>
      <c r="T20" s="620">
        <f t="array" ref="T20">IFERROR(INDEX(Analytica!$F$59:$AY$138,MATCH($B20,Analytica!$B$59:$B$168,0),MATCH(T$15&amp;T$10,Analytica!$F$58:$AY$58&amp;Analytica!$F$51:'Analytica'!$AY$51,0)),"")</f>
        <v>379.44034929486759</v>
      </c>
      <c r="U20" s="620">
        <f t="array" ref="U20">IFERROR(INDEX(Analytica!$F$59:$AY$138,MATCH($B20,Analytica!$B$59:$B$168,0),MATCH(U$15&amp;U$10,Analytica!$F$58:$AY$58&amp;Analytica!$F$51:'Analytica'!$AY$51,0)),"")</f>
        <v>387.39622422821134</v>
      </c>
      <c r="V20" s="620">
        <f t="array" ref="V20">IFERROR(INDEX(Analytica!$F$59:$AY$138,MATCH($B20,Analytica!$B$59:$B$168,0),MATCH(V$15&amp;V$10,Analytica!$F$58:$AY$58&amp;Analytica!$F$51:'Analytica'!$AY$51,0)),"")</f>
        <v>18.253267211187943</v>
      </c>
      <c r="W20" s="620">
        <f t="array" ref="W20">IFERROR(INDEX(Analytica!$F$59:$AY$138,MATCH($B20,Analytica!$B$59:$B$168,0),MATCH(W$15&amp;W$10,Analytica!$F$58:$AY$58&amp;Analytica!$F$51:'Analytica'!$AY$51,0)),"")</f>
        <v>9.8161569136330051</v>
      </c>
      <c r="X20" s="620">
        <f t="array" ref="X20">IFERROR(INDEX(Analytica!$F$59:$AY$138,MATCH($B20,Analytica!$B$59:$B$168,0),MATCH(X$15&amp;X$10,Analytica!$F$58:$AY$58&amp;Analytica!$F$51:'Analytica'!$AY$51,0)),"")</f>
        <v>10.244889430961425</v>
      </c>
      <c r="Y20" s="620">
        <f t="array" ref="Y20">IFERROR(INDEX(Analytica!$F$59:$AY$138,MATCH($B20,Analytica!$B$59:$B$168,0),MATCH(Y$15&amp;Y$10,Analytica!$F$58:$AY$58&amp;Analytica!$F$51:'Analytica'!$AY$51,0)),"")</f>
        <v>10.459698054161706</v>
      </c>
      <c r="Z20" s="694">
        <f>Z19</f>
        <v>20</v>
      </c>
      <c r="AA20" s="694">
        <f t="shared" si="4"/>
        <v>20</v>
      </c>
      <c r="AB20" s="706">
        <v>2080</v>
      </c>
      <c r="AC20" s="1">
        <f t="shared" ca="1" si="5"/>
        <v>3</v>
      </c>
      <c r="AD20" s="1">
        <v>1</v>
      </c>
      <c r="AE20" s="1" t="str">
        <f t="shared" si="6"/>
        <v>S_TPPRSUV</v>
      </c>
      <c r="AF20" s="1" t="str">
        <f t="shared" si="7"/>
        <v>S_TPPRSUVODSH</v>
      </c>
      <c r="AG20" s="1" t="str">
        <f t="shared" si="8"/>
        <v>TPPRSUVODSH-N_L</v>
      </c>
      <c r="AH20" s="1" t="str">
        <f t="shared" si="9"/>
        <v>TPPRSUVODSH-N_U</v>
      </c>
      <c r="AI20" s="194">
        <v>0</v>
      </c>
      <c r="AJ20" s="699">
        <f>SUMIF(Analytica!$B$59:$B$137,B20,Analytica!$BA$59:$BA$192)</f>
        <v>0</v>
      </c>
      <c r="AK20" s="697" t="e">
        <f>IF($AP$10,BK20,#REF!)</f>
        <v>#REF!</v>
      </c>
      <c r="AL20" s="697" t="e">
        <f t="shared" si="23"/>
        <v>#REF!</v>
      </c>
      <c r="AM20" s="697" t="e">
        <f t="shared" si="23"/>
        <v>#REF!</v>
      </c>
      <c r="AN20" s="697">
        <f t="shared" si="23"/>
        <v>1</v>
      </c>
      <c r="AO20" s="697">
        <f t="shared" si="23"/>
        <v>1</v>
      </c>
      <c r="AP20" s="194">
        <v>1</v>
      </c>
      <c r="AQ20" s="650">
        <f t="shared" si="10"/>
        <v>0</v>
      </c>
      <c r="AR20" s="697" t="e">
        <f>IF($AP$10,BR20,#REF!)</f>
        <v>#REF!</v>
      </c>
      <c r="AS20" s="697" t="e">
        <f t="shared" si="11"/>
        <v>#REF!</v>
      </c>
      <c r="AT20" s="697">
        <f t="shared" si="11"/>
        <v>0</v>
      </c>
      <c r="AU20" s="697">
        <f t="shared" si="11"/>
        <v>0</v>
      </c>
      <c r="AV20" s="697">
        <f t="shared" si="11"/>
        <v>0</v>
      </c>
      <c r="AX20" s="698">
        <f>$AJ20</f>
        <v>0</v>
      </c>
      <c r="AY20" s="697" t="e">
        <f>IF(#REF!&lt;&gt;"",(AY$11-#REF!)/(BA$11-#REF!)*(BA20-#REF!)+#REF!,"")</f>
        <v>#REF!</v>
      </c>
      <c r="AZ20" s="697" t="e">
        <f t="shared" si="12"/>
        <v>#REF!</v>
      </c>
      <c r="BA20" s="697">
        <f t="shared" si="13"/>
        <v>1</v>
      </c>
      <c r="BB20" s="697">
        <f t="shared" si="13"/>
        <v>1</v>
      </c>
      <c r="BC20" s="711"/>
      <c r="BD20" s="697">
        <f t="shared" si="14"/>
        <v>0</v>
      </c>
      <c r="BE20" s="697" t="e">
        <f>IF(#REF!&lt;&gt;"",(BE$11-#REF!)/(BG$11-#REF!)*(BG20-#REF!)+#REF!,"")</f>
        <v>#REF!</v>
      </c>
      <c r="BF20" s="697">
        <f t="shared" si="15"/>
        <v>0</v>
      </c>
      <c r="BG20" s="697">
        <f t="shared" si="15"/>
        <v>0</v>
      </c>
      <c r="BH20" s="697">
        <f t="shared" si="15"/>
        <v>0</v>
      </c>
      <c r="BI20" s="692"/>
      <c r="BJ20" s="693">
        <f>$AJ20</f>
        <v>0</v>
      </c>
      <c r="BK20" s="697">
        <v>0</v>
      </c>
      <c r="BL20" s="697" t="e">
        <f>IF(BK20&lt;&gt;"",(BL$11-BK$11)/(BN$11-BK$11)*(BN20-BK20)+BK20,"")</f>
        <v>#REF!</v>
      </c>
      <c r="BM20" s="697" t="e">
        <f t="shared" si="16"/>
        <v>#REF!</v>
      </c>
      <c r="BN20" s="697">
        <f t="shared" si="17"/>
        <v>0.25</v>
      </c>
      <c r="BO20" s="697">
        <f t="shared" si="17"/>
        <v>0.5</v>
      </c>
      <c r="BP20" s="194"/>
      <c r="BQ20" s="650">
        <f t="shared" si="18"/>
        <v>0</v>
      </c>
      <c r="BR20" s="697">
        <v>0</v>
      </c>
      <c r="BS20" s="697" t="e">
        <f>IF(BR20&lt;&gt;"",(BS$11-BR$11)/(BU$11-BR$11)*(BU20-BR20)+BR20,"")</f>
        <v>#REF!</v>
      </c>
      <c r="BT20" s="697" t="e">
        <f t="shared" si="19"/>
        <v>#REF!</v>
      </c>
      <c r="BU20" s="715">
        <v>4.4999999999999998E-2</v>
      </c>
      <c r="BV20" s="715">
        <v>0.08</v>
      </c>
      <c r="BW20" s="692"/>
      <c r="BX20" s="1" t="str">
        <f t="shared" si="20"/>
        <v>TPPRSUVODSH-N</v>
      </c>
      <c r="BY20" s="1" t="str">
        <f t="shared" ca="1" si="21"/>
        <v>-	S_TPPRSUVODSH	1	TPPRSUVODSH-N Set	1	10/03/2023 17:53:59	null	((tblITEMS.Item Like "TPPRSUVODSH-N*"))	null	null	null	null	null	null	null</v>
      </c>
      <c r="BZ20" s="1" t="str">
        <f t="shared" si="22"/>
        <v>-	S_TPPRSUVODSH	1	1	True	Like "TPPRSUVODSH-N*"</v>
      </c>
      <c r="CI20" s="1">
        <f>SUMIF($CI$10:$CI$11,RIGHT(C20,3),$CJ$10:$CJ$11)</f>
        <v>38.1</v>
      </c>
      <c r="CJ20" s="1">
        <v>10</v>
      </c>
      <c r="CK20" s="625">
        <f>CJ20/CI20</f>
        <v>0.26246719160104987</v>
      </c>
      <c r="CL20" s="625" t="e">
        <f>#REF!</f>
        <v>#REF!</v>
      </c>
      <c r="CM20" s="625" t="e">
        <f>CK20/#REF!</f>
        <v>#REF!</v>
      </c>
      <c r="CN20" s="2" t="e">
        <f>#REF!*1000</f>
        <v>#REF!</v>
      </c>
      <c r="CO20" s="2">
        <f>O20*1000000</f>
        <v>24000</v>
      </c>
      <c r="CP20" s="9" t="e">
        <f>-PMT($CL$14,Z20,CN20)/CO20</f>
        <v>#REF!</v>
      </c>
      <c r="CQ20" s="9" t="e">
        <f>CP20+CM20</f>
        <v>#REF!</v>
      </c>
    </row>
    <row r="21" spans="1:98" x14ac:dyDescent="0.2">
      <c r="A21" s="191" t="str">
        <f>ITEMS_nTech!C12</f>
        <v>Transport Passenger SUV Priv.Veh. Oil Gasoline Hybrid-N</v>
      </c>
      <c r="B21" s="191" t="str">
        <f>D21&amp;RIGHT(C21,3)&amp;"H-N"</f>
        <v>TPPRSUVOGSH-N</v>
      </c>
      <c r="C21" s="612" t="str">
        <f>$G$6</f>
        <v>TRAOGS</v>
      </c>
      <c r="D21" s="612" t="str">
        <f>TRP!$B$21</f>
        <v>TPPRSUV</v>
      </c>
      <c r="E21" s="702">
        <f t="array" ref="E21">IFERROR(INDEX(Analytica!$F$59:$AY$138,MATCH($B21,Analytica!$B$59:$B$168,0),MATCH(E$15&amp;E$10,Analytica!$F$58:$AY$58&amp;Analytica!$F$51:'Analytica'!$AY$51,0)),"")</f>
        <v>0.56808553818966034</v>
      </c>
      <c r="F21" s="702">
        <f t="array" ref="F21">IFERROR(INDEX(Analytica!$F$59:$AY$138,MATCH($B21,Analytica!$B$59:$B$168,0),MATCH(F$15&amp;F$10,Analytica!$F$58:$AY$58&amp;Analytica!$F$51:'Analytica'!$AY$51,0)),"")</f>
        <v>0.61250350631293804</v>
      </c>
      <c r="G21" s="702">
        <f t="array" ref="G21">IFERROR(INDEX(Analytica!$F$59:$AY$138,MATCH($B21,Analytica!$B$59:$B$168,0),MATCH(G$15&amp;G$10,Analytica!$F$58:$AY$58&amp;Analytica!$F$51:'Analytica'!$AY$51,0)),"")</f>
        <v>0.67726188216078398</v>
      </c>
      <c r="H21" s="702">
        <f t="array" ref="H21">IFERROR(INDEX(Analytica!$F$59:$AY$138,MATCH($B21,Analytica!$B$59:$B$168,0),MATCH(H$15&amp;H$10,Analytica!$F$58:$AY$58&amp;Analytica!$F$51:'Analytica'!$AY$51,0)),"")</f>
        <v>0.74886698982196298</v>
      </c>
      <c r="I21" s="701">
        <v>1</v>
      </c>
      <c r="J21" s="701">
        <v>1</v>
      </c>
      <c r="K21" s="701">
        <v>1</v>
      </c>
      <c r="L21" s="701">
        <v>1</v>
      </c>
      <c r="M21" s="701">
        <v>1</v>
      </c>
      <c r="N21" s="696">
        <f>IF(B21="","",MAX(N$18:N20)+1)</f>
        <v>4</v>
      </c>
      <c r="O21" s="702">
        <f t="array" ref="O21">IFERROR(INDEX(Analytica!$F$59:$AY$138,MATCH($B21,Analytica!$B$59:$B$168,0),MATCH(O$15&amp;O$10,Analytica!$F$58:$AY$58&amp;Analytica!$F$51:'Analytica'!$AY$51,0)),"")</f>
        <v>2.4E-2</v>
      </c>
      <c r="P21" s="620">
        <f t="array" ref="P21">IFERROR(INDEX(Analytica!$F$59:$AY$138,MATCH($B21,Analytica!$B$59:$B$168,0),MATCH(P$15&amp;P$10,Analytica!$F$58:$AY$58&amp;Analytica!$F$51:'Analytica'!$AY$51,0)),"")</f>
        <v>450.69795583180115</v>
      </c>
      <c r="Q21" s="620">
        <f t="array" ref="Q21">IFERROR(INDEX(Analytica!$F$59:$AY$138,MATCH($B21,Analytica!$B$59:$B$168,0),MATCH(Q$15&amp;Q$10,Analytica!$F$58:$AY$58&amp;Analytica!$F$51:'Analytica'!$AY$51,0)),"")</f>
        <v>447.83490632433029</v>
      </c>
      <c r="R21" s="620">
        <f t="array" ref="R21">IFERROR(INDEX(Analytica!$F$59:$AY$138,MATCH($B21,Analytica!$B$59:$B$168,0),MATCH(R$15&amp;R$10,Analytica!$F$58:$AY$58&amp;Analytica!$F$51:'Analytica'!$AY$51,0)),"")</f>
        <v>363.56136717159279</v>
      </c>
      <c r="S21" s="620">
        <f t="array" ref="S21">IFERROR(INDEX(Analytica!$F$59:$AY$138,MATCH($B21,Analytica!$B$59:$B$168,0),MATCH(S$15&amp;S$10,Analytica!$F$58:$AY$58&amp;Analytica!$F$51:'Analytica'!$AY$51,0)),"")</f>
        <v>371.50085823323019</v>
      </c>
      <c r="T21" s="620">
        <f t="array" ref="T21">IFERROR(INDEX(Analytica!$F$59:$AY$138,MATCH($B21,Analytica!$B$59:$B$168,0),MATCH(T$15&amp;T$10,Analytica!$F$58:$AY$58&amp;Analytica!$F$51:'Analytica'!$AY$51,0)),"")</f>
        <v>379.44034929486759</v>
      </c>
      <c r="U21" s="620">
        <f t="array" ref="U21">IFERROR(INDEX(Analytica!$F$59:$AY$138,MATCH($B21,Analytica!$B$59:$B$168,0),MATCH(U$15&amp;U$10,Analytica!$F$58:$AY$58&amp;Analytica!$F$51:'Analytica'!$AY$51,0)),"")</f>
        <v>387.39622422821134</v>
      </c>
      <c r="V21" s="620">
        <f t="array" ref="V21">IFERROR(INDEX(Analytica!$F$59:$AY$138,MATCH($B21,Analytica!$B$59:$B$168,0),MATCH(V$15&amp;V$10,Analytica!$F$58:$AY$58&amp;Analytica!$F$51:'Analytica'!$AY$51,0)),"")</f>
        <v>12.168844807458632</v>
      </c>
      <c r="W21" s="620">
        <f t="array" ref="W21">IFERROR(INDEX(Analytica!$F$59:$AY$138,MATCH($B21,Analytica!$B$59:$B$168,0),MATCH(W$15&amp;W$10,Analytica!$F$58:$AY$58&amp;Analytica!$F$51:'Analytica'!$AY$51,0)),"")</f>
        <v>9.8161569136330051</v>
      </c>
      <c r="X21" s="620">
        <f t="array" ref="X21">IFERROR(INDEX(Analytica!$F$59:$AY$138,MATCH($B21,Analytica!$B$59:$B$168,0),MATCH(X$15&amp;X$10,Analytica!$F$58:$AY$58&amp;Analytica!$F$51:'Analytica'!$AY$51,0)),"")</f>
        <v>10.244889430961425</v>
      </c>
      <c r="Y21" s="620">
        <f t="array" ref="Y21">IFERROR(INDEX(Analytica!$F$59:$AY$138,MATCH($B21,Analytica!$B$59:$B$168,0),MATCH(Y$15&amp;Y$10,Analytica!$F$58:$AY$58&amp;Analytica!$F$51:'Analytica'!$AY$51,0)),"")</f>
        <v>10.459698054161706</v>
      </c>
      <c r="Z21" s="694">
        <f>Z20</f>
        <v>20</v>
      </c>
      <c r="AA21" s="694">
        <f t="shared" si="4"/>
        <v>20</v>
      </c>
      <c r="AB21" s="694">
        <f t="shared" ref="AB21:AB28" si="24">IF(AD21,base.year+$AB$12,base.year+$AB$10)</f>
        <v>2018</v>
      </c>
      <c r="AC21" s="1">
        <f t="shared" ca="1" si="5"/>
        <v>4</v>
      </c>
      <c r="AE21" s="1" t="str">
        <f t="shared" si="6"/>
        <v>S_TPPRSUV</v>
      </c>
      <c r="AF21" s="1" t="str">
        <f t="shared" si="7"/>
        <v>S_TPPRSUVOGSH</v>
      </c>
      <c r="AG21" s="1" t="str">
        <f t="shared" si="8"/>
        <v>TPPRSUVOGSH-N_L</v>
      </c>
      <c r="AH21" s="1" t="str">
        <f t="shared" si="9"/>
        <v>TPPRSUVOGSH-N_U</v>
      </c>
      <c r="AI21" s="194">
        <v>0</v>
      </c>
      <c r="AJ21" s="699">
        <f>SUMIF(Analytica!$B$59:$B$137,B21,Analytica!$BA$59:$BA$192)</f>
        <v>7.1635346646386339E-4</v>
      </c>
      <c r="AK21" s="697" t="e">
        <f>IF($AP$10,BK21,#REF!)</f>
        <v>#REF!</v>
      </c>
      <c r="AL21" s="697" t="e">
        <f t="shared" si="23"/>
        <v>#REF!</v>
      </c>
      <c r="AM21" s="697" t="e">
        <f t="shared" si="23"/>
        <v>#REF!</v>
      </c>
      <c r="AN21" s="697">
        <f t="shared" si="23"/>
        <v>1</v>
      </c>
      <c r="AO21" s="697">
        <f t="shared" si="23"/>
        <v>1</v>
      </c>
      <c r="AP21" s="194">
        <v>1</v>
      </c>
      <c r="AQ21" s="650">
        <f t="shared" si="10"/>
        <v>7.1635346646386339E-4</v>
      </c>
      <c r="AR21" s="697" t="e">
        <f>IF($AP$10,BR21,#REF!)</f>
        <v>#REF!</v>
      </c>
      <c r="AS21" s="697" t="e">
        <f t="shared" si="11"/>
        <v>#REF!</v>
      </c>
      <c r="AT21" s="697">
        <f t="shared" si="11"/>
        <v>3.5817673323193169E-4</v>
      </c>
      <c r="AU21" s="697">
        <f t="shared" si="11"/>
        <v>0</v>
      </c>
      <c r="AV21" s="697">
        <f t="shared" si="11"/>
        <v>0</v>
      </c>
      <c r="AX21" s="698">
        <f>$AJ21</f>
        <v>7.1635346646386339E-4</v>
      </c>
      <c r="AY21" s="697" t="e">
        <f>IF(#REF!&lt;&gt;"",(AY$11-#REF!)/(BA$11-#REF!)*(BA21-#REF!)+#REF!,"")</f>
        <v>#REF!</v>
      </c>
      <c r="AZ21" s="697" t="e">
        <f t="shared" si="12"/>
        <v>#REF!</v>
      </c>
      <c r="BA21" s="697">
        <f t="shared" si="13"/>
        <v>1</v>
      </c>
      <c r="BB21" s="697">
        <f t="shared" si="13"/>
        <v>1</v>
      </c>
      <c r="BC21" s="711"/>
      <c r="BD21" s="697">
        <f t="shared" si="14"/>
        <v>7.1635346646386339E-4</v>
      </c>
      <c r="BE21" s="697" t="e">
        <f>IF(#REF!&lt;&gt;"",(BE$11-#REF!)/(BG$11-#REF!)*(BG21-#REF!)+#REF!,"")</f>
        <v>#REF!</v>
      </c>
      <c r="BF21" s="697">
        <f t="shared" si="15"/>
        <v>3.5817673323193169E-4</v>
      </c>
      <c r="BG21" s="697">
        <f t="shared" si="15"/>
        <v>0</v>
      </c>
      <c r="BH21" s="697">
        <f t="shared" si="15"/>
        <v>0</v>
      </c>
      <c r="BI21" s="692"/>
      <c r="BJ21" s="693">
        <f>$AJ21</f>
        <v>7.1635346646386339E-4</v>
      </c>
      <c r="BK21" s="697">
        <v>0</v>
      </c>
      <c r="BL21" s="697" t="e">
        <f>IF(BK21&lt;&gt;"",(BL$11-BK$11)/(BN$11-BK$11)*(BN21-BK21)+BK21,"")</f>
        <v>#REF!</v>
      </c>
      <c r="BM21" s="697" t="e">
        <f t="shared" si="16"/>
        <v>#REF!</v>
      </c>
      <c r="BN21" s="697">
        <f t="shared" si="17"/>
        <v>0.25071635346646387</v>
      </c>
      <c r="BO21" s="697">
        <f t="shared" si="17"/>
        <v>0.50071635346646381</v>
      </c>
      <c r="BP21" s="194"/>
      <c r="BQ21" s="650">
        <f t="shared" si="18"/>
        <v>7.1635346646386339E-4</v>
      </c>
      <c r="BR21" s="697">
        <v>0</v>
      </c>
      <c r="BS21" s="697" t="e">
        <f>IF(BR21&lt;&gt;"",(BS$11-BR$11)/(BU$11-BR$11)*(BU21-BR21)+BR21,"")</f>
        <v>#REF!</v>
      </c>
      <c r="BT21" s="697" t="e">
        <f t="shared" si="19"/>
        <v>#REF!</v>
      </c>
      <c r="BU21" s="715">
        <v>0.08</v>
      </c>
      <c r="BV21" s="715">
        <v>0.1</v>
      </c>
      <c r="BW21" s="692"/>
      <c r="BX21" s="1" t="str">
        <f t="shared" si="20"/>
        <v>TPPRSUVOGSH-N</v>
      </c>
      <c r="BY21" s="1" t="str">
        <f t="shared" ca="1" si="21"/>
        <v>-	S_TPPRSUVOGSH	1	TPPRSUVOGSH-N Set	1	10/03/2023 17:53:59	null	((tblITEMS.Item Like "TPPRSUVOGSH-N*"))	null	null	null	null	null	null	null</v>
      </c>
      <c r="BZ21" s="1" t="str">
        <f t="shared" si="22"/>
        <v>-	S_TPPRSUVOGSH	1	1	True	Like "TPPRSUVOGSH-N*"</v>
      </c>
      <c r="CI21" s="1">
        <f>SUMIF($CI$10:$CI$11,RIGHT(C21,3),$CJ$10:$CJ$11)</f>
        <v>34.200000000000003</v>
      </c>
      <c r="CJ21" s="1">
        <v>10</v>
      </c>
      <c r="CK21" s="625">
        <f>CJ21/CI21</f>
        <v>0.29239766081871343</v>
      </c>
      <c r="CL21" s="625" t="e">
        <f>#REF!</f>
        <v>#REF!</v>
      </c>
      <c r="CM21" s="625" t="e">
        <f>CK21/#REF!</f>
        <v>#REF!</v>
      </c>
      <c r="CN21" s="2" t="e">
        <f>#REF!*1000</f>
        <v>#REF!</v>
      </c>
      <c r="CO21" s="2">
        <f>O21*1000000</f>
        <v>24000</v>
      </c>
      <c r="CP21" s="9" t="e">
        <f>-PMT($CL$14,Z21,CN21)/CO21</f>
        <v>#REF!</v>
      </c>
      <c r="CQ21" s="9" t="e">
        <f>CP21+CM21</f>
        <v>#REF!</v>
      </c>
    </row>
    <row r="22" spans="1:98" x14ac:dyDescent="0.2">
      <c r="A22" s="191" t="str">
        <f>ITEMS_nTech!C13</f>
        <v>Transport Passenger SUV Priv.Veh. Gas-N</v>
      </c>
      <c r="B22" s="191" t="str">
        <f>D22&amp;RIGHT(C22,3)&amp;"-N"</f>
        <v>TPPRSUVGAS-N</v>
      </c>
      <c r="C22" s="612" t="str">
        <f>F6</f>
        <v>TRAGAS</v>
      </c>
      <c r="D22" s="612" t="str">
        <f>TRP!$B$21</f>
        <v>TPPRSUV</v>
      </c>
      <c r="E22" s="702">
        <f t="array" ref="E22">IFERROR(INDEX(Analytica!$F$59:$AY$138,MATCH($B22,Analytica!$B$59:$B$168,0),MATCH(E$15&amp;E$10,Analytica!$F$58:$AY$58&amp;Analytica!$F$51:'Analytica'!$AY$51,0)),"")</f>
        <v>0.36995143331622149</v>
      </c>
      <c r="F22" s="702">
        <f t="array" ref="F22">IFERROR(INDEX(Analytica!$F$59:$AY$138,MATCH($B22,Analytica!$B$59:$B$168,0),MATCH(F$15&amp;F$10,Analytica!$F$58:$AY$58&amp;Analytica!$F$51:'Analytica'!$AY$51,0)),"")</f>
        <v>0.39887751903311353</v>
      </c>
      <c r="G22" s="702">
        <f t="array" ref="G22">IFERROR(INDEX(Analytica!$F$59:$AY$138,MATCH($B22,Analytica!$B$59:$B$168,0),MATCH(G$15&amp;G$10,Analytica!$F$58:$AY$58&amp;Analytica!$F$51:'Analytica'!$AY$51,0)),"")</f>
        <v>0.4410497842178378</v>
      </c>
      <c r="H22" s="702">
        <f t="array" ref="H22">IFERROR(INDEX(Analytica!$F$59:$AY$138,MATCH($B22,Analytica!$B$59:$B$168,0),MATCH(H$15&amp;H$10,Analytica!$F$58:$AY$58&amp;Analytica!$F$51:'Analytica'!$AY$51,0)),"")</f>
        <v>0.48768081146847597</v>
      </c>
      <c r="I22" s="701">
        <v>1</v>
      </c>
      <c r="J22" s="701">
        <v>1</v>
      </c>
      <c r="K22" s="701">
        <v>1</v>
      </c>
      <c r="L22" s="701">
        <v>1</v>
      </c>
      <c r="M22" s="701">
        <v>1</v>
      </c>
      <c r="N22" s="696">
        <f>IF(B22="","",MAX(N$18:N21)+1)</f>
        <v>5</v>
      </c>
      <c r="O22" s="702">
        <f t="array" ref="O22">IFERROR(INDEX(Analytica!$F$59:$AY$138,MATCH($B22,Analytica!$B$59:$B$168,0),MATCH(O$15&amp;O$10,Analytica!$F$58:$AY$58&amp;Analytica!$F$51:'Analytica'!$AY$51,0)),"")</f>
        <v>2.4E-2</v>
      </c>
      <c r="P22" s="620">
        <f t="array" ref="P22">IFERROR(INDEX(Analytica!$F$59:$AY$138,MATCH($B22,Analytica!$B$59:$B$168,0),MATCH(P$15&amp;P$10,Analytica!$F$58:$AY$58&amp;Analytica!$F$51:'Analytica'!$AY$51,0)),"")</f>
        <v>545.62674611489456</v>
      </c>
      <c r="Q22" s="620">
        <f t="array" ref="Q22">IFERROR(INDEX(Analytica!$F$59:$AY$138,MATCH($B22,Analytica!$B$59:$B$168,0),MATCH(Q$15&amp;Q$10,Analytica!$F$58:$AY$58&amp;Analytica!$F$51:'Analytica'!$AY$51,0)),"")</f>
        <v>551.3701241175919</v>
      </c>
      <c r="R22" s="620">
        <f t="array" ref="R22">IFERROR(INDEX(Analytica!$F$59:$AY$138,MATCH($B22,Analytica!$B$59:$B$168,0),MATCH(R$15&amp;R$10,Analytica!$F$58:$AY$58&amp;Analytica!$F$51:'Analytica'!$AY$51,0)),"")</f>
        <v>557.11350212028935</v>
      </c>
      <c r="S22" s="620">
        <f t="array" ref="S22">IFERROR(INDEX(Analytica!$F$59:$AY$138,MATCH($B22,Analytica!$B$59:$B$168,0),MATCH(S$15&amp;S$10,Analytica!$F$58:$AY$58&amp;Analytica!$F$51:'Analytica'!$AY$51,0)),"")</f>
        <v>565.34503849646865</v>
      </c>
      <c r="T22" s="620">
        <f t="array" ref="T22">IFERROR(INDEX(Analytica!$F$59:$AY$138,MATCH($B22,Analytica!$B$59:$B$168,0),MATCH(T$15&amp;T$10,Analytica!$F$58:$AY$58&amp;Analytica!$F$51:'Analytica'!$AY$51,0)),"")</f>
        <v>573.57657487264794</v>
      </c>
      <c r="U22" s="620">
        <f t="array" ref="U22">IFERROR(INDEX(Analytica!$F$59:$AY$138,MATCH($B22,Analytica!$B$59:$B$168,0),MATCH(U$15&amp;U$10,Analytica!$F$58:$AY$58&amp;Analytica!$F$51:'Analytica'!$AY$51,0)),"")</f>
        <v>580.79572210982678</v>
      </c>
      <c r="V22" s="620">
        <f t="array" ref="V22">IFERROR(INDEX(Analytica!$F$59:$AY$138,MATCH($B22,Analytica!$B$59:$B$168,0),MATCH(V$15&amp;V$10,Analytica!$F$58:$AY$58&amp;Analytica!$F$51:'Analytica'!$AY$51,0)),"")</f>
        <v>14.731922145102153</v>
      </c>
      <c r="W22" s="620">
        <f t="array" ref="W22">IFERROR(INDEX(Analytica!$F$59:$AY$138,MATCH($B22,Analytica!$B$59:$B$168,0),MATCH(W$15&amp;W$10,Analytica!$F$58:$AY$58&amp;Analytica!$F$51:'Analytica'!$AY$51,0)),"")</f>
        <v>15.042064557247812</v>
      </c>
      <c r="X22" s="620">
        <f t="array" ref="X22">IFERROR(INDEX(Analytica!$F$59:$AY$138,MATCH($B22,Analytica!$B$59:$B$168,0),MATCH(X$15&amp;X$10,Analytica!$F$58:$AY$58&amp;Analytica!$F$51:'Analytica'!$AY$51,0)),"")</f>
        <v>15.486567521561494</v>
      </c>
      <c r="Y22" s="620">
        <f t="array" ref="Y22">IFERROR(INDEX(Analytica!$F$59:$AY$138,MATCH($B22,Analytica!$B$59:$B$168,0),MATCH(Y$15&amp;Y$10,Analytica!$F$58:$AY$58&amp;Analytica!$F$51:'Analytica'!$AY$51,0)),"")</f>
        <v>15.681484496965323</v>
      </c>
      <c r="Z22" s="694">
        <f>Z19</f>
        <v>20</v>
      </c>
      <c r="AA22" s="694">
        <f t="shared" si="4"/>
        <v>20</v>
      </c>
      <c r="AB22" s="694">
        <f t="shared" si="24"/>
        <v>2025</v>
      </c>
      <c r="AC22" s="1">
        <f t="shared" ca="1" si="5"/>
        <v>5</v>
      </c>
      <c r="AD22" s="1">
        <v>1</v>
      </c>
      <c r="AE22" s="1" t="str">
        <f t="shared" si="6"/>
        <v>S_TPPRSUV</v>
      </c>
      <c r="AF22" s="1" t="str">
        <f t="shared" si="7"/>
        <v>S_TPPRSUVGAS</v>
      </c>
      <c r="AG22" s="1" t="str">
        <f t="shared" si="8"/>
        <v>TPPRSUVGAS-N_L</v>
      </c>
      <c r="AH22" s="1" t="str">
        <f t="shared" si="9"/>
        <v>TPPRSUVGAS-N_U</v>
      </c>
      <c r="AI22" s="194">
        <v>0</v>
      </c>
      <c r="AJ22" s="699">
        <f>SUMIF(Analytica!$B$59:$B$137,B22,Analytica!$BA$59:$BA$192)</f>
        <v>0</v>
      </c>
      <c r="AK22" s="697" t="e">
        <f>IF($AP$10,BK22,#REF!)</f>
        <v>#REF!</v>
      </c>
      <c r="AL22" s="697" t="e">
        <f t="shared" si="23"/>
        <v>#REF!</v>
      </c>
      <c r="AM22" s="697" t="e">
        <f t="shared" si="23"/>
        <v>#REF!</v>
      </c>
      <c r="AN22" s="697">
        <f t="shared" si="23"/>
        <v>1</v>
      </c>
      <c r="AO22" s="697">
        <f t="shared" si="23"/>
        <v>1</v>
      </c>
      <c r="AP22" s="194">
        <v>1</v>
      </c>
      <c r="AQ22" s="650">
        <f t="shared" si="10"/>
        <v>0</v>
      </c>
      <c r="AR22" s="697" t="e">
        <f>IF($AP$10,BR22,#REF!)</f>
        <v>#REF!</v>
      </c>
      <c r="AS22" s="697" t="e">
        <f t="shared" si="11"/>
        <v>#REF!</v>
      </c>
      <c r="AT22" s="697">
        <f t="shared" si="11"/>
        <v>0</v>
      </c>
      <c r="AU22" s="697">
        <f t="shared" si="11"/>
        <v>0</v>
      </c>
      <c r="AV22" s="697">
        <f t="shared" si="11"/>
        <v>0</v>
      </c>
      <c r="AX22" s="698">
        <f>$AJ22</f>
        <v>0</v>
      </c>
      <c r="AY22" s="697" t="e">
        <f>IF(#REF!&lt;&gt;"",(AY$11-#REF!)/(BA$11-#REF!)*(BA22-#REF!)+#REF!,"")</f>
        <v>#REF!</v>
      </c>
      <c r="AZ22" s="697" t="e">
        <f t="shared" si="12"/>
        <v>#REF!</v>
      </c>
      <c r="BA22" s="697">
        <f t="shared" si="13"/>
        <v>1</v>
      </c>
      <c r="BB22" s="697">
        <f t="shared" si="13"/>
        <v>1</v>
      </c>
      <c r="BC22" s="711"/>
      <c r="BD22" s="697">
        <f t="shared" si="14"/>
        <v>0</v>
      </c>
      <c r="BE22" s="697" t="e">
        <f>IF(#REF!&lt;&gt;"",(BE$11-#REF!)/(BG$11-#REF!)*(BG22-#REF!)+#REF!,"")</f>
        <v>#REF!</v>
      </c>
      <c r="BF22" s="697">
        <f t="shared" si="15"/>
        <v>0</v>
      </c>
      <c r="BG22" s="697">
        <f t="shared" si="15"/>
        <v>0</v>
      </c>
      <c r="BH22" s="697">
        <f t="shared" si="15"/>
        <v>0</v>
      </c>
      <c r="BI22" s="692"/>
      <c r="BJ22" s="693">
        <f>$AJ22</f>
        <v>0</v>
      </c>
      <c r="BK22" s="697">
        <v>0</v>
      </c>
      <c r="BL22" s="697" t="e">
        <f>IF(BK22&lt;&gt;"",(BL$11-BK$11)/(BN$11-BK$11)*(BN22-BK22)+BK22,"")</f>
        <v>#REF!</v>
      </c>
      <c r="BM22" s="697" t="e">
        <f t="shared" si="16"/>
        <v>#REF!</v>
      </c>
      <c r="BN22" s="697">
        <f>MIN(1,$AJ22+BN$12)</f>
        <v>0.25</v>
      </c>
      <c r="BO22" s="697">
        <v>1</v>
      </c>
      <c r="BP22" s="194"/>
      <c r="BQ22" s="650">
        <f t="shared" si="18"/>
        <v>0</v>
      </c>
      <c r="BR22" s="697">
        <v>0</v>
      </c>
      <c r="BS22" s="697">
        <v>0</v>
      </c>
      <c r="BT22" s="697">
        <f t="shared" si="19"/>
        <v>0</v>
      </c>
      <c r="BU22" s="715">
        <v>0</v>
      </c>
      <c r="BV22" s="715">
        <v>0</v>
      </c>
      <c r="BW22" s="692"/>
      <c r="BX22" s="1" t="str">
        <f t="shared" si="20"/>
        <v>TPPRSUVGAS-N</v>
      </c>
      <c r="BY22" s="1" t="str">
        <f t="shared" ca="1" si="21"/>
        <v>-	S_TPPRSUVGAS	1	TPPRSUVGAS-N Set	1	10/03/2023 17:53:59	null	((tblITEMS.Item Like "TPPRSUVGAS-N*"))	null	null	null	null	null	null	null</v>
      </c>
      <c r="BZ22" s="1" t="str">
        <f t="shared" si="22"/>
        <v>-	S_TPPRSUVGAS	1	1	True	Like "TPPRSUVGAS-N*"</v>
      </c>
      <c r="CK22" s="625"/>
      <c r="CL22" s="625"/>
      <c r="CM22" s="625"/>
      <c r="CN22" s="2"/>
      <c r="CO22" s="2"/>
      <c r="CP22" s="9"/>
      <c r="CQ22" s="9"/>
    </row>
    <row r="23" spans="1:98" x14ac:dyDescent="0.2">
      <c r="A23" s="191" t="str">
        <f>ITEMS_nTech!C14</f>
        <v>Transport Passenger SUV Priv.Veh. Hydrogen Fuel Cell-N</v>
      </c>
      <c r="B23" s="191" t="str">
        <f>D23&amp;RIGHT(C23,3)&amp;"F-N"</f>
        <v>TPPRSUVHGNF-N</v>
      </c>
      <c r="C23" s="612" t="str">
        <f>$K$6</f>
        <v>TRAHGN</v>
      </c>
      <c r="D23" s="612" t="str">
        <f>TRP!$B$21</f>
        <v>TPPRSUV</v>
      </c>
      <c r="E23" s="702">
        <f t="array" ref="E23">IFERROR(INDEX(Analytica!$F$59:$AY$138,MATCH($B23,Analytica!$B$59:$B$168,0),MATCH(E$15&amp;E$10,Analytica!$F$58:$AY$58&amp;Analytica!$F$51:'Analytica'!$AY$51,0)),"")</f>
        <v>0.88097451731554877</v>
      </c>
      <c r="F23" s="702">
        <f t="array" ref="F23">IFERROR(INDEX(Analytica!$F$59:$AY$138,MATCH($B23,Analytica!$B$59:$B$168,0),MATCH(F$15&amp;F$10,Analytica!$F$58:$AY$58&amp;Analytica!$F$51:'Analytica'!$AY$51,0)),"")</f>
        <v>0.94985692215944351</v>
      </c>
      <c r="G23" s="702">
        <f t="array" ref="G23">IFERROR(INDEX(Analytica!$F$59:$AY$138,MATCH($B23,Analytica!$B$59:$B$168,0),MATCH(G$15&amp;G$10,Analytica!$F$58:$AY$58&amp;Analytica!$F$51:'Analytica'!$AY$51,0)),"")</f>
        <v>1.050282782473543</v>
      </c>
      <c r="H23" s="702">
        <f t="array" ref="H23">IFERROR(INDEX(Analytica!$F$59:$AY$138,MATCH($B23,Analytica!$B$59:$B$168,0),MATCH(H$15&amp;H$10,Analytica!$F$58:$AY$58&amp;Analytica!$F$51:'Analytica'!$AY$51,0)),"")</f>
        <v>1.1613264034045769</v>
      </c>
      <c r="I23" s="701">
        <v>1</v>
      </c>
      <c r="J23" s="701">
        <v>1</v>
      </c>
      <c r="K23" s="701">
        <v>1</v>
      </c>
      <c r="L23" s="701">
        <v>1</v>
      </c>
      <c r="M23" s="701">
        <v>1</v>
      </c>
      <c r="N23" s="696">
        <f>IF(B23="","",MAX(N$18:N22)+1)</f>
        <v>6</v>
      </c>
      <c r="O23" s="702">
        <f t="array" ref="O23">IFERROR(INDEX(Analytica!$F$59:$AY$138,MATCH($B23,Analytica!$B$59:$B$168,0),MATCH(O$15&amp;O$10,Analytica!$F$58:$AY$58&amp;Analytica!$F$51:'Analytica'!$AY$51,0)),"")</f>
        <v>2.4E-2</v>
      </c>
      <c r="P23" s="620">
        <f t="array" ref="P23">IFERROR(INDEX(Analytica!$F$59:$AY$138,MATCH($B23,Analytica!$B$59:$B$168,0),MATCH(P$15&amp;P$10,Analytica!$F$58:$AY$58&amp;Analytica!$F$51:'Analytica'!$AY$51,0)),"")</f>
        <v>1793.7891316594641</v>
      </c>
      <c r="Q23" s="620">
        <f t="array" ref="Q23">IFERROR(INDEX(Analytica!$F$59:$AY$138,MATCH($B23,Analytica!$B$59:$B$168,0),MATCH(Q$15&amp;Q$10,Analytica!$F$58:$AY$58&amp;Analytica!$F$51:'Analytica'!$AY$51,0)),"")</f>
        <v>1377.0389964110029</v>
      </c>
      <c r="R23" s="620">
        <f t="array" ref="R23">IFERROR(INDEX(Analytica!$F$59:$AY$138,MATCH($B23,Analytica!$B$59:$B$168,0),MATCH(R$15&amp;R$10,Analytica!$F$58:$AY$58&amp;Analytica!$F$51:'Analytica'!$AY$51,0)),"")</f>
        <v>960.28886116254182</v>
      </c>
      <c r="S23" s="620">
        <f t="array" ref="S23">IFERROR(INDEX(Analytica!$F$59:$AY$138,MATCH($B23,Analytica!$B$59:$B$168,0),MATCH(S$15&amp;S$10,Analytica!$F$58:$AY$58&amp;Analytica!$F$51:'Analytica'!$AY$51,0)),"")</f>
        <v>914.45644042789343</v>
      </c>
      <c r="T23" s="620">
        <f t="array" ref="T23">IFERROR(INDEX(Analytica!$F$59:$AY$138,MATCH($B23,Analytica!$B$59:$B$168,0),MATCH(T$15&amp;T$10,Analytica!$F$58:$AY$58&amp;Analytica!$F$51:'Analytica'!$AY$51,0)),"")</f>
        <v>868.6240196932448</v>
      </c>
      <c r="U23" s="620">
        <f t="array" ref="U23">IFERROR(INDEX(Analytica!$F$59:$AY$138,MATCH($B23,Analytica!$B$59:$B$168,0),MATCH(U$15&amp;U$10,Analytica!$F$58:$AY$58&amp;Analytica!$F$51:'Analytica'!$AY$51,0)),"")</f>
        <v>387.39622422821134</v>
      </c>
      <c r="V23" s="620">
        <f t="array" ref="V23">IFERROR(INDEX(Analytica!$F$59:$AY$138,MATCH($B23,Analytica!$B$59:$B$168,0),MATCH(V$15&amp;V$10,Analytica!$F$58:$AY$58&amp;Analytica!$F$51:'Analytica'!$AY$51,0)),"")</f>
        <v>48.432306554805528</v>
      </c>
      <c r="W23" s="620">
        <f t="array" ref="W23">IFERROR(INDEX(Analytica!$F$59:$AY$138,MATCH($B23,Analytica!$B$59:$B$168,0),MATCH(W$15&amp;W$10,Analytica!$F$58:$AY$58&amp;Analytica!$F$51:'Analytica'!$AY$51,0)),"")</f>
        <v>25.927799251388628</v>
      </c>
      <c r="X23" s="620">
        <f t="array" ref="X23">IFERROR(INDEX(Analytica!$F$59:$AY$138,MATCH($B23,Analytica!$B$59:$B$168,0),MATCH(X$15&amp;X$10,Analytica!$F$58:$AY$58&amp;Analytica!$F$51:'Analytica'!$AY$51,0)),"")</f>
        <v>23.45284853171761</v>
      </c>
      <c r="Y23" s="620">
        <f t="array" ref="Y23">IFERROR(INDEX(Analytica!$F$59:$AY$138,MATCH($B23,Analytica!$B$59:$B$168,0),MATCH(Y$15&amp;Y$10,Analytica!$F$58:$AY$58&amp;Analytica!$F$51:'Analytica'!$AY$51,0)),"")</f>
        <v>10.459698054161706</v>
      </c>
      <c r="Z23" s="694">
        <f>Z22</f>
        <v>20</v>
      </c>
      <c r="AA23" s="694">
        <f t="shared" si="4"/>
        <v>20</v>
      </c>
      <c r="AB23" s="694">
        <f t="shared" si="24"/>
        <v>2025</v>
      </c>
      <c r="AC23" s="1">
        <f t="shared" ca="1" si="5"/>
        <v>6</v>
      </c>
      <c r="AD23" s="1">
        <v>1</v>
      </c>
      <c r="AE23" s="1" t="str">
        <f t="shared" si="6"/>
        <v>S_TPPRSUV</v>
      </c>
      <c r="AF23" s="1" t="str">
        <f t="shared" si="7"/>
        <v>S_TPPRSUVHGNF</v>
      </c>
      <c r="AG23" s="1" t="str">
        <f t="shared" si="8"/>
        <v>TPPRSUVHGNF-N_L</v>
      </c>
      <c r="AH23" s="1" t="str">
        <f t="shared" si="9"/>
        <v>TPPRSUVHGNF-N_U</v>
      </c>
      <c r="AI23" s="194">
        <v>0</v>
      </c>
      <c r="AJ23" s="699">
        <f>SUMIF(Analytica!$B$59:$B$137,B23,Analytica!$BB$59:$BB$192)</f>
        <v>0</v>
      </c>
      <c r="AK23" s="697" t="e">
        <f>IF($AP$10,BK23,#REF!)</f>
        <v>#REF!</v>
      </c>
      <c r="AL23" s="697" t="e">
        <f t="shared" si="23"/>
        <v>#REF!</v>
      </c>
      <c r="AM23" s="697" t="e">
        <f t="shared" si="23"/>
        <v>#REF!</v>
      </c>
      <c r="AN23" s="697">
        <f t="shared" si="23"/>
        <v>1</v>
      </c>
      <c r="AO23" s="697">
        <f t="shared" si="23"/>
        <v>1</v>
      </c>
      <c r="AP23" s="194">
        <v>1</v>
      </c>
      <c r="AQ23" s="650">
        <f t="shared" si="10"/>
        <v>0</v>
      </c>
      <c r="AR23" s="697" t="e">
        <f>IF($AP$10,BR23,#REF!)</f>
        <v>#REF!</v>
      </c>
      <c r="AS23" s="697" t="e">
        <f t="shared" si="11"/>
        <v>#REF!</v>
      </c>
      <c r="AT23" s="697">
        <f t="shared" si="11"/>
        <v>0</v>
      </c>
      <c r="AU23" s="697">
        <f t="shared" si="11"/>
        <v>0</v>
      </c>
      <c r="AV23" s="697">
        <f t="shared" si="11"/>
        <v>0</v>
      </c>
      <c r="AX23" s="698">
        <v>0</v>
      </c>
      <c r="AY23" s="697" t="e">
        <f>IF(#REF!&lt;&gt;"",(AY$11-#REF!)/(BA$11-#REF!)*(BA23-#REF!)+#REF!,"")</f>
        <v>#REF!</v>
      </c>
      <c r="AZ23" s="697" t="e">
        <f t="shared" si="12"/>
        <v>#REF!</v>
      </c>
      <c r="BA23" s="697">
        <f t="shared" si="13"/>
        <v>1</v>
      </c>
      <c r="BB23" s="697">
        <f t="shared" si="13"/>
        <v>1</v>
      </c>
      <c r="BC23" s="711"/>
      <c r="BD23" s="697">
        <f t="shared" si="14"/>
        <v>0</v>
      </c>
      <c r="BE23" s="697" t="e">
        <f>IF(#REF!&lt;&gt;"",(BE$11-#REF!)/(BG$11-#REF!)*(BG23-#REF!)+#REF!,"")</f>
        <v>#REF!</v>
      </c>
      <c r="BF23" s="697">
        <f t="shared" si="15"/>
        <v>0</v>
      </c>
      <c r="BG23" s="697">
        <f t="shared" si="15"/>
        <v>0</v>
      </c>
      <c r="BH23" s="697">
        <f t="shared" si="15"/>
        <v>0</v>
      </c>
      <c r="BI23" s="692"/>
      <c r="BJ23" s="693">
        <v>0</v>
      </c>
      <c r="BK23" s="697">
        <v>0</v>
      </c>
      <c r="BL23" s="697">
        <v>0</v>
      </c>
      <c r="BM23" s="697">
        <f t="shared" si="16"/>
        <v>0.1</v>
      </c>
      <c r="BN23" s="697">
        <v>0.2</v>
      </c>
      <c r="BO23" s="697">
        <v>0.5</v>
      </c>
      <c r="BP23" s="194"/>
      <c r="BQ23" s="650">
        <f t="shared" si="18"/>
        <v>0</v>
      </c>
      <c r="BR23" s="697">
        <v>0</v>
      </c>
      <c r="BS23" s="697">
        <v>0</v>
      </c>
      <c r="BT23" s="697">
        <f t="shared" si="19"/>
        <v>0</v>
      </c>
      <c r="BU23" s="697">
        <v>0</v>
      </c>
      <c r="BV23" s="697">
        <v>0</v>
      </c>
      <c r="BW23" s="692"/>
      <c r="BX23" s="1" t="str">
        <f t="shared" si="20"/>
        <v>TPPRSUVHGNF-N</v>
      </c>
      <c r="BY23" s="1" t="str">
        <f t="shared" ca="1" si="21"/>
        <v>-	S_TPPRSUVHGNF	1	TPPRSUVHGNF-N Set	1	10/03/2023 17:53:59	null	((tblITEMS.Item Like "TPPRSUVHGNF-N*"))	null	null	null	null	null	null	null</v>
      </c>
      <c r="BZ23" s="1" t="str">
        <f t="shared" si="22"/>
        <v>-	S_TPPRSUVHGNF	1	1	True	Like "TPPRSUVHGNF-N*"</v>
      </c>
      <c r="CI23" s="1">
        <f>SUMIF($CI$10:$CI$11,RIGHT(C23,3),$CJ$10:$CJ$11)</f>
        <v>0</v>
      </c>
      <c r="CJ23" s="1">
        <v>10</v>
      </c>
      <c r="CK23" s="625" t="e">
        <f>CJ23/CI23</f>
        <v>#DIV/0!</v>
      </c>
      <c r="CL23" s="625" t="e">
        <f>#REF!</f>
        <v>#REF!</v>
      </c>
      <c r="CM23" s="625" t="e">
        <f>CK23/#REF!</f>
        <v>#DIV/0!</v>
      </c>
      <c r="CN23" s="2" t="e">
        <f>#REF!*1000</f>
        <v>#REF!</v>
      </c>
      <c r="CO23" s="2">
        <f>O23*1000000</f>
        <v>24000</v>
      </c>
      <c r="CP23" s="9" t="e">
        <f>-PMT($CL$14,Z23,CN23)/CO23</f>
        <v>#REF!</v>
      </c>
      <c r="CQ23" s="9" t="e">
        <f>CP23+CM23</f>
        <v>#REF!</v>
      </c>
    </row>
    <row r="24" spans="1:98" x14ac:dyDescent="0.2">
      <c r="A24" s="191" t="str">
        <f>ITEMS_nTech!C15</f>
        <v>Transport Passenger SUV Priv.Veh. Oil Blended Gasoline-Ethanol-E85-N</v>
      </c>
      <c r="B24" s="191" t="str">
        <f>D24&amp;RIGHT(C24,3)&amp;"-N"</f>
        <v>TPPRSUVBGS-N</v>
      </c>
      <c r="C24" s="612" t="str">
        <f>$L$6</f>
        <v>TRABGS</v>
      </c>
      <c r="D24" s="612" t="str">
        <f>TRP!$B$21</f>
        <v>TPPRSUV</v>
      </c>
      <c r="E24" s="702">
        <f t="array" ref="E24">IFERROR(INDEX(Analytica!$F$59:$AY$138,MATCH($B24,Analytica!$B$59:$B$168,0),MATCH(E$15&amp;E$10,Analytica!$F$58:$AY$58&amp;Analytica!$F$51:'Analytica'!$AY$51,0)),"")</f>
        <v>0.43407150834094715</v>
      </c>
      <c r="F24" s="702">
        <f t="array" ref="F24">IFERROR(INDEX(Analytica!$F$59:$AY$138,MATCH($B24,Analytica!$B$59:$B$168,0),MATCH(F$15&amp;F$10,Analytica!$F$58:$AY$58&amp;Analytica!$F$51:'Analytica'!$AY$51,0)),"")</f>
        <v>0.46801107047476492</v>
      </c>
      <c r="G24" s="702">
        <f t="array" ref="G24">IFERROR(INDEX(Analytica!$F$59:$AY$138,MATCH($B24,Analytica!$B$59:$B$168,0),MATCH(G$15&amp;G$10,Analytica!$F$58:$AY$58&amp;Analytica!$F$51:'Analytica'!$AY$51,0)),"")</f>
        <v>0.51749264321742416</v>
      </c>
      <c r="H24" s="702">
        <f t="array" ref="H24">IFERROR(INDEX(Analytica!$F$59:$AY$138,MATCH($B24,Analytica!$B$59:$B$168,0),MATCH(H$15&amp;H$10,Analytica!$F$58:$AY$58&amp;Analytica!$F$51:'Analytica'!$AY$51,0)),"")</f>
        <v>0.57220577178333198</v>
      </c>
      <c r="I24" s="701">
        <v>1</v>
      </c>
      <c r="J24" s="701">
        <v>1</v>
      </c>
      <c r="K24" s="701">
        <v>1</v>
      </c>
      <c r="L24" s="701">
        <v>1</v>
      </c>
      <c r="M24" s="701">
        <v>1</v>
      </c>
      <c r="N24" s="696">
        <f>IF(B24="","",MAX(N$18:N23)+1)</f>
        <v>7</v>
      </c>
      <c r="O24" s="702">
        <f t="array" ref="O24">IFERROR(INDEX(Analytica!$F$59:$AY$138,MATCH($B24,Analytica!$B$59:$B$168,0),MATCH(O$15&amp;O$10,Analytica!$F$58:$AY$58&amp;Analytica!$F$51:'Analytica'!$AY$51,0)),"")</f>
        <v>2.4E-2</v>
      </c>
      <c r="P24" s="620">
        <f t="array" ref="P24">IFERROR(INDEX(Analytica!$F$59:$AY$138,MATCH($B24,Analytica!$B$59:$B$168,0),MATCH(P$15&amp;P$10,Analytica!$F$58:$AY$58&amp;Analytica!$F$51:'Analytica'!$AY$51,0)),"")</f>
        <v>350.63787759734595</v>
      </c>
      <c r="Q24" s="620">
        <f t="array" ref="Q24">IFERROR(INDEX(Analytica!$F$59:$AY$138,MATCH($B24,Analytica!$B$59:$B$168,0),MATCH(Q$15&amp;Q$10,Analytica!$F$58:$AY$58&amp;Analytica!$F$51:'Analytica'!$AY$51,0)),"")</f>
        <v>357.09962238446946</v>
      </c>
      <c r="R24" s="620">
        <f t="array" ref="R24">IFERROR(INDEX(Analytica!$F$59:$AY$138,MATCH($B24,Analytica!$B$59:$B$168,0),MATCH(R$15&amp;R$10,Analytica!$F$58:$AY$58&amp;Analytica!$F$51:'Analytica'!$AY$51,0)),"")</f>
        <v>363.56136717159279</v>
      </c>
      <c r="S24" s="620">
        <f t="array" ref="S24">IFERROR(INDEX(Analytica!$F$59:$AY$138,MATCH($B24,Analytica!$B$59:$B$168,0),MATCH(S$15&amp;S$10,Analytica!$F$58:$AY$58&amp;Analytica!$F$51:'Analytica'!$AY$51,0)),"")</f>
        <v>371.50085823323019</v>
      </c>
      <c r="T24" s="620">
        <f t="array" ref="T24">IFERROR(INDEX(Analytica!$F$59:$AY$138,MATCH($B24,Analytica!$B$59:$B$168,0),MATCH(T$15&amp;T$10,Analytica!$F$58:$AY$58&amp;Analytica!$F$51:'Analytica'!$AY$51,0)),"")</f>
        <v>379.44034929486759</v>
      </c>
      <c r="U24" s="620">
        <f t="array" ref="U24">IFERROR(INDEX(Analytica!$F$59:$AY$138,MATCH($B24,Analytica!$B$59:$B$168,0),MATCH(U$15&amp;U$10,Analytica!$F$58:$AY$58&amp;Analytica!$F$51:'Analytica'!$AY$51,0)),"")</f>
        <v>387.39622422821134</v>
      </c>
      <c r="V24" s="620">
        <f t="array" ref="V24">IFERROR(INDEX(Analytica!$F$59:$AY$138,MATCH($B24,Analytica!$B$59:$B$168,0),MATCH(V$15&amp;V$10,Analytica!$F$58:$AY$58&amp;Analytica!$F$51:'Analytica'!$AY$51,0)),"")</f>
        <v>9.4672226951283402</v>
      </c>
      <c r="W24" s="620">
        <f t="array" ref="W24">IFERROR(INDEX(Analytica!$F$59:$AY$138,MATCH($B24,Analytica!$B$59:$B$168,0),MATCH(W$15&amp;W$10,Analytica!$F$58:$AY$58&amp;Analytica!$F$51:'Analytica'!$AY$51,0)),"")</f>
        <v>9.8161569136330051</v>
      </c>
      <c r="X24" s="620">
        <f t="array" ref="X24">IFERROR(INDEX(Analytica!$F$59:$AY$138,MATCH($B24,Analytica!$B$59:$B$168,0),MATCH(X$15&amp;X$10,Analytica!$F$58:$AY$58&amp;Analytica!$F$51:'Analytica'!$AY$51,0)),"")</f>
        <v>10.244889430961425</v>
      </c>
      <c r="Y24" s="620">
        <f t="array" ref="Y24">IFERROR(INDEX(Analytica!$F$59:$AY$138,MATCH($B24,Analytica!$B$59:$B$168,0),MATCH(Y$15&amp;Y$10,Analytica!$F$58:$AY$58&amp;Analytica!$F$51:'Analytica'!$AY$51,0)),"")</f>
        <v>10.459698054161706</v>
      </c>
      <c r="Z24" s="694">
        <f>Z23</f>
        <v>20</v>
      </c>
      <c r="AA24" s="694">
        <f t="shared" si="4"/>
        <v>20</v>
      </c>
      <c r="AB24" s="922">
        <v>2080</v>
      </c>
      <c r="AC24" s="1">
        <f t="shared" ca="1" si="5"/>
        <v>7</v>
      </c>
      <c r="AD24" s="1">
        <v>1</v>
      </c>
      <c r="AE24" s="1" t="str">
        <f t="shared" si="6"/>
        <v>S_TPPRSUV</v>
      </c>
      <c r="AF24" s="1" t="str">
        <f t="shared" si="7"/>
        <v>S_TPPRSUVBGS</v>
      </c>
      <c r="AG24" s="1" t="str">
        <f t="shared" si="8"/>
        <v>TPPRSUVBGS-N_L</v>
      </c>
      <c r="AH24" s="1" t="str">
        <f t="shared" si="9"/>
        <v>TPPRSUVBGS-N_U</v>
      </c>
      <c r="AI24" s="194">
        <v>0</v>
      </c>
      <c r="AJ24" s="699">
        <f>SUMIF(Analytica!$B$59:$B$137,B24,Analytica!$BB$59:$BB$192)</f>
        <v>0</v>
      </c>
      <c r="AK24" s="697" t="e">
        <f>IF($AP$10,BK24,#REF!)</f>
        <v>#REF!</v>
      </c>
      <c r="AL24" s="697" t="e">
        <f t="shared" si="23"/>
        <v>#REF!</v>
      </c>
      <c r="AM24" s="697" t="e">
        <f t="shared" si="23"/>
        <v>#REF!</v>
      </c>
      <c r="AN24" s="697">
        <f t="shared" si="23"/>
        <v>1</v>
      </c>
      <c r="AO24" s="697">
        <f t="shared" si="23"/>
        <v>1</v>
      </c>
      <c r="AP24" s="194">
        <v>1</v>
      </c>
      <c r="AQ24" s="650">
        <f t="shared" si="10"/>
        <v>0</v>
      </c>
      <c r="AR24" s="697" t="e">
        <f>IF($AP$10,BR24,#REF!)</f>
        <v>#REF!</v>
      </c>
      <c r="AS24" s="697" t="e">
        <f t="shared" si="11"/>
        <v>#REF!</v>
      </c>
      <c r="AT24" s="697">
        <f t="shared" si="11"/>
        <v>0</v>
      </c>
      <c r="AU24" s="697">
        <f t="shared" si="11"/>
        <v>0</v>
      </c>
      <c r="AV24" s="697">
        <f t="shared" si="11"/>
        <v>0</v>
      </c>
      <c r="AX24" s="698">
        <v>0</v>
      </c>
      <c r="AY24" s="697" t="e">
        <f>IF(#REF!&lt;&gt;"",(AY$11-#REF!)/(BA$11-#REF!)*(BA24-#REF!)+#REF!,"")</f>
        <v>#REF!</v>
      </c>
      <c r="AZ24" s="697" t="e">
        <f t="shared" si="12"/>
        <v>#REF!</v>
      </c>
      <c r="BA24" s="697">
        <f t="shared" si="13"/>
        <v>1</v>
      </c>
      <c r="BB24" s="697">
        <f t="shared" si="13"/>
        <v>1</v>
      </c>
      <c r="BC24" s="711"/>
      <c r="BD24" s="697">
        <f t="shared" si="14"/>
        <v>0</v>
      </c>
      <c r="BE24" s="697" t="e">
        <f>IF(#REF!&lt;&gt;"",(BE$11-#REF!)/(BG$11-#REF!)*(BG24-#REF!)+#REF!,"")</f>
        <v>#REF!</v>
      </c>
      <c r="BF24" s="697">
        <f t="shared" si="15"/>
        <v>0</v>
      </c>
      <c r="BG24" s="697">
        <f t="shared" si="15"/>
        <v>0</v>
      </c>
      <c r="BH24" s="697">
        <f t="shared" si="15"/>
        <v>0</v>
      </c>
      <c r="BI24" s="692"/>
      <c r="BJ24" s="693">
        <v>0</v>
      </c>
      <c r="BK24" s="697">
        <v>0</v>
      </c>
      <c r="BL24" s="697">
        <v>0</v>
      </c>
      <c r="BM24" s="697">
        <f t="shared" si="16"/>
        <v>0.1</v>
      </c>
      <c r="BN24" s="697">
        <v>0.2</v>
      </c>
      <c r="BO24" s="697">
        <v>0.5</v>
      </c>
      <c r="BP24" s="194"/>
      <c r="BQ24" s="650">
        <f t="shared" si="18"/>
        <v>0</v>
      </c>
      <c r="BR24" s="697">
        <v>0</v>
      </c>
      <c r="BS24" s="697" t="e">
        <f>IF(BR24&lt;&gt;"",(BS$11-BR$11)/(BU$11-BR$11)*(BU24-BR24)+BR24,"")</f>
        <v>#REF!</v>
      </c>
      <c r="BT24" s="697" t="e">
        <f t="shared" si="19"/>
        <v>#REF!</v>
      </c>
      <c r="BU24" s="697">
        <v>0</v>
      </c>
      <c r="BV24" s="697">
        <v>0</v>
      </c>
      <c r="BW24" s="692"/>
      <c r="BX24" s="1" t="str">
        <f t="shared" si="20"/>
        <v>TPPRSUVBGS-N</v>
      </c>
      <c r="BY24" s="1" t="str">
        <f t="shared" ca="1" si="21"/>
        <v>-	S_TPPRSUVBGS	1	TPPRSUVBGS-N Set	1	10/03/2023 17:53:59	null	((tblITEMS.Item Like "TPPRSUVBGS-N*"))	null	null	null	null	null	null	null</v>
      </c>
      <c r="BZ24" s="1" t="str">
        <f t="shared" si="22"/>
        <v>-	S_TPPRSUVBGS	1	1	True	Like "TPPRSUVBGS-N*"</v>
      </c>
      <c r="CI24" s="1">
        <f>SUMIF($CI$10:$CI$11,RIGHT(C24,3),$CJ$10:$CJ$11)</f>
        <v>0</v>
      </c>
      <c r="CJ24" s="1">
        <v>11</v>
      </c>
      <c r="CK24" s="625" t="e">
        <f>CJ24/CI24</f>
        <v>#DIV/0!</v>
      </c>
      <c r="CL24" s="625" t="e">
        <f>#REF!</f>
        <v>#REF!</v>
      </c>
      <c r="CM24" s="625" t="e">
        <f>CK24/#REF!</f>
        <v>#DIV/0!</v>
      </c>
      <c r="CN24" s="2" t="e">
        <f>#REF!*1000</f>
        <v>#REF!</v>
      </c>
      <c r="CO24" s="2">
        <f>O24*1000000</f>
        <v>24000</v>
      </c>
      <c r="CP24" s="9" t="e">
        <f>-PMT($CL$14,Z24,CN24)/CO24</f>
        <v>#REF!</v>
      </c>
      <c r="CQ24" s="9" t="e">
        <f>CP24+CM24</f>
        <v>#REF!</v>
      </c>
    </row>
    <row r="25" spans="1:98" x14ac:dyDescent="0.2">
      <c r="A25" s="191" t="str">
        <f>ITEMS_nTech!C16</f>
        <v>Transport Passenger SUV Priv.Veh. Electricity-N</v>
      </c>
      <c r="B25" s="191" t="str">
        <f>D25&amp;RIGHT(C25,3)&amp;"-N"</f>
        <v>TPPRSUVELC-N</v>
      </c>
      <c r="C25" s="612" t="str">
        <f>$E$6</f>
        <v>TRAELC</v>
      </c>
      <c r="D25" s="612" t="str">
        <f>TRP!$B$21</f>
        <v>TPPRSUV</v>
      </c>
      <c r="E25" s="702">
        <f t="array" ref="E25">IFERROR(INDEX(Analytica!$F$59:$AY$138,MATCH($B25,Analytica!$B$59:$B$168,0),MATCH(E$15&amp;E$10,Analytica!$F$58:$AY$58&amp;Analytica!$F$51:'Analytica'!$AY$51,0)),"")</f>
        <v>1.4993784101944536</v>
      </c>
      <c r="F25" s="702">
        <f t="array" ref="F25">IFERROR(INDEX(Analytica!$F$59:$AY$138,MATCH($B25,Analytica!$B$59:$B$168,0),MATCH(F$15&amp;F$10,Analytica!$F$58:$AY$58&amp;Analytica!$F$51:'Analytica'!$AY$51,0)),"")</f>
        <v>1.6166131186170316</v>
      </c>
      <c r="G25" s="702">
        <f t="array" ref="G25">IFERROR(INDEX(Analytica!$F$59:$AY$138,MATCH($B25,Analytica!$B$59:$B$168,0),MATCH(G$15&amp;G$10,Analytica!$F$58:$AY$58&amp;Analytica!$F$51:'Analytica'!$AY$51,0)),"")</f>
        <v>1.7875333482270686</v>
      </c>
      <c r="H25" s="702">
        <f t="array" ref="H25">IFERROR(INDEX(Analytica!$F$59:$AY$138,MATCH($B25,Analytica!$B$59:$B$168,0),MATCH(H$15&amp;H$10,Analytica!$F$58:$AY$58&amp;Analytica!$F$51:'Analytica'!$AY$51,0)),"")</f>
        <v>1.9765245216847829</v>
      </c>
      <c r="I25" s="701">
        <v>1</v>
      </c>
      <c r="J25" s="701">
        <v>1</v>
      </c>
      <c r="K25" s="701">
        <v>1</v>
      </c>
      <c r="L25" s="701">
        <v>1</v>
      </c>
      <c r="M25" s="701">
        <v>1</v>
      </c>
      <c r="N25" s="696">
        <f>IF(B25="","",MAX(N$18:N24)+1)</f>
        <v>8</v>
      </c>
      <c r="O25" s="702">
        <f t="array" ref="O25">IFERROR(INDEX(Analytica!$F$59:$AY$138,MATCH($B25,Analytica!$B$59:$B$168,0),MATCH(O$15&amp;O$10,Analytica!$F$58:$AY$58&amp;Analytica!$F$51:'Analytica'!$AY$51,0)),"")</f>
        <v>2.4E-2</v>
      </c>
      <c r="P25" s="777">
        <f t="array" ref="P25">IFERROR(INDEX(Analytica!$F$59:$AY$138,MATCH($B25,Analytica!$B$59:$B$168,0),MATCH(P$15&amp;P$10,Analytica!$F$58:$AY$58&amp;Analytica!$F$51:'Analytica'!$AY$51,0)),"")</f>
        <v>820.96300033176112</v>
      </c>
      <c r="Q25" s="777">
        <f t="array" ref="Q25">IFERROR(INDEX(Analytica!$F$59:$AY$138,MATCH($B25,Analytica!$B$59:$B$168,0),MATCH(Q$15&amp;Q$10,Analytica!$F$58:$AY$58&amp;Analytica!$F$51:'Analytica'!$AY$51,0)),"")</f>
        <v>755.33369376548785</v>
      </c>
      <c r="R25" s="777">
        <f t="array" ref="R25">IFERROR(INDEX(Analytica!$F$59:$AY$138,MATCH($B25,Analytica!$B$59:$B$168,0),MATCH(R$15&amp;R$10,Analytica!$F$58:$AY$58&amp;Analytica!$F$51:'Analytica'!$AY$51,0)),"")</f>
        <v>689.70438719921458</v>
      </c>
      <c r="S25" s="777">
        <f t="array" ref="S25">IFERROR(INDEX(Analytica!$F$59:$AY$138,MATCH($B25,Analytica!$B$59:$B$168,0),MATCH(S$15&amp;S$10,Analytica!$F$58:$AY$58&amp;Analytica!$F$51:'Analytica'!$AY$51,0)),"")</f>
        <v>696.54423846668703</v>
      </c>
      <c r="T25" s="777">
        <f t="array" ref="T25">IFERROR(INDEX(Analytica!$F$59:$AY$138,MATCH($B25,Analytica!$B$59:$B$168,0),MATCH(T$15&amp;T$10,Analytica!$F$58:$AY$58&amp;Analytica!$F$51:'Analytica'!$AY$51,0)),"")</f>
        <v>379.44034929486759</v>
      </c>
      <c r="U25" s="777">
        <f t="array" ref="U25">IFERROR(INDEX(Analytica!$F$59:$AY$138,MATCH($B25,Analytica!$B$59:$B$168,0),MATCH(U$15&amp;U$10,Analytica!$F$58:$AY$58&amp;Analytica!$F$51:'Analytica'!$AY$51,0)),"")</f>
        <v>387.39622422821134</v>
      </c>
      <c r="V25" s="620">
        <f t="array" ref="V25">IFERROR(INDEX(Analytica!$F$59:$AY$138,MATCH($B25,Analytica!$B$59:$B$168,0),MATCH(V$15&amp;V$10,Analytica!$F$58:$AY$58&amp;Analytica!$F$51:'Analytica'!$AY$51,0)),"")</f>
        <v>16.624500756718163</v>
      </c>
      <c r="W25" s="620">
        <f t="array" ref="W25">IFERROR(INDEX(Analytica!$F$59:$AY$138,MATCH($B25,Analytica!$B$59:$B$168,0),MATCH(W$15&amp;W$10,Analytica!$F$58:$AY$58&amp;Analytica!$F$51:'Analytica'!$AY$51,0)),"")</f>
        <v>13.966513840784096</v>
      </c>
      <c r="X25" s="620">
        <f t="array" ref="X25">IFERROR(INDEX(Analytica!$F$59:$AY$138,MATCH($B25,Analytica!$B$59:$B$168,0),MATCH(X$15&amp;X$10,Analytica!$F$58:$AY$58&amp;Analytica!$F$51:'Analytica'!$AY$51,0)),"")</f>
        <v>7.683667073221069</v>
      </c>
      <c r="Y25" s="620">
        <f t="array" ref="Y25">IFERROR(INDEX(Analytica!$F$59:$AY$138,MATCH($B25,Analytica!$B$59:$B$168,0),MATCH(Y$15&amp;Y$10,Analytica!$F$58:$AY$58&amp;Analytica!$F$51:'Analytica'!$AY$51,0)),"")</f>
        <v>7.8447735406212802</v>
      </c>
      <c r="Z25" s="694">
        <f>Z24</f>
        <v>20</v>
      </c>
      <c r="AA25" s="694">
        <f t="shared" si="4"/>
        <v>20</v>
      </c>
      <c r="AB25" s="694">
        <f t="shared" si="24"/>
        <v>2018</v>
      </c>
      <c r="AC25" s="1">
        <f t="shared" ca="1" si="5"/>
        <v>8</v>
      </c>
      <c r="AE25" s="1" t="str">
        <f t="shared" si="6"/>
        <v>S_TPPRSUV</v>
      </c>
      <c r="AF25" s="1" t="str">
        <f t="shared" si="7"/>
        <v>S_TPPRSUVELC</v>
      </c>
      <c r="AG25" s="1" t="str">
        <f t="shared" si="8"/>
        <v>TPPRSUVELC-N_L</v>
      </c>
      <c r="AH25" s="1" t="str">
        <f t="shared" si="9"/>
        <v>TPPRSUVELC-N_U</v>
      </c>
      <c r="AI25" s="194">
        <v>0</v>
      </c>
      <c r="AJ25" s="699">
        <f>SUMIF(Analytica!$B$59:$B$137,B25,Analytica!$BB$59:$BB$192)</f>
        <v>0</v>
      </c>
      <c r="AK25" s="697" t="e">
        <f>IF($AP$10,BK25,#REF!)</f>
        <v>#REF!</v>
      </c>
      <c r="AL25" s="697" t="e">
        <f t="shared" si="23"/>
        <v>#REF!</v>
      </c>
      <c r="AM25" s="697" t="e">
        <f t="shared" si="23"/>
        <v>#REF!</v>
      </c>
      <c r="AN25" s="697">
        <f t="shared" si="23"/>
        <v>1</v>
      </c>
      <c r="AO25" s="697">
        <f t="shared" si="23"/>
        <v>1</v>
      </c>
      <c r="AP25" s="194">
        <v>1</v>
      </c>
      <c r="AQ25" s="650">
        <f t="shared" si="10"/>
        <v>0</v>
      </c>
      <c r="AR25" s="697" t="e">
        <f>IF($AP$10,BR25,#REF!)</f>
        <v>#REF!</v>
      </c>
      <c r="AS25" s="697" t="e">
        <f t="shared" si="11"/>
        <v>#REF!</v>
      </c>
      <c r="AT25" s="697">
        <f t="shared" si="11"/>
        <v>0</v>
      </c>
      <c r="AU25" s="697">
        <f t="shared" si="11"/>
        <v>0</v>
      </c>
      <c r="AV25" s="697">
        <f t="shared" si="11"/>
        <v>0</v>
      </c>
      <c r="AX25" s="698">
        <v>0</v>
      </c>
      <c r="AY25" s="697" t="e">
        <f>IF(#REF!&lt;&gt;"",(AY$11-#REF!)/(BA$11-#REF!)*(BA25-#REF!)+#REF!,"")</f>
        <v>#REF!</v>
      </c>
      <c r="AZ25" s="697" t="e">
        <f t="shared" si="12"/>
        <v>#REF!</v>
      </c>
      <c r="BA25" s="697">
        <f t="shared" si="13"/>
        <v>1</v>
      </c>
      <c r="BB25" s="697">
        <f t="shared" si="13"/>
        <v>1</v>
      </c>
      <c r="BC25" s="711"/>
      <c r="BD25" s="697">
        <f t="shared" si="14"/>
        <v>0</v>
      </c>
      <c r="BE25" s="697" t="e">
        <f>IF(#REF!&lt;&gt;"",(BE$11-#REF!)/(BG$11-#REF!)*(BG25-#REF!)+#REF!,"")</f>
        <v>#REF!</v>
      </c>
      <c r="BF25" s="697">
        <f t="shared" si="15"/>
        <v>0</v>
      </c>
      <c r="BG25" s="697">
        <f t="shared" si="15"/>
        <v>0</v>
      </c>
      <c r="BH25" s="697">
        <f t="shared" si="15"/>
        <v>0</v>
      </c>
      <c r="BI25" s="692"/>
      <c r="BJ25" s="693">
        <v>0</v>
      </c>
      <c r="BK25" s="697">
        <v>0</v>
      </c>
      <c r="BL25" s="697">
        <v>0</v>
      </c>
      <c r="BM25" s="697">
        <f t="shared" si="16"/>
        <v>0.1</v>
      </c>
      <c r="BN25" s="697">
        <v>0.2</v>
      </c>
      <c r="BO25" s="697">
        <v>0.5</v>
      </c>
      <c r="BP25" s="194"/>
      <c r="BQ25" s="650">
        <f t="shared" si="18"/>
        <v>0</v>
      </c>
      <c r="BR25" s="697">
        <v>1</v>
      </c>
      <c r="BS25" s="697" t="e">
        <f>IF(BR25&lt;&gt;"",(BS$11-BR$11)/(BU$11-BR$11)*(BU25-BR25)+BR25,"")</f>
        <v>#REF!</v>
      </c>
      <c r="BT25" s="697" t="e">
        <f t="shared" si="19"/>
        <v>#REF!</v>
      </c>
      <c r="BU25" s="697">
        <v>0</v>
      </c>
      <c r="BV25" s="697">
        <v>0</v>
      </c>
      <c r="BW25" s="692"/>
      <c r="BX25" s="1" t="str">
        <f t="shared" si="20"/>
        <v>TPPRSUVELC-N</v>
      </c>
      <c r="BY25" s="1" t="str">
        <f t="shared" ca="1" si="21"/>
        <v>-	S_TPPRSUVELC	1	TPPRSUVELC-N Set	1	10/03/2023 17:53:59	null	((tblITEMS.Item Like "TPPRSUVELC-N*"))	null	null	null	null	null	null	null</v>
      </c>
      <c r="BZ25" s="1" t="str">
        <f t="shared" si="22"/>
        <v>-	S_TPPRSUVELC	1	1	True	Like "TPPRSUVELC-N*"</v>
      </c>
      <c r="CI25" s="1">
        <f>SUMIF($CI$10:$CI$11,RIGHT(C25,3),$CJ$10:$CJ$11)</f>
        <v>0</v>
      </c>
      <c r="CJ25" s="1">
        <v>12</v>
      </c>
      <c r="CK25" s="625" t="e">
        <f>CJ25/CI25</f>
        <v>#DIV/0!</v>
      </c>
      <c r="CL25" s="625" t="e">
        <f>#REF!</f>
        <v>#REF!</v>
      </c>
      <c r="CM25" s="625" t="e">
        <f>CK25/#REF!</f>
        <v>#DIV/0!</v>
      </c>
      <c r="CN25" s="2" t="e">
        <f>#REF!*1000</f>
        <v>#REF!</v>
      </c>
      <c r="CO25" s="2">
        <f>O25*1000000</f>
        <v>24000</v>
      </c>
      <c r="CP25" s="9" t="e">
        <f>-PMT($CL$14,Z25,CN25)/CO25</f>
        <v>#REF!</v>
      </c>
      <c r="CQ25" s="9" t="e">
        <f>CP25+CM25</f>
        <v>#REF!</v>
      </c>
    </row>
    <row r="26" spans="1:98" x14ac:dyDescent="0.2">
      <c r="A26" s="191" t="s">
        <v>1124</v>
      </c>
      <c r="B26" s="191"/>
      <c r="C26" s="612"/>
      <c r="D26" s="612"/>
      <c r="E26" s="702" t="str">
        <f t="array" ref="E26">IFERROR(INDEX(Analytica!$F$59:$AY$138,MATCH($B26,Analytica!$B$59:$B$168,0),MATCH(E$15&amp;E$10,Analytica!$F$58:$AY$58&amp;Analytica!$F$51:'Analytica'!$AY$51,0)),"")</f>
        <v/>
      </c>
      <c r="F26" s="702"/>
      <c r="G26" s="702"/>
      <c r="H26" s="702"/>
      <c r="I26" s="701"/>
      <c r="J26" s="701"/>
      <c r="K26" s="701"/>
      <c r="L26" s="701"/>
      <c r="M26" s="701"/>
      <c r="N26" s="696" t="str">
        <f>IF(B26="","",MAX(N$18:N25)+1)</f>
        <v/>
      </c>
      <c r="O26" s="702" t="str">
        <f t="array" ref="O26">IFERROR(INDEX(Analytica!$F$59:$AY$138,MATCH($B26,Analytica!$B$59:$B$168,0),MATCH(O$15&amp;O$10,Analytica!$F$58:$AY$58&amp;Analytica!$F$51:'Analytica'!$AY$51,0)),"")</f>
        <v/>
      </c>
      <c r="P26" s="620" t="str">
        <f t="array" ref="P26">IFERROR(INDEX(Analytica!$F$59:$AY$138,MATCH($B26,Analytica!$B$59:$B$168,0),MATCH(P$15&amp;P$10,Analytica!$F$58:$AY$58&amp;Analytica!$F$51:'Analytica'!$AY$51,0)),"")</f>
        <v/>
      </c>
      <c r="Q26" s="620" t="str">
        <f t="array" ref="Q26">IFERROR(INDEX(Analytica!$F$59:$AY$138,MATCH($B26,Analytica!$B$59:$B$168,0),MATCH(Q$15&amp;Q$10,Analytica!$F$58:$AY$58&amp;Analytica!$F$51:'Analytica'!$AY$51,0)),"")</f>
        <v/>
      </c>
      <c r="R26" s="620" t="str">
        <f t="array" ref="R26">IFERROR(INDEX(Analytica!$F$59:$AY$138,MATCH($B26,Analytica!$B$59:$B$168,0),MATCH(R$15&amp;R$10,Analytica!$F$58:$AY$58&amp;Analytica!$F$51:'Analytica'!$AY$51,0)),"")</f>
        <v/>
      </c>
      <c r="S26" s="620" t="str">
        <f t="array" ref="S26">IFERROR(INDEX(Analytica!$F$59:$AY$138,MATCH($B26,Analytica!$B$59:$B$168,0),MATCH(S$15&amp;S$10,Analytica!$F$58:$AY$58&amp;Analytica!$F$51:'Analytica'!$AY$51,0)),"")</f>
        <v/>
      </c>
      <c r="T26" s="620" t="str">
        <f t="array" ref="T26">IFERROR(INDEX(Analytica!$F$59:$AY$138,MATCH($B26,Analytica!$B$59:$B$168,0),MATCH(T$15&amp;T$10,Analytica!$F$58:$AY$58&amp;Analytica!$F$51:'Analytica'!$AY$51,0)),"")</f>
        <v/>
      </c>
      <c r="U26" s="620" t="str">
        <f t="array" ref="U26">IFERROR(INDEX(Analytica!$F$59:$AY$138,MATCH($B26,Analytica!$B$59:$B$168,0),MATCH(U$15&amp;U$10,Analytica!$F$58:$AY$58&amp;Analytica!$F$51:'Analytica'!$AY$51,0)),"")</f>
        <v/>
      </c>
      <c r="V26" s="620" t="str">
        <f t="array" ref="V26">IFERROR(INDEX(Analytica!$F$59:$AY$138,MATCH($B26,Analytica!$B$59:$B$168,0),MATCH(V$15&amp;V$10,Analytica!$F$58:$AY$58&amp;Analytica!$F$51:'Analytica'!$AY$51,0)),"")</f>
        <v/>
      </c>
      <c r="W26" s="620" t="str">
        <f t="array" ref="W26">IFERROR(INDEX(Analytica!$F$59:$AY$138,MATCH($B26,Analytica!$B$59:$B$168,0),MATCH(W$15&amp;W$10,Analytica!$F$58:$AY$58&amp;Analytica!$F$51:'Analytica'!$AY$51,0)),"")</f>
        <v/>
      </c>
      <c r="X26" s="620" t="str">
        <f t="array" ref="X26">IFERROR(INDEX(Analytica!$F$59:$AY$138,MATCH($B26,Analytica!$B$59:$B$168,0),MATCH(X$15&amp;X$10,Analytica!$F$58:$AY$58&amp;Analytica!$F$51:'Analytica'!$AY$51,0)),"")</f>
        <v/>
      </c>
      <c r="Y26" s="620" t="str">
        <f t="array" ref="Y26">IFERROR(INDEX(Analytica!$F$59:$AY$138,MATCH($B26,Analytica!$B$59:$B$168,0),MATCH(Y$15&amp;Y$10,Analytica!$F$58:$AY$58&amp;Analytica!$F$51:'Analytica'!$AY$51,0)),"")</f>
        <v/>
      </c>
      <c r="Z26" s="723"/>
      <c r="AA26" s="694">
        <f t="shared" si="4"/>
        <v>0</v>
      </c>
      <c r="AB26" s="694">
        <f t="shared" si="24"/>
        <v>2018</v>
      </c>
      <c r="AC26" s="1">
        <f t="shared" ca="1" si="5"/>
        <v>9</v>
      </c>
      <c r="AE26" s="1" t="str">
        <f t="shared" si="6"/>
        <v>S_</v>
      </c>
      <c r="AF26" s="1" t="str">
        <f>AE21</f>
        <v>S_TPPRSUV</v>
      </c>
      <c r="AG26" s="1"/>
      <c r="AI26" s="194">
        <v>0</v>
      </c>
      <c r="AJ26" s="699"/>
      <c r="AM26" s="1"/>
      <c r="AP26" s="194">
        <v>1</v>
      </c>
      <c r="AT26" s="1"/>
      <c r="AX26" s="698"/>
      <c r="AY26" s="697" t="e">
        <f>IF(#REF!&lt;&gt;"",(AY$11-#REF!)/(BA$11-#REF!)*(BA26-#REF!)+#REF!,"")</f>
        <v>#REF!</v>
      </c>
      <c r="AZ26" s="697" t="e">
        <f t="shared" si="12"/>
        <v>#REF!</v>
      </c>
      <c r="BA26" s="697">
        <f t="shared" si="13"/>
        <v>1</v>
      </c>
      <c r="BB26" s="697">
        <f t="shared" si="13"/>
        <v>1</v>
      </c>
      <c r="BC26" s="711"/>
      <c r="BD26" s="697">
        <f t="shared" si="14"/>
        <v>0</v>
      </c>
      <c r="BE26" s="697" t="e">
        <f>IF(#REF!&lt;&gt;"",(BE$11-#REF!)/(BG$11-#REF!)*(BG26-#REF!)+#REF!,"")</f>
        <v>#REF!</v>
      </c>
      <c r="BF26" s="697">
        <f t="shared" si="15"/>
        <v>0</v>
      </c>
      <c r="BG26" s="697">
        <f t="shared" si="15"/>
        <v>0</v>
      </c>
      <c r="BH26" s="697">
        <f t="shared" si="15"/>
        <v>0</v>
      </c>
      <c r="BI26" s="692"/>
      <c r="BJ26" s="693"/>
      <c r="BL26" s="1" t="str">
        <f t="shared" ref="BL26:BL32" si="25">IF(BK26&lt;&gt;"",(BL$11-BK$11)/(BN$11-BK$11)*(BN26-BK26)+BK26,"")</f>
        <v/>
      </c>
      <c r="BP26" s="194"/>
      <c r="BS26" s="1" t="str">
        <f>IF(BR26&lt;&gt;"",(BS$11-BR$11)/(BU$11-BR$11)*(BU26-BR26)+BR26,"")</f>
        <v/>
      </c>
      <c r="BT26" s="1"/>
      <c r="BW26" s="692"/>
      <c r="BX26" s="1" t="str">
        <f>D21</f>
        <v>TPPRSUV</v>
      </c>
      <c r="BY26" s="1" t="str">
        <f t="shared" ca="1" si="21"/>
        <v>-	S_TPPRSUV	1	TPPRSUV Set	1	10/03/2023 17:53:59	null	((tblITEMS.Item Like "TPPRSUV*"))	null	null	null	null	null	null	null</v>
      </c>
      <c r="BZ26" s="1" t="str">
        <f t="shared" si="22"/>
        <v>-	S_TPPRSUV	1	1	True	Like "TPPRSUV*"</v>
      </c>
      <c r="CK26" s="625"/>
      <c r="CL26" s="625"/>
      <c r="CM26" s="625"/>
      <c r="CN26" s="2"/>
      <c r="CO26" s="2"/>
      <c r="CP26" s="9"/>
      <c r="CQ26" s="9"/>
    </row>
    <row r="27" spans="1:98" x14ac:dyDescent="0.2">
      <c r="A27" s="191" t="str">
        <f>ITEMS_nTech!C18</f>
        <v>Transport Passenger Car Priv.Veh. Oil Diesel-N</v>
      </c>
      <c r="B27" s="191" t="str">
        <f>D27&amp;RIGHT(C27,3)&amp;"-N"</f>
        <v>TPPRCARODS-N</v>
      </c>
      <c r="C27" s="612" t="str">
        <f>$D$6</f>
        <v>TRAODS</v>
      </c>
      <c r="D27" s="612" t="str">
        <f>TRP!$B$22</f>
        <v>TPPRCAR</v>
      </c>
      <c r="E27" s="702">
        <f t="array" ref="E27">IFERROR(INDEX(Analytica!$F$59:$AY$138,MATCH($B27,Analytica!$B$59:$B$168,0),MATCH(E$15&amp;E$10,Analytica!$F$58:$AY$58&amp;Analytica!$F$51:'Analytica'!$AY$51,0)),"")</f>
        <v>0.33703202380466663</v>
      </c>
      <c r="F27" s="702">
        <f t="array" ref="F27">IFERROR(INDEX(Analytica!$F$59:$AY$138,MATCH($B27,Analytica!$B$59:$B$168,0),MATCH(F$15&amp;F$10,Analytica!$F$58:$AY$58&amp;Analytica!$F$51:'Analytica'!$AY$51,0)),"")</f>
        <v>0.36338417798480266</v>
      </c>
      <c r="G27" s="702">
        <f t="array" ref="G27">IFERROR(INDEX(Analytica!$F$59:$AY$138,MATCH($B27,Analytica!$B$59:$B$168,0),MATCH(G$15&amp;G$10,Analytica!$F$58:$AY$58&amp;Analytica!$F$51:'Analytica'!$AY$51,0)),"")</f>
        <v>0.40180382608895143</v>
      </c>
      <c r="H27" s="702">
        <f t="array" ref="H27">IFERROR(INDEX(Analytica!$F$59:$AY$138,MATCH($B27,Analytica!$B$59:$B$168,0),MATCH(H$15&amp;H$10,Analytica!$F$58:$AY$58&amp;Analytica!$F$51:'Analytica'!$AY$51,0)),"")</f>
        <v>0.4442854819795492</v>
      </c>
      <c r="I27" s="701">
        <v>1</v>
      </c>
      <c r="J27" s="701">
        <v>1</v>
      </c>
      <c r="K27" s="701">
        <v>1</v>
      </c>
      <c r="L27" s="701">
        <v>1</v>
      </c>
      <c r="M27" s="701">
        <v>1</v>
      </c>
      <c r="N27" s="696">
        <f>IF(B27="","",MAX(N$18:N26)+1)</f>
        <v>9</v>
      </c>
      <c r="O27" s="702">
        <f t="array" ref="O27">IFERROR(INDEX(Analytica!$F$59:$AY$138,MATCH($B27,Analytica!$B$59:$B$168,0),MATCH(O$15&amp;O$10,Analytica!$F$58:$AY$58&amp;Analytica!$F$51:'Analytica'!$AY$51,0)),"")</f>
        <v>2.2499999999999999E-2</v>
      </c>
      <c r="P27" s="620">
        <f t="array" ref="P27">IFERROR(INDEX(Analytica!$F$59:$AY$138,MATCH($B27,Analytica!$B$59:$B$168,0),MATCH(P$15&amp;P$10,Analytica!$F$58:$AY$58&amp;Analytica!$F$51:'Analytica'!$AY$51,0)),"")</f>
        <v>360.54493702527509</v>
      </c>
      <c r="Q27" s="620">
        <f t="array" ref="Q27">IFERROR(INDEX(Analytica!$F$59:$AY$138,MATCH($B27,Analytica!$B$59:$B$168,0),MATCH(Q$15&amp;Q$10,Analytica!$F$58:$AY$58&amp;Analytica!$F$51:'Analytica'!$AY$51,0)),"")</f>
        <v>366.15082503153013</v>
      </c>
      <c r="R27" s="620">
        <f t="array" ref="R27">IFERROR(INDEX(Analytica!$F$59:$AY$138,MATCH($B27,Analytica!$B$59:$B$168,0),MATCH(R$15&amp;R$10,Analytica!$F$58:$AY$58&amp;Analytica!$F$51:'Analytica'!$AY$51,0)),"")</f>
        <v>248.54977442435177</v>
      </c>
      <c r="S27" s="620">
        <f t="array" ref="S27">IFERROR(INDEX(Analytica!$F$59:$AY$138,MATCH($B27,Analytica!$B$59:$B$168,0),MATCH(S$15&amp;S$10,Analytica!$F$58:$AY$58&amp;Analytica!$F$51:'Analytica'!$AY$51,0)),"")</f>
        <v>251.27334974387253</v>
      </c>
      <c r="T27" s="620">
        <f t="array" ref="T27">IFERROR(INDEX(Analytica!$F$59:$AY$138,MATCH($B27,Analytica!$B$59:$B$168,0),MATCH(T$15&amp;T$10,Analytica!$F$58:$AY$58&amp;Analytica!$F$51:'Analytica'!$AY$51,0)),"")</f>
        <v>253.99692506339329</v>
      </c>
      <c r="U27" s="620">
        <f t="array" ref="U27">IFERROR(INDEX(Analytica!$F$59:$AY$138,MATCH($B27,Analytica!$B$59:$B$168,0),MATCH(U$15&amp;U$10,Analytica!$F$58:$AY$58&amp;Analytica!$F$51:'Analytica'!$AY$51,0)),"")</f>
        <v>257.17260066817499</v>
      </c>
      <c r="V27" s="620">
        <f t="array" ref="V27">IFERROR(INDEX(Analytica!$F$59:$AY$138,MATCH($B27,Analytica!$B$59:$B$168,0),MATCH(V$15&amp;V$10,Analytica!$F$58:$AY$58&amp;Analytica!$F$51:'Analytica'!$AY$51,0)),"")</f>
        <v>9.7347132996824275</v>
      </c>
      <c r="W27" s="620">
        <f t="array" ref="W27">IFERROR(INDEX(Analytica!$F$59:$AY$138,MATCH($B27,Analytica!$B$59:$B$168,0),MATCH(W$15&amp;W$10,Analytica!$F$58:$AY$58&amp;Analytica!$F$51:'Analytica'!$AY$51,0)),"")</f>
        <v>6.7108439094574974</v>
      </c>
      <c r="X27" s="620">
        <f t="array" ref="X27">IFERROR(INDEX(Analytica!$F$59:$AY$138,MATCH($B27,Analytica!$B$59:$B$168,0),MATCH(X$15&amp;X$10,Analytica!$F$58:$AY$58&amp;Analytica!$F$51:'Analytica'!$AY$51,0)),"")</f>
        <v>6.8579169767116186</v>
      </c>
      <c r="Y27" s="620">
        <f t="array" ref="Y27">IFERROR(INDEX(Analytica!$F$59:$AY$138,MATCH($B27,Analytica!$B$59:$B$168,0),MATCH(Y$15&amp;Y$10,Analytica!$F$58:$AY$58&amp;Analytica!$F$51:'Analytica'!$AY$51,0)),"")</f>
        <v>6.9436602180407245</v>
      </c>
      <c r="Z27" s="694">
        <v>23</v>
      </c>
      <c r="AA27" s="694">
        <f t="shared" si="4"/>
        <v>23</v>
      </c>
      <c r="AB27" s="694">
        <f t="shared" si="24"/>
        <v>2018</v>
      </c>
      <c r="AC27" s="1">
        <f t="shared" ca="1" si="5"/>
        <v>10</v>
      </c>
      <c r="AE27" s="1" t="str">
        <f t="shared" si="6"/>
        <v>S_TPPRCAR</v>
      </c>
      <c r="AF27" s="1" t="str">
        <f t="shared" ref="AF27:AF34" si="26">IF(B27="","","S_"&amp;LEFT(B27,LEN(B27)-2))</f>
        <v>S_TPPRCARODS</v>
      </c>
      <c r="AG27" s="1" t="str">
        <f t="shared" ref="AG27:AG34" si="27">B27&amp;"_L"</f>
        <v>TPPRCARODS-N_L</v>
      </c>
      <c r="AH27" s="1" t="str">
        <f t="shared" ref="AH27:AH34" si="28">B27&amp;"_U"</f>
        <v>TPPRCARODS-N_U</v>
      </c>
      <c r="AI27" s="194">
        <v>0</v>
      </c>
      <c r="AJ27" s="699">
        <f>SUMIF(Analytica!$B$59:$B$137,B27,Analytica!$BA$59:$BA$192)</f>
        <v>5.950319541892235E-2</v>
      </c>
      <c r="AK27" s="715">
        <f>AJ27</f>
        <v>5.950319541892235E-2</v>
      </c>
      <c r="AL27" s="715">
        <f>AK27</f>
        <v>5.950319541892235E-2</v>
      </c>
      <c r="AM27" s="715">
        <f>AL27</f>
        <v>5.950319541892235E-2</v>
      </c>
      <c r="AN27" s="715">
        <f>AM27</f>
        <v>5.950319541892235E-2</v>
      </c>
      <c r="AO27" s="715">
        <f>AN27</f>
        <v>5.950319541892235E-2</v>
      </c>
      <c r="AP27" s="194">
        <v>1</v>
      </c>
      <c r="AQ27" s="720">
        <f t="shared" ref="AQ27:AQ34" si="29">AJ27</f>
        <v>5.950319541892235E-2</v>
      </c>
      <c r="AR27" s="719" t="e">
        <f>IF($AP$10,BR27,#REF!)</f>
        <v>#REF!</v>
      </c>
      <c r="AS27" s="719" t="e">
        <f t="shared" ref="AS27:AV34" si="30">IF($AP$10,BS27,BE27)</f>
        <v>#REF!</v>
      </c>
      <c r="AT27" s="719">
        <f t="shared" si="30"/>
        <v>2.9751597709461175E-2</v>
      </c>
      <c r="AU27" s="719">
        <f t="shared" si="30"/>
        <v>0</v>
      </c>
      <c r="AV27" s="719">
        <f t="shared" si="30"/>
        <v>0</v>
      </c>
      <c r="AX27" s="698">
        <f t="shared" ref="AX27:AX33" si="31">$AJ27</f>
        <v>5.950319541892235E-2</v>
      </c>
      <c r="AY27" s="697" t="e">
        <f>IF(#REF!&lt;&gt;"",(AY$11-#REF!)/(BA$11-#REF!)*(BA27-#REF!)+#REF!,"")</f>
        <v>#REF!</v>
      </c>
      <c r="AZ27" s="697" t="e">
        <f t="shared" si="12"/>
        <v>#REF!</v>
      </c>
      <c r="BA27" s="697">
        <f t="shared" si="13"/>
        <v>1</v>
      </c>
      <c r="BB27" s="697">
        <f t="shared" si="13"/>
        <v>1</v>
      </c>
      <c r="BC27" s="711"/>
      <c r="BD27" s="697">
        <f t="shared" si="14"/>
        <v>5.950319541892235E-2</v>
      </c>
      <c r="BE27" s="697" t="e">
        <f>IF(#REF!&lt;&gt;"",(BE$11-#REF!)/(BG$11-#REF!)*(BG27-#REF!)+#REF!,"")</f>
        <v>#REF!</v>
      </c>
      <c r="BF27" s="697">
        <f t="shared" si="15"/>
        <v>2.9751597709461175E-2</v>
      </c>
      <c r="BG27" s="697">
        <f t="shared" si="15"/>
        <v>0</v>
      </c>
      <c r="BH27" s="697">
        <f t="shared" si="15"/>
        <v>0</v>
      </c>
      <c r="BI27" s="692"/>
      <c r="BJ27" s="693">
        <f t="shared" ref="BJ27:BJ33" si="32">$AJ27</f>
        <v>5.950319541892235E-2</v>
      </c>
      <c r="BK27" s="697">
        <v>0.1</v>
      </c>
      <c r="BL27" s="697" t="e">
        <f t="shared" si="25"/>
        <v>#REF!</v>
      </c>
      <c r="BM27" s="697" t="e">
        <f t="shared" ref="BM27:BM34" si="33">BL27+(BM$11-BL$11)/(BN$11-BL$11)*(BN27-BL27)</f>
        <v>#REF!</v>
      </c>
      <c r="BN27" s="697">
        <v>0.3</v>
      </c>
      <c r="BO27" s="697">
        <v>0.4</v>
      </c>
      <c r="BP27" s="194"/>
      <c r="BQ27" s="650">
        <f t="shared" ref="BQ27:BQ34" si="34">AJ27</f>
        <v>5.950319541892235E-2</v>
      </c>
      <c r="BR27" s="697">
        <v>7.5999999999999998E-2</v>
      </c>
      <c r="BS27" s="697" t="e">
        <f>IF(BR27&lt;&gt;"",(BS$11-BR$11)/(BU$11-BR$11)*(BU27-BR27)+BR27,"")</f>
        <v>#REF!</v>
      </c>
      <c r="BT27" s="697" t="e">
        <f t="shared" ref="BT27:BT34" si="35">BS27+(BT$11-BS$11)/(BU$11-BS$11)*(BU27-BS27)</f>
        <v>#REF!</v>
      </c>
      <c r="BU27" s="722">
        <v>0.1</v>
      </c>
      <c r="BV27" s="722">
        <v>0.12</v>
      </c>
      <c r="BW27" s="692"/>
      <c r="BX27" s="1" t="str">
        <f t="shared" ref="BX27:BX34" si="36">B27</f>
        <v>TPPRCARODS-N</v>
      </c>
      <c r="BY27" s="1" t="str">
        <f t="shared" ca="1" si="21"/>
        <v>-	S_TPPRCARODS	1	TPPRCARODS-N Set	1	10/03/2023 17:53:59	null	((tblITEMS.Item Like "TPPRCARODS-N*"))	null	null	null	null	null	null	null</v>
      </c>
      <c r="BZ27" s="1" t="str">
        <f t="shared" si="22"/>
        <v>-	S_TPPRCARODS	1	1	True	Like "TPPRCARODS-N*"</v>
      </c>
      <c r="CI27" s="1">
        <f>SUMIF($CI$10:$CI$11,RIGHT(C27,3),$CJ$10:$CJ$11)</f>
        <v>38.1</v>
      </c>
      <c r="CJ27" s="1">
        <v>10</v>
      </c>
      <c r="CK27" s="625">
        <f>CJ27/CI27</f>
        <v>0.26246719160104987</v>
      </c>
      <c r="CL27" s="625" t="e">
        <f>#REF!</f>
        <v>#REF!</v>
      </c>
      <c r="CM27" s="625" t="e">
        <f>CK27/#REF!</f>
        <v>#REF!</v>
      </c>
      <c r="CN27" s="2" t="e">
        <f>#REF!*1000</f>
        <v>#REF!</v>
      </c>
      <c r="CO27" s="2">
        <f t="shared" ref="CO27:CO34" si="37">O27*1000000</f>
        <v>22500</v>
      </c>
      <c r="CP27" s="9" t="e">
        <f t="shared" ref="CP27:CP34" si="38">-PMT($CL$14,Z27,CN27)/CO27</f>
        <v>#REF!</v>
      </c>
      <c r="CQ27" s="9" t="e">
        <f t="shared" ref="CQ27:CQ34" si="39">CP27+CM27</f>
        <v>#REF!</v>
      </c>
      <c r="CS27" s="721"/>
      <c r="CT27" s="721"/>
    </row>
    <row r="28" spans="1:98" x14ac:dyDescent="0.2">
      <c r="A28" s="191" t="str">
        <f>ITEMS_nTech!C19</f>
        <v>Transport Passenger Car Priv.Veh. Oil Gasoline-N</v>
      </c>
      <c r="B28" s="191" t="str">
        <f>D28&amp;RIGHT(C28,3)&amp;"-N"</f>
        <v>TPPRCAROGS-N</v>
      </c>
      <c r="C28" s="612" t="str">
        <f>$G$6</f>
        <v>TRAOGS</v>
      </c>
      <c r="D28" s="612" t="str">
        <f>TRP!$B$22</f>
        <v>TPPRCAR</v>
      </c>
      <c r="E28" s="702">
        <f t="array" ref="E28">IFERROR(INDEX(Analytica!$F$59:$AY$138,MATCH($B28,Analytica!$B$59:$B$168,0),MATCH(E$15&amp;E$10,Analytica!$F$58:$AY$58&amp;Analytica!$F$51:'Analytica'!$AY$51,0)),"")</f>
        <v>0.36226864396574021</v>
      </c>
      <c r="F28" s="702">
        <f t="array" ref="F28">IFERROR(INDEX(Analytica!$F$59:$AY$138,MATCH($B28,Analytica!$B$59:$B$168,0),MATCH(F$15&amp;F$10,Analytica!$F$58:$AY$58&amp;Analytica!$F$51:'Analytica'!$AY$51,0)),"")</f>
        <v>0.39059402104013624</v>
      </c>
      <c r="G28" s="702">
        <f t="array" ref="G28">IFERROR(INDEX(Analytica!$F$59:$AY$138,MATCH($B28,Analytica!$B$59:$B$168,0),MATCH(G$15&amp;G$10,Analytica!$F$58:$AY$58&amp;Analytica!$F$51:'Analytica'!$AY$51,0)),"")</f>
        <v>0.43189049388924888</v>
      </c>
      <c r="H28" s="702">
        <f t="array" ref="H28">IFERROR(INDEX(Analytica!$F$59:$AY$138,MATCH($B28,Analytica!$B$59:$B$168,0),MATCH(H$15&amp;H$10,Analytica!$F$58:$AY$58&amp;Analytica!$F$51:'Analytica'!$AY$51,0)),"")</f>
        <v>0.47755313359682011</v>
      </c>
      <c r="I28" s="701">
        <v>1</v>
      </c>
      <c r="J28" s="701">
        <v>1</v>
      </c>
      <c r="K28" s="701">
        <v>1</v>
      </c>
      <c r="L28" s="701">
        <v>1</v>
      </c>
      <c r="M28" s="701">
        <v>1</v>
      </c>
      <c r="N28" s="696">
        <f>IF(B28="","",MAX(N$18:N27)+1)</f>
        <v>10</v>
      </c>
      <c r="O28" s="702">
        <f t="array" ref="O28">IFERROR(INDEX(Analytica!$F$59:$AY$138,MATCH($B28,Analytica!$B$59:$B$168,0),MATCH(O$15&amp;O$10,Analytica!$F$58:$AY$58&amp;Analytica!$F$51:'Analytica'!$AY$51,0)),"")</f>
        <v>1.9099999999999999E-2</v>
      </c>
      <c r="P28" s="620">
        <f t="array" ref="P28">IFERROR(INDEX(Analytica!$F$59:$AY$138,MATCH($B28,Analytica!$B$59:$B$168,0),MATCH(P$15&amp;P$10,Analytica!$F$58:$AY$58&amp;Analytica!$F$51:'Analytica'!$AY$51,0)),"")</f>
        <v>240.3632913501834</v>
      </c>
      <c r="Q28" s="620">
        <f t="array" ref="Q28">IFERROR(INDEX(Analytica!$F$59:$AY$138,MATCH($B28,Analytica!$B$59:$B$168,0),MATCH(Q$15&amp;Q$10,Analytica!$F$58:$AY$58&amp;Analytica!$F$51:'Analytica'!$AY$51,0)),"")</f>
        <v>244.4565328872676</v>
      </c>
      <c r="R28" s="620">
        <f t="array" ref="R28">IFERROR(INDEX(Analytica!$F$59:$AY$138,MATCH($B28,Analytica!$B$59:$B$168,0),MATCH(R$15&amp;R$10,Analytica!$F$58:$AY$58&amp;Analytica!$F$51:'Analytica'!$AY$51,0)),"")</f>
        <v>248.54977442435177</v>
      </c>
      <c r="S28" s="620">
        <f t="array" ref="S28">IFERROR(INDEX(Analytica!$F$59:$AY$138,MATCH($B28,Analytica!$B$59:$B$168,0),MATCH(S$15&amp;S$10,Analytica!$F$58:$AY$58&amp;Analytica!$F$51:'Analytica'!$AY$51,0)),"")</f>
        <v>251.27334974387253</v>
      </c>
      <c r="T28" s="620">
        <f t="array" ref="T28">IFERROR(INDEX(Analytica!$F$59:$AY$138,MATCH($B28,Analytica!$B$59:$B$168,0),MATCH(T$15&amp;T$10,Analytica!$F$58:$AY$58&amp;Analytica!$F$51:'Analytica'!$AY$51,0)),"")</f>
        <v>253.99692506339329</v>
      </c>
      <c r="U28" s="620">
        <f t="array" ref="U28">IFERROR(INDEX(Analytica!$F$59:$AY$138,MATCH($B28,Analytica!$B$59:$B$168,0),MATCH(U$15&amp;U$10,Analytica!$F$58:$AY$58&amp;Analytica!$F$51:'Analytica'!$AY$51,0)),"")</f>
        <v>257.17260066817499</v>
      </c>
      <c r="V28" s="620">
        <f t="array" ref="V28">IFERROR(INDEX(Analytica!$F$59:$AY$138,MATCH($B28,Analytica!$B$59:$B$168,0),MATCH(V$15&amp;V$10,Analytica!$F$58:$AY$58&amp;Analytica!$F$51:'Analytica'!$AY$51,0)),"")</f>
        <v>6.4898088664549514</v>
      </c>
      <c r="W28" s="620">
        <f t="array" ref="W28">IFERROR(INDEX(Analytica!$F$59:$AY$138,MATCH($B28,Analytica!$B$59:$B$168,0),MATCH(W$15&amp;W$10,Analytica!$F$58:$AY$58&amp;Analytica!$F$51:'Analytica'!$AY$51,0)),"")</f>
        <v>6.7108439094574974</v>
      </c>
      <c r="X28" s="620">
        <f t="array" ref="X28">IFERROR(INDEX(Analytica!$F$59:$AY$138,MATCH($B28,Analytica!$B$59:$B$168,0),MATCH(X$15&amp;X$10,Analytica!$F$58:$AY$58&amp;Analytica!$F$51:'Analytica'!$AY$51,0)),"")</f>
        <v>6.8579169767116186</v>
      </c>
      <c r="Y28" s="620">
        <f t="array" ref="Y28">IFERROR(INDEX(Analytica!$F$59:$AY$138,MATCH($B28,Analytica!$B$59:$B$168,0),MATCH(Y$15&amp;Y$10,Analytica!$F$58:$AY$58&amp;Analytica!$F$51:'Analytica'!$AY$51,0)),"")</f>
        <v>6.9436602180407245</v>
      </c>
      <c r="Z28" s="694">
        <f>Z27</f>
        <v>23</v>
      </c>
      <c r="AA28" s="694">
        <f t="shared" si="4"/>
        <v>23</v>
      </c>
      <c r="AB28" s="694">
        <f t="shared" si="24"/>
        <v>2018</v>
      </c>
      <c r="AC28" s="1">
        <f t="shared" ca="1" si="5"/>
        <v>11</v>
      </c>
      <c r="AE28" s="1" t="str">
        <f t="shared" si="6"/>
        <v>S_TPPRCAR</v>
      </c>
      <c r="AF28" s="1" t="str">
        <f t="shared" si="26"/>
        <v>S_TPPRCAROGS</v>
      </c>
      <c r="AG28" s="1" t="str">
        <f t="shared" si="27"/>
        <v>TPPRCAROGS-N_L</v>
      </c>
      <c r="AH28" s="1" t="str">
        <f t="shared" si="28"/>
        <v>TPPRCAROGS-N_U</v>
      </c>
      <c r="AI28" s="194">
        <v>0</v>
      </c>
      <c r="AJ28" s="699">
        <f>SUMIF(Analytica!$B$59:$B$137,B28,Analytica!$BA$59:$BA$192)</f>
        <v>0.93935153516915204</v>
      </c>
      <c r="AK28" s="697" t="e">
        <f>IF($AP$10,BK28,#REF!)</f>
        <v>#REF!</v>
      </c>
      <c r="AL28" s="697" t="e">
        <f t="shared" ref="AL28:AO34" si="40">IF($AP$10,BL28,AY28)</f>
        <v>#REF!</v>
      </c>
      <c r="AM28" s="697" t="e">
        <f t="shared" si="40"/>
        <v>#REF!</v>
      </c>
      <c r="AN28" s="697">
        <f t="shared" si="40"/>
        <v>1</v>
      </c>
      <c r="AO28" s="697">
        <f t="shared" si="40"/>
        <v>1</v>
      </c>
      <c r="AP28" s="194">
        <v>1</v>
      </c>
      <c r="AQ28" s="720">
        <f t="shared" si="29"/>
        <v>0.93935153516915204</v>
      </c>
      <c r="AR28" s="719" t="e">
        <f>IF($AP$10,BR28,#REF!)</f>
        <v>#REF!</v>
      </c>
      <c r="AS28" s="719" t="e">
        <f t="shared" si="30"/>
        <v>#REF!</v>
      </c>
      <c r="AT28" s="719">
        <f t="shared" si="30"/>
        <v>0.46967576758457602</v>
      </c>
      <c r="AU28" s="719">
        <f t="shared" si="30"/>
        <v>0</v>
      </c>
      <c r="AV28" s="719">
        <f t="shared" si="30"/>
        <v>0</v>
      </c>
      <c r="AX28" s="698">
        <f t="shared" si="31"/>
        <v>0.93935153516915204</v>
      </c>
      <c r="AY28" s="697" t="e">
        <f>IF(#REF!&lt;&gt;"",(AY$11-#REF!)/(BA$11-#REF!)*(BA28-#REF!)+#REF!,"")</f>
        <v>#REF!</v>
      </c>
      <c r="AZ28" s="697" t="e">
        <f t="shared" si="12"/>
        <v>#REF!</v>
      </c>
      <c r="BA28" s="697">
        <f t="shared" si="13"/>
        <v>1</v>
      </c>
      <c r="BB28" s="697">
        <f t="shared" si="13"/>
        <v>1</v>
      </c>
      <c r="BC28" s="711"/>
      <c r="BD28" s="697">
        <f t="shared" si="14"/>
        <v>0.93935153516915204</v>
      </c>
      <c r="BE28" s="697" t="e">
        <f>IF(#REF!&lt;&gt;"",(BE$11-#REF!)/(BG$11-#REF!)*(BG28-#REF!)+#REF!,"")</f>
        <v>#REF!</v>
      </c>
      <c r="BF28" s="697">
        <f t="shared" si="15"/>
        <v>0.46967576758457602</v>
      </c>
      <c r="BG28" s="697">
        <f t="shared" si="15"/>
        <v>0</v>
      </c>
      <c r="BH28" s="697">
        <f t="shared" si="15"/>
        <v>0</v>
      </c>
      <c r="BI28" s="692"/>
      <c r="BJ28" s="693">
        <f t="shared" si="32"/>
        <v>0.93935153516915204</v>
      </c>
      <c r="BK28" s="697">
        <v>1</v>
      </c>
      <c r="BL28" s="697" t="e">
        <f t="shared" si="25"/>
        <v>#REF!</v>
      </c>
      <c r="BM28" s="697" t="e">
        <f t="shared" si="33"/>
        <v>#REF!</v>
      </c>
      <c r="BN28" s="697">
        <v>0.55000000000000004</v>
      </c>
      <c r="BO28" s="697">
        <v>0.1</v>
      </c>
      <c r="BP28" s="194"/>
      <c r="BQ28" s="650">
        <f t="shared" si="34"/>
        <v>0.93935153516915204</v>
      </c>
      <c r="BR28" s="697">
        <v>0.8</v>
      </c>
      <c r="BS28" s="697">
        <v>0.6</v>
      </c>
      <c r="BT28" s="697">
        <f t="shared" si="35"/>
        <v>0.5</v>
      </c>
      <c r="BU28" s="697">
        <v>0.4</v>
      </c>
      <c r="BV28" s="697">
        <v>0.05</v>
      </c>
      <c r="BW28" s="692"/>
      <c r="BX28" s="1" t="str">
        <f t="shared" si="36"/>
        <v>TPPRCAROGS-N</v>
      </c>
      <c r="BY28" s="1" t="str">
        <f t="shared" ca="1" si="21"/>
        <v>-	S_TPPRCAROGS	1	TPPRCAROGS-N Set	1	10/03/2023 17:53:59	null	((tblITEMS.Item Like "TPPRCAROGS-N*"))	null	null	null	null	null	null	null</v>
      </c>
      <c r="BZ28" s="1" t="str">
        <f t="shared" si="22"/>
        <v>-	S_TPPRCAROGS	1	1	True	Like "TPPRCAROGS-N*"</v>
      </c>
      <c r="CI28" s="1">
        <f>SUMIF($CI$10:$CI$11,RIGHT(C28,3),$CJ$10:$CJ$11)</f>
        <v>34.200000000000003</v>
      </c>
      <c r="CJ28" s="1">
        <v>10</v>
      </c>
      <c r="CK28" s="625">
        <f>CJ28/CI28</f>
        <v>0.29239766081871343</v>
      </c>
      <c r="CL28" s="625" t="e">
        <f>#REF!</f>
        <v>#REF!</v>
      </c>
      <c r="CM28" s="625" t="e">
        <f>CK28/#REF!</f>
        <v>#REF!</v>
      </c>
      <c r="CN28" s="2" t="e">
        <f>#REF!*1000</f>
        <v>#REF!</v>
      </c>
      <c r="CO28" s="2">
        <f t="shared" si="37"/>
        <v>19100</v>
      </c>
      <c r="CP28" s="9" t="e">
        <f t="shared" si="38"/>
        <v>#REF!</v>
      </c>
      <c r="CQ28" s="9" t="e">
        <f t="shared" si="39"/>
        <v>#REF!</v>
      </c>
    </row>
    <row r="29" spans="1:98" ht="15" x14ac:dyDescent="0.25">
      <c r="A29" s="191" t="str">
        <f>ITEMS_nTech!C20</f>
        <v>Transport Passenger Car Priv.Veh. Oil Diesel Hybrid-N</v>
      </c>
      <c r="B29" s="191" t="str">
        <f>D29&amp;RIGHT(C29,3)&amp;"H-N"</f>
        <v>TPPRCARODSH-N</v>
      </c>
      <c r="C29" s="612" t="str">
        <f>$D$6</f>
        <v>TRAODS</v>
      </c>
      <c r="D29" s="612" t="str">
        <f>TRP!$B$22</f>
        <v>TPPRCAR</v>
      </c>
      <c r="E29" s="702">
        <f t="array" ref="E29">IFERROR(INDEX(Analytica!$F$59:$AY$138,MATCH($B29,Analytica!$B$59:$B$168,0),MATCH(E$15&amp;E$10,Analytica!$F$58:$AY$58&amp;Analytica!$F$51:'Analytica'!$AY$51,0)),"")</f>
        <v>0.56781069109610705</v>
      </c>
      <c r="F29" s="702">
        <f t="array" ref="F29">IFERROR(INDEX(Analytica!$F$59:$AY$138,MATCH($B29,Analytica!$B$59:$B$168,0),MATCH(F$15&amp;F$10,Analytica!$F$58:$AY$58&amp;Analytica!$F$51:'Analytica'!$AY$51,0)),"")</f>
        <v>0.61220716923483232</v>
      </c>
      <c r="G29" s="702">
        <f t="array" ref="G29">IFERROR(INDEX(Analytica!$F$59:$AY$138,MATCH($B29,Analytica!$B$59:$B$168,0),MATCH(G$15&amp;G$10,Analytica!$F$58:$AY$58&amp;Analytica!$F$51:'Analytica'!$AY$51,0)),"")</f>
        <v>0.67693421414712618</v>
      </c>
      <c r="H29" s="702">
        <f t="array" ref="H29">IFERROR(INDEX(Analytica!$F$59:$AY$138,MATCH($B29,Analytica!$B$59:$B$168,0),MATCH(H$15&amp;H$10,Analytica!$F$58:$AY$58&amp;Analytica!$F$51:'Analytica'!$AY$51,0)),"")</f>
        <v>0.74850467833579759</v>
      </c>
      <c r="I29" s="701">
        <v>1</v>
      </c>
      <c r="J29" s="701">
        <v>1</v>
      </c>
      <c r="K29" s="701">
        <v>1</v>
      </c>
      <c r="L29" s="701">
        <v>1</v>
      </c>
      <c r="M29" s="701">
        <v>1</v>
      </c>
      <c r="N29" s="696">
        <f>IF(B29="","",MAX(N$18:N28)+1)</f>
        <v>11</v>
      </c>
      <c r="O29" s="702">
        <f t="array" ref="O29">IFERROR(INDEX(Analytica!$F$59:$AY$138,MATCH($B29,Analytica!$B$59:$B$168,0),MATCH(O$15&amp;O$10,Analytica!$F$58:$AY$58&amp;Analytica!$F$51:'Analytica'!$AY$51,0)),"")</f>
        <v>2.2499999999999999E-2</v>
      </c>
      <c r="P29" s="620">
        <f t="array" ref="P29">IFERROR(INDEX(Analytica!$F$59:$AY$138,MATCH($B29,Analytica!$B$59:$B$168,0),MATCH(P$15&amp;P$10,Analytica!$F$58:$AY$58&amp;Analytica!$F$51:'Analytica'!$AY$51,0)),"")</f>
        <v>660.65307425353603</v>
      </c>
      <c r="Q29" s="620">
        <f t="array" ref="Q29">IFERROR(INDEX(Analytica!$F$59:$AY$138,MATCH($B29,Analytica!$B$59:$B$168,0),MATCH(Q$15&amp;Q$10,Analytica!$F$58:$AY$58&amp;Analytica!$F$51:'Analytica'!$AY$51,0)),"")</f>
        <v>655.42385807417963</v>
      </c>
      <c r="R29" s="620">
        <f t="array" ref="R29">IFERROR(INDEX(Analytica!$F$59:$AY$138,MATCH($B29,Analytica!$B$59:$B$168,0),MATCH(R$15&amp;R$10,Analytica!$F$58:$AY$58&amp;Analytica!$F$51:'Analytica'!$AY$51,0)),"")</f>
        <v>650.19464189482301</v>
      </c>
      <c r="S29" s="620">
        <f t="array" ref="S29">IFERROR(INDEX(Analytica!$F$59:$AY$138,MATCH($B29,Analytica!$B$59:$B$168,0),MATCH(S$15&amp;S$10,Analytica!$F$58:$AY$58&amp;Analytica!$F$51:'Analytica'!$AY$51,0)),"")</f>
        <v>251.27334974387253</v>
      </c>
      <c r="T29" s="620">
        <f t="array" ref="T29">IFERROR(INDEX(Analytica!$F$59:$AY$138,MATCH($B29,Analytica!$B$59:$B$168,0),MATCH(T$15&amp;T$10,Analytica!$F$58:$AY$58&amp;Analytica!$F$51:'Analytica'!$AY$51,0)),"")</f>
        <v>253.99692506339329</v>
      </c>
      <c r="U29" s="620">
        <f t="array" ref="U29">IFERROR(INDEX(Analytica!$F$59:$AY$138,MATCH($B29,Analytica!$B$59:$B$168,0),MATCH(U$15&amp;U$10,Analytica!$F$58:$AY$58&amp;Analytica!$F$51:'Analytica'!$AY$51,0)),"")</f>
        <v>257.17260066817499</v>
      </c>
      <c r="V29" s="620">
        <f t="array" ref="V29">IFERROR(INDEX(Analytica!$F$59:$AY$138,MATCH($B29,Analytica!$B$59:$B$168,0),MATCH(V$15&amp;V$10,Analytica!$F$58:$AY$58&amp;Analytica!$F$51:'Analytica'!$AY$51,0)),"")</f>
        <v>17.837633004845472</v>
      </c>
      <c r="W29" s="620">
        <f t="array" ref="W29">IFERROR(INDEX(Analytica!$F$59:$AY$138,MATCH($B29,Analytica!$B$59:$B$168,0),MATCH(W$15&amp;W$10,Analytica!$F$58:$AY$58&amp;Analytica!$F$51:'Analytica'!$AY$51,0)),"")</f>
        <v>17.555255331160222</v>
      </c>
      <c r="X29" s="620">
        <f t="array" ref="X29">IFERROR(INDEX(Analytica!$F$59:$AY$138,MATCH($B29,Analytica!$B$59:$B$168,0),MATCH(X$15&amp;X$10,Analytica!$F$58:$AY$58&amp;Analytica!$F$51:'Analytica'!$AY$51,0)),"")</f>
        <v>6.8579169767116186</v>
      </c>
      <c r="Y29" s="620">
        <f t="array" ref="Y29">IFERROR(INDEX(Analytica!$F$59:$AY$138,MATCH($B29,Analytica!$B$59:$B$168,0),MATCH(Y$15&amp;Y$10,Analytica!$F$58:$AY$58&amp;Analytica!$F$51:'Analytica'!$AY$51,0)),"")</f>
        <v>6.9436602180407245</v>
      </c>
      <c r="Z29" s="694">
        <f t="shared" ref="Z29:Z34" si="41">Z27</f>
        <v>23</v>
      </c>
      <c r="AA29" s="694">
        <f t="shared" si="4"/>
        <v>23</v>
      </c>
      <c r="AB29" s="706">
        <v>2080</v>
      </c>
      <c r="AC29" s="1">
        <f t="shared" ca="1" si="5"/>
        <v>12</v>
      </c>
      <c r="AD29" s="1">
        <v>1</v>
      </c>
      <c r="AE29" s="1" t="str">
        <f t="shared" si="6"/>
        <v>S_TPPRCAR</v>
      </c>
      <c r="AF29" s="1" t="str">
        <f t="shared" si="26"/>
        <v>S_TPPRCARODSH</v>
      </c>
      <c r="AG29" s="1" t="str">
        <f t="shared" si="27"/>
        <v>TPPRCARODSH-N_L</v>
      </c>
      <c r="AH29" s="1" t="str">
        <f t="shared" si="28"/>
        <v>TPPRCARODSH-N_U</v>
      </c>
      <c r="AI29" s="194">
        <v>0</v>
      </c>
      <c r="AJ29" s="699">
        <f>SUMIF(Analytica!$B$59:$B$137,B29,Analytica!$BA$59:$BA$192)</f>
        <v>0</v>
      </c>
      <c r="AK29" s="697" t="e">
        <f>IF($AP$10,BK29,#REF!)</f>
        <v>#REF!</v>
      </c>
      <c r="AL29" s="697" t="e">
        <f t="shared" si="40"/>
        <v>#REF!</v>
      </c>
      <c r="AM29" s="697" t="e">
        <f t="shared" si="40"/>
        <v>#REF!</v>
      </c>
      <c r="AN29" s="697">
        <f t="shared" si="40"/>
        <v>1</v>
      </c>
      <c r="AO29" s="697">
        <f t="shared" si="40"/>
        <v>1</v>
      </c>
      <c r="AP29" s="194">
        <v>1</v>
      </c>
      <c r="AQ29" s="650">
        <f t="shared" si="29"/>
        <v>0</v>
      </c>
      <c r="AR29" s="697" t="e">
        <f>IF($AP$10,BR29,#REF!)</f>
        <v>#REF!</v>
      </c>
      <c r="AS29" s="697" t="e">
        <f t="shared" si="30"/>
        <v>#REF!</v>
      </c>
      <c r="AT29" s="697">
        <f t="shared" si="30"/>
        <v>0</v>
      </c>
      <c r="AU29" s="697">
        <f t="shared" si="30"/>
        <v>0</v>
      </c>
      <c r="AV29" s="697">
        <f t="shared" si="30"/>
        <v>0</v>
      </c>
      <c r="AX29" s="698">
        <f t="shared" si="31"/>
        <v>0</v>
      </c>
      <c r="AY29" s="697" t="e">
        <f>IF(#REF!&lt;&gt;"",(AY$11-#REF!)/(BA$11-#REF!)*(BA29-#REF!)+#REF!,"")</f>
        <v>#REF!</v>
      </c>
      <c r="AZ29" s="697" t="e">
        <f t="shared" si="12"/>
        <v>#REF!</v>
      </c>
      <c r="BA29" s="697">
        <f t="shared" si="13"/>
        <v>1</v>
      </c>
      <c r="BB29" s="697">
        <f t="shared" si="13"/>
        <v>1</v>
      </c>
      <c r="BC29" s="711"/>
      <c r="BD29" s="697">
        <f t="shared" si="14"/>
        <v>0</v>
      </c>
      <c r="BE29" s="697" t="e">
        <f>IF(#REF!&lt;&gt;"",(BE$11-#REF!)/(BG$11-#REF!)*(BG29-#REF!)+#REF!,"")</f>
        <v>#REF!</v>
      </c>
      <c r="BF29" s="697">
        <f t="shared" si="15"/>
        <v>0</v>
      </c>
      <c r="BG29" s="697">
        <f t="shared" si="15"/>
        <v>0</v>
      </c>
      <c r="BH29" s="697">
        <f t="shared" si="15"/>
        <v>0</v>
      </c>
      <c r="BI29" s="692"/>
      <c r="BJ29" s="693">
        <f t="shared" si="32"/>
        <v>0</v>
      </c>
      <c r="BK29" s="697">
        <v>0</v>
      </c>
      <c r="BL29" s="697" t="e">
        <f t="shared" si="25"/>
        <v>#REF!</v>
      </c>
      <c r="BM29" s="697" t="e">
        <f t="shared" si="33"/>
        <v>#REF!</v>
      </c>
      <c r="BN29" s="697">
        <v>0.22</v>
      </c>
      <c r="BO29" s="697">
        <v>0.4</v>
      </c>
      <c r="BP29" s="194"/>
      <c r="BQ29" s="650">
        <f t="shared" si="34"/>
        <v>0</v>
      </c>
      <c r="BR29" s="697">
        <v>0</v>
      </c>
      <c r="BS29" s="697" t="e">
        <f>IF(BR29&lt;&gt;"",(BS$11-BR$11)/(BU$11-BR$11)*(BU29-BR29)+BR29,"")</f>
        <v>#REF!</v>
      </c>
      <c r="BT29" s="697" t="e">
        <f t="shared" si="35"/>
        <v>#REF!</v>
      </c>
      <c r="BU29" s="715">
        <v>0.02</v>
      </c>
      <c r="BV29" s="715">
        <v>0.04</v>
      </c>
      <c r="BW29" s="692"/>
      <c r="BX29" s="1" t="str">
        <f t="shared" si="36"/>
        <v>TPPRCARODSH-N</v>
      </c>
      <c r="BY29" s="1" t="str">
        <f t="shared" ca="1" si="21"/>
        <v>-	S_TPPRCARODSH	1	TPPRCARODSH-N Set	1	10/03/2023 17:53:59	null	((tblITEMS.Item Like "TPPRCARODSH-N*"))	null	null	null	null	null	null	null</v>
      </c>
      <c r="BZ29" s="1" t="str">
        <f t="shared" si="22"/>
        <v>-	S_TPPRCARODSH	1	1	True	Like "TPPRCARODSH-N*"</v>
      </c>
      <c r="CI29" s="1">
        <f>SUMIF($CI$10:$CI$11,RIGHT(C29,3),$CJ$10:$CJ$11)</f>
        <v>38.1</v>
      </c>
      <c r="CJ29" s="1">
        <v>10</v>
      </c>
      <c r="CK29" s="625">
        <f>CJ29/CI29</f>
        <v>0.26246719160104987</v>
      </c>
      <c r="CL29" s="625" t="e">
        <f>#REF!</f>
        <v>#REF!</v>
      </c>
      <c r="CM29" s="625" t="e">
        <f>CK29/#REF!</f>
        <v>#REF!</v>
      </c>
      <c r="CN29" s="2" t="e">
        <f>#REF!*1000</f>
        <v>#REF!</v>
      </c>
      <c r="CO29" s="2">
        <f t="shared" si="37"/>
        <v>22500</v>
      </c>
      <c r="CP29" s="9" t="e">
        <f t="shared" si="38"/>
        <v>#REF!</v>
      </c>
      <c r="CQ29" s="9" t="e">
        <f t="shared" si="39"/>
        <v>#REF!</v>
      </c>
    </row>
    <row r="30" spans="1:98" x14ac:dyDescent="0.2">
      <c r="A30" s="191" t="str">
        <f>ITEMS_nTech!C21</f>
        <v>Transport Passenger Car Priv.Veh. Oil Gasoline Hybrid-N</v>
      </c>
      <c r="B30" s="191" t="str">
        <f>D30&amp;RIGHT(C30,3)&amp;"H-N"</f>
        <v>TPPRCAROGSH-N</v>
      </c>
      <c r="C30" s="612" t="str">
        <f>$G$6</f>
        <v>TRAOGS</v>
      </c>
      <c r="D30" s="612" t="str">
        <f>TRP!$B$22</f>
        <v>TPPRCAR</v>
      </c>
      <c r="E30" s="702">
        <f t="array" ref="E30">IFERROR(INDEX(Analytica!$F$59:$AY$138,MATCH($B30,Analytica!$B$59:$B$168,0),MATCH(E$15&amp;E$10,Analytica!$F$58:$AY$58&amp;Analytica!$F$51:'Analytica'!$AY$51,0)),"")</f>
        <v>0.47411445723101459</v>
      </c>
      <c r="F30" s="702">
        <f t="array" ref="F30">IFERROR(INDEX(Analytica!$F$59:$AY$138,MATCH($B30,Analytica!$B$59:$B$168,0),MATCH(F$15&amp;F$10,Analytica!$F$58:$AY$58&amp;Analytica!$F$51:'Analytica'!$AY$51,0)),"")</f>
        <v>0.51118493241892826</v>
      </c>
      <c r="G30" s="702">
        <f t="array" ref="G30">IFERROR(INDEX(Analytica!$F$59:$AY$138,MATCH($B30,Analytica!$B$59:$B$168,0),MATCH(G$15&amp;G$10,Analytica!$F$58:$AY$58&amp;Analytica!$F$51:'Analytica'!$AY$51,0)),"")</f>
        <v>0.56523116340397583</v>
      </c>
      <c r="H30" s="702">
        <f t="array" ref="H30">IFERROR(INDEX(Analytica!$F$59:$AY$138,MATCH($B30,Analytica!$B$59:$B$168,0),MATCH(H$15&amp;H$10,Analytica!$F$58:$AY$58&amp;Analytica!$F$51:'Analytica'!$AY$51,0)),"")</f>
        <v>0.62499155945618812</v>
      </c>
      <c r="I30" s="701">
        <v>1</v>
      </c>
      <c r="J30" s="701">
        <v>1</v>
      </c>
      <c r="K30" s="701">
        <v>1</v>
      </c>
      <c r="L30" s="701">
        <v>1</v>
      </c>
      <c r="M30" s="701">
        <v>1</v>
      </c>
      <c r="N30" s="696">
        <f>IF(B30="","",MAX(N$18:N29)+1)</f>
        <v>12</v>
      </c>
      <c r="O30" s="702">
        <f t="array" ref="O30">IFERROR(INDEX(Analytica!$F$59:$AY$138,MATCH($B30,Analytica!$B$59:$B$168,0),MATCH(O$15&amp;O$10,Analytica!$F$58:$AY$58&amp;Analytica!$F$51:'Analytica'!$AY$51,0)),"")</f>
        <v>0.02</v>
      </c>
      <c r="P30" s="620">
        <f t="array" ref="P30">IFERROR(INDEX(Analytica!$F$59:$AY$138,MATCH($B30,Analytica!$B$59:$B$168,0),MATCH(P$15&amp;P$10,Analytica!$F$58:$AY$58&amp;Analytica!$F$51:'Analytica'!$AY$51,0)),"")</f>
        <v>440.43538283569075</v>
      </c>
      <c r="Q30" s="620">
        <f t="array" ref="Q30">IFERROR(INDEX(Analytica!$F$59:$AY$138,MATCH($B30,Analytica!$B$59:$B$168,0),MATCH(Q$15&amp;Q$10,Analytica!$F$58:$AY$58&amp;Analytica!$F$51:'Analytica'!$AY$51,0)),"")</f>
        <v>436.63514806228852</v>
      </c>
      <c r="R30" s="620">
        <f t="array" ref="R30">IFERROR(INDEX(Analytica!$F$59:$AY$138,MATCH($B30,Analytica!$B$59:$B$168,0),MATCH(R$15&amp;R$10,Analytica!$F$58:$AY$58&amp;Analytica!$F$51:'Analytica'!$AY$51,0)),"")</f>
        <v>248.54977442435177</v>
      </c>
      <c r="S30" s="620">
        <f t="array" ref="S30">IFERROR(INDEX(Analytica!$F$59:$AY$138,MATCH($B30,Analytica!$B$59:$B$168,0),MATCH(S$15&amp;S$10,Analytica!$F$58:$AY$58&amp;Analytica!$F$51:'Analytica'!$AY$51,0)),"")</f>
        <v>251.27334974387253</v>
      </c>
      <c r="T30" s="620">
        <f t="array" ref="T30">IFERROR(INDEX(Analytica!$F$59:$AY$138,MATCH($B30,Analytica!$B$59:$B$168,0),MATCH(T$15&amp;T$10,Analytica!$F$58:$AY$58&amp;Analytica!$F$51:'Analytica'!$AY$51,0)),"")</f>
        <v>253.99692506339329</v>
      </c>
      <c r="U30" s="620">
        <f t="array" ref="U30">IFERROR(INDEX(Analytica!$F$59:$AY$138,MATCH($B30,Analytica!$B$59:$B$168,0),MATCH(U$15&amp;U$10,Analytica!$F$58:$AY$58&amp;Analytica!$F$51:'Analytica'!$AY$51,0)),"")</f>
        <v>257.17260066817499</v>
      </c>
      <c r="V30" s="620">
        <f t="array" ref="V30">IFERROR(INDEX(Analytica!$F$59:$AY$138,MATCH($B30,Analytica!$B$59:$B$168,0),MATCH(V$15&amp;V$10,Analytica!$F$58:$AY$58&amp;Analytica!$F$51:'Analytica'!$AY$51,0)),"")</f>
        <v>11.89175533656365</v>
      </c>
      <c r="W30" s="620">
        <f t="array" ref="W30">IFERROR(INDEX(Analytica!$F$59:$AY$138,MATCH($B30,Analytica!$B$59:$B$168,0),MATCH(W$15&amp;W$10,Analytica!$F$58:$AY$58&amp;Analytica!$F$51:'Analytica'!$AY$51,0)),"")</f>
        <v>6.7108439094574974</v>
      </c>
      <c r="X30" s="620">
        <f t="array" ref="X30">IFERROR(INDEX(Analytica!$F$59:$AY$138,MATCH($B30,Analytica!$B$59:$B$168,0),MATCH(X$15&amp;X$10,Analytica!$F$58:$AY$58&amp;Analytica!$F$51:'Analytica'!$AY$51,0)),"")</f>
        <v>6.8579169767116186</v>
      </c>
      <c r="Y30" s="620">
        <f t="array" ref="Y30">IFERROR(INDEX(Analytica!$F$59:$AY$138,MATCH($B30,Analytica!$B$59:$B$168,0),MATCH(Y$15&amp;Y$10,Analytica!$F$58:$AY$58&amp;Analytica!$F$51:'Analytica'!$AY$51,0)),"")</f>
        <v>6.9436602180407245</v>
      </c>
      <c r="Z30" s="694">
        <f t="shared" si="41"/>
        <v>23</v>
      </c>
      <c r="AA30" s="694">
        <f t="shared" si="4"/>
        <v>23</v>
      </c>
      <c r="AB30" s="694">
        <f t="shared" ref="AB30:AB52" si="42">IF(AD30,base.year+$AB$12,base.year+$AB$10)</f>
        <v>2018</v>
      </c>
      <c r="AC30" s="1">
        <f t="shared" ca="1" si="5"/>
        <v>13</v>
      </c>
      <c r="AE30" s="1" t="str">
        <f t="shared" si="6"/>
        <v>S_TPPRCAR</v>
      </c>
      <c r="AF30" s="1" t="str">
        <f t="shared" si="26"/>
        <v>S_TPPRCAROGSH</v>
      </c>
      <c r="AG30" s="1" t="str">
        <f t="shared" si="27"/>
        <v>TPPRCAROGSH-N_L</v>
      </c>
      <c r="AH30" s="1" t="str">
        <f t="shared" si="28"/>
        <v>TPPRCAROGSH-N_U</v>
      </c>
      <c r="AI30" s="194">
        <v>0</v>
      </c>
      <c r="AJ30" s="699">
        <f>SUMIF(Analytica!$B$59:$B$137,B30,Analytica!$BA$59:$BA$192)</f>
        <v>8.8338186721910602E-4</v>
      </c>
      <c r="AK30" s="697" t="e">
        <f>IF($AP$10,BK30,#REF!)</f>
        <v>#REF!</v>
      </c>
      <c r="AL30" s="697" t="e">
        <f t="shared" si="40"/>
        <v>#REF!</v>
      </c>
      <c r="AM30" s="697" t="e">
        <f t="shared" si="40"/>
        <v>#REF!</v>
      </c>
      <c r="AN30" s="697">
        <f t="shared" si="40"/>
        <v>1</v>
      </c>
      <c r="AO30" s="697">
        <f t="shared" si="40"/>
        <v>1</v>
      </c>
      <c r="AP30" s="194">
        <v>1</v>
      </c>
      <c r="AQ30" s="717">
        <f t="shared" si="29"/>
        <v>8.8338186721910602E-4</v>
      </c>
      <c r="AR30" s="712" t="e">
        <f>IF($AP$10,BR30,#REF!)</f>
        <v>#REF!</v>
      </c>
      <c r="AS30" s="697" t="e">
        <f t="shared" si="30"/>
        <v>#REF!</v>
      </c>
      <c r="AT30" s="697">
        <f t="shared" si="30"/>
        <v>4.4169093360955301E-4</v>
      </c>
      <c r="AU30" s="697">
        <f t="shared" si="30"/>
        <v>0</v>
      </c>
      <c r="AV30" s="697">
        <f t="shared" si="30"/>
        <v>0</v>
      </c>
      <c r="AX30" s="718">
        <f t="shared" si="31"/>
        <v>8.8338186721910602E-4</v>
      </c>
      <c r="AY30" s="697" t="e">
        <f>IF(#REF!&lt;&gt;"",(AY$11-#REF!)/(BA$11-#REF!)*(BA30-#REF!)+#REF!,"")</f>
        <v>#REF!</v>
      </c>
      <c r="AZ30" s="697" t="e">
        <f t="shared" si="12"/>
        <v>#REF!</v>
      </c>
      <c r="BA30" s="697">
        <f t="shared" si="13"/>
        <v>1</v>
      </c>
      <c r="BB30" s="697">
        <f t="shared" si="13"/>
        <v>1</v>
      </c>
      <c r="BC30" s="711"/>
      <c r="BD30" s="697">
        <f t="shared" si="14"/>
        <v>8.8338186721910602E-4</v>
      </c>
      <c r="BE30" s="697" t="e">
        <f>IF(#REF!&lt;&gt;"",(BE$11-#REF!)/(BG$11-#REF!)*(BG30-#REF!)+#REF!,"")</f>
        <v>#REF!</v>
      </c>
      <c r="BF30" s="697">
        <f t="shared" si="15"/>
        <v>4.4169093360955301E-4</v>
      </c>
      <c r="BG30" s="697">
        <f t="shared" si="15"/>
        <v>0</v>
      </c>
      <c r="BH30" s="697">
        <f t="shared" si="15"/>
        <v>0</v>
      </c>
      <c r="BI30" s="692"/>
      <c r="BJ30" s="699">
        <f t="shared" si="32"/>
        <v>8.8338186721910602E-4</v>
      </c>
      <c r="BK30" s="697">
        <v>0.05</v>
      </c>
      <c r="BL30" s="697" t="e">
        <f t="shared" si="25"/>
        <v>#REF!</v>
      </c>
      <c r="BM30" s="697" t="e">
        <f t="shared" si="33"/>
        <v>#REF!</v>
      </c>
      <c r="BN30" s="697">
        <v>0.22</v>
      </c>
      <c r="BO30" s="697">
        <v>0.4</v>
      </c>
      <c r="BP30" s="194"/>
      <c r="BQ30" s="717">
        <f t="shared" si="34"/>
        <v>8.8338186721910602E-4</v>
      </c>
      <c r="BR30" s="712">
        <v>1E-3</v>
      </c>
      <c r="BS30" s="697" t="e">
        <f>IF(BR30&lt;&gt;"",(BS$11-BR$11)/(BU$11-BR$11)*(BU30-BR30)+BR30,"")</f>
        <v>#REF!</v>
      </c>
      <c r="BT30" s="697" t="e">
        <f t="shared" si="35"/>
        <v>#REF!</v>
      </c>
      <c r="BU30" s="715">
        <v>0.04</v>
      </c>
      <c r="BV30" s="715">
        <v>0.05</v>
      </c>
      <c r="BW30" s="692"/>
      <c r="BX30" s="1" t="str">
        <f t="shared" si="36"/>
        <v>TPPRCAROGSH-N</v>
      </c>
      <c r="BY30" s="1" t="str">
        <f t="shared" ca="1" si="21"/>
        <v>-	S_TPPRCAROGSH	1	TPPRCAROGSH-N Set	1	10/03/2023 17:53:59	null	((tblITEMS.Item Like "TPPRCAROGSH-N*"))	null	null	null	null	null	null	null</v>
      </c>
      <c r="BZ30" s="1" t="str">
        <f t="shared" si="22"/>
        <v>-	S_TPPRCAROGSH	1	1	True	Like "TPPRCAROGSH-N*"</v>
      </c>
      <c r="CI30" s="1">
        <f>SUMIF($CI$10:$CI$11,RIGHT(C30,3),$CJ$10:$CJ$11)</f>
        <v>34.200000000000003</v>
      </c>
      <c r="CJ30" s="1">
        <v>10</v>
      </c>
      <c r="CK30" s="625">
        <f>CJ30/CI30</f>
        <v>0.29239766081871343</v>
      </c>
      <c r="CL30" s="625" t="e">
        <f>#REF!</f>
        <v>#REF!</v>
      </c>
      <c r="CM30" s="625" t="e">
        <f>CK30/#REF!</f>
        <v>#REF!</v>
      </c>
      <c r="CN30" s="2" t="e">
        <f>#REF!*1000</f>
        <v>#REF!</v>
      </c>
      <c r="CO30" s="2">
        <f t="shared" si="37"/>
        <v>20000</v>
      </c>
      <c r="CP30" s="9" t="e">
        <f t="shared" si="38"/>
        <v>#REF!</v>
      </c>
      <c r="CQ30" s="9" t="e">
        <f t="shared" si="39"/>
        <v>#REF!</v>
      </c>
    </row>
    <row r="31" spans="1:98" x14ac:dyDescent="0.2">
      <c r="A31" s="191" t="str">
        <f>ITEMS_nTech!C22</f>
        <v>Transport Passenger Car Priv.Veh. Electricity-N</v>
      </c>
      <c r="B31" s="191" t="str">
        <f>D31&amp;RIGHT(C31,3)&amp;"-N"</f>
        <v>TPPRCARELC-N</v>
      </c>
      <c r="C31" s="612" t="str">
        <f>$E$6</f>
        <v>TRAELC</v>
      </c>
      <c r="D31" s="612" t="str">
        <f>TRP!$B$22</f>
        <v>TPPRCAR</v>
      </c>
      <c r="E31" s="702">
        <f t="array" ref="E31">IFERROR(INDEX(Analytica!$F$59:$AY$138,MATCH($B31,Analytica!$B$59:$B$168,0),MATCH(E$15&amp;E$10,Analytica!$F$58:$AY$58&amp;Analytica!$F$51:'Analytica'!$AY$51,0)),"")</f>
        <v>1.7847244364294399</v>
      </c>
      <c r="F31" s="702">
        <f t="array" ref="F31">IFERROR(INDEX(Analytica!$F$59:$AY$138,MATCH($B31,Analytica!$B$59:$B$168,0),MATCH(F$15&amp;F$10,Analytica!$F$58:$AY$58&amp;Analytica!$F$51:'Analytica'!$AY$51,0)),"")</f>
        <v>1.9242700291209607</v>
      </c>
      <c r="G31" s="702">
        <f t="array" ref="G31">IFERROR(INDEX(Analytica!$F$59:$AY$138,MATCH($B31,Analytica!$B$59:$B$168,0),MATCH(G$15&amp;G$10,Analytica!$F$58:$AY$58&amp;Analytica!$F$51:'Analytica'!$AY$51,0)),"")</f>
        <v>2.1277180102250783</v>
      </c>
      <c r="H31" s="702">
        <f t="array" ref="H31">IFERROR(INDEX(Analytica!$F$59:$AY$138,MATCH($B31,Analytica!$B$59:$B$168,0),MATCH(H$15&amp;H$10,Analytica!$F$58:$AY$58&amp;Analytica!$F$51:'Analytica'!$AY$51,0)),"")</f>
        <v>2.3526760083169105</v>
      </c>
      <c r="I31" s="701">
        <v>1</v>
      </c>
      <c r="J31" s="701">
        <v>1</v>
      </c>
      <c r="K31" s="701">
        <v>1</v>
      </c>
      <c r="L31" s="701">
        <v>1</v>
      </c>
      <c r="M31" s="701">
        <v>1</v>
      </c>
      <c r="N31" s="696">
        <f>IF(B31="","",MAX(N$18:N30)+1)</f>
        <v>13</v>
      </c>
      <c r="O31" s="702">
        <f t="array" ref="O31">IFERROR(INDEX(Analytica!$F$59:$AY$138,MATCH($B31,Analytica!$B$59:$B$168,0),MATCH(O$15&amp;O$10,Analytica!$F$58:$AY$58&amp;Analytica!$F$51:'Analytica'!$AY$51,0)),"")</f>
        <v>1.9099999999999999E-2</v>
      </c>
      <c r="P31" s="620">
        <f t="array" ref="P31">IFERROR(INDEX(Analytica!$F$59:$AY$138,MATCH($B31,Analytica!$B$59:$B$168,0),MATCH(P$15&amp;P$10,Analytica!$F$58:$AY$58&amp;Analytica!$F$51:'Analytica'!$AY$51,0)),"")</f>
        <v>634.65626496922221</v>
      </c>
      <c r="Q31" s="620">
        <f t="array" ref="Q31">IFERROR(INDEX(Analytica!$F$59:$AY$138,MATCH($B31,Analytica!$B$59:$B$168,0),MATCH(Q$15&amp;Q$10,Analytica!$F$58:$AY$58&amp;Analytica!$F$51:'Analytica'!$AY$51,0)),"")</f>
        <v>580.10467292909459</v>
      </c>
      <c r="R31" s="620">
        <f t="array" ref="R31">IFERROR(INDEX(Analytica!$F$59:$AY$138,MATCH($B31,Analytica!$B$59:$B$168,0),MATCH(R$15&amp;R$10,Analytica!$F$58:$AY$58&amp;Analytica!$F$51:'Analytica'!$AY$51,0)),"")</f>
        <v>248.54977442435177</v>
      </c>
      <c r="S31" s="620">
        <f t="array" ref="S31">IFERROR(INDEX(Analytica!$F$59:$AY$138,MATCH($B31,Analytica!$B$59:$B$168,0),MATCH(S$15&amp;S$10,Analytica!$F$58:$AY$58&amp;Analytica!$F$51:'Analytica'!$AY$51,0)),"")</f>
        <v>251.27334974387253</v>
      </c>
      <c r="T31" s="620">
        <f t="array" ref="T31">IFERROR(INDEX(Analytica!$F$59:$AY$138,MATCH($B31,Analytica!$B$59:$B$168,0),MATCH(T$15&amp;T$10,Analytica!$F$58:$AY$58&amp;Analytica!$F$51:'Analytica'!$AY$51,0)),"")</f>
        <v>253.99692506339329</v>
      </c>
      <c r="U31" s="620">
        <f t="array" ref="U31">IFERROR(INDEX(Analytica!$F$59:$AY$138,MATCH($B31,Analytica!$B$59:$B$168,0),MATCH(U$15&amp;U$10,Analytica!$F$58:$AY$58&amp;Analytica!$F$51:'Analytica'!$AY$51,0)),"")</f>
        <v>257.17260066817499</v>
      </c>
      <c r="V31" s="620">
        <f t="array" ref="V31">IFERROR(INDEX(Analytica!$F$59:$AY$138,MATCH($B31,Analytica!$B$59:$B$168,0),MATCH(V$15&amp;V$10,Analytica!$F$58:$AY$58&amp;Analytica!$F$51:'Analytica'!$AY$51,0)),"")</f>
        <v>12.85178936562675</v>
      </c>
      <c r="W31" s="620">
        <f t="array" ref="W31">IFERROR(INDEX(Analytica!$F$59:$AY$138,MATCH($B31,Analytica!$B$59:$B$168,0),MATCH(W$15&amp;W$10,Analytica!$F$58:$AY$58&amp;Analytica!$F$51:'Analytica'!$AY$51,0)),"")</f>
        <v>5.0331329320931237</v>
      </c>
      <c r="X31" s="620">
        <f t="array" ref="X31">IFERROR(INDEX(Analytica!$F$59:$AY$138,MATCH($B31,Analytica!$B$59:$B$168,0),MATCH(X$15&amp;X$10,Analytica!$F$58:$AY$58&amp;Analytica!$F$51:'Analytica'!$AY$51,0)),"")</f>
        <v>5.1434377325337142</v>
      </c>
      <c r="Y31" s="620">
        <f t="array" ref="Y31">IFERROR(INDEX(Analytica!$F$59:$AY$138,MATCH($B31,Analytica!$B$59:$B$168,0),MATCH(Y$15&amp;Y$10,Analytica!$F$58:$AY$58&amp;Analytica!$F$51:'Analytica'!$AY$51,0)),"")</f>
        <v>5.2077451635305438</v>
      </c>
      <c r="Z31" s="694">
        <f t="shared" si="41"/>
        <v>23</v>
      </c>
      <c r="AA31" s="694">
        <f t="shared" si="4"/>
        <v>23</v>
      </c>
      <c r="AB31" s="694">
        <f t="shared" si="42"/>
        <v>2018</v>
      </c>
      <c r="AC31" s="1">
        <f t="shared" ca="1" si="5"/>
        <v>14</v>
      </c>
      <c r="AE31" s="1" t="str">
        <f t="shared" si="6"/>
        <v>S_TPPRCAR</v>
      </c>
      <c r="AF31" s="1" t="str">
        <f t="shared" si="26"/>
        <v>S_TPPRCARELC</v>
      </c>
      <c r="AG31" s="1" t="str">
        <f t="shared" si="27"/>
        <v>TPPRCARELC-N_L</v>
      </c>
      <c r="AH31" s="1" t="str">
        <f t="shared" si="28"/>
        <v>TPPRCARELC-N_U</v>
      </c>
      <c r="AI31" s="194">
        <v>0</v>
      </c>
      <c r="AJ31" s="699">
        <f>SUMIF(Analytica!$B$59:$B$137,B31,Analytica!$BB$59:$BB$192)</f>
        <v>0</v>
      </c>
      <c r="AK31" s="697" t="e">
        <f>IF($AP$10,BK31,#REF!)</f>
        <v>#REF!</v>
      </c>
      <c r="AL31" s="697" t="e">
        <f t="shared" si="40"/>
        <v>#REF!</v>
      </c>
      <c r="AM31" s="697" t="e">
        <f t="shared" si="40"/>
        <v>#REF!</v>
      </c>
      <c r="AN31" s="697">
        <f t="shared" si="40"/>
        <v>1</v>
      </c>
      <c r="AO31" s="697">
        <f t="shared" si="40"/>
        <v>1</v>
      </c>
      <c r="AP31" s="194">
        <v>1</v>
      </c>
      <c r="AQ31" s="650">
        <f t="shared" si="29"/>
        <v>0</v>
      </c>
      <c r="AR31" s="697" t="e">
        <f>IF($AP$10,BR31,#REF!)</f>
        <v>#REF!</v>
      </c>
      <c r="AS31" s="697" t="e">
        <f t="shared" si="30"/>
        <v>#REF!</v>
      </c>
      <c r="AT31" s="697">
        <f t="shared" si="30"/>
        <v>0</v>
      </c>
      <c r="AU31" s="697">
        <f t="shared" si="30"/>
        <v>0</v>
      </c>
      <c r="AV31" s="697">
        <f t="shared" si="30"/>
        <v>0</v>
      </c>
      <c r="AX31" s="698">
        <f t="shared" si="31"/>
        <v>0</v>
      </c>
      <c r="AY31" s="697" t="e">
        <f>IF(#REF!&lt;&gt;"",(AY$11-#REF!)/(BA$11-#REF!)*(BA31-#REF!)+#REF!,"")</f>
        <v>#REF!</v>
      </c>
      <c r="AZ31" s="697" t="e">
        <f t="shared" si="12"/>
        <v>#REF!</v>
      </c>
      <c r="BA31" s="697">
        <f t="shared" si="13"/>
        <v>1</v>
      </c>
      <c r="BB31" s="697">
        <f t="shared" si="13"/>
        <v>1</v>
      </c>
      <c r="BC31" s="711"/>
      <c r="BD31" s="697">
        <f t="shared" si="14"/>
        <v>0</v>
      </c>
      <c r="BE31" s="697" t="e">
        <f>IF(#REF!&lt;&gt;"",(BE$11-#REF!)/(BG$11-#REF!)*(BG31-#REF!)+#REF!,"")</f>
        <v>#REF!</v>
      </c>
      <c r="BF31" s="697">
        <f t="shared" si="15"/>
        <v>0</v>
      </c>
      <c r="BG31" s="697">
        <f t="shared" si="15"/>
        <v>0</v>
      </c>
      <c r="BH31" s="697">
        <f t="shared" si="15"/>
        <v>0</v>
      </c>
      <c r="BI31" s="692"/>
      <c r="BJ31" s="693">
        <f t="shared" si="32"/>
        <v>0</v>
      </c>
      <c r="BK31" s="697">
        <v>0.05</v>
      </c>
      <c r="BL31" s="697" t="e">
        <f t="shared" si="25"/>
        <v>#REF!</v>
      </c>
      <c r="BM31" s="697" t="e">
        <f t="shared" si="33"/>
        <v>#REF!</v>
      </c>
      <c r="BN31" s="697">
        <v>0.25</v>
      </c>
      <c r="BO31" s="697">
        <v>0.5</v>
      </c>
      <c r="BP31" s="194"/>
      <c r="BQ31" s="650">
        <f t="shared" si="34"/>
        <v>0</v>
      </c>
      <c r="BR31" s="697">
        <v>0</v>
      </c>
      <c r="BS31" s="697">
        <v>0</v>
      </c>
      <c r="BT31" s="697">
        <f t="shared" si="35"/>
        <v>0.02</v>
      </c>
      <c r="BU31" s="715">
        <v>0.04</v>
      </c>
      <c r="BV31" s="715">
        <v>0.1</v>
      </c>
      <c r="BW31" s="692"/>
      <c r="BX31" s="1" t="str">
        <f t="shared" si="36"/>
        <v>TPPRCARELC-N</v>
      </c>
      <c r="BY31" s="1" t="str">
        <f t="shared" ca="1" si="21"/>
        <v>-	S_TPPRCARELC	1	TPPRCARELC-N Set	1	10/03/2023 17:53:59	null	((tblITEMS.Item Like "TPPRCARELC-N*"))	null	null	null	null	null	null	null</v>
      </c>
      <c r="BZ31" s="1" t="str">
        <f t="shared" si="22"/>
        <v>-	S_TPPRCARELC	1	1	True	Like "TPPRCARELC-N*"</v>
      </c>
      <c r="CJ31" s="1">
        <v>1</v>
      </c>
      <c r="CK31" s="625">
        <f>CJ31/3.6</f>
        <v>0.27777777777777779</v>
      </c>
      <c r="CL31" s="625" t="e">
        <f>#REF!</f>
        <v>#REF!</v>
      </c>
      <c r="CM31" s="625" t="e">
        <f>CK31/#REF!</f>
        <v>#REF!</v>
      </c>
      <c r="CN31" s="2" t="e">
        <f>#REF!*1000</f>
        <v>#REF!</v>
      </c>
      <c r="CO31" s="2">
        <f t="shared" si="37"/>
        <v>19100</v>
      </c>
      <c r="CP31" s="9" t="e">
        <f t="shared" si="38"/>
        <v>#REF!</v>
      </c>
      <c r="CQ31" s="9" t="e">
        <f t="shared" si="39"/>
        <v>#REF!</v>
      </c>
    </row>
    <row r="32" spans="1:98" x14ac:dyDescent="0.2">
      <c r="A32" s="191" t="str">
        <f>ITEMS_nTech!C23</f>
        <v>Transport Passenger Car Priv.Veh. Gas-N</v>
      </c>
      <c r="B32" s="191" t="str">
        <f>D32&amp;RIGHT(C32,3)&amp;"-N"</f>
        <v>TPPRCARGAS-N</v>
      </c>
      <c r="C32" s="612" t="str">
        <f>$F$6</f>
        <v>TRAGAS</v>
      </c>
      <c r="D32" s="612" t="str">
        <f>TRP!$B$22</f>
        <v>TPPRCAR</v>
      </c>
      <c r="E32" s="702">
        <f t="array" ref="E32">IFERROR(INDEX(Analytica!$F$59:$AY$138,MATCH($B32,Analytica!$B$59:$B$168,0),MATCH(E$15&amp;E$10,Analytica!$F$58:$AY$58&amp;Analytica!$F$51:'Analytica'!$AY$51,0)),"")</f>
        <v>0.36226864396574021</v>
      </c>
      <c r="F32" s="702">
        <f t="array" ref="F32">IFERROR(INDEX(Analytica!$F$59:$AY$138,MATCH($B32,Analytica!$B$59:$B$168,0),MATCH(F$15&amp;F$10,Analytica!$F$58:$AY$58&amp;Analytica!$F$51:'Analytica'!$AY$51,0)),"")</f>
        <v>0.39059402104013624</v>
      </c>
      <c r="G32" s="702">
        <f t="array" ref="G32">IFERROR(INDEX(Analytica!$F$59:$AY$138,MATCH($B32,Analytica!$B$59:$B$168,0),MATCH(G$15&amp;G$10,Analytica!$F$58:$AY$58&amp;Analytica!$F$51:'Analytica'!$AY$51,0)),"")</f>
        <v>0.43189049388924888</v>
      </c>
      <c r="H32" s="702">
        <f t="array" ref="H32">IFERROR(INDEX(Analytica!$F$59:$AY$138,MATCH($B32,Analytica!$B$59:$B$168,0),MATCH(H$15&amp;H$10,Analytica!$F$58:$AY$58&amp;Analytica!$F$51:'Analytica'!$AY$51,0)),"")</f>
        <v>0.47755313359682011</v>
      </c>
      <c r="I32" s="701">
        <v>1</v>
      </c>
      <c r="J32" s="701">
        <v>1</v>
      </c>
      <c r="K32" s="701">
        <v>1</v>
      </c>
      <c r="L32" s="701">
        <v>1</v>
      </c>
      <c r="M32" s="701">
        <v>1</v>
      </c>
      <c r="N32" s="696">
        <f>IF(B32="","",MAX(N$18:N31)+1)</f>
        <v>14</v>
      </c>
      <c r="O32" s="702">
        <f t="array" ref="O32">IFERROR(INDEX(Analytica!$F$59:$AY$138,MATCH($B32,Analytica!$B$59:$B$168,0),MATCH(O$15&amp;O$10,Analytica!$F$58:$AY$58&amp;Analytica!$F$51:'Analytica'!$AY$51,0)),"")</f>
        <v>1.9099999999999999E-2</v>
      </c>
      <c r="P32" s="620">
        <f t="array" ref="P32">IFERROR(INDEX(Analytica!$F$59:$AY$138,MATCH($B32,Analytica!$B$59:$B$168,0),MATCH(P$15&amp;P$10,Analytica!$F$58:$AY$58&amp;Analytica!$F$51:'Analytica'!$AY$51,0)),"")</f>
        <v>396.59943072780266</v>
      </c>
      <c r="Q32" s="620">
        <f t="array" ref="Q32">IFERROR(INDEX(Analytica!$F$59:$AY$138,MATCH($B32,Analytica!$B$59:$B$168,0),MATCH(Q$15&amp;Q$10,Analytica!$F$58:$AY$58&amp;Analytica!$F$51:'Analytica'!$AY$51,0)),"")</f>
        <v>400.60799761902143</v>
      </c>
      <c r="R32" s="620">
        <f t="array" ref="R32">IFERROR(INDEX(Analytica!$F$59:$AY$138,MATCH($B32,Analytica!$B$59:$B$168,0),MATCH(R$15&amp;R$10,Analytica!$F$58:$AY$58&amp;Analytica!$F$51:'Analytica'!$AY$51,0)),"")</f>
        <v>404.61656451024021</v>
      </c>
      <c r="S32" s="620">
        <f t="array" ref="S32">IFERROR(INDEX(Analytica!$F$59:$AY$138,MATCH($B32,Analytica!$B$59:$B$168,0),MATCH(S$15&amp;S$10,Analytica!$F$58:$AY$58&amp;Analytica!$F$51:'Analytica'!$AY$51,0)),"")</f>
        <v>407.70315451742715</v>
      </c>
      <c r="T32" s="620">
        <f t="array" ref="T32">IFERROR(INDEX(Analytica!$F$59:$AY$138,MATCH($B32,Analytica!$B$59:$B$168,0),MATCH(T$15&amp;T$10,Analytica!$F$58:$AY$58&amp;Analytica!$F$51:'Analytica'!$AY$51,0)),"")</f>
        <v>410.78974452461404</v>
      </c>
      <c r="U32" s="620">
        <f t="array" ref="U32">IFERROR(INDEX(Analytica!$F$59:$AY$138,MATCH($B32,Analytica!$B$59:$B$168,0),MATCH(U$15&amp;U$10,Analytica!$F$58:$AY$58&amp;Analytica!$F$51:'Analytica'!$AY$51,0)),"")</f>
        <v>414.21103231367636</v>
      </c>
      <c r="V32" s="620">
        <f t="array" ref="V32">IFERROR(INDEX(Analytica!$F$59:$AY$138,MATCH($B32,Analytica!$B$59:$B$168,0),MATCH(V$15&amp;V$10,Analytica!$F$58:$AY$58&amp;Analytica!$F$51:'Analytica'!$AY$51,0)),"")</f>
        <v>10.708184629650672</v>
      </c>
      <c r="W32" s="620">
        <f t="array" ref="W32">IFERROR(INDEX(Analytica!$F$59:$AY$138,MATCH($B32,Analytica!$B$59:$B$168,0),MATCH(W$15&amp;W$10,Analytica!$F$58:$AY$58&amp;Analytica!$F$51:'Analytica'!$AY$51,0)),"")</f>
        <v>10.924647241776485</v>
      </c>
      <c r="X32" s="620">
        <f t="array" ref="X32">IFERROR(INDEX(Analytica!$F$59:$AY$138,MATCH($B32,Analytica!$B$59:$B$168,0),MATCH(X$15&amp;X$10,Analytica!$F$58:$AY$58&amp;Analytica!$F$51:'Analytica'!$AY$51,0)),"")</f>
        <v>11.091323102164578</v>
      </c>
      <c r="Y32" s="620">
        <f t="array" ref="Y32">IFERROR(INDEX(Analytica!$F$59:$AY$138,MATCH($B32,Analytica!$B$59:$B$168,0),MATCH(Y$15&amp;Y$10,Analytica!$F$58:$AY$58&amp;Analytica!$F$51:'Analytica'!$AY$51,0)),"")</f>
        <v>11.183697872469262</v>
      </c>
      <c r="Z32" s="694">
        <f t="shared" si="41"/>
        <v>23</v>
      </c>
      <c r="AA32" s="694">
        <f t="shared" si="4"/>
        <v>23</v>
      </c>
      <c r="AB32" s="694">
        <f t="shared" si="42"/>
        <v>2025</v>
      </c>
      <c r="AC32" s="1">
        <f t="shared" ca="1" si="5"/>
        <v>15</v>
      </c>
      <c r="AD32" s="1">
        <v>1</v>
      </c>
      <c r="AE32" s="1" t="str">
        <f t="shared" si="6"/>
        <v>S_TPPRCAR</v>
      </c>
      <c r="AF32" s="1" t="str">
        <f t="shared" si="26"/>
        <v>S_TPPRCARGAS</v>
      </c>
      <c r="AG32" s="714" t="str">
        <f t="shared" si="27"/>
        <v>TPPRCARGAS-N_L</v>
      </c>
      <c r="AH32" s="1" t="str">
        <f t="shared" si="28"/>
        <v>TPPRCARGAS-N_U</v>
      </c>
      <c r="AI32" s="194">
        <v>0</v>
      </c>
      <c r="AJ32" s="699">
        <f>SUMIF(Analytica!$B$59:$B$137,B32,Analytica!$BA$59:$BA$192)</f>
        <v>0</v>
      </c>
      <c r="AK32" s="697" t="e">
        <f>IF($AP$10,BK32,#REF!)</f>
        <v>#REF!</v>
      </c>
      <c r="AL32" s="697" t="e">
        <f t="shared" si="40"/>
        <v>#REF!</v>
      </c>
      <c r="AM32" s="697" t="e">
        <f t="shared" si="40"/>
        <v>#REF!</v>
      </c>
      <c r="AN32" s="697">
        <f t="shared" si="40"/>
        <v>1</v>
      </c>
      <c r="AO32" s="697">
        <f t="shared" si="40"/>
        <v>1</v>
      </c>
      <c r="AP32" s="194">
        <v>1</v>
      </c>
      <c r="AQ32" s="650">
        <f t="shared" si="29"/>
        <v>0</v>
      </c>
      <c r="AR32" s="697" t="e">
        <f>IF($AP$10,BR32,#REF!)</f>
        <v>#REF!</v>
      </c>
      <c r="AS32" s="697" t="e">
        <f t="shared" si="30"/>
        <v>#REF!</v>
      </c>
      <c r="AT32" s="697">
        <f t="shared" si="30"/>
        <v>0</v>
      </c>
      <c r="AU32" s="697">
        <f t="shared" si="30"/>
        <v>0</v>
      </c>
      <c r="AV32" s="697">
        <f t="shared" si="30"/>
        <v>0</v>
      </c>
      <c r="AX32" s="698">
        <f t="shared" si="31"/>
        <v>0</v>
      </c>
      <c r="AY32" s="697" t="e">
        <f>IF(#REF!&lt;&gt;"",(AY$11-#REF!)/(BA$11-#REF!)*(BA32-#REF!)+#REF!,"")</f>
        <v>#REF!</v>
      </c>
      <c r="AZ32" s="697" t="e">
        <f t="shared" si="12"/>
        <v>#REF!</v>
      </c>
      <c r="BA32" s="697">
        <f t="shared" si="13"/>
        <v>1</v>
      </c>
      <c r="BB32" s="697">
        <f t="shared" si="13"/>
        <v>1</v>
      </c>
      <c r="BC32" s="711"/>
      <c r="BD32" s="697">
        <f t="shared" si="14"/>
        <v>0</v>
      </c>
      <c r="BE32" s="697" t="e">
        <f>IF(#REF!&lt;&gt;"",(BE$11-#REF!)/(BG$11-#REF!)*(BG32-#REF!)+#REF!,"")</f>
        <v>#REF!</v>
      </c>
      <c r="BF32" s="697">
        <f t="shared" si="15"/>
        <v>0</v>
      </c>
      <c r="BG32" s="697">
        <f t="shared" si="15"/>
        <v>0</v>
      </c>
      <c r="BH32" s="697">
        <f t="shared" si="15"/>
        <v>0</v>
      </c>
      <c r="BI32" s="692"/>
      <c r="BJ32" s="693">
        <f t="shared" si="32"/>
        <v>0</v>
      </c>
      <c r="BK32" s="697">
        <v>0.05</v>
      </c>
      <c r="BL32" s="697" t="e">
        <f t="shared" si="25"/>
        <v>#REF!</v>
      </c>
      <c r="BM32" s="697" t="e">
        <f t="shared" si="33"/>
        <v>#REF!</v>
      </c>
      <c r="BN32" s="697">
        <v>0.25</v>
      </c>
      <c r="BO32" s="697">
        <v>0.5</v>
      </c>
      <c r="BP32" s="194"/>
      <c r="BQ32" s="650">
        <f t="shared" si="34"/>
        <v>0</v>
      </c>
      <c r="BR32" s="697">
        <v>0</v>
      </c>
      <c r="BS32" s="697" t="e">
        <f>IF(BR32&lt;&gt;"",(BS$11-BR$11)/(BU$11-BR$11)*(BU32-BR32)+BR32,"")</f>
        <v>#REF!</v>
      </c>
      <c r="BT32" s="697" t="e">
        <f t="shared" si="35"/>
        <v>#REF!</v>
      </c>
      <c r="BU32" s="697">
        <v>0</v>
      </c>
      <c r="BV32" s="697">
        <v>0</v>
      </c>
      <c r="BW32" s="692"/>
      <c r="BX32" s="707" t="str">
        <f t="shared" si="36"/>
        <v>TPPRCARGAS-N</v>
      </c>
      <c r="BY32" s="1" t="str">
        <f t="shared" ca="1" si="21"/>
        <v>-	S_TPPRCARGAS	1	TPPRCARGAS-N Set	1	10/03/2023 17:53:59	null	((tblITEMS.Item Like "TPPRCARGAS-N*"))	null	null	null	null	null	null	null</v>
      </c>
      <c r="BZ32" s="1" t="str">
        <f t="shared" si="22"/>
        <v>-	S_TPPRCARGAS	1	1	True	Like "TPPRCARGAS-N*"</v>
      </c>
      <c r="CI32" s="1">
        <f>SUMIF($CI$10:$CI$11,RIGHT(C32,3),$CJ$10:$CJ$11)</f>
        <v>0</v>
      </c>
      <c r="CJ32" s="1">
        <v>10</v>
      </c>
      <c r="CK32" s="625" t="e">
        <f>CJ32/CI32</f>
        <v>#DIV/0!</v>
      </c>
      <c r="CL32" s="625" t="e">
        <f>#REF!</f>
        <v>#REF!</v>
      </c>
      <c r="CM32" s="625" t="e">
        <f>CK32/#REF!</f>
        <v>#DIV/0!</v>
      </c>
      <c r="CN32" s="2" t="e">
        <f>#REF!*1000</f>
        <v>#REF!</v>
      </c>
      <c r="CO32" s="2">
        <f t="shared" si="37"/>
        <v>19100</v>
      </c>
      <c r="CP32" s="9" t="e">
        <f t="shared" si="38"/>
        <v>#REF!</v>
      </c>
      <c r="CQ32" s="9" t="e">
        <f t="shared" si="39"/>
        <v>#REF!</v>
      </c>
    </row>
    <row r="33" spans="1:95" x14ac:dyDescent="0.2">
      <c r="A33" s="191" t="str">
        <f>ITEMS_nTech!C24</f>
        <v>Transport Passenger Car Priv.Veh. Hydrogen Fuel Cell-N</v>
      </c>
      <c r="B33" s="191" t="str">
        <f>D33&amp;RIGHT(C33,3)&amp;"F-N"</f>
        <v>TPPRCARHGNF-N</v>
      </c>
      <c r="C33" s="612" t="str">
        <f>K6</f>
        <v>TRAHGN</v>
      </c>
      <c r="D33" s="612" t="str">
        <f>TRP!$B$22</f>
        <v>TPPRCAR</v>
      </c>
      <c r="E33" s="702">
        <f t="array" ref="E33">IFERROR(INDEX(Analytica!$F$59:$AY$138,MATCH($B33,Analytica!$B$59:$B$168,0),MATCH(E$15&amp;E$10,Analytica!$F$58:$AY$58&amp;Analytica!$F$51:'Analytica'!$AY$51,0)),"")</f>
        <v>0.93434064891574875</v>
      </c>
      <c r="F33" s="702">
        <f t="array" ref="F33">IFERROR(INDEX(Analytica!$F$59:$AY$138,MATCH($B33,Analytica!$B$59:$B$168,0),MATCH(F$15&amp;F$10,Analytica!$F$58:$AY$58&amp;Analytica!$F$51:'Analytica'!$AY$51,0)),"")</f>
        <v>1.0073956914575406</v>
      </c>
      <c r="G33" s="702">
        <f t="array" ref="G33">IFERROR(INDEX(Analytica!$F$59:$AY$138,MATCH($B33,Analytica!$B$59:$B$168,0),MATCH(G$15&amp;G$10,Analytica!$F$58:$AY$58&amp;Analytica!$F$51:'Analytica'!$AY$51,0)),"")</f>
        <v>1.1139049736780038</v>
      </c>
      <c r="H33" s="702">
        <f t="array" ref="H33">IFERROR(INDEX(Analytica!$F$59:$AY$138,MATCH($B33,Analytica!$B$59:$B$168,0),MATCH(H$15&amp;H$10,Analytica!$F$58:$AY$58&amp;Analytica!$F$51:'Analytica'!$AY$51,0)),"")</f>
        <v>1.2316752006248683</v>
      </c>
      <c r="I33" s="701">
        <v>1</v>
      </c>
      <c r="J33" s="701">
        <v>1</v>
      </c>
      <c r="K33" s="701">
        <v>1</v>
      </c>
      <c r="L33" s="701">
        <v>1</v>
      </c>
      <c r="M33" s="701">
        <v>1</v>
      </c>
      <c r="N33" s="696">
        <f>IF(B33="","",MAX(N$18:N32)+1)</f>
        <v>15</v>
      </c>
      <c r="O33" s="702">
        <f t="array" ref="O33">IFERROR(INDEX(Analytica!$F$59:$AY$138,MATCH($B33,Analytica!$B$59:$B$168,0),MATCH(O$15&amp;O$10,Analytica!$F$58:$AY$58&amp;Analytica!$F$51:'Analytica'!$AY$51,0)),"")</f>
        <v>1.9099999999999999E-2</v>
      </c>
      <c r="P33" s="620">
        <f t="array" ref="P33">IFERROR(INDEX(Analytica!$F$59:$AY$138,MATCH($B33,Analytica!$B$59:$B$168,0),MATCH(P$15&amp;P$10,Analytica!$F$58:$AY$58&amp;Analytica!$F$51:'Analytica'!$AY$51,0)),"")</f>
        <v>951.98439745383337</v>
      </c>
      <c r="Q33" s="620">
        <f t="array" ref="Q33">IFERROR(INDEX(Analytica!$F$59:$AY$138,MATCH($B33,Analytica!$B$59:$B$168,0),MATCH(Q$15&amp;Q$10,Analytica!$F$58:$AY$58&amp;Analytica!$F$51:'Analytica'!$AY$51,0)),"")</f>
        <v>726.2399337464426</v>
      </c>
      <c r="R33" s="620">
        <f t="array" ref="R33">IFERROR(INDEX(Analytica!$F$59:$AY$138,MATCH($B33,Analytica!$B$59:$B$168,0),MATCH(R$15&amp;R$10,Analytica!$F$58:$AY$58&amp;Analytica!$F$51:'Analytica'!$AY$51,0)),"")</f>
        <v>500.49547003905155</v>
      </c>
      <c r="S33" s="620">
        <f t="array" ref="S33">IFERROR(INDEX(Analytica!$F$59:$AY$138,MATCH($B33,Analytica!$B$59:$B$168,0),MATCH(S$15&amp;S$10,Analytica!$F$58:$AY$58&amp;Analytica!$F$51:'Analytica'!$AY$51,0)),"")</f>
        <v>473.72416276051706</v>
      </c>
      <c r="T33" s="620">
        <f t="array" ref="T33">IFERROR(INDEX(Analytica!$F$59:$AY$138,MATCH($B33,Analytica!$B$59:$B$168,0),MATCH(T$15&amp;T$10,Analytica!$F$58:$AY$58&amp;Analytica!$F$51:'Analytica'!$AY$51,0)),"")</f>
        <v>446.95285548198251</v>
      </c>
      <c r="U33" s="620">
        <f t="array" ref="U33">IFERROR(INDEX(Analytica!$F$59:$AY$138,MATCH($B33,Analytica!$B$59:$B$168,0),MATCH(U$15&amp;U$10,Analytica!$F$58:$AY$58&amp;Analytica!$F$51:'Analytica'!$AY$51,0)),"")</f>
        <v>257.17260066817499</v>
      </c>
      <c r="V33" s="620">
        <f t="array" ref="V33">IFERROR(INDEX(Analytica!$F$59:$AY$138,MATCH($B33,Analytica!$B$59:$B$168,0),MATCH(V$15&amp;V$10,Analytica!$F$58:$AY$58&amp;Analytica!$F$51:'Analytica'!$AY$51,0)),"")</f>
        <v>25.703578731253501</v>
      </c>
      <c r="W33" s="620">
        <f t="array" ref="W33">IFERROR(INDEX(Analytica!$F$59:$AY$138,MATCH($B33,Analytica!$B$59:$B$168,0),MATCH(W$15&amp;W$10,Analytica!$F$58:$AY$58&amp;Analytica!$F$51:'Analytica'!$AY$51,0)),"")</f>
        <v>13.513377691054393</v>
      </c>
      <c r="X33" s="620">
        <f t="array" ref="X33">IFERROR(INDEX(Analytica!$F$59:$AY$138,MATCH($B33,Analytica!$B$59:$B$168,0),MATCH(X$15&amp;X$10,Analytica!$F$58:$AY$58&amp;Analytica!$F$51:'Analytica'!$AY$51,0)),"")</f>
        <v>12.067727098013528</v>
      </c>
      <c r="Y33" s="620">
        <f t="array" ref="Y33">IFERROR(INDEX(Analytica!$F$59:$AY$138,MATCH($B33,Analytica!$B$59:$B$168,0),MATCH(Y$15&amp;Y$10,Analytica!$F$58:$AY$58&amp;Analytica!$F$51:'Analytica'!$AY$51,0)),"")</f>
        <v>6.9436602180407245</v>
      </c>
      <c r="Z33" s="694">
        <f t="shared" si="41"/>
        <v>23</v>
      </c>
      <c r="AA33" s="694">
        <f t="shared" si="4"/>
        <v>23</v>
      </c>
      <c r="AB33" s="694">
        <f t="shared" si="42"/>
        <v>2025</v>
      </c>
      <c r="AC33" s="1">
        <f t="shared" ca="1" si="5"/>
        <v>16</v>
      </c>
      <c r="AD33" s="1">
        <v>1</v>
      </c>
      <c r="AE33" s="1" t="str">
        <f t="shared" si="6"/>
        <v>S_TPPRCAR</v>
      </c>
      <c r="AF33" s="1" t="str">
        <f t="shared" si="26"/>
        <v>S_TPPRCARHGNF</v>
      </c>
      <c r="AG33" s="714" t="str">
        <f t="shared" si="27"/>
        <v>TPPRCARHGNF-N_L</v>
      </c>
      <c r="AH33" s="1" t="str">
        <f t="shared" si="28"/>
        <v>TPPRCARHGNF-N_U</v>
      </c>
      <c r="AI33" s="194">
        <v>0</v>
      </c>
      <c r="AJ33" s="699">
        <f>SUMIF(Analytica!$B$59:$B$137,B33,Analytica!$BB$59:$BB$192)</f>
        <v>0</v>
      </c>
      <c r="AK33" s="697" t="e">
        <f>IF($AP$10,BK33,#REF!)</f>
        <v>#REF!</v>
      </c>
      <c r="AL33" s="697" t="e">
        <f t="shared" si="40"/>
        <v>#REF!</v>
      </c>
      <c r="AM33" s="697" t="e">
        <f t="shared" si="40"/>
        <v>#REF!</v>
      </c>
      <c r="AN33" s="697">
        <f t="shared" si="40"/>
        <v>1</v>
      </c>
      <c r="AO33" s="697">
        <f t="shared" si="40"/>
        <v>1</v>
      </c>
      <c r="AP33" s="194">
        <v>1</v>
      </c>
      <c r="AQ33" s="650">
        <f t="shared" si="29"/>
        <v>0</v>
      </c>
      <c r="AR33" s="697" t="e">
        <f>IF($AP$10,BR33,#REF!)</f>
        <v>#REF!</v>
      </c>
      <c r="AS33" s="697" t="e">
        <f t="shared" si="30"/>
        <v>#REF!</v>
      </c>
      <c r="AT33" s="697">
        <f t="shared" si="30"/>
        <v>0</v>
      </c>
      <c r="AU33" s="697">
        <f t="shared" si="30"/>
        <v>0</v>
      </c>
      <c r="AV33" s="697">
        <f t="shared" si="30"/>
        <v>0</v>
      </c>
      <c r="AX33" s="698">
        <f t="shared" si="31"/>
        <v>0</v>
      </c>
      <c r="AY33" s="697" t="e">
        <f>IF(#REF!&lt;&gt;"",(AY$11-#REF!)/(BA$11-#REF!)*(BA33-#REF!)+#REF!,"")</f>
        <v>#REF!</v>
      </c>
      <c r="AZ33" s="697" t="e">
        <f t="shared" si="12"/>
        <v>#REF!</v>
      </c>
      <c r="BA33" s="697">
        <f t="shared" si="13"/>
        <v>1</v>
      </c>
      <c r="BB33" s="697">
        <f t="shared" si="13"/>
        <v>1</v>
      </c>
      <c r="BC33" s="711"/>
      <c r="BD33" s="697">
        <f t="shared" si="14"/>
        <v>0</v>
      </c>
      <c r="BE33" s="697" t="e">
        <f>IF(#REF!&lt;&gt;"",(BE$11-#REF!)/(BG$11-#REF!)*(BG33-#REF!)+#REF!,"")</f>
        <v>#REF!</v>
      </c>
      <c r="BF33" s="697">
        <f t="shared" si="15"/>
        <v>0</v>
      </c>
      <c r="BG33" s="697">
        <f t="shared" si="15"/>
        <v>0</v>
      </c>
      <c r="BH33" s="697">
        <f t="shared" si="15"/>
        <v>0</v>
      </c>
      <c r="BI33" s="692"/>
      <c r="BJ33" s="693">
        <f t="shared" si="32"/>
        <v>0</v>
      </c>
      <c r="BK33" s="697">
        <v>0</v>
      </c>
      <c r="BL33" s="697">
        <v>0</v>
      </c>
      <c r="BM33" s="697">
        <f t="shared" si="33"/>
        <v>0.05</v>
      </c>
      <c r="BN33" s="697">
        <v>0.1</v>
      </c>
      <c r="BO33" s="697">
        <v>0.5</v>
      </c>
      <c r="BP33" s="194"/>
      <c r="BQ33" s="650">
        <f t="shared" si="34"/>
        <v>0</v>
      </c>
      <c r="BR33" s="697">
        <v>0</v>
      </c>
      <c r="BS33" s="697">
        <v>0</v>
      </c>
      <c r="BT33" s="697">
        <f t="shared" si="35"/>
        <v>0.03</v>
      </c>
      <c r="BU33" s="697">
        <v>0.06</v>
      </c>
      <c r="BV33" s="697">
        <v>0.3</v>
      </c>
      <c r="BW33" s="692"/>
      <c r="BX33" s="707" t="str">
        <f t="shared" si="36"/>
        <v>TPPRCARHGNF-N</v>
      </c>
      <c r="BY33" s="1" t="str">
        <f t="shared" ca="1" si="21"/>
        <v>-	S_TPPRCARHGNF	1	TPPRCARHGNF-N Set	1	10/03/2023 17:53:59	null	((tblITEMS.Item Like "TPPRCARHGNF-N*"))	null	null	null	null	null	null	null</v>
      </c>
      <c r="BZ33" s="1" t="str">
        <f t="shared" si="22"/>
        <v>-	S_TPPRCARHGNF	1	1	True	Like "TPPRCARHGNF-N*"</v>
      </c>
      <c r="CI33" s="1">
        <f>SUMIF($CI$10:$CI$11,RIGHT(C33,3),$CJ$10:$CJ$11)</f>
        <v>0</v>
      </c>
      <c r="CJ33" s="1">
        <v>10</v>
      </c>
      <c r="CK33" s="625" t="e">
        <f>CJ33/CI33</f>
        <v>#DIV/0!</v>
      </c>
      <c r="CL33" s="625" t="e">
        <f>#REF!</f>
        <v>#REF!</v>
      </c>
      <c r="CM33" s="625" t="e">
        <f>CK33/#REF!</f>
        <v>#DIV/0!</v>
      </c>
      <c r="CN33" s="2" t="e">
        <f>#REF!*1000</f>
        <v>#REF!</v>
      </c>
      <c r="CO33" s="2">
        <f t="shared" si="37"/>
        <v>19100</v>
      </c>
      <c r="CP33" s="9" t="e">
        <f t="shared" si="38"/>
        <v>#REF!</v>
      </c>
      <c r="CQ33" s="9" t="e">
        <f t="shared" si="39"/>
        <v>#REF!</v>
      </c>
    </row>
    <row r="34" spans="1:95" x14ac:dyDescent="0.2">
      <c r="A34" s="191" t="str">
        <f>ITEMS_nTech!C25</f>
        <v>Transport Passenger Car Priv.Veh. Oil Blended Gasoline-Ethanol-E85-N</v>
      </c>
      <c r="B34" s="191" t="str">
        <f>D34&amp;RIGHT(C34,3)&amp;"-N"</f>
        <v>TPPRCARBGS-N</v>
      </c>
      <c r="C34" s="612" t="str">
        <f>$L$6</f>
        <v>TRABGS</v>
      </c>
      <c r="D34" s="612" t="str">
        <f>TRP!$B$22</f>
        <v>TPPRCAR</v>
      </c>
      <c r="E34" s="702">
        <f t="array" ref="E34">IFERROR(INDEX(Analytica!$F$59:$AY$138,MATCH($B34,Analytica!$B$59:$B$168,0),MATCH(E$15&amp;E$10,Analytica!$F$58:$AY$58&amp;Analytica!$F$51:'Analytica'!$AY$51,0)),"")</f>
        <v>0.36226864396574021</v>
      </c>
      <c r="F34" s="702">
        <f t="array" ref="F34">IFERROR(INDEX(Analytica!$F$59:$AY$138,MATCH($B34,Analytica!$B$59:$B$168,0),MATCH(F$15&amp;F$10,Analytica!$F$58:$AY$58&amp;Analytica!$F$51:'Analytica'!$AY$51,0)),"")</f>
        <v>0.39059402104013624</v>
      </c>
      <c r="G34" s="702">
        <f t="array" ref="G34">IFERROR(INDEX(Analytica!$F$59:$AY$138,MATCH($B34,Analytica!$B$59:$B$168,0),MATCH(G$15&amp;G$10,Analytica!$F$58:$AY$58&amp;Analytica!$F$51:'Analytica'!$AY$51,0)),"")</f>
        <v>0.43189049388924888</v>
      </c>
      <c r="H34" s="702">
        <f t="array" ref="H34">IFERROR(INDEX(Analytica!$F$59:$AY$138,MATCH($B34,Analytica!$B$59:$B$168,0),MATCH(H$15&amp;H$10,Analytica!$F$58:$AY$58&amp;Analytica!$F$51:'Analytica'!$AY$51,0)),"")</f>
        <v>0.47755313359682011</v>
      </c>
      <c r="I34" s="701">
        <v>1</v>
      </c>
      <c r="J34" s="701">
        <v>1</v>
      </c>
      <c r="K34" s="701">
        <v>1</v>
      </c>
      <c r="L34" s="701">
        <v>1</v>
      </c>
      <c r="M34" s="701">
        <v>1</v>
      </c>
      <c r="N34" s="696">
        <f>IF(B34="","",MAX(N$18:N33)+1)</f>
        <v>16</v>
      </c>
      <c r="O34" s="702">
        <f t="array" ref="O34">IFERROR(INDEX(Analytica!$F$59:$AY$138,MATCH($B34,Analytica!$B$59:$B$168,0),MATCH(O$15&amp;O$10,Analytica!$F$58:$AY$58&amp;Analytica!$F$51:'Analytica'!$AY$51,0)),"")</f>
        <v>1.9099999999999999E-2</v>
      </c>
      <c r="P34" s="620">
        <f t="array" ref="P34">IFERROR(INDEX(Analytica!$F$59:$AY$138,MATCH($B34,Analytica!$B$59:$B$168,0),MATCH(P$15&amp;P$10,Analytica!$F$58:$AY$58&amp;Analytica!$F$51:'Analytica'!$AY$51,0)),"")</f>
        <v>240.3632913501834</v>
      </c>
      <c r="Q34" s="620">
        <f t="array" ref="Q34">IFERROR(INDEX(Analytica!$F$59:$AY$138,MATCH($B34,Analytica!$B$59:$B$168,0),MATCH(Q$15&amp;Q$10,Analytica!$F$58:$AY$58&amp;Analytica!$F$51:'Analytica'!$AY$51,0)),"")</f>
        <v>244.4565328872676</v>
      </c>
      <c r="R34" s="620">
        <f t="array" ref="R34">IFERROR(INDEX(Analytica!$F$59:$AY$138,MATCH($B34,Analytica!$B$59:$B$168,0),MATCH(R$15&amp;R$10,Analytica!$F$58:$AY$58&amp;Analytica!$F$51:'Analytica'!$AY$51,0)),"")</f>
        <v>248.54977442435177</v>
      </c>
      <c r="S34" s="620">
        <f t="array" ref="S34">IFERROR(INDEX(Analytica!$F$59:$AY$138,MATCH($B34,Analytica!$B$59:$B$168,0),MATCH(S$15&amp;S$10,Analytica!$F$58:$AY$58&amp;Analytica!$F$51:'Analytica'!$AY$51,0)),"")</f>
        <v>251.27334974387253</v>
      </c>
      <c r="T34" s="620">
        <f t="array" ref="T34">IFERROR(INDEX(Analytica!$F$59:$AY$138,MATCH($B34,Analytica!$B$59:$B$168,0),MATCH(T$15&amp;T$10,Analytica!$F$58:$AY$58&amp;Analytica!$F$51:'Analytica'!$AY$51,0)),"")</f>
        <v>253.99692506339329</v>
      </c>
      <c r="U34" s="620">
        <f t="array" ref="U34">IFERROR(INDEX(Analytica!$F$59:$AY$138,MATCH($B34,Analytica!$B$59:$B$168,0),MATCH(U$15&amp;U$10,Analytica!$F$58:$AY$58&amp;Analytica!$F$51:'Analytica'!$AY$51,0)),"")</f>
        <v>257.17260066817499</v>
      </c>
      <c r="V34" s="620">
        <f t="array" ref="V34">IFERROR(INDEX(Analytica!$F$59:$AY$138,MATCH($B34,Analytica!$B$59:$B$168,0),MATCH(V$15&amp;V$10,Analytica!$F$58:$AY$58&amp;Analytica!$F$51:'Analytica'!$AY$51,0)),"")</f>
        <v>6.4898088664549514</v>
      </c>
      <c r="W34" s="620">
        <f t="array" ref="W34">IFERROR(INDEX(Analytica!$F$59:$AY$138,MATCH($B34,Analytica!$B$59:$B$168,0),MATCH(W$15&amp;W$10,Analytica!$F$58:$AY$58&amp;Analytica!$F$51:'Analytica'!$AY$51,0)),"")</f>
        <v>6.7108439094574974</v>
      </c>
      <c r="X34" s="620">
        <f t="array" ref="X34">IFERROR(INDEX(Analytica!$F$59:$AY$138,MATCH($B34,Analytica!$B$59:$B$168,0),MATCH(X$15&amp;X$10,Analytica!$F$58:$AY$58&amp;Analytica!$F$51:'Analytica'!$AY$51,0)),"")</f>
        <v>6.8579169767116186</v>
      </c>
      <c r="Y34" s="620">
        <f t="array" ref="Y34">IFERROR(INDEX(Analytica!$F$59:$AY$138,MATCH($B34,Analytica!$B$59:$B$168,0),MATCH(Y$15&amp;Y$10,Analytica!$F$58:$AY$58&amp;Analytica!$F$51:'Analytica'!$AY$51,0)),"")</f>
        <v>6.9436602180407245</v>
      </c>
      <c r="Z34" s="694">
        <f t="shared" si="41"/>
        <v>23</v>
      </c>
      <c r="AA34" s="694">
        <f t="shared" si="4"/>
        <v>23</v>
      </c>
      <c r="AB34" s="922">
        <v>2080</v>
      </c>
      <c r="AC34" s="1">
        <f t="shared" ca="1" si="5"/>
        <v>17</v>
      </c>
      <c r="AD34" s="1">
        <v>1</v>
      </c>
      <c r="AE34" s="1" t="str">
        <f t="shared" si="6"/>
        <v>S_TPPRCAR</v>
      </c>
      <c r="AF34" s="1" t="str">
        <f t="shared" si="26"/>
        <v>S_TPPRCARBGS</v>
      </c>
      <c r="AG34" s="714" t="str">
        <f t="shared" si="27"/>
        <v>TPPRCARBGS-N_L</v>
      </c>
      <c r="AH34" s="1" t="str">
        <f t="shared" si="28"/>
        <v>TPPRCARBGS-N_U</v>
      </c>
      <c r="AI34" s="194">
        <v>0</v>
      </c>
      <c r="AJ34" s="699">
        <f>SUMIF(Analytica!$B$59:$B$137,B34,Analytica!$BB$59:$BB$192)</f>
        <v>0</v>
      </c>
      <c r="AK34" s="697" t="e">
        <f>IF($AP$10,BK34,#REF!)</f>
        <v>#REF!</v>
      </c>
      <c r="AL34" s="697" t="e">
        <f t="shared" si="40"/>
        <v>#REF!</v>
      </c>
      <c r="AM34" s="697" t="e">
        <f t="shared" si="40"/>
        <v>#REF!</v>
      </c>
      <c r="AN34" s="697">
        <f t="shared" si="40"/>
        <v>1</v>
      </c>
      <c r="AO34" s="697">
        <f t="shared" si="40"/>
        <v>1</v>
      </c>
      <c r="AP34" s="194">
        <v>1</v>
      </c>
      <c r="AQ34" s="650">
        <f t="shared" si="29"/>
        <v>0</v>
      </c>
      <c r="AR34" s="697" t="e">
        <f>IF($AP$10,BR34,#REF!)</f>
        <v>#REF!</v>
      </c>
      <c r="AS34" s="697" t="e">
        <f t="shared" si="30"/>
        <v>#REF!</v>
      </c>
      <c r="AT34" s="697">
        <f t="shared" si="30"/>
        <v>0</v>
      </c>
      <c r="AU34" s="697">
        <f t="shared" si="30"/>
        <v>0</v>
      </c>
      <c r="AV34" s="697">
        <f t="shared" si="30"/>
        <v>0</v>
      </c>
      <c r="AX34" s="698">
        <v>0</v>
      </c>
      <c r="AY34" s="697" t="e">
        <f>IF(#REF!&lt;&gt;"",(AY$11-#REF!)/(BA$11-#REF!)*(BA34-#REF!)+#REF!,"")</f>
        <v>#REF!</v>
      </c>
      <c r="AZ34" s="697" t="e">
        <f t="shared" si="12"/>
        <v>#REF!</v>
      </c>
      <c r="BA34" s="697">
        <f t="shared" si="13"/>
        <v>1</v>
      </c>
      <c r="BB34" s="697">
        <f t="shared" si="13"/>
        <v>1</v>
      </c>
      <c r="BC34" s="711"/>
      <c r="BD34" s="697">
        <f t="shared" si="14"/>
        <v>0</v>
      </c>
      <c r="BE34" s="697" t="e">
        <f>IF(#REF!&lt;&gt;"",(BE$11-#REF!)/(BG$11-#REF!)*(BG34-#REF!)+#REF!,"")</f>
        <v>#REF!</v>
      </c>
      <c r="BF34" s="697">
        <f t="shared" si="15"/>
        <v>0</v>
      </c>
      <c r="BG34" s="697">
        <f t="shared" si="15"/>
        <v>0</v>
      </c>
      <c r="BH34" s="697">
        <f t="shared" si="15"/>
        <v>0</v>
      </c>
      <c r="BI34" s="692"/>
      <c r="BJ34" s="693">
        <v>0</v>
      </c>
      <c r="BK34" s="697">
        <v>0</v>
      </c>
      <c r="BL34" s="697">
        <v>0</v>
      </c>
      <c r="BM34" s="697">
        <f t="shared" si="33"/>
        <v>0.1</v>
      </c>
      <c r="BN34" s="697">
        <v>0.2</v>
      </c>
      <c r="BO34" s="697">
        <v>0.5</v>
      </c>
      <c r="BP34" s="194"/>
      <c r="BQ34" s="650">
        <f t="shared" si="34"/>
        <v>0</v>
      </c>
      <c r="BR34" s="697">
        <v>0</v>
      </c>
      <c r="BS34" s="697" t="e">
        <f t="shared" ref="BS34:BS40" si="43">IF(BR34&lt;&gt;"",(BS$11-BR$11)/(BU$11-BR$11)*(BU34-BR34)+BR34,"")</f>
        <v>#REF!</v>
      </c>
      <c r="BT34" s="697" t="e">
        <f t="shared" si="35"/>
        <v>#REF!</v>
      </c>
      <c r="BU34" s="697">
        <v>0</v>
      </c>
      <c r="BV34" s="697">
        <v>0</v>
      </c>
      <c r="BW34" s="692"/>
      <c r="BX34" s="707" t="str">
        <f t="shared" si="36"/>
        <v>TPPRCARBGS-N</v>
      </c>
      <c r="BY34" s="1" t="str">
        <f t="shared" ca="1" si="21"/>
        <v>-	S_TPPRCARBGS	1	TPPRCARBGS-N Set	1	10/03/2023 17:53:59	null	((tblITEMS.Item Like "TPPRCARBGS-N*"))	null	null	null	null	null	null	null</v>
      </c>
      <c r="BZ34" s="1" t="str">
        <f t="shared" si="22"/>
        <v>-	S_TPPRCARBGS	1	1	True	Like "TPPRCARBGS-N*"</v>
      </c>
      <c r="CI34" s="1">
        <f>SUMIF($CI$10:$CI$11,RIGHT(C34,3),$CJ$10:$CJ$11)</f>
        <v>0</v>
      </c>
      <c r="CJ34" s="1">
        <v>11</v>
      </c>
      <c r="CK34" s="625" t="e">
        <f>CJ34/CI34</f>
        <v>#DIV/0!</v>
      </c>
      <c r="CL34" s="625" t="e">
        <f>#REF!</f>
        <v>#REF!</v>
      </c>
      <c r="CM34" s="625" t="e">
        <f>CK34/#REF!</f>
        <v>#DIV/0!</v>
      </c>
      <c r="CN34" s="2" t="e">
        <f>#REF!*1000</f>
        <v>#REF!</v>
      </c>
      <c r="CO34" s="2">
        <f t="shared" si="37"/>
        <v>19100</v>
      </c>
      <c r="CP34" s="9" t="e">
        <f t="shared" si="38"/>
        <v>#REF!</v>
      </c>
      <c r="CQ34" s="9" t="e">
        <f t="shared" si="39"/>
        <v>#REF!</v>
      </c>
    </row>
    <row r="35" spans="1:95" x14ac:dyDescent="0.2">
      <c r="A35" s="191" t="s">
        <v>1124</v>
      </c>
      <c r="B35" s="191"/>
      <c r="C35" s="612"/>
      <c r="D35" s="612"/>
      <c r="E35" s="702" t="str">
        <f t="array" ref="E35">IFERROR(INDEX(Analytica!$F$59:$AY$138,MATCH($B35,Analytica!$B$59:$B$168,0),MATCH(E$15&amp;E$10,Analytica!$F$58:$AY$58&amp;Analytica!$F$51:'Analytica'!$AY$51,0)),"")</f>
        <v/>
      </c>
      <c r="F35" s="702" t="str">
        <f t="array" ref="F35">IFERROR(INDEX(Analytica!$F$59:$AY$138,MATCH($B35,Analytica!$B$59:$B$168,0),MATCH(F$15&amp;F$10,Analytica!$F$58:$AY$58&amp;Analytica!$F$51:'Analytica'!$AY$51,0)),"")</f>
        <v/>
      </c>
      <c r="G35" s="702" t="str">
        <f t="array" ref="G35">IFERROR(INDEX(Analytica!$F$59:$AY$138,MATCH($B35,Analytica!$B$59:$B$168,0),MATCH(G$15&amp;G$10,Analytica!$F$58:$AY$58&amp;Analytica!$F$51:'Analytica'!$AY$51,0)),"")</f>
        <v/>
      </c>
      <c r="H35" s="702" t="str">
        <f t="array" ref="H35">IFERROR(INDEX(Analytica!$F$59:$AY$138,MATCH($B35,Analytica!$B$59:$B$168,0),MATCH(H$15&amp;H$10,Analytica!$F$58:$AY$58&amp;Analytica!$F$51:'Analytica'!$AY$51,0)),"")</f>
        <v/>
      </c>
      <c r="I35" s="701">
        <v>1</v>
      </c>
      <c r="J35" s="701">
        <v>1</v>
      </c>
      <c r="K35" s="701">
        <v>1</v>
      </c>
      <c r="L35" s="701">
        <v>1</v>
      </c>
      <c r="M35" s="701">
        <v>1</v>
      </c>
      <c r="N35" s="696" t="str">
        <f>IF(B35="","",MAX(N$18:N34)+1)</f>
        <v/>
      </c>
      <c r="O35" s="702" t="str">
        <f t="array" ref="O35">IFERROR(INDEX(Analytica!$F$59:$AY$138,MATCH($B35,Analytica!$B$59:$B$168,0),MATCH(O$15&amp;O$10,Analytica!$F$58:$AY$58&amp;Analytica!$F$51:'Analytica'!$AY$51,0)),"")</f>
        <v/>
      </c>
      <c r="P35" s="620" t="str">
        <f t="array" ref="P35">IFERROR(INDEX(Analytica!$F$59:$AY$138,MATCH($B35,Analytica!$B$59:$B$168,0),MATCH(P$15&amp;P$10,Analytica!$F$58:$AY$58&amp;Analytica!$F$51:'Analytica'!$AY$51,0)),"")</f>
        <v/>
      </c>
      <c r="Q35" s="620" t="str">
        <f t="array" ref="Q35">IFERROR(INDEX(Analytica!$F$59:$AY$138,MATCH($B35,Analytica!$B$59:$B$168,0),MATCH(Q$15&amp;Q$10,Analytica!$F$58:$AY$58&amp;Analytica!$F$51:'Analytica'!$AY$51,0)),"")</f>
        <v/>
      </c>
      <c r="R35" s="620" t="str">
        <f t="array" ref="R35">IFERROR(INDEX(Analytica!$F$59:$AY$138,MATCH($B35,Analytica!$B$59:$B$168,0),MATCH(R$15&amp;R$10,Analytica!$F$58:$AY$58&amp;Analytica!$F$51:'Analytica'!$AY$51,0)),"")</f>
        <v/>
      </c>
      <c r="S35" s="620" t="str">
        <f t="array" ref="S35">IFERROR(INDEX(Analytica!$F$59:$AY$138,MATCH($B35,Analytica!$B$59:$B$168,0),MATCH(S$15&amp;S$10,Analytica!$F$58:$AY$58&amp;Analytica!$F$51:'Analytica'!$AY$51,0)),"")</f>
        <v/>
      </c>
      <c r="T35" s="620" t="str">
        <f t="array" ref="T35">IFERROR(INDEX(Analytica!$F$59:$AY$138,MATCH($B35,Analytica!$B$59:$B$168,0),MATCH(T$15&amp;T$10,Analytica!$F$58:$AY$58&amp;Analytica!$F$51:'Analytica'!$AY$51,0)),"")</f>
        <v/>
      </c>
      <c r="U35" s="620" t="str">
        <f t="array" ref="U35">IFERROR(INDEX(Analytica!$F$59:$AY$138,MATCH($B35,Analytica!$B$59:$B$168,0),MATCH(U$15&amp;U$10,Analytica!$F$58:$AY$58&amp;Analytica!$F$51:'Analytica'!$AY$51,0)),"")</f>
        <v/>
      </c>
      <c r="V35" s="620" t="str">
        <f t="array" ref="V35">IFERROR(INDEX(Analytica!$F$59:$AY$138,MATCH($B35,Analytica!$B$59:$B$168,0),MATCH(V$15&amp;V$10,Analytica!$F$58:$AY$58&amp;Analytica!$F$51:'Analytica'!$AY$51,0)),"")</f>
        <v/>
      </c>
      <c r="W35" s="620" t="str">
        <f t="array" ref="W35">IFERROR(INDEX(Analytica!$F$59:$AY$138,MATCH($B35,Analytica!$B$59:$B$168,0),MATCH(W$15&amp;W$10,Analytica!$F$58:$AY$58&amp;Analytica!$F$51:'Analytica'!$AY$51,0)),"")</f>
        <v/>
      </c>
      <c r="X35" s="620" t="str">
        <f t="array" ref="X35">IFERROR(INDEX(Analytica!$F$59:$AY$138,MATCH($B35,Analytica!$B$59:$B$168,0),MATCH(X$15&amp;X$10,Analytica!$F$58:$AY$58&amp;Analytica!$F$51:'Analytica'!$AY$51,0)),"")</f>
        <v/>
      </c>
      <c r="Y35" s="620" t="str">
        <f t="array" ref="Y35">IFERROR(INDEX(Analytica!$F$59:$AY$138,MATCH($B35,Analytica!$B$59:$B$168,0),MATCH(Y$15&amp;Y$10,Analytica!$F$58:$AY$58&amp;Analytica!$F$51:'Analytica'!$AY$51,0)),"")</f>
        <v/>
      </c>
      <c r="Z35" s="694"/>
      <c r="AA35" s="694">
        <f t="shared" si="4"/>
        <v>0</v>
      </c>
      <c r="AB35" s="694">
        <f t="shared" si="42"/>
        <v>2018</v>
      </c>
      <c r="AC35" s="1">
        <f t="shared" ca="1" si="5"/>
        <v>18</v>
      </c>
      <c r="AE35" s="1" t="str">
        <f t="shared" si="6"/>
        <v>S_</v>
      </c>
      <c r="AF35" s="1" t="str">
        <f>AE31</f>
        <v>S_TPPRCAR</v>
      </c>
      <c r="AG35" s="1"/>
      <c r="AI35" s="194">
        <v>0</v>
      </c>
      <c r="AJ35" s="699"/>
      <c r="AM35" s="1"/>
      <c r="AP35" s="194">
        <v>1</v>
      </c>
      <c r="AT35" s="1"/>
      <c r="AX35" s="698"/>
      <c r="AY35" s="697" t="e">
        <f>IF(#REF!&lt;&gt;"",(AY$11-#REF!)/(BA$11-#REF!)*(BA35-#REF!)+#REF!,"")</f>
        <v>#REF!</v>
      </c>
      <c r="AZ35" s="697" t="e">
        <f t="shared" si="12"/>
        <v>#REF!</v>
      </c>
      <c r="BA35" s="697">
        <f t="shared" si="13"/>
        <v>1</v>
      </c>
      <c r="BB35" s="697">
        <f t="shared" si="13"/>
        <v>1</v>
      </c>
      <c r="BC35" s="711"/>
      <c r="BD35" s="697">
        <f t="shared" si="14"/>
        <v>0</v>
      </c>
      <c r="BE35" s="697" t="e">
        <f>IF(#REF!&lt;&gt;"",(BE$11-#REF!)/(BG$11-#REF!)*(BG35-#REF!)+#REF!,"")</f>
        <v>#REF!</v>
      </c>
      <c r="BF35" s="697">
        <f t="shared" si="15"/>
        <v>0</v>
      </c>
      <c r="BG35" s="697">
        <f t="shared" si="15"/>
        <v>0</v>
      </c>
      <c r="BH35" s="697">
        <f t="shared" si="15"/>
        <v>0</v>
      </c>
      <c r="BI35" s="692"/>
      <c r="BJ35" s="693"/>
      <c r="BL35" s="1" t="str">
        <f t="shared" ref="BL35:BL41" si="44">IF(BK35&lt;&gt;"",(BL$11-BK$11)/(BN$11-BK$11)*(BN35-BK35)+BK35,"")</f>
        <v/>
      </c>
      <c r="BP35" s="194"/>
      <c r="BS35" s="1" t="str">
        <f t="shared" si="43"/>
        <v/>
      </c>
      <c r="BT35" s="1"/>
      <c r="BW35" s="692"/>
      <c r="BX35" s="1" t="str">
        <f>D31</f>
        <v>TPPRCAR</v>
      </c>
      <c r="BY35" s="1" t="str">
        <f t="shared" ca="1" si="21"/>
        <v>-	S_TPPRCAR	1	TPPRCAR Set	1	10/03/2023 17:53:59	null	((tblITEMS.Item Like "TPPRCAR*"))	null	null	null	null	null	null	null</v>
      </c>
      <c r="BZ35" s="1" t="str">
        <f t="shared" si="22"/>
        <v>-	S_TPPRCAR	1	1	True	Like "TPPRCAR*"</v>
      </c>
      <c r="CK35" s="625"/>
      <c r="CL35" s="625"/>
      <c r="CM35" s="625"/>
      <c r="CN35" s="2"/>
      <c r="CO35" s="2"/>
      <c r="CP35" s="9"/>
      <c r="CQ35" s="9"/>
    </row>
    <row r="36" spans="1:95" x14ac:dyDescent="0.2">
      <c r="A36" s="191" t="str">
        <f>ITEMS_nTech!C27</f>
        <v>Transport Passenger Moto Priv.Veh. Oil Gasoline-N</v>
      </c>
      <c r="B36" s="191" t="str">
        <f>D36&amp;RIGHT(C36,3)&amp;"-N"</f>
        <v>TPPRMOTOGS-N</v>
      </c>
      <c r="C36" s="612" t="str">
        <f>$G$6</f>
        <v>TRAOGS</v>
      </c>
      <c r="D36" s="612" t="str">
        <f>TRP!$B$23</f>
        <v>TPPRMOT</v>
      </c>
      <c r="E36" s="702">
        <f t="array" ref="E36">IFERROR(INDEX(Analytica!$F$59:$AY$138,MATCH($B36,Analytica!$B$59:$B$168,0),MATCH(E$15&amp;E$10,Analytica!$F$58:$AY$58&amp;Analytica!$F$51:'Analytica'!$AY$51,0)),"")</f>
        <v>0.59370801453640365</v>
      </c>
      <c r="F36" s="702">
        <f t="array" ref="F36">IFERROR(INDEX(Analytica!$F$59:$AY$138,MATCH($B36,Analytica!$B$59:$B$168,0),MATCH(F$15&amp;F$10,Analytica!$F$58:$AY$58&amp;Analytica!$F$51:'Analytica'!$AY$51,0)),"")</f>
        <v>0.64012937521432356</v>
      </c>
      <c r="G36" s="702">
        <f t="array" ref="G36">IFERROR(INDEX(Analytica!$F$59:$AY$138,MATCH($B36,Analytica!$B$59:$B$168,0),MATCH(G$15&amp;G$10,Analytica!$F$58:$AY$58&amp;Analytica!$F$51:'Analytica'!$AY$51,0)),"")</f>
        <v>0.7078085611195819</v>
      </c>
      <c r="H36" s="702">
        <f t="array" ref="H36">IFERROR(INDEX(Analytica!$F$59:$AY$138,MATCH($B36,Analytica!$B$59:$B$168,0),MATCH(H$15&amp;H$10,Analytica!$F$58:$AY$58&amp;Analytica!$F$51:'Analytica'!$AY$51,0)),"")</f>
        <v>0.7826432883609411</v>
      </c>
      <c r="I36" s="701">
        <v>1</v>
      </c>
      <c r="J36" s="701">
        <v>1</v>
      </c>
      <c r="K36" s="701">
        <v>1</v>
      </c>
      <c r="L36" s="701">
        <v>1</v>
      </c>
      <c r="M36" s="701">
        <v>1</v>
      </c>
      <c r="N36" s="696">
        <f>IF(B36="","",MAX(N$18:N35)+1)</f>
        <v>17</v>
      </c>
      <c r="O36" s="702">
        <f t="array" ref="O36">IFERROR(INDEX(Analytica!$F$59:$AY$138,MATCH($B36,Analytica!$B$59:$B$168,0),MATCH(O$15&amp;O$10,Analytica!$F$58:$AY$58&amp;Analytica!$F$51:'Analytica'!$AY$51,0)),"")</f>
        <v>1.4999999999999999E-2</v>
      </c>
      <c r="P36" s="620">
        <f t="array" ref="P36">IFERROR(INDEX(Analytica!$F$59:$AY$138,MATCH($B36,Analytica!$B$59:$B$168,0),MATCH(P$15&amp;P$10,Analytica!$F$58:$AY$58&amp;Analytica!$F$51:'Analytica'!$AY$51,0)),"")</f>
        <v>100.95258236707701</v>
      </c>
      <c r="Q36" s="620">
        <f t="array" ref="Q36">IFERROR(INDEX(Analytica!$F$59:$AY$138,MATCH($B36,Analytica!$B$59:$B$168,0),MATCH(Q$15&amp;Q$10,Analytica!$F$58:$AY$58&amp;Analytica!$F$51:'Analytica'!$AY$51,0)),"")</f>
        <v>102.36283931314476</v>
      </c>
      <c r="R36" s="620">
        <f t="array" ref="R36">IFERROR(INDEX(Analytica!$F$59:$AY$138,MATCH($B36,Analytica!$B$59:$B$168,0),MATCH(R$15&amp;R$10,Analytica!$F$58:$AY$58&amp;Analytica!$F$51:'Analytica'!$AY$51,0)),"")</f>
        <v>103.77309625921252</v>
      </c>
      <c r="S36" s="620">
        <f t="array" ref="S36">IFERROR(INDEX(Analytica!$F$59:$AY$138,MATCH($B36,Analytica!$B$59:$B$168,0),MATCH(S$15&amp;S$10,Analytica!$F$58:$AY$58&amp;Analytica!$F$51:'Analytica'!$AY$51,0)),"")</f>
        <v>105.37719050256098</v>
      </c>
      <c r="T36" s="620">
        <f t="array" ref="T36">IFERROR(INDEX(Analytica!$F$59:$AY$138,MATCH($B36,Analytica!$B$59:$B$168,0),MATCH(T$15&amp;T$10,Analytica!$F$58:$AY$58&amp;Analytica!$F$51:'Analytica'!$AY$51,0)),"")</f>
        <v>106.98128474590941</v>
      </c>
      <c r="U36" s="620">
        <f t="array" ref="U36">IFERROR(INDEX(Analytica!$F$59:$AY$138,MATCH($B36,Analytica!$B$59:$B$168,0),MATCH(U$15&amp;U$10,Analytica!$F$58:$AY$58&amp;Analytica!$F$51:'Analytica'!$AY$51,0)),"")</f>
        <v>108.46433187891265</v>
      </c>
      <c r="V36" s="620">
        <f t="array" ref="V36">IFERROR(INDEX(Analytica!$F$59:$AY$138,MATCH($B36,Analytica!$B$59:$B$168,0),MATCH(V$15&amp;V$10,Analytica!$F$58:$AY$58&amp;Analytica!$F$51:'Analytica'!$AY$51,0)),"")</f>
        <v>2.7257197239110793</v>
      </c>
      <c r="W36" s="620">
        <f t="array" ref="W36">IFERROR(INDEX(Analytica!$F$59:$AY$138,MATCH($B36,Analytica!$B$59:$B$168,0),MATCH(W$15&amp;W$10,Analytica!$F$58:$AY$58&amp;Analytica!$F$51:'Analytica'!$AY$51,0)),"")</f>
        <v>2.8018735989987382</v>
      </c>
      <c r="X36" s="620">
        <f t="array" ref="X36">IFERROR(INDEX(Analytica!$F$59:$AY$138,MATCH($B36,Analytica!$B$59:$B$168,0),MATCH(X$15&amp;X$10,Analytica!$F$58:$AY$58&amp;Analytica!$F$51:'Analytica'!$AY$51,0)),"")</f>
        <v>2.8884946881395539</v>
      </c>
      <c r="Y36" s="620">
        <f t="array" ref="Y36">IFERROR(INDEX(Analytica!$F$59:$AY$138,MATCH($B36,Analytica!$B$59:$B$168,0),MATCH(Y$15&amp;Y$10,Analytica!$F$58:$AY$58&amp;Analytica!$F$51:'Analytica'!$AY$51,0)),"")</f>
        <v>2.9285369607306415</v>
      </c>
      <c r="Z36" s="694">
        <v>8</v>
      </c>
      <c r="AA36" s="694">
        <f t="shared" si="4"/>
        <v>8</v>
      </c>
      <c r="AB36" s="694">
        <f t="shared" si="42"/>
        <v>2018</v>
      </c>
      <c r="AC36" s="1">
        <f t="shared" ca="1" si="5"/>
        <v>19</v>
      </c>
      <c r="AE36" s="1" t="str">
        <f t="shared" si="6"/>
        <v>S_TPPRMOT</v>
      </c>
      <c r="AF36" s="1" t="str">
        <f>IF(B36="","","S_"&amp;LEFT(B36,LEN(B36)-2))</f>
        <v>S_TPPRMOTOGS</v>
      </c>
      <c r="AG36" s="1"/>
      <c r="AI36" s="194">
        <v>0</v>
      </c>
      <c r="AJ36" s="699">
        <f>SUMIF(Analytica!$B$59:$B$137,B36,Analytica!$BA$59:$BA$192)</f>
        <v>1</v>
      </c>
      <c r="AK36" s="697" t="e">
        <f>IF($AP$10,BK36,#REF!)</f>
        <v>#REF!</v>
      </c>
      <c r="AL36" s="697" t="e">
        <f t="shared" ref="AL36:AO37" si="45">IF($AP$10,BL36,AY36)</f>
        <v>#REF!</v>
      </c>
      <c r="AM36" s="697" t="e">
        <f t="shared" si="45"/>
        <v>#REF!</v>
      </c>
      <c r="AN36" s="697">
        <f t="shared" si="45"/>
        <v>1</v>
      </c>
      <c r="AO36" s="697">
        <f t="shared" si="45"/>
        <v>1</v>
      </c>
      <c r="AP36" s="194">
        <v>1</v>
      </c>
      <c r="AQ36" s="650">
        <f>AJ36</f>
        <v>1</v>
      </c>
      <c r="AR36" s="697" t="e">
        <f>IF($AP$10,BR36,#REF!)</f>
        <v>#REF!</v>
      </c>
      <c r="AS36" s="697" t="e">
        <f t="shared" ref="AS36:AV37" si="46">IF($AP$10,BS36,BE36)</f>
        <v>#REF!</v>
      </c>
      <c r="AT36" s="697">
        <f t="shared" si="46"/>
        <v>0.5</v>
      </c>
      <c r="AU36" s="697">
        <f t="shared" si="46"/>
        <v>0</v>
      </c>
      <c r="AV36" s="697">
        <f t="shared" si="46"/>
        <v>0</v>
      </c>
      <c r="AX36" s="698">
        <f>$AJ36</f>
        <v>1</v>
      </c>
      <c r="AY36" s="697" t="e">
        <f>IF(#REF!&lt;&gt;"",(AY$11-#REF!)/(BA$11-#REF!)*(BA36-#REF!)+#REF!,"")</f>
        <v>#REF!</v>
      </c>
      <c r="AZ36" s="697" t="e">
        <f t="shared" si="12"/>
        <v>#REF!</v>
      </c>
      <c r="BA36" s="697">
        <f t="shared" si="13"/>
        <v>1</v>
      </c>
      <c r="BB36" s="697">
        <f t="shared" si="13"/>
        <v>1</v>
      </c>
      <c r="BC36" s="711"/>
      <c r="BD36" s="697">
        <f t="shared" si="14"/>
        <v>1</v>
      </c>
      <c r="BE36" s="697" t="e">
        <f>IF(#REF!&lt;&gt;"",(BE$11-#REF!)/(BG$11-#REF!)*(BG36-#REF!)+#REF!,"")</f>
        <v>#REF!</v>
      </c>
      <c r="BF36" s="697">
        <f t="shared" si="15"/>
        <v>0.5</v>
      </c>
      <c r="BG36" s="697">
        <f t="shared" si="15"/>
        <v>0</v>
      </c>
      <c r="BH36" s="697">
        <f t="shared" si="15"/>
        <v>0</v>
      </c>
      <c r="BI36" s="692"/>
      <c r="BJ36" s="693">
        <f>$AJ36</f>
        <v>1</v>
      </c>
      <c r="BK36" s="697">
        <f>MIN(1,$AJ36+BK$12)</f>
        <v>1</v>
      </c>
      <c r="BL36" s="697" t="e">
        <f t="shared" si="44"/>
        <v>#REF!</v>
      </c>
      <c r="BM36" s="697" t="e">
        <f>BL36+(BM$11-BL$11)/(BN$11-BL$11)*(BN36-BL36)</f>
        <v>#REF!</v>
      </c>
      <c r="BN36" s="697">
        <f>MIN(1,$AJ36+BN$12)</f>
        <v>1</v>
      </c>
      <c r="BO36" s="697">
        <f>MIN(1,$AJ36+BO$12)</f>
        <v>1</v>
      </c>
      <c r="BP36" s="194"/>
      <c r="BQ36" s="650">
        <f>AJ36</f>
        <v>1</v>
      </c>
      <c r="BR36" s="697">
        <f>$AQ36*BR$12</f>
        <v>1</v>
      </c>
      <c r="BS36" s="697" t="e">
        <f t="shared" si="43"/>
        <v>#REF!</v>
      </c>
      <c r="BT36" s="697" t="e">
        <f>BS36+(BT$11-BS$11)/(BU$11-BS$11)*(BU36-BS36)</f>
        <v>#REF!</v>
      </c>
      <c r="BU36" s="697">
        <f>$AQ36*BU$12</f>
        <v>0.25</v>
      </c>
      <c r="BV36" s="697">
        <f>$AQ36*BV$12</f>
        <v>0.1</v>
      </c>
      <c r="BW36" s="692"/>
      <c r="BX36" s="1" t="str">
        <f>D32</f>
        <v>TPPRCAR</v>
      </c>
      <c r="BY36" s="1" t="str">
        <f t="shared" ca="1" si="21"/>
        <v>-	S_TPPRMOTOGS	1	TPPRCAR Set	1	10/03/2023 17:53:59	null	((tblITEMS.Item Like "TPPRCAR*"))	null	null	null	null	null	null	null</v>
      </c>
      <c r="BZ36" s="1" t="str">
        <f t="shared" si="22"/>
        <v>-	S_TPPRMOTOGS	1	1	True	Like "TPPRCAR*"</v>
      </c>
      <c r="CI36" s="1">
        <f>SUMIF($CI$10:$CI$11,RIGHT(C36,3),$CJ$10:$CJ$11)</f>
        <v>34.200000000000003</v>
      </c>
      <c r="CJ36" s="1">
        <v>10</v>
      </c>
      <c r="CK36" s="625">
        <f>CJ36/CI36</f>
        <v>0.29239766081871343</v>
      </c>
      <c r="CL36" s="625" t="e">
        <f>#REF!</f>
        <v>#REF!</v>
      </c>
      <c r="CM36" s="625" t="e">
        <f>CK36/#REF!</f>
        <v>#REF!</v>
      </c>
      <c r="CN36" s="2" t="e">
        <f>#REF!*1000</f>
        <v>#REF!</v>
      </c>
      <c r="CO36" s="2">
        <f>O36*1000000</f>
        <v>15000</v>
      </c>
      <c r="CP36" s="9" t="e">
        <f>-PMT($CL$14,Z36,CN36)/CO36</f>
        <v>#REF!</v>
      </c>
      <c r="CQ36" s="9" t="e">
        <f>CP36+CM36</f>
        <v>#REF!</v>
      </c>
    </row>
    <row r="37" spans="1:95" x14ac:dyDescent="0.2">
      <c r="A37" s="191" t="str">
        <f>ITEMS_nTech!C28</f>
        <v>Transport Passenger Moto Priv.Veh. Electricity-N</v>
      </c>
      <c r="B37" s="191" t="str">
        <f>D37&amp;RIGHT(C37,3)&amp;"-N"</f>
        <v>TPPRMOTELC-N</v>
      </c>
      <c r="C37" s="612" t="str">
        <f>$E$6</f>
        <v>TRAELC</v>
      </c>
      <c r="D37" s="612" t="str">
        <f>TRP!$B$23</f>
        <v>TPPRMOT</v>
      </c>
      <c r="E37" s="702">
        <f t="array" ref="E37">IFERROR(INDEX(Analytica!$F$59:$AY$138,MATCH($B37,Analytica!$B$59:$B$168,0),MATCH(E$15&amp;E$10,Analytica!$F$58:$AY$58&amp;Analytica!$F$51:'Analytica'!$AY$51,0)),"")</f>
        <v>2.9446103530770351</v>
      </c>
      <c r="F37" s="702">
        <f t="array" ref="F37">IFERROR(INDEX(Analytica!$F$59:$AY$138,MATCH($B37,Analytica!$B$59:$B$168,0),MATCH(F$15&amp;F$10,Analytica!$F$58:$AY$58&amp;Analytica!$F$51:'Analytica'!$AY$51,0)),"")</f>
        <v>3.1748461186542651</v>
      </c>
      <c r="G37" s="702">
        <f t="array" ref="G37">IFERROR(INDEX(Analytica!$F$59:$AY$138,MATCH($B37,Analytica!$B$59:$B$168,0),MATCH(G$15&amp;G$10,Analytica!$F$58:$AY$58&amp;Analytica!$F$51:'Analytica'!$AY$51,0)),"")</f>
        <v>3.510514202333519</v>
      </c>
      <c r="H37" s="702">
        <f t="array" ref="H37">IFERROR(INDEX(Analytica!$F$59:$AY$138,MATCH($B37,Analytica!$B$59:$B$168,0),MATCH(H$15&amp;H$10,Analytica!$F$58:$AY$58&amp;Analytica!$F$51:'Analytica'!$AY$51,0)),"")</f>
        <v>3.8816715847661438</v>
      </c>
      <c r="I37" s="701">
        <v>1</v>
      </c>
      <c r="J37" s="701">
        <v>1</v>
      </c>
      <c r="K37" s="701">
        <v>1</v>
      </c>
      <c r="L37" s="701">
        <v>1</v>
      </c>
      <c r="M37" s="701">
        <v>1</v>
      </c>
      <c r="N37" s="696">
        <f>IF(B37="","",MAX(N$18:N36)+1)</f>
        <v>18</v>
      </c>
      <c r="O37" s="702">
        <f t="array" ref="O37">IFERROR(INDEX(Analytica!$F$59:$AY$138,MATCH($B37,Analytica!$B$59:$B$168,0),MATCH(O$15&amp;O$10,Analytica!$F$58:$AY$58&amp;Analytica!$F$51:'Analytica'!$AY$51,0)),"")</f>
        <v>1.4999999999999999E-2</v>
      </c>
      <c r="P37" s="620">
        <f t="array" ref="P37">IFERROR(INDEX(Analytica!$F$59:$AY$138,MATCH($B37,Analytica!$B$59:$B$168,0),MATCH(P$15&amp;P$10,Analytica!$F$58:$AY$58&amp;Analytica!$F$51:'Analytica'!$AY$51,0)),"")</f>
        <v>266.55563128707331</v>
      </c>
      <c r="Q37" s="620">
        <f t="array" ref="Q37">IFERROR(INDEX(Analytica!$F$59:$AY$138,MATCH($B37,Analytica!$B$59:$B$168,0),MATCH(Q$15&amp;Q$10,Analytica!$F$58:$AY$58&amp;Analytica!$F$51:'Analytica'!$AY$51,0)),"")</f>
        <v>251.83585109009613</v>
      </c>
      <c r="R37" s="620">
        <f t="array" ref="R37">IFERROR(INDEX(Analytica!$F$59:$AY$138,MATCH($B37,Analytica!$B$59:$B$168,0),MATCH(R$15&amp;R$10,Analytica!$F$58:$AY$58&amp;Analytica!$F$51:'Analytica'!$AY$51,0)),"")</f>
        <v>103.77309625921252</v>
      </c>
      <c r="S37" s="620">
        <f t="array" ref="S37">IFERROR(INDEX(Analytica!$F$59:$AY$138,MATCH($B37,Analytica!$B$59:$B$168,0),MATCH(S$15&amp;S$10,Analytica!$F$58:$AY$58&amp;Analytica!$F$51:'Analytica'!$AY$51,0)),"")</f>
        <v>105.37719050256098</v>
      </c>
      <c r="T37" s="620">
        <f t="array" ref="T37">IFERROR(INDEX(Analytica!$F$59:$AY$138,MATCH($B37,Analytica!$B$59:$B$168,0),MATCH(T$15&amp;T$10,Analytica!$F$58:$AY$58&amp;Analytica!$F$51:'Analytica'!$AY$51,0)),"")</f>
        <v>106.98128474590941</v>
      </c>
      <c r="U37" s="620">
        <f t="array" ref="U37">IFERROR(INDEX(Analytica!$F$59:$AY$138,MATCH($B37,Analytica!$B$59:$B$168,0),MATCH(U$15&amp;U$10,Analytica!$F$58:$AY$58&amp;Analytica!$F$51:'Analytica'!$AY$51,0)),"")</f>
        <v>108.46433187891265</v>
      </c>
      <c r="V37" s="620">
        <f t="array" ref="V37">IFERROR(INDEX(Analytica!$F$59:$AY$138,MATCH($B37,Analytica!$B$59:$B$168,0),MATCH(V$15&amp;V$10,Analytica!$F$58:$AY$58&amp;Analytica!$F$51:'Analytica'!$AY$51,0)),"")</f>
        <v>5.3977515335632349</v>
      </c>
      <c r="W37" s="620">
        <f t="array" ref="W37">IFERROR(INDEX(Analytica!$F$59:$AY$138,MATCH($B37,Analytica!$B$59:$B$168,0),MATCH(W$15&amp;W$10,Analytica!$F$58:$AY$58&amp;Analytica!$F$51:'Analytica'!$AY$51,0)),"")</f>
        <v>2.1014051992490534</v>
      </c>
      <c r="X37" s="620">
        <f t="array" ref="X37">IFERROR(INDEX(Analytica!$F$59:$AY$138,MATCH($B37,Analytica!$B$59:$B$168,0),MATCH(X$15&amp;X$10,Analytica!$F$58:$AY$58&amp;Analytica!$F$51:'Analytica'!$AY$51,0)),"")</f>
        <v>2.1663710161046654</v>
      </c>
      <c r="Y37" s="620">
        <f t="array" ref="Y37">IFERROR(INDEX(Analytica!$F$59:$AY$138,MATCH($B37,Analytica!$B$59:$B$168,0),MATCH(Y$15&amp;Y$10,Analytica!$F$58:$AY$58&amp;Analytica!$F$51:'Analytica'!$AY$51,0)),"")</f>
        <v>2.1964027205479812</v>
      </c>
      <c r="Z37" s="694">
        <v>8</v>
      </c>
      <c r="AA37" s="694">
        <f t="shared" si="4"/>
        <v>8</v>
      </c>
      <c r="AB37" s="694">
        <f t="shared" si="42"/>
        <v>2018</v>
      </c>
      <c r="AC37" s="1">
        <f t="shared" ca="1" si="5"/>
        <v>20</v>
      </c>
      <c r="AE37" s="1" t="str">
        <f t="shared" si="6"/>
        <v>S_TPPRMOT</v>
      </c>
      <c r="AF37" s="1" t="str">
        <f>IF(B37="","","S_"&amp;LEFT(B37,LEN(B37)-2))</f>
        <v>S_TPPRMOTELC</v>
      </c>
      <c r="AG37" s="1"/>
      <c r="AI37" s="194">
        <v>0</v>
      </c>
      <c r="AJ37" s="699">
        <f>SUMIF(Analytica!$B$59:$B$137,B37,Analytica!$BA$59:$BA$192)</f>
        <v>0</v>
      </c>
      <c r="AK37" s="697" t="e">
        <f>IF($AP$10,BK37,#REF!)</f>
        <v>#REF!</v>
      </c>
      <c r="AL37" s="697" t="e">
        <f t="shared" si="45"/>
        <v>#REF!</v>
      </c>
      <c r="AM37" s="697" t="e">
        <f t="shared" si="45"/>
        <v>#REF!</v>
      </c>
      <c r="AN37" s="697">
        <f t="shared" si="45"/>
        <v>1</v>
      </c>
      <c r="AO37" s="697">
        <f t="shared" si="45"/>
        <v>1</v>
      </c>
      <c r="AP37" s="194">
        <v>1</v>
      </c>
      <c r="AQ37" s="650">
        <f>AJ37</f>
        <v>0</v>
      </c>
      <c r="AR37" s="697" t="e">
        <f>IF($AP$10,BR37,#REF!)</f>
        <v>#REF!</v>
      </c>
      <c r="AS37" s="697" t="e">
        <f t="shared" si="46"/>
        <v>#REF!</v>
      </c>
      <c r="AT37" s="697">
        <f t="shared" si="46"/>
        <v>0</v>
      </c>
      <c r="AU37" s="697">
        <f t="shared" si="46"/>
        <v>0</v>
      </c>
      <c r="AV37" s="697">
        <f t="shared" si="46"/>
        <v>0</v>
      </c>
      <c r="AX37" s="698">
        <f>$AJ37</f>
        <v>0</v>
      </c>
      <c r="AY37" s="697" t="e">
        <f>IF(#REF!&lt;&gt;"",(AY$11-#REF!)/(BA$11-#REF!)*(BA37-#REF!)+#REF!,"")</f>
        <v>#REF!</v>
      </c>
      <c r="AZ37" s="697" t="e">
        <f t="shared" si="12"/>
        <v>#REF!</v>
      </c>
      <c r="BA37" s="697">
        <f t="shared" si="13"/>
        <v>1</v>
      </c>
      <c r="BB37" s="697">
        <f t="shared" si="13"/>
        <v>1</v>
      </c>
      <c r="BC37" s="711"/>
      <c r="BD37" s="697">
        <f t="shared" si="14"/>
        <v>0</v>
      </c>
      <c r="BE37" s="697" t="e">
        <f>IF(#REF!&lt;&gt;"",(BE$11-#REF!)/(BG$11-#REF!)*(BG37-#REF!)+#REF!,"")</f>
        <v>#REF!</v>
      </c>
      <c r="BF37" s="697">
        <f t="shared" si="15"/>
        <v>0</v>
      </c>
      <c r="BG37" s="697">
        <f t="shared" si="15"/>
        <v>0</v>
      </c>
      <c r="BH37" s="697">
        <f t="shared" si="15"/>
        <v>0</v>
      </c>
      <c r="BI37" s="692"/>
      <c r="BJ37" s="693">
        <f>$AJ37</f>
        <v>0</v>
      </c>
      <c r="BK37" s="697">
        <f>MIN(1,$AJ37+BK$12)</f>
        <v>0.02</v>
      </c>
      <c r="BL37" s="697" t="e">
        <f t="shared" si="44"/>
        <v>#REF!</v>
      </c>
      <c r="BM37" s="697" t="e">
        <f>BL37+(BM$11-BL$11)/(BN$11-BL$11)*(BN37-BL37)</f>
        <v>#REF!</v>
      </c>
      <c r="BN37" s="697">
        <f>MIN(1,$AJ37+BN$12)</f>
        <v>0.25</v>
      </c>
      <c r="BO37" s="697">
        <f>MIN(1,$AJ37+BO$12)</f>
        <v>0.5</v>
      </c>
      <c r="BP37" s="194"/>
      <c r="BQ37" s="650">
        <f>AJ37</f>
        <v>0</v>
      </c>
      <c r="BR37" s="697">
        <f>$AQ37*BR$12</f>
        <v>0</v>
      </c>
      <c r="BS37" s="697" t="e">
        <f t="shared" si="43"/>
        <v>#REF!</v>
      </c>
      <c r="BT37" s="697" t="e">
        <f>BS37+(BT$11-BS$11)/(BU$11-BS$11)*(BU37-BS37)</f>
        <v>#REF!</v>
      </c>
      <c r="BU37" s="697">
        <f>$AQ37*BU$12</f>
        <v>0</v>
      </c>
      <c r="BV37" s="697">
        <f>$AQ37*BV$12</f>
        <v>0</v>
      </c>
      <c r="BW37" s="692"/>
      <c r="BX37" s="1" t="str">
        <f>D33</f>
        <v>TPPRCAR</v>
      </c>
      <c r="BY37" s="1" t="str">
        <f t="shared" ca="1" si="21"/>
        <v>-	S_TPPRMOTELC	1	TPPRCAR Set	1	10/03/2023 17:53:59	null	((tblITEMS.Item Like "TPPRCAR*"))	null	null	null	null	null	null	null</v>
      </c>
      <c r="BZ37" s="1" t="str">
        <f t="shared" si="22"/>
        <v>-	S_TPPRMOTELC	1	1	True	Like "TPPRCAR*"</v>
      </c>
      <c r="CI37" s="1">
        <f>SUMIF($CI$10:$CI$11,RIGHT(C37,3),$CJ$10:$CJ$11)</f>
        <v>0</v>
      </c>
      <c r="CJ37" s="1">
        <v>11</v>
      </c>
      <c r="CK37" s="625" t="e">
        <f>CJ37/CI37</f>
        <v>#DIV/0!</v>
      </c>
      <c r="CL37" s="625" t="e">
        <f>#REF!</f>
        <v>#REF!</v>
      </c>
      <c r="CM37" s="625" t="e">
        <f>CK37/#REF!</f>
        <v>#DIV/0!</v>
      </c>
      <c r="CN37" s="2" t="e">
        <f>#REF!*1000</f>
        <v>#REF!</v>
      </c>
      <c r="CO37" s="2">
        <f>O37*1000000</f>
        <v>15000</v>
      </c>
      <c r="CP37" s="9" t="e">
        <f>-PMT($CL$14,Z37,CN37)/CO37</f>
        <v>#REF!</v>
      </c>
      <c r="CQ37" s="9" t="e">
        <f>CP37+CM37</f>
        <v>#REF!</v>
      </c>
    </row>
    <row r="38" spans="1:95" x14ac:dyDescent="0.2">
      <c r="A38" s="191" t="s">
        <v>1124</v>
      </c>
      <c r="B38" s="191"/>
      <c r="C38" s="612"/>
      <c r="D38" s="612"/>
      <c r="E38" s="702" t="str">
        <f t="array" ref="E38">IFERROR(INDEX(Analytica!$F$59:$AY$138,MATCH($B38,Analytica!$B$59:$B$168,0),MATCH(E$15&amp;E$10,Analytica!$F$58:$AY$58&amp;Analytica!$F$51:'Analytica'!$AY$51,0)),"")</f>
        <v/>
      </c>
      <c r="F38" s="702" t="str">
        <f t="array" ref="F38">IFERROR(INDEX(Analytica!$F$59:$AY$138,MATCH($B38,Analytica!$B$59:$B$168,0),MATCH(F$15&amp;F$10,Analytica!$F$58:$AY$58&amp;Analytica!$F$51:'Analytica'!$AY$51,0)),"")</f>
        <v/>
      </c>
      <c r="G38" s="702" t="str">
        <f t="array" ref="G38">IFERROR(INDEX(Analytica!$F$59:$AY$138,MATCH($B38,Analytica!$B$59:$B$168,0),MATCH(G$15&amp;G$10,Analytica!$F$58:$AY$58&amp;Analytica!$F$51:'Analytica'!$AY$51,0)),"")</f>
        <v/>
      </c>
      <c r="H38" s="702"/>
      <c r="I38" s="701"/>
      <c r="J38" s="701"/>
      <c r="K38" s="701"/>
      <c r="L38" s="701"/>
      <c r="M38" s="701"/>
      <c r="N38" s="696" t="str">
        <f>IF(B38="","",MAX(N$18:N37)+1)</f>
        <v/>
      </c>
      <c r="O38" s="702"/>
      <c r="P38" s="620"/>
      <c r="Q38" s="620" t="str">
        <f t="array" ref="Q38">IFERROR(INDEX(Analytica!$F$59:$AY$138,MATCH($B38,Analytica!$B$59:$B$168,0),MATCH(Q$15&amp;Q$10,Analytica!$F$58:$AY$58&amp;Analytica!$F$51:'Analytica'!$AY$51,0)),"")</f>
        <v/>
      </c>
      <c r="R38" s="620" t="str">
        <f t="array" ref="R38">IFERROR(INDEX(Analytica!$F$59:$AY$138,MATCH($B38,Analytica!$B$59:$B$168,0),MATCH(R$15&amp;R$10,Analytica!$F$58:$AY$58&amp;Analytica!$F$51:'Analytica'!$AY$51,0)),"")</f>
        <v/>
      </c>
      <c r="S38" s="620" t="str">
        <f t="array" ref="S38">IFERROR(INDEX(Analytica!$F$59:$AY$138,MATCH($B38,Analytica!$B$59:$B$168,0),MATCH(S$15&amp;S$10,Analytica!$F$58:$AY$58&amp;Analytica!$F$51:'Analytica'!$AY$51,0)),"")</f>
        <v/>
      </c>
      <c r="T38" s="620"/>
      <c r="U38" s="620"/>
      <c r="V38" s="620"/>
      <c r="W38" s="620"/>
      <c r="X38" s="620"/>
      <c r="Y38" s="620"/>
      <c r="Z38" s="694"/>
      <c r="AA38" s="694">
        <f t="shared" si="4"/>
        <v>0</v>
      </c>
      <c r="AB38" s="694">
        <f t="shared" si="42"/>
        <v>2018</v>
      </c>
      <c r="AC38" s="1">
        <f t="shared" ca="1" si="5"/>
        <v>21</v>
      </c>
      <c r="AE38" s="1" t="str">
        <f t="shared" si="6"/>
        <v>S_</v>
      </c>
      <c r="AF38" s="1" t="str">
        <f>AE36</f>
        <v>S_TPPRMOT</v>
      </c>
      <c r="AG38" s="1"/>
      <c r="AI38" s="194">
        <v>0</v>
      </c>
      <c r="AJ38" s="699"/>
      <c r="AM38" s="1"/>
      <c r="AP38" s="194">
        <v>1</v>
      </c>
      <c r="AT38" s="1"/>
      <c r="AX38" s="698"/>
      <c r="AY38" s="697" t="e">
        <f>IF(#REF!&lt;&gt;"",(AY$11-#REF!)/(BA$11-#REF!)*(BA38-#REF!)+#REF!,"")</f>
        <v>#REF!</v>
      </c>
      <c r="AZ38" s="697" t="e">
        <f t="shared" si="12"/>
        <v>#REF!</v>
      </c>
      <c r="BA38" s="697">
        <f t="shared" ref="BA38:BB57" si="47">MIN(1,$AJ38+BA$12)</f>
        <v>1</v>
      </c>
      <c r="BB38" s="697">
        <f t="shared" si="47"/>
        <v>1</v>
      </c>
      <c r="BC38" s="711"/>
      <c r="BD38" s="697">
        <f t="shared" si="14"/>
        <v>0</v>
      </c>
      <c r="BE38" s="697" t="e">
        <f>IF(#REF!&lt;&gt;"",(BE$11-#REF!)/(BG$11-#REF!)*(BG38-#REF!)+#REF!,"")</f>
        <v>#REF!</v>
      </c>
      <c r="BF38" s="697">
        <f t="shared" ref="BF38:BH57" si="48">$AQ38*BF$12</f>
        <v>0</v>
      </c>
      <c r="BG38" s="697">
        <f t="shared" si="48"/>
        <v>0</v>
      </c>
      <c r="BH38" s="697">
        <f t="shared" si="48"/>
        <v>0</v>
      </c>
      <c r="BI38" s="692"/>
      <c r="BJ38" s="693"/>
      <c r="BL38" s="1" t="str">
        <f t="shared" si="44"/>
        <v/>
      </c>
      <c r="BP38" s="194"/>
      <c r="BS38" s="1" t="str">
        <f t="shared" si="43"/>
        <v/>
      </c>
      <c r="BT38" s="1"/>
      <c r="BW38" s="692"/>
      <c r="BX38" s="1" t="str">
        <f>D36</f>
        <v>TPPRMOT</v>
      </c>
      <c r="BY38" s="1" t="str">
        <f t="shared" ca="1" si="21"/>
        <v>-	S_TPPRMOT	1	TPPRMOT Set	1	10/03/2023 17:53:59	null	((tblITEMS.Item Like "TPPRMOT*"))	null	null	null	null	null	null	null</v>
      </c>
      <c r="BZ38" s="1" t="str">
        <f t="shared" si="22"/>
        <v>-	S_TPPRMOT	1	1	True	Like "TPPRMOT*"</v>
      </c>
      <c r="CK38" s="625"/>
      <c r="CL38" s="625"/>
      <c r="CM38" s="625"/>
      <c r="CN38" s="2"/>
      <c r="CO38" s="2"/>
      <c r="CP38" s="9"/>
      <c r="CQ38" s="9"/>
    </row>
    <row r="39" spans="1:95" x14ac:dyDescent="0.2">
      <c r="A39" s="191" t="str">
        <f>ITEMS_nTech!C30</f>
        <v>Transport Passenger Bus Oil Diesel-N</v>
      </c>
      <c r="B39" s="191" t="str">
        <f>D39&amp;RIGHT(C39,3)&amp;"-N"</f>
        <v>TPPUBUSODS-N</v>
      </c>
      <c r="C39" s="612" t="str">
        <f>$D$6</f>
        <v>TRAODS</v>
      </c>
      <c r="D39" s="612" t="str">
        <f>TRP!$B$24</f>
        <v>TPPUBUS</v>
      </c>
      <c r="E39" s="702">
        <f t="array" ref="E39">IFERROR(INDEX(Analytica!$F$59:$AY$138,MATCH($B39,Analytica!$B$59:$B$168,0),MATCH(E$15&amp;E$10,Analytica!$F$58:$AY$58&amp;Analytica!$F$51:'Analytica'!$AY$51,0)),"")</f>
        <v>6.5323297732971908E-2</v>
      </c>
      <c r="F39" s="702">
        <f t="array" ref="F39">IFERROR(INDEX(Analytica!$F$59:$AY$138,MATCH($B39,Analytica!$B$59:$B$168,0),MATCH(F$15&amp;F$10,Analytica!$F$58:$AY$58&amp;Analytica!$F$51:'Analytica'!$AY$51,0)),"")</f>
        <v>7.043085277768743E-2</v>
      </c>
      <c r="G39" s="702">
        <f t="array" ref="G39">IFERROR(INDEX(Analytica!$F$59:$AY$138,MATCH($B39,Analytica!$B$59:$B$168,0),MATCH(G$15&amp;G$10,Analytica!$F$58:$AY$58&amp;Analytica!$F$51:'Analytica'!$AY$51,0)),"")</f>
        <v>7.7877320574937056E-2</v>
      </c>
      <c r="H39" s="702">
        <f t="array" ref="H39">IFERROR(INDEX(Analytica!$F$59:$AY$138,MATCH($B39,Analytica!$B$59:$B$168,0),MATCH(H$15&amp;H$10,Analytica!$F$58:$AY$58&amp;Analytica!$F$51:'Analytica'!$AY$51,0)),"")</f>
        <v>8.6111083718879447E-2</v>
      </c>
      <c r="I39" s="701">
        <v>1</v>
      </c>
      <c r="J39" s="701">
        <v>1</v>
      </c>
      <c r="K39" s="701">
        <v>1</v>
      </c>
      <c r="L39" s="701">
        <v>1</v>
      </c>
      <c r="M39" s="701">
        <v>1</v>
      </c>
      <c r="N39" s="696">
        <f>IF(B39="","",MAX(N$18:N38)+1)</f>
        <v>19</v>
      </c>
      <c r="O39" s="702">
        <f t="array" ref="O39">IFERROR(INDEX(Analytica!$F$59:$AY$138,MATCH($B39,Analytica!$B$59:$B$168,0),MATCH(O$15&amp;O$10,Analytica!$F$58:$AY$58&amp;Analytica!$F$51:'Analytica'!$AY$51,0)),"")</f>
        <v>0.06</v>
      </c>
      <c r="P39" s="620">
        <f t="array" ref="P39">IFERROR(INDEX(Analytica!$F$59:$AY$138,MATCH($B39,Analytica!$B$59:$B$168,0),MATCH(P$15&amp;P$10,Analytica!$F$58:$AY$58&amp;Analytica!$F$51:'Analytica'!$AY$51,0)),"")</f>
        <v>1615.4013682562638</v>
      </c>
      <c r="Q39" s="620">
        <f t="array" ref="Q39">IFERROR(INDEX(Analytica!$F$59:$AY$138,MATCH($B39,Analytica!$B$59:$B$168,0),MATCH(Q$15&amp;Q$10,Analytica!$F$58:$AY$58&amp;Analytica!$F$51:'Analytica'!$AY$51,0)),"")</f>
        <v>1645.5633521187683</v>
      </c>
      <c r="R39" s="620">
        <f t="array" ref="R39">IFERROR(INDEX(Analytica!$F$59:$AY$138,MATCH($B39,Analytica!$B$59:$B$168,0),MATCH(R$15&amp;R$10,Analytica!$F$58:$AY$58&amp;Analytica!$F$51:'Analytica'!$AY$51,0)),"")</f>
        <v>1675.7253359812721</v>
      </c>
      <c r="S39" s="620">
        <f t="array" ref="S39">IFERROR(INDEX(Analytica!$F$59:$AY$138,MATCH($B39,Analytica!$B$59:$B$168,0),MATCH(S$15&amp;S$10,Analytica!$F$58:$AY$58&amp;Analytica!$F$51:'Analytica'!$AY$51,0)),"")</f>
        <v>1695.1176876140198</v>
      </c>
      <c r="T39" s="620">
        <f t="array" ref="T39">IFERROR(INDEX(Analytica!$F$59:$AY$138,MATCH($B39,Analytica!$B$59:$B$168,0),MATCH(T$15&amp;T$10,Analytica!$F$58:$AY$58&amp;Analytica!$F$51:'Analytica'!$AY$51,0)),"")</f>
        <v>1714.5100392467668</v>
      </c>
      <c r="U39" s="620">
        <f t="array" ref="U39">IFERROR(INDEX(Analytica!$F$59:$AY$138,MATCH($B39,Analytica!$B$59:$B$168,0),MATCH(U$15&amp;U$10,Analytica!$F$58:$AY$58&amp;Analytica!$F$51:'Analytica'!$AY$51,0)),"")</f>
        <v>1758.7858226703579</v>
      </c>
      <c r="V39" s="620">
        <f t="array" ref="V39">IFERROR(INDEX(Analytica!$F$59:$AY$138,MATCH($B39,Analytica!$B$59:$B$168,0),MATCH(V$15&amp;V$10,Analytica!$F$58:$AY$58&amp;Analytica!$F$51:'Analytica'!$AY$51,0)),"")</f>
        <v>43.615836942919124</v>
      </c>
      <c r="W39" s="620">
        <f t="array" ref="W39">IFERROR(INDEX(Analytica!$F$59:$AY$138,MATCH($B39,Analytica!$B$59:$B$168,0),MATCH(W$15&amp;W$10,Analytica!$F$58:$AY$58&amp;Analytica!$F$51:'Analytica'!$AY$51,0)),"")</f>
        <v>45.244584071494344</v>
      </c>
      <c r="X39" s="620">
        <f t="array" ref="X39">IFERROR(INDEX(Analytica!$F$59:$AY$138,MATCH($B39,Analytica!$B$59:$B$168,0),MATCH(X$15&amp;X$10,Analytica!$F$58:$AY$58&amp;Analytica!$F$51:'Analytica'!$AY$51,0)),"")</f>
        <v>46.291771059662707</v>
      </c>
      <c r="Y39" s="620">
        <f t="array" ref="Y39">IFERROR(INDEX(Analytica!$F$59:$AY$138,MATCH($B39,Analytica!$B$59:$B$168,0),MATCH(Y$15&amp;Y$10,Analytica!$F$58:$AY$58&amp;Analytica!$F$51:'Analytica'!$AY$51,0)),"")</f>
        <v>47.487217212099665</v>
      </c>
      <c r="Z39" s="694">
        <v>20</v>
      </c>
      <c r="AA39" s="694">
        <f t="shared" si="4"/>
        <v>20</v>
      </c>
      <c r="AB39" s="694">
        <f t="shared" si="42"/>
        <v>2018</v>
      </c>
      <c r="AC39" s="1">
        <f t="shared" ca="1" si="5"/>
        <v>22</v>
      </c>
      <c r="AE39" s="1" t="str">
        <f t="shared" si="6"/>
        <v>S_TPPUBUS</v>
      </c>
      <c r="AF39" s="1" t="str">
        <f>IF(B39="","","S_"&amp;LEFT(B39,LEN(B39)-2))</f>
        <v>S_TPPUBUSODS</v>
      </c>
      <c r="AG39" s="1" t="str">
        <f>B39&amp;"_L"</f>
        <v>TPPUBUSODS-N_L</v>
      </c>
      <c r="AH39" s="1" t="str">
        <f>B39&amp;"_U"</f>
        <v>TPPUBUSODS-N_U</v>
      </c>
      <c r="AI39" s="194">
        <v>0</v>
      </c>
      <c r="AJ39" s="699">
        <f>SUMIF(Analytica!$B$59:$B$137,B39,Analytica!$BA$59:$BA$192)</f>
        <v>1</v>
      </c>
      <c r="AK39" s="697" t="e">
        <f>IF($AP$10,BK39,#REF!)</f>
        <v>#REF!</v>
      </c>
      <c r="AL39" s="697" t="e">
        <f t="shared" ref="AL39:AO43" si="49">IF($AP$10,BL39,AY39)</f>
        <v>#REF!</v>
      </c>
      <c r="AM39" s="697" t="e">
        <f t="shared" si="49"/>
        <v>#REF!</v>
      </c>
      <c r="AN39" s="697">
        <f t="shared" si="49"/>
        <v>1</v>
      </c>
      <c r="AO39" s="697">
        <f t="shared" si="49"/>
        <v>1</v>
      </c>
      <c r="AP39" s="194">
        <v>1</v>
      </c>
      <c r="AQ39" s="650">
        <f>AJ39</f>
        <v>1</v>
      </c>
      <c r="AR39" s="697" t="e">
        <f>IF($AP$10,BR39,#REF!)</f>
        <v>#REF!</v>
      </c>
      <c r="AS39" s="697" t="e">
        <f t="shared" ref="AS39:AV43" si="50">IF($AP$10,BS39,BE39)</f>
        <v>#REF!</v>
      </c>
      <c r="AT39" s="697">
        <f t="shared" si="50"/>
        <v>0.5</v>
      </c>
      <c r="AU39" s="697">
        <f t="shared" si="50"/>
        <v>0</v>
      </c>
      <c r="AV39" s="697">
        <f t="shared" si="50"/>
        <v>0</v>
      </c>
      <c r="AX39" s="698">
        <f>$AJ39</f>
        <v>1</v>
      </c>
      <c r="AY39" s="697" t="e">
        <f>IF(#REF!&lt;&gt;"",(AY$11-#REF!)/(BA$11-#REF!)*(BA39-#REF!)+#REF!,"")</f>
        <v>#REF!</v>
      </c>
      <c r="AZ39" s="697" t="e">
        <f t="shared" si="12"/>
        <v>#REF!</v>
      </c>
      <c r="BA39" s="697">
        <f t="shared" si="47"/>
        <v>1</v>
      </c>
      <c r="BB39" s="697">
        <f t="shared" si="47"/>
        <v>1</v>
      </c>
      <c r="BC39" s="711"/>
      <c r="BD39" s="697">
        <f t="shared" si="14"/>
        <v>1</v>
      </c>
      <c r="BE39" s="697" t="e">
        <f>IF(#REF!&lt;&gt;"",(BE$11-#REF!)/(BG$11-#REF!)*(BG39-#REF!)+#REF!,"")</f>
        <v>#REF!</v>
      </c>
      <c r="BF39" s="697">
        <f t="shared" si="48"/>
        <v>0.5</v>
      </c>
      <c r="BG39" s="697">
        <f t="shared" si="48"/>
        <v>0</v>
      </c>
      <c r="BH39" s="697">
        <f t="shared" si="48"/>
        <v>0</v>
      </c>
      <c r="BI39" s="692"/>
      <c r="BJ39" s="693">
        <f>$AJ39</f>
        <v>1</v>
      </c>
      <c r="BK39" s="697">
        <f>MIN(1,$AJ39+BK$12)</f>
        <v>1</v>
      </c>
      <c r="BL39" s="697" t="e">
        <f t="shared" si="44"/>
        <v>#REF!</v>
      </c>
      <c r="BM39" s="697" t="e">
        <f>BL39+(BM$11-BL$11)/(BN$11-BL$11)*(BN39-BL39)</f>
        <v>#REF!</v>
      </c>
      <c r="BN39" s="697">
        <f>MIN(1,$AJ39+BN$12)</f>
        <v>1</v>
      </c>
      <c r="BO39" s="697">
        <f>MIN(1,$AJ39+BO$12)</f>
        <v>1</v>
      </c>
      <c r="BP39" s="194"/>
      <c r="BQ39" s="650">
        <f>AJ39</f>
        <v>1</v>
      </c>
      <c r="BR39" s="697">
        <f>$AQ39*BR$12</f>
        <v>1</v>
      </c>
      <c r="BS39" s="697" t="e">
        <f t="shared" si="43"/>
        <v>#REF!</v>
      </c>
      <c r="BT39" s="697" t="e">
        <f>BS39+(BT$11-BS$11)/(BU$11-BS$11)*(BU39-BS39)</f>
        <v>#REF!</v>
      </c>
      <c r="BU39" s="697">
        <f>$AQ39*BU$12</f>
        <v>0.25</v>
      </c>
      <c r="BV39" s="697">
        <f>$AQ39*BV$12</f>
        <v>0.1</v>
      </c>
      <c r="BW39" s="692"/>
      <c r="BX39" s="1" t="str">
        <f>B39</f>
        <v>TPPUBUSODS-N</v>
      </c>
      <c r="BY39" s="1" t="str">
        <f t="shared" ca="1" si="21"/>
        <v>-	S_TPPUBUSODS	1	TPPUBUSODS-N Set	1	10/03/2023 17:53:59	null	((tblITEMS.Item Like "TPPUBUSODS-N*"))	null	null	null	null	null	null	null</v>
      </c>
      <c r="BZ39" s="1" t="str">
        <f t="shared" si="22"/>
        <v>-	S_TPPUBUSODS	1	1	True	Like "TPPUBUSODS-N*"</v>
      </c>
      <c r="CI39" s="1">
        <f>SUMIF($CI$10:$CI$11,RIGHT(C39,3),$CJ$10:$CJ$11)</f>
        <v>38.1</v>
      </c>
      <c r="CJ39" s="1">
        <v>10</v>
      </c>
      <c r="CK39" s="625">
        <f>CJ39/CI39</f>
        <v>0.26246719160104987</v>
      </c>
      <c r="CL39" s="625" t="e">
        <f>#REF!</f>
        <v>#REF!</v>
      </c>
      <c r="CM39" s="625" t="e">
        <f>CK39/#REF!</f>
        <v>#REF!</v>
      </c>
      <c r="CN39" s="2" t="e">
        <f>#REF!*1000</f>
        <v>#REF!</v>
      </c>
      <c r="CO39" s="2">
        <f>O39*1000000</f>
        <v>60000</v>
      </c>
      <c r="CP39" s="9" t="e">
        <f>-PMT($CL$14,Z39,CN39)/CO39</f>
        <v>#REF!</v>
      </c>
      <c r="CQ39" s="9" t="e">
        <f>CP39+CM39</f>
        <v>#REF!</v>
      </c>
    </row>
    <row r="40" spans="1:95" x14ac:dyDescent="0.2">
      <c r="A40" s="191" t="str">
        <f>ITEMS_nTech!C31</f>
        <v>Transport Passenger Bus Gas-N</v>
      </c>
      <c r="B40" s="191" t="str">
        <f>D40&amp;RIGHT(C40,3)&amp;"-N"</f>
        <v>TPPUBUSGAS-N</v>
      </c>
      <c r="C40" s="612" t="str">
        <f>$F$6</f>
        <v>TRAGAS</v>
      </c>
      <c r="D40" s="612" t="str">
        <f>TRP!$B$24</f>
        <v>TPPUBUS</v>
      </c>
      <c r="E40" s="702">
        <f t="array" ref="E40">IFERROR(INDEX(Analytica!$F$59:$AY$138,MATCH($B40,Analytica!$B$59:$B$168,0),MATCH(E$15&amp;E$10,Analytica!$F$58:$AY$58&amp;Analytica!$F$51:'Analytica'!$AY$51,0)),"")</f>
        <v>5.6802867593888626E-2</v>
      </c>
      <c r="F40" s="702">
        <f t="array" ref="F40">IFERROR(INDEX(Analytica!$F$59:$AY$138,MATCH($B40,Analytica!$B$59:$B$168,0),MATCH(F$15&amp;F$10,Analytica!$F$58:$AY$58&amp;Analytica!$F$51:'Analytica'!$AY$51,0)),"")</f>
        <v>6.1244219806684722E-2</v>
      </c>
      <c r="G40" s="702">
        <f t="array" ref="G40">IFERROR(INDEX(Analytica!$F$59:$AY$138,MATCH($B40,Analytica!$B$59:$B$168,0),MATCH(G$15&amp;G$10,Analytica!$F$58:$AY$58&amp;Analytica!$F$51:'Analytica'!$AY$51,0)),"")</f>
        <v>6.7719409195597449E-2</v>
      </c>
      <c r="H40" s="702">
        <f t="array" ref="H40">IFERROR(INDEX(Analytica!$F$59:$AY$138,MATCH($B40,Analytica!$B$59:$B$168,0),MATCH(H$15&amp;H$10,Analytica!$F$58:$AY$58&amp;Analytica!$F$51:'Analytica'!$AY$51,0)),"")</f>
        <v>7.4879203233808214E-2</v>
      </c>
      <c r="I40" s="701">
        <v>1</v>
      </c>
      <c r="J40" s="701">
        <v>1</v>
      </c>
      <c r="K40" s="701">
        <v>1</v>
      </c>
      <c r="L40" s="701">
        <v>1</v>
      </c>
      <c r="M40" s="701">
        <v>1</v>
      </c>
      <c r="N40" s="696">
        <f>IF(B40="","",MAX(N$18:N39)+1)</f>
        <v>20</v>
      </c>
      <c r="O40" s="702">
        <f t="array" ref="O40">IFERROR(INDEX(Analytica!$F$59:$AY$138,MATCH($B40,Analytica!$B$59:$B$168,0),MATCH(O$15&amp;O$10,Analytica!$F$58:$AY$58&amp;Analytica!$F$51:'Analytica'!$AY$51,0)),"")</f>
        <v>0.06</v>
      </c>
      <c r="P40" s="620">
        <f t="array" ref="P40">IFERROR(INDEX(Analytica!$F$59:$AY$138,MATCH($B40,Analytica!$B$59:$B$168,0),MATCH(P$15&amp;P$10,Analytica!$F$58:$AY$58&amp;Analytica!$F$51:'Analytica'!$AY$51,0)),"")</f>
        <v>1712.7968806812237</v>
      </c>
      <c r="Q40" s="620">
        <f t="array" ref="Q40">IFERROR(INDEX(Analytica!$F$59:$AY$138,MATCH($B40,Analytica!$B$59:$B$168,0),MATCH(Q$15&amp;Q$10,Analytica!$F$58:$AY$58&amp;Analytica!$F$51:'Analytica'!$AY$51,0)),"")</f>
        <v>1730.7939448361396</v>
      </c>
      <c r="R40" s="620">
        <f t="array" ref="R40">IFERROR(INDEX(Analytica!$F$59:$AY$138,MATCH($B40,Analytica!$B$59:$B$168,0),MATCH(R$15&amp;R$10,Analytica!$F$58:$AY$58&amp;Analytica!$F$51:'Analytica'!$AY$51,0)),"")</f>
        <v>1748.7910089910563</v>
      </c>
      <c r="S40" s="620">
        <f t="array" ref="S40">IFERROR(INDEX(Analytica!$F$59:$AY$138,MATCH($B40,Analytica!$B$59:$B$168,0),MATCH(S$15&amp;S$10,Analytica!$F$58:$AY$58&amp;Analytica!$F$51:'Analytica'!$AY$51,0)),"")</f>
        <v>1763.3725882959811</v>
      </c>
      <c r="T40" s="620">
        <f t="array" ref="T40">IFERROR(INDEX(Analytica!$F$59:$AY$138,MATCH($B40,Analytica!$B$59:$B$168,0),MATCH(T$15&amp;T$10,Analytica!$F$58:$AY$58&amp;Analytica!$F$51:'Analytica'!$AY$51,0)),"")</f>
        <v>1777.9541676009053</v>
      </c>
      <c r="U40" s="620">
        <f t="array" ref="U40">IFERROR(INDEX(Analytica!$F$59:$AY$138,MATCH($B40,Analytica!$B$59:$B$168,0),MATCH(U$15&amp;U$10,Analytica!$F$58:$AY$58&amp;Analytica!$F$51:'Analytica'!$AY$51,0)),"")</f>
        <v>1815.4670514421152</v>
      </c>
      <c r="V40" s="620">
        <f t="array" ref="V40">IFERROR(INDEX(Analytica!$F$59:$AY$138,MATCH($B40,Analytica!$B$59:$B$168,0),MATCH(V$15&amp;V$10,Analytica!$F$58:$AY$58&amp;Analytica!$F$51:'Analytica'!$AY$51,0)),"")</f>
        <v>46.245515778393042</v>
      </c>
      <c r="W40" s="620">
        <f t="array" ref="W40">IFERROR(INDEX(Analytica!$F$59:$AY$138,MATCH($B40,Analytica!$B$59:$B$168,0),MATCH(W$15&amp;W$10,Analytica!$F$58:$AY$58&amp;Analytica!$F$51:'Analytica'!$AY$51,0)),"")</f>
        <v>47.217357242758517</v>
      </c>
      <c r="X40" s="620">
        <f t="array" ref="X40">IFERROR(INDEX(Analytica!$F$59:$AY$138,MATCH($B40,Analytica!$B$59:$B$168,0),MATCH(X$15&amp;X$10,Analytica!$F$58:$AY$58&amp;Analytica!$F$51:'Analytica'!$AY$51,0)),"")</f>
        <v>48.004762525224443</v>
      </c>
      <c r="Y40" s="620">
        <f t="array" ref="Y40">IFERROR(INDEX(Analytica!$F$59:$AY$138,MATCH($B40,Analytica!$B$59:$B$168,0),MATCH(Y$15&amp;Y$10,Analytica!$F$58:$AY$58&amp;Analytica!$F$51:'Analytica'!$AY$51,0)),"")</f>
        <v>49.017610388937108</v>
      </c>
      <c r="Z40" s="694">
        <f>Z39</f>
        <v>20</v>
      </c>
      <c r="AA40" s="694">
        <f t="shared" si="4"/>
        <v>20</v>
      </c>
      <c r="AB40" s="694">
        <f t="shared" si="42"/>
        <v>2018</v>
      </c>
      <c r="AC40" s="1">
        <f t="shared" ca="1" si="5"/>
        <v>23</v>
      </c>
      <c r="AE40" s="1" t="str">
        <f t="shared" si="6"/>
        <v>S_TPPUBUS</v>
      </c>
      <c r="AF40" s="1" t="str">
        <f>IF(B40="","","S_"&amp;LEFT(B40,LEN(B40)-2))</f>
        <v>S_TPPUBUSGAS</v>
      </c>
      <c r="AG40" s="714" t="str">
        <f>B40&amp;"_L"</f>
        <v>TPPUBUSGAS-N_L</v>
      </c>
      <c r="AH40" s="1" t="str">
        <f>B40&amp;"_U"</f>
        <v>TPPUBUSGAS-N_U</v>
      </c>
      <c r="AI40" s="194">
        <v>0</v>
      </c>
      <c r="AJ40" s="699">
        <f>SUMIF(Analytica!$B$59:$B$137,B40,Analytica!$BA$59:$BA$192)</f>
        <v>0</v>
      </c>
      <c r="AK40" s="697" t="e">
        <f>IF($AP$10,BK40,#REF!)</f>
        <v>#REF!</v>
      </c>
      <c r="AL40" s="697" t="e">
        <f t="shared" si="49"/>
        <v>#REF!</v>
      </c>
      <c r="AM40" s="697" t="e">
        <f t="shared" si="49"/>
        <v>#REF!</v>
      </c>
      <c r="AN40" s="697">
        <f t="shared" si="49"/>
        <v>1</v>
      </c>
      <c r="AO40" s="697">
        <f t="shared" si="49"/>
        <v>1</v>
      </c>
      <c r="AP40" s="194">
        <v>1</v>
      </c>
      <c r="AQ40" s="650">
        <f>AJ40</f>
        <v>0</v>
      </c>
      <c r="AR40" s="697" t="e">
        <f>IF($AP$10,BR40,#REF!)</f>
        <v>#REF!</v>
      </c>
      <c r="AS40" s="697" t="e">
        <f t="shared" si="50"/>
        <v>#REF!</v>
      </c>
      <c r="AT40" s="697">
        <f t="shared" si="50"/>
        <v>0</v>
      </c>
      <c r="AU40" s="697">
        <f t="shared" si="50"/>
        <v>0</v>
      </c>
      <c r="AV40" s="697">
        <f t="shared" si="50"/>
        <v>0</v>
      </c>
      <c r="AX40" s="698">
        <f>$AJ40</f>
        <v>0</v>
      </c>
      <c r="AY40" s="697" t="e">
        <f>IF(#REF!&lt;&gt;"",(AY$11-#REF!)/(BA$11-#REF!)*(BA40-#REF!)+#REF!,"")</f>
        <v>#REF!</v>
      </c>
      <c r="AZ40" s="697" t="e">
        <f t="shared" si="12"/>
        <v>#REF!</v>
      </c>
      <c r="BA40" s="697">
        <f t="shared" si="47"/>
        <v>1</v>
      </c>
      <c r="BB40" s="697">
        <f t="shared" si="47"/>
        <v>1</v>
      </c>
      <c r="BC40" s="711"/>
      <c r="BD40" s="697">
        <f t="shared" si="14"/>
        <v>0</v>
      </c>
      <c r="BE40" s="697" t="e">
        <f>IF(#REF!&lt;&gt;"",(BE$11-#REF!)/(BG$11-#REF!)*(BG40-#REF!)+#REF!,"")</f>
        <v>#REF!</v>
      </c>
      <c r="BF40" s="697">
        <f t="shared" si="48"/>
        <v>0</v>
      </c>
      <c r="BG40" s="697">
        <f t="shared" si="48"/>
        <v>0</v>
      </c>
      <c r="BH40" s="697">
        <f t="shared" si="48"/>
        <v>0</v>
      </c>
      <c r="BI40" s="692"/>
      <c r="BJ40" s="693">
        <f>$AJ40</f>
        <v>0</v>
      </c>
      <c r="BK40" s="697">
        <v>0</v>
      </c>
      <c r="BL40" s="697" t="e">
        <f t="shared" si="44"/>
        <v>#REF!</v>
      </c>
      <c r="BM40" s="697" t="e">
        <f>BL40+(BM$11-BL$11)/(BN$11-BL$11)*(BN40-BL40)</f>
        <v>#REF!</v>
      </c>
      <c r="BN40" s="715">
        <v>0.125</v>
      </c>
      <c r="BO40" s="715">
        <v>0.25</v>
      </c>
      <c r="BP40" s="194"/>
      <c r="BQ40" s="650">
        <f>AJ40</f>
        <v>0</v>
      </c>
      <c r="BR40" s="697">
        <f>$AQ40*BR$12</f>
        <v>0</v>
      </c>
      <c r="BS40" s="697" t="e">
        <f t="shared" si="43"/>
        <v>#REF!</v>
      </c>
      <c r="BT40" s="697" t="e">
        <f>BS40+(BT$11-BS$11)/(BU$11-BS$11)*(BU40-BS40)</f>
        <v>#REF!</v>
      </c>
      <c r="BU40" s="697">
        <f>$AQ40*BU$12</f>
        <v>0</v>
      </c>
      <c r="BV40" s="697">
        <f>$AQ40*BV$12</f>
        <v>0</v>
      </c>
      <c r="BW40" s="692"/>
      <c r="BX40" s="707" t="str">
        <f>B40</f>
        <v>TPPUBUSGAS-N</v>
      </c>
      <c r="BY40" s="1" t="str">
        <f t="shared" ca="1" si="21"/>
        <v>-	S_TPPUBUSGAS	1	TPPUBUSGAS-N Set	1	10/03/2023 17:53:59	null	((tblITEMS.Item Like "TPPUBUSGAS-N*"))	null	null	null	null	null	null	null</v>
      </c>
      <c r="BZ40" s="1" t="str">
        <f t="shared" si="22"/>
        <v>-	S_TPPUBUSGAS	1	1	True	Like "TPPUBUSGAS-N*"</v>
      </c>
      <c r="CI40" s="1">
        <f>SUMIF($CI$10:$CI$11,RIGHT(C40,3),$CJ$10:$CJ$11)</f>
        <v>0</v>
      </c>
      <c r="CJ40" s="1">
        <v>10</v>
      </c>
      <c r="CK40" s="625" t="e">
        <f>CJ40/CI40</f>
        <v>#DIV/0!</v>
      </c>
      <c r="CL40" s="625" t="e">
        <f>#REF!</f>
        <v>#REF!</v>
      </c>
      <c r="CM40" s="625" t="e">
        <f>CK40/#REF!</f>
        <v>#DIV/0!</v>
      </c>
      <c r="CN40" s="2" t="e">
        <f>#REF!*1000</f>
        <v>#REF!</v>
      </c>
      <c r="CO40" s="2">
        <f>O40*1000000</f>
        <v>60000</v>
      </c>
      <c r="CP40" s="9" t="e">
        <f>-PMT($CL$14,Z40,CN40)/CO40</f>
        <v>#REF!</v>
      </c>
      <c r="CQ40" s="9" t="e">
        <f>CP40+CM40</f>
        <v>#REF!</v>
      </c>
    </row>
    <row r="41" spans="1:95" x14ac:dyDescent="0.2">
      <c r="A41" s="191" t="str">
        <f>ITEMS_nTech!C32</f>
        <v>Transport Passenger Bus Hydrogen Fuel Cell-N</v>
      </c>
      <c r="B41" s="191" t="str">
        <f>D41&amp;RIGHT(C41,3)&amp;"F-N"</f>
        <v>TPPUBUSHGNF-N</v>
      </c>
      <c r="C41" s="612" t="str">
        <f>K6</f>
        <v>TRAHGN</v>
      </c>
      <c r="D41" s="612" t="str">
        <f>TRP!$B$24</f>
        <v>TPPUBUS</v>
      </c>
      <c r="E41" s="702">
        <f t="array" ref="E41">IFERROR(INDEX(Analytica!$F$59:$AY$138,MATCH($B41,Analytica!$B$59:$B$168,0),MATCH(E$15&amp;E$10,Analytica!$F$58:$AY$58&amp;Analytica!$F$51:'Analytica'!$AY$51,0)),"")</f>
        <v>0.13780930986929765</v>
      </c>
      <c r="F41" s="702">
        <f t="array" ref="F41">IFERROR(INDEX(Analytica!$F$59:$AY$138,MATCH($B41,Analytica!$B$59:$B$168,0),MATCH(F$15&amp;F$10,Analytica!$F$58:$AY$58&amp;Analytica!$F$51:'Analytica'!$AY$51,0)),"")</f>
        <v>0.14858446452711918</v>
      </c>
      <c r="G41" s="702">
        <f t="array" ref="G41">IFERROR(INDEX(Analytica!$F$59:$AY$138,MATCH($B41,Analytica!$B$59:$B$168,0),MATCH(G$15&amp;G$10,Analytica!$F$58:$AY$58&amp;Analytica!$F$51:'Analytica'!$AY$51,0)),"")</f>
        <v>0.16429390700348931</v>
      </c>
      <c r="H41" s="702">
        <f t="array" ref="H41">IFERROR(INDEX(Analytica!$F$59:$AY$138,MATCH($B41,Analytica!$B$59:$B$168,0),MATCH(H$15&amp;H$10,Analytica!$F$58:$AY$58&amp;Analytica!$F$51:'Analytica'!$AY$51,0)),"")</f>
        <v>0.18166426728646726</v>
      </c>
      <c r="I41" s="701">
        <v>1</v>
      </c>
      <c r="J41" s="701">
        <v>1</v>
      </c>
      <c r="K41" s="701">
        <v>1</v>
      </c>
      <c r="L41" s="701">
        <v>1</v>
      </c>
      <c r="M41" s="701">
        <v>1</v>
      </c>
      <c r="N41" s="696">
        <f>IF(B41="","",MAX(N$18:N40)+1)</f>
        <v>21</v>
      </c>
      <c r="O41" s="702">
        <f t="array" ref="O41">IFERROR(INDEX(Analytica!$F$59:$AY$138,MATCH($B41,Analytica!$B$59:$B$168,0),MATCH(O$15&amp;O$10,Analytica!$F$58:$AY$58&amp;Analytica!$F$51:'Analytica'!$AY$51,0)),"")</f>
        <v>0.06</v>
      </c>
      <c r="P41" s="620">
        <f t="array" ref="P41">IFERROR(INDEX(Analytica!$F$59:$AY$138,MATCH($B41,Analytica!$B$59:$B$168,0),MATCH(P$15&amp;P$10,Analytica!$F$58:$AY$58&amp;Analytica!$F$51:'Analytica'!$AY$51,0)),"")</f>
        <v>2321.7092381177513</v>
      </c>
      <c r="Q41" s="620">
        <f t="array" ref="Q41">IFERROR(INDEX(Analytica!$F$59:$AY$138,MATCH($B41,Analytica!$B$59:$B$168,0),MATCH(Q$15&amp;Q$10,Analytica!$F$58:$AY$58&amp;Analytica!$F$51:'Analytica'!$AY$51,0)),"")</f>
        <v>2069.5039570616195</v>
      </c>
      <c r="R41" s="620">
        <f t="array" ref="R41">IFERROR(INDEX(Analytica!$F$59:$AY$138,MATCH($B41,Analytica!$B$59:$B$168,0),MATCH(R$15&amp;R$10,Analytica!$F$58:$AY$58&amp;Analytica!$F$51:'Analytica'!$AY$51,0)),"")</f>
        <v>1817.2986760054873</v>
      </c>
      <c r="S41" s="620">
        <f t="array" ref="S41">IFERROR(INDEX(Analytica!$F$59:$AY$138,MATCH($B41,Analytica!$B$59:$B$168,0),MATCH(S$15&amp;S$10,Analytica!$F$58:$AY$58&amp;Analytica!$F$51:'Analytica'!$AY$51,0)),"")</f>
        <v>1788.6941354190726</v>
      </c>
      <c r="T41" s="620">
        <f t="array" ref="T41">IFERROR(INDEX(Analytica!$F$59:$AY$138,MATCH($B41,Analytica!$B$59:$B$168,0),MATCH(T$15&amp;T$10,Analytica!$F$58:$AY$58&amp;Analytica!$F$51:'Analytica'!$AY$51,0)),"")</f>
        <v>1760.0895948326574</v>
      </c>
      <c r="U41" s="620">
        <f t="array" ref="U41">IFERROR(INDEX(Analytica!$F$59:$AY$138,MATCH($B41,Analytica!$B$59:$B$168,0),MATCH(U$15&amp;U$10,Analytica!$F$58:$AY$58&amp;Analytica!$F$51:'Analytica'!$AY$51,0)),"")</f>
        <v>1758.7858226703579</v>
      </c>
      <c r="V41" s="620">
        <f t="array" ref="V41">IFERROR(INDEX(Analytica!$F$59:$AY$138,MATCH($B41,Analytica!$B$59:$B$168,0),MATCH(V$15&amp;V$10,Analytica!$F$58:$AY$58&amp;Analytica!$F$51:'Analytica'!$AY$51,0)),"")</f>
        <v>62.686149429179281</v>
      </c>
      <c r="W41" s="620">
        <f t="array" ref="W41">IFERROR(INDEX(Analytica!$F$59:$AY$138,MATCH($B41,Analytica!$B$59:$B$168,0),MATCH(W$15&amp;W$10,Analytica!$F$58:$AY$58&amp;Analytica!$F$51:'Analytica'!$AY$51,0)),"")</f>
        <v>49.067064252148157</v>
      </c>
      <c r="X41" s="620">
        <f t="array" ref="X41">IFERROR(INDEX(Analytica!$F$59:$AY$138,MATCH($B41,Analytica!$B$59:$B$168,0),MATCH(X$15&amp;X$10,Analytica!$F$58:$AY$58&amp;Analytica!$F$51:'Analytica'!$AY$51,0)),"")</f>
        <v>47.522419060481752</v>
      </c>
      <c r="Y41" s="620">
        <f t="array" ref="Y41">IFERROR(INDEX(Analytica!$F$59:$AY$138,MATCH($B41,Analytica!$B$59:$B$168,0),MATCH(Y$15&amp;Y$10,Analytica!$F$58:$AY$58&amp;Analytica!$F$51:'Analytica'!$AY$51,0)),"")</f>
        <v>47.487217212099665</v>
      </c>
      <c r="Z41" s="694">
        <f>Z40</f>
        <v>20</v>
      </c>
      <c r="AA41" s="694">
        <f t="shared" si="4"/>
        <v>20</v>
      </c>
      <c r="AB41" s="694">
        <f t="shared" si="42"/>
        <v>2025</v>
      </c>
      <c r="AC41" s="1">
        <f t="shared" ca="1" si="5"/>
        <v>24</v>
      </c>
      <c r="AD41" s="1">
        <v>1</v>
      </c>
      <c r="AE41" s="1" t="str">
        <f t="shared" si="6"/>
        <v>S_TPPUBUS</v>
      </c>
      <c r="AF41" s="1" t="str">
        <f>IF(B41="","","S_"&amp;LEFT(B41,LEN(B41)-2))</f>
        <v>S_TPPUBUSHGNF</v>
      </c>
      <c r="AG41" s="714" t="str">
        <f>B41&amp;"_L"</f>
        <v>TPPUBUSHGNF-N_L</v>
      </c>
      <c r="AH41" s="1" t="str">
        <f>B41&amp;"_U"</f>
        <v>TPPUBUSHGNF-N_U</v>
      </c>
      <c r="AI41" s="194">
        <v>0</v>
      </c>
      <c r="AJ41" s="699">
        <f>SUMIF(Analytica!$B$59:$B$137,B41,Analytica!$BB$59:$BB$192)</f>
        <v>0</v>
      </c>
      <c r="AK41" s="697" t="e">
        <f>IF($AP$10,BK41,#REF!)</f>
        <v>#REF!</v>
      </c>
      <c r="AL41" s="697" t="e">
        <f t="shared" si="49"/>
        <v>#REF!</v>
      </c>
      <c r="AM41" s="697" t="e">
        <f t="shared" si="49"/>
        <v>#REF!</v>
      </c>
      <c r="AN41" s="697">
        <f t="shared" si="49"/>
        <v>1</v>
      </c>
      <c r="AO41" s="697">
        <f t="shared" si="49"/>
        <v>1</v>
      </c>
      <c r="AP41" s="194">
        <v>1</v>
      </c>
      <c r="AQ41" s="650">
        <f>AJ41</f>
        <v>0</v>
      </c>
      <c r="AR41" s="697" t="e">
        <f>IF($AP$10,BR41,#REF!)</f>
        <v>#REF!</v>
      </c>
      <c r="AS41" s="697" t="e">
        <f t="shared" si="50"/>
        <v>#REF!</v>
      </c>
      <c r="AT41" s="697">
        <f t="shared" si="50"/>
        <v>0</v>
      </c>
      <c r="AU41" s="697">
        <f t="shared" si="50"/>
        <v>0</v>
      </c>
      <c r="AV41" s="697">
        <f t="shared" si="50"/>
        <v>0</v>
      </c>
      <c r="AX41" s="698">
        <f>AX23</f>
        <v>0</v>
      </c>
      <c r="AY41" s="697" t="e">
        <f>IF(#REF!&lt;&gt;"",(AY$11-#REF!)/(BA$11-#REF!)*(BA41-#REF!)+#REF!,"")</f>
        <v>#REF!</v>
      </c>
      <c r="AZ41" s="697" t="e">
        <f t="shared" si="12"/>
        <v>#REF!</v>
      </c>
      <c r="BA41" s="697">
        <f t="shared" si="47"/>
        <v>1</v>
      </c>
      <c r="BB41" s="697">
        <f t="shared" si="47"/>
        <v>1</v>
      </c>
      <c r="BC41" s="711"/>
      <c r="BD41" s="697">
        <f t="shared" si="14"/>
        <v>0</v>
      </c>
      <c r="BE41" s="697" t="e">
        <f>IF(#REF!&lt;&gt;"",(BE$11-#REF!)/(BG$11-#REF!)*(BG41-#REF!)+#REF!,"")</f>
        <v>#REF!</v>
      </c>
      <c r="BF41" s="697">
        <f t="shared" si="48"/>
        <v>0</v>
      </c>
      <c r="BG41" s="697">
        <f t="shared" si="48"/>
        <v>0</v>
      </c>
      <c r="BH41" s="697">
        <f t="shared" si="48"/>
        <v>0</v>
      </c>
      <c r="BI41" s="692"/>
      <c r="BJ41" s="693">
        <f>$AJ41</f>
        <v>0</v>
      </c>
      <c r="BK41" s="697">
        <f>BK33</f>
        <v>0</v>
      </c>
      <c r="BL41" s="697" t="e">
        <f t="shared" si="44"/>
        <v>#REF!</v>
      </c>
      <c r="BM41" s="697" t="e">
        <f>BL41+(BM$11-BL$11)/(BN$11-BL$11)*(BN41-BL41)</f>
        <v>#REF!</v>
      </c>
      <c r="BN41" s="715">
        <v>0.5</v>
      </c>
      <c r="BO41" s="715">
        <v>0.8</v>
      </c>
      <c r="BP41" s="194"/>
      <c r="BQ41" s="650">
        <f>AJ41</f>
        <v>0</v>
      </c>
      <c r="BR41" s="697">
        <v>0</v>
      </c>
      <c r="BS41" s="697">
        <v>0</v>
      </c>
      <c r="BT41" s="697">
        <f>BS41+(BT$11-BS$11)/(BU$11-BS$11)*(BU41-BS41)</f>
        <v>0.1</v>
      </c>
      <c r="BU41" s="697">
        <v>0.2</v>
      </c>
      <c r="BV41" s="697">
        <v>0.6</v>
      </c>
      <c r="BW41" s="692"/>
      <c r="BX41" s="707" t="str">
        <f>B41</f>
        <v>TPPUBUSHGNF-N</v>
      </c>
      <c r="BY41" s="1" t="str">
        <f t="shared" ca="1" si="21"/>
        <v>-	S_TPPUBUSHGNF	1	TPPUBUSHGNF-N Set	1	10/03/2023 17:53:59	null	((tblITEMS.Item Like "TPPUBUSHGNF-N*"))	null	null	null	null	null	null	null</v>
      </c>
      <c r="BZ41" s="1" t="str">
        <f t="shared" si="22"/>
        <v>-	S_TPPUBUSHGNF	1	1	True	Like "TPPUBUSHGNF-N*"</v>
      </c>
      <c r="CI41" s="1">
        <f>SUMIF($CI$10:$CI$11,RIGHT(C41,3),$CJ$10:$CJ$11)</f>
        <v>0</v>
      </c>
      <c r="CJ41" s="1">
        <v>10</v>
      </c>
      <c r="CK41" s="625" t="e">
        <f>CJ41/CI41</f>
        <v>#DIV/0!</v>
      </c>
      <c r="CL41" s="625" t="e">
        <f>#REF!</f>
        <v>#REF!</v>
      </c>
      <c r="CM41" s="625" t="e">
        <f>CK41/#REF!</f>
        <v>#DIV/0!</v>
      </c>
      <c r="CN41" s="2" t="e">
        <f>#REF!*1000</f>
        <v>#REF!</v>
      </c>
      <c r="CO41" s="2">
        <f>O41*1000000</f>
        <v>60000</v>
      </c>
      <c r="CP41" s="9" t="e">
        <f>-PMT($CL$14,Z41,CN41)/CO41</f>
        <v>#REF!</v>
      </c>
      <c r="CQ41" s="9" t="e">
        <f>CP41+CM41</f>
        <v>#REF!</v>
      </c>
    </row>
    <row r="42" spans="1:95" x14ac:dyDescent="0.2">
      <c r="A42" s="191" t="str">
        <f>ITEMS_nTech!C33</f>
        <v>Transport Passenger Bus Oil Blended Gasoline-Ethanol-E85-N</v>
      </c>
      <c r="B42" s="191" t="str">
        <f>D42&amp;RIGHT(C42,3)&amp;"-N"</f>
        <v>TPPUBUSBGS-N</v>
      </c>
      <c r="C42" s="612" t="str">
        <f>$L$6</f>
        <v>TRABGS</v>
      </c>
      <c r="D42" s="612" t="str">
        <f>TRP!$B$24</f>
        <v>TPPUBUS</v>
      </c>
      <c r="E42" s="702">
        <f t="array" ref="E42">IFERROR(INDEX(Analytica!$F$59:$AY$138,MATCH($B42,Analytica!$B$59:$B$168,0),MATCH(E$15&amp;E$10,Analytica!$F$58:$AY$58&amp;Analytica!$F$51:'Analytica'!$AY$51,0)),"")</f>
        <v>6.5323297732971908E-2</v>
      </c>
      <c r="F42" s="702">
        <f t="array" ref="F42">IFERROR(INDEX(Analytica!$F$59:$AY$138,MATCH($B42,Analytica!$B$59:$B$168,0),MATCH(F$15&amp;F$10,Analytica!$F$58:$AY$58&amp;Analytica!$F$51:'Analytica'!$AY$51,0)),"")</f>
        <v>7.043085277768743E-2</v>
      </c>
      <c r="G42" s="702">
        <f t="array" ref="G42">IFERROR(INDEX(Analytica!$F$59:$AY$138,MATCH($B42,Analytica!$B$59:$B$168,0),MATCH(G$15&amp;G$10,Analytica!$F$58:$AY$58&amp;Analytica!$F$51:'Analytica'!$AY$51,0)),"")</f>
        <v>7.7877320574937056E-2</v>
      </c>
      <c r="H42" s="702">
        <f t="array" ref="H42">IFERROR(INDEX(Analytica!$F$59:$AY$138,MATCH($B42,Analytica!$B$59:$B$168,0),MATCH(H$15&amp;H$10,Analytica!$F$58:$AY$58&amp;Analytica!$F$51:'Analytica'!$AY$51,0)),"")</f>
        <v>8.6111083718879447E-2</v>
      </c>
      <c r="I42" s="701">
        <v>1</v>
      </c>
      <c r="J42" s="701">
        <v>1</v>
      </c>
      <c r="K42" s="701">
        <v>1</v>
      </c>
      <c r="L42" s="701">
        <v>1</v>
      </c>
      <c r="M42" s="701">
        <v>1</v>
      </c>
      <c r="N42" s="696">
        <f>IF(B42="","",MAX(N$18:N41)+1)</f>
        <v>22</v>
      </c>
      <c r="O42" s="702">
        <f t="array" ref="O42">IFERROR(INDEX(Analytica!$F$59:$AY$138,MATCH($B42,Analytica!$B$59:$B$168,0),MATCH(O$15&amp;O$10,Analytica!$F$58:$AY$58&amp;Analytica!$F$51:'Analytica'!$AY$51,0)),"")</f>
        <v>0.06</v>
      </c>
      <c r="P42" s="620">
        <f t="array" ref="P42">IFERROR(INDEX(Analytica!$F$59:$AY$138,MATCH($B42,Analytica!$B$59:$B$168,0),MATCH(P$15&amp;P$10,Analytica!$F$58:$AY$58&amp;Analytica!$F$51:'Analytica'!$AY$51,0)),"")</f>
        <v>1615.4013682562638</v>
      </c>
      <c r="Q42" s="620">
        <f t="array" ref="Q42">IFERROR(INDEX(Analytica!$F$59:$AY$138,MATCH($B42,Analytica!$B$59:$B$168,0),MATCH(Q$15&amp;Q$10,Analytica!$F$58:$AY$58&amp;Analytica!$F$51:'Analytica'!$AY$51,0)),"")</f>
        <v>1645.5633521187683</v>
      </c>
      <c r="R42" s="620">
        <f t="array" ref="R42">IFERROR(INDEX(Analytica!$F$59:$AY$138,MATCH($B42,Analytica!$B$59:$B$168,0),MATCH(R$15&amp;R$10,Analytica!$F$58:$AY$58&amp;Analytica!$F$51:'Analytica'!$AY$51,0)),"")</f>
        <v>1675.7253359812721</v>
      </c>
      <c r="S42" s="620">
        <f t="array" ref="S42">IFERROR(INDEX(Analytica!$F$59:$AY$138,MATCH($B42,Analytica!$B$59:$B$168,0),MATCH(S$15&amp;S$10,Analytica!$F$58:$AY$58&amp;Analytica!$F$51:'Analytica'!$AY$51,0)),"")</f>
        <v>1695.1176876140198</v>
      </c>
      <c r="T42" s="620">
        <f t="array" ref="T42">IFERROR(INDEX(Analytica!$F$59:$AY$138,MATCH($B42,Analytica!$B$59:$B$168,0),MATCH(T$15&amp;T$10,Analytica!$F$58:$AY$58&amp;Analytica!$F$51:'Analytica'!$AY$51,0)),"")</f>
        <v>1714.5100392467668</v>
      </c>
      <c r="U42" s="620">
        <f t="array" ref="U42">IFERROR(INDEX(Analytica!$F$59:$AY$138,MATCH($B42,Analytica!$B$59:$B$168,0),MATCH(U$15&amp;U$10,Analytica!$F$58:$AY$58&amp;Analytica!$F$51:'Analytica'!$AY$51,0)),"")</f>
        <v>1758.7858226703579</v>
      </c>
      <c r="V42" s="620">
        <f t="array" ref="V42">IFERROR(INDEX(Analytica!$F$59:$AY$138,MATCH($B42,Analytica!$B$59:$B$168,0),MATCH(V$15&amp;V$10,Analytica!$F$58:$AY$58&amp;Analytica!$F$51:'Analytica'!$AY$51,0)),"")</f>
        <v>43.615836942919124</v>
      </c>
      <c r="W42" s="620">
        <f t="array" ref="W42">IFERROR(INDEX(Analytica!$F$59:$AY$138,MATCH($B42,Analytica!$B$59:$B$168,0),MATCH(W$15&amp;W$10,Analytica!$F$58:$AY$58&amp;Analytica!$F$51:'Analytica'!$AY$51,0)),"")</f>
        <v>45.244584071494344</v>
      </c>
      <c r="X42" s="620">
        <f t="array" ref="X42">IFERROR(INDEX(Analytica!$F$59:$AY$138,MATCH($B42,Analytica!$B$59:$B$168,0),MATCH(X$15&amp;X$10,Analytica!$F$58:$AY$58&amp;Analytica!$F$51:'Analytica'!$AY$51,0)),"")</f>
        <v>46.291771059662707</v>
      </c>
      <c r="Y42" s="620">
        <f t="array" ref="Y42">IFERROR(INDEX(Analytica!$F$59:$AY$138,MATCH($B42,Analytica!$B$59:$B$168,0),MATCH(Y$15&amp;Y$10,Analytica!$F$58:$AY$58&amp;Analytica!$F$51:'Analytica'!$AY$51,0)),"")</f>
        <v>47.487217212099665</v>
      </c>
      <c r="Z42" s="694">
        <f>Z41</f>
        <v>20</v>
      </c>
      <c r="AA42" s="694">
        <f t="shared" si="4"/>
        <v>20</v>
      </c>
      <c r="AB42" s="922">
        <v>2080</v>
      </c>
      <c r="AC42" s="1">
        <f t="shared" ca="1" si="5"/>
        <v>25</v>
      </c>
      <c r="AD42" s="1">
        <v>1</v>
      </c>
      <c r="AE42" s="1" t="str">
        <f t="shared" si="6"/>
        <v>S_TPPUBUS</v>
      </c>
      <c r="AF42" s="1" t="str">
        <f>IF(B42="","","S_"&amp;LEFT(B42,LEN(B42)-2))</f>
        <v>S_TPPUBUSBGS</v>
      </c>
      <c r="AG42" s="714" t="str">
        <f>B42&amp;"_L"</f>
        <v>TPPUBUSBGS-N_L</v>
      </c>
      <c r="AH42" s="1" t="str">
        <f>B42&amp;"_U"</f>
        <v>TPPUBUSBGS-N_U</v>
      </c>
      <c r="AI42" s="194">
        <v>0</v>
      </c>
      <c r="AJ42" s="699">
        <f>SUMIF(Analytica!$B$59:$B$137,B42,Analytica!$BB$59:$BB$192)</f>
        <v>0</v>
      </c>
      <c r="AK42" s="697" t="e">
        <f>IF($AP$10,BK42,#REF!)</f>
        <v>#REF!</v>
      </c>
      <c r="AL42" s="697" t="e">
        <f t="shared" si="49"/>
        <v>#REF!</v>
      </c>
      <c r="AM42" s="697" t="e">
        <f t="shared" si="49"/>
        <v>#REF!</v>
      </c>
      <c r="AN42" s="697">
        <f t="shared" si="49"/>
        <v>1</v>
      </c>
      <c r="AO42" s="697">
        <f t="shared" si="49"/>
        <v>1</v>
      </c>
      <c r="AP42" s="194">
        <v>1</v>
      </c>
      <c r="AQ42" s="650">
        <f>AJ42</f>
        <v>0</v>
      </c>
      <c r="AR42" s="697" t="e">
        <f>IF($AP$10,BR42,#REF!)</f>
        <v>#REF!</v>
      </c>
      <c r="AS42" s="697" t="e">
        <f t="shared" si="50"/>
        <v>#REF!</v>
      </c>
      <c r="AT42" s="697">
        <f t="shared" si="50"/>
        <v>0</v>
      </c>
      <c r="AU42" s="697">
        <f t="shared" si="50"/>
        <v>0</v>
      </c>
      <c r="AV42" s="697">
        <f t="shared" si="50"/>
        <v>0</v>
      </c>
      <c r="AX42" s="698">
        <v>0</v>
      </c>
      <c r="AY42" s="697" t="e">
        <f>IF(#REF!&lt;&gt;"",(AY$11-#REF!)/(BA$11-#REF!)*(BA42-#REF!)+#REF!,"")</f>
        <v>#REF!</v>
      </c>
      <c r="AZ42" s="697" t="e">
        <f t="shared" si="12"/>
        <v>#REF!</v>
      </c>
      <c r="BA42" s="697">
        <f t="shared" si="47"/>
        <v>1</v>
      </c>
      <c r="BB42" s="697">
        <f t="shared" si="47"/>
        <v>1</v>
      </c>
      <c r="BC42" s="711"/>
      <c r="BD42" s="697">
        <f t="shared" si="14"/>
        <v>0</v>
      </c>
      <c r="BE42" s="697" t="e">
        <f>IF(#REF!&lt;&gt;"",(BE$11-#REF!)/(BG$11-#REF!)*(BG42-#REF!)+#REF!,"")</f>
        <v>#REF!</v>
      </c>
      <c r="BF42" s="697">
        <f t="shared" si="48"/>
        <v>0</v>
      </c>
      <c r="BG42" s="697">
        <f t="shared" si="48"/>
        <v>0</v>
      </c>
      <c r="BH42" s="697">
        <f t="shared" si="48"/>
        <v>0</v>
      </c>
      <c r="BI42" s="692"/>
      <c r="BJ42" s="693">
        <v>0</v>
      </c>
      <c r="BK42" s="697">
        <v>0</v>
      </c>
      <c r="BL42" s="697">
        <v>0</v>
      </c>
      <c r="BM42" s="697">
        <f>BL42+(BM$11-BL$11)/(BN$11-BL$11)*(BN42-BL42)</f>
        <v>0.1</v>
      </c>
      <c r="BN42" s="697">
        <v>0.2</v>
      </c>
      <c r="BO42" s="697">
        <v>0.5</v>
      </c>
      <c r="BP42" s="194"/>
      <c r="BQ42" s="650">
        <f>AJ42</f>
        <v>0</v>
      </c>
      <c r="BR42" s="697">
        <v>0</v>
      </c>
      <c r="BS42" s="697" t="e">
        <f t="shared" ref="BS42:BS48" si="51">IF(BR42&lt;&gt;"",(BS$11-BR$11)/(BU$11-BR$11)*(BU42-BR42)+BR42,"")</f>
        <v>#REF!</v>
      </c>
      <c r="BT42" s="697" t="e">
        <f>BS42+(BT$11-BS$11)/(BU$11-BS$11)*(BU42-BS42)</f>
        <v>#REF!</v>
      </c>
      <c r="BU42" s="697">
        <v>0</v>
      </c>
      <c r="BV42" s="697">
        <v>0</v>
      </c>
      <c r="BW42" s="692"/>
      <c r="BX42" s="707" t="str">
        <f>B42</f>
        <v>TPPUBUSBGS-N</v>
      </c>
      <c r="BY42" s="1" t="str">
        <f t="shared" ca="1" si="21"/>
        <v>-	S_TPPUBUSBGS	1	TPPUBUSBGS-N Set	1	10/03/2023 17:53:59	null	((tblITEMS.Item Like "TPPUBUSBGS-N*"))	null	null	null	null	null	null	null</v>
      </c>
      <c r="BZ42" s="1" t="str">
        <f t="shared" si="22"/>
        <v>-	S_TPPUBUSBGS	1	1	True	Like "TPPUBUSBGS-N*"</v>
      </c>
      <c r="CI42" s="1">
        <f>SUMIF($CI$10:$CI$11,RIGHT(C42,3),$CJ$10:$CJ$11)</f>
        <v>0</v>
      </c>
      <c r="CJ42" s="1">
        <v>11</v>
      </c>
      <c r="CK42" s="625" t="e">
        <f>CJ42/CI42</f>
        <v>#DIV/0!</v>
      </c>
      <c r="CL42" s="625" t="e">
        <f>#REF!</f>
        <v>#REF!</v>
      </c>
      <c r="CM42" s="625" t="e">
        <f>CK42/#REF!</f>
        <v>#DIV/0!</v>
      </c>
      <c r="CN42" s="2" t="e">
        <f>#REF!*1000</f>
        <v>#REF!</v>
      </c>
      <c r="CO42" s="2">
        <f>O42*1000000</f>
        <v>60000</v>
      </c>
      <c r="CP42" s="9" t="e">
        <f>-PMT($CL$14,Z42,CN42)/CO42</f>
        <v>#REF!</v>
      </c>
      <c r="CQ42" s="9" t="e">
        <f>CP42+CM42</f>
        <v>#REF!</v>
      </c>
    </row>
    <row r="43" spans="1:95" x14ac:dyDescent="0.2">
      <c r="A43" s="191" t="str">
        <f>ITEMS_nTech!C34</f>
        <v>Transport Passenger Bus Electricity-N</v>
      </c>
      <c r="B43" s="191" t="str">
        <f>D43&amp;RIGHT(C43,3)&amp;"-N"</f>
        <v>TPPUBUSELC-N</v>
      </c>
      <c r="C43" s="612" t="str">
        <f>$E$6</f>
        <v>TRAELC</v>
      </c>
      <c r="D43" s="612" t="str">
        <f>TRP!$B$24</f>
        <v>TPPUBUS</v>
      </c>
      <c r="E43" s="702">
        <f t="array" ref="E43">IFERROR(INDEX(Analytica!$F$59:$AY$138,MATCH($B43,Analytica!$B$59:$B$168,0),MATCH(E$15&amp;E$10,Analytica!$F$58:$AY$58&amp;Analytica!$F$51:'Analytica'!$AY$51,0)),"")</f>
        <v>0.21275823278067008</v>
      </c>
      <c r="F43" s="702">
        <f t="array" ref="F43">IFERROR(INDEX(Analytica!$F$59:$AY$138,MATCH($B43,Analytica!$B$59:$B$168,0),MATCH(F$15&amp;F$10,Analytica!$F$58:$AY$58&amp;Analytica!$F$51:'Analytica'!$AY$51,0)),"")</f>
        <v>0.22939355926993843</v>
      </c>
      <c r="G43" s="702">
        <f t="array" ref="G43">IFERROR(INDEX(Analytica!$F$59:$AY$138,MATCH($B43,Analytica!$B$59:$B$168,0),MATCH(G$15&amp;G$10,Analytica!$F$58:$AY$58&amp;Analytica!$F$51:'Analytica'!$AY$51,0)),"")</f>
        <v>0.25364673361942214</v>
      </c>
      <c r="H43" s="702">
        <f t="array" ref="H43">IFERROR(INDEX(Analytica!$F$59:$AY$138,MATCH($B43,Analytica!$B$59:$B$168,0),MATCH(H$15&amp;H$10,Analytica!$F$58:$AY$58&amp;Analytica!$F$51:'Analytica'!$AY$51,0)),"")</f>
        <v>0.28046413195103725</v>
      </c>
      <c r="I43" s="701">
        <v>1</v>
      </c>
      <c r="J43" s="701">
        <v>1</v>
      </c>
      <c r="K43" s="701">
        <v>1</v>
      </c>
      <c r="L43" s="701">
        <v>1</v>
      </c>
      <c r="M43" s="701">
        <v>1</v>
      </c>
      <c r="N43" s="696">
        <f>IF(B43="","",MAX(N$18:N42)+1)</f>
        <v>23</v>
      </c>
      <c r="O43" s="702">
        <f t="array" ref="O43">IFERROR(INDEX(Analytica!$F$59:$AY$138,MATCH($B43,Analytica!$B$59:$B$168,0),MATCH(O$15&amp;O$10,Analytica!$F$58:$AY$58&amp;Analytica!$F$51:'Analytica'!$AY$51,0)),"")</f>
        <v>0.06</v>
      </c>
      <c r="P43" s="620">
        <f t="array" ref="P43">IFERROR(INDEX(Analytica!$F$59:$AY$138,MATCH($B43,Analytica!$B$59:$B$168,0),MATCH(P$15&amp;P$10,Analytica!$F$58:$AY$58&amp;Analytica!$F$51:'Analytica'!$AY$51,0)),"")</f>
        <v>4643.4184762355026</v>
      </c>
      <c r="Q43" s="620">
        <f t="array" ref="Q43">IFERROR(INDEX(Analytica!$F$59:$AY$138,MATCH($B43,Analytica!$B$59:$B$168,0),MATCH(Q$15&amp;Q$10,Analytica!$F$58:$AY$58&amp;Analytica!$F$51:'Analytica'!$AY$51,0)),"")</f>
        <v>4403.3626567749834</v>
      </c>
      <c r="R43" s="620">
        <f t="array" ref="R43">IFERROR(INDEX(Analytica!$F$59:$AY$138,MATCH($B43,Analytica!$B$59:$B$168,0),MATCH(R$15&amp;R$10,Analytica!$F$58:$AY$58&amp;Analytica!$F$51:'Analytica'!$AY$51,0)),"")</f>
        <v>4163.3068373144624</v>
      </c>
      <c r="S43" s="620">
        <f t="array" ref="S43">IFERROR(INDEX(Analytica!$F$59:$AY$138,MATCH($B43,Analytica!$B$59:$B$168,0),MATCH(S$15&amp;S$10,Analytica!$F$58:$AY$58&amp;Analytica!$F$51:'Analytica'!$AY$51,0)),"")</f>
        <v>4191.6176377219545</v>
      </c>
      <c r="T43" s="620">
        <f t="array" ref="T43">IFERROR(INDEX(Analytica!$F$59:$AY$138,MATCH($B43,Analytica!$B$59:$B$168,0),MATCH(T$15&amp;T$10,Analytica!$F$58:$AY$58&amp;Analytica!$F$51:'Analytica'!$AY$51,0)),"")</f>
        <v>4219.9284381294465</v>
      </c>
      <c r="U43" s="620">
        <f t="array" ref="U43">IFERROR(INDEX(Analytica!$F$59:$AY$138,MATCH($B43,Analytica!$B$59:$B$168,0),MATCH(U$15&amp;U$10,Analytica!$F$58:$AY$58&amp;Analytica!$F$51:'Analytica'!$AY$51,0)),"")</f>
        <v>1758.7858226703579</v>
      </c>
      <c r="V43" s="620">
        <f t="array" ref="V43">IFERROR(INDEX(Analytica!$F$59:$AY$138,MATCH($B43,Analytica!$B$59:$B$168,0),MATCH(V$15&amp;V$10,Analytica!$F$58:$AY$58&amp;Analytica!$F$51:'Analytica'!$AY$51,0)),"")</f>
        <v>94.029224143768928</v>
      </c>
      <c r="W43" s="620">
        <f t="array" ref="W43">IFERROR(INDEX(Analytica!$F$59:$AY$138,MATCH($B43,Analytica!$B$59:$B$168,0),MATCH(W$15&amp;W$10,Analytica!$F$58:$AY$58&amp;Analytica!$F$51:'Analytica'!$AY$51,0)),"")</f>
        <v>84.306963455617861</v>
      </c>
      <c r="X43" s="620">
        <f t="array" ref="X43">IFERROR(INDEX(Analytica!$F$59:$AY$138,MATCH($B43,Analytica!$B$59:$B$168,0),MATCH(X$15&amp;X$10,Analytica!$F$58:$AY$58&amp;Analytica!$F$51:'Analytica'!$AY$51,0)),"")</f>
        <v>85.453550872121298</v>
      </c>
      <c r="Y43" s="620">
        <f t="array" ref="Y43">IFERROR(INDEX(Analytica!$F$59:$AY$138,MATCH($B43,Analytica!$B$59:$B$168,0),MATCH(Y$15&amp;Y$10,Analytica!$F$58:$AY$58&amp;Analytica!$F$51:'Analytica'!$AY$51,0)),"")</f>
        <v>35.615412909074749</v>
      </c>
      <c r="Z43" s="694">
        <f>Z42</f>
        <v>20</v>
      </c>
      <c r="AA43" s="694">
        <f t="shared" si="4"/>
        <v>20</v>
      </c>
      <c r="AB43" s="694">
        <f t="shared" si="42"/>
        <v>2025</v>
      </c>
      <c r="AC43" s="1">
        <f t="shared" ca="1" si="5"/>
        <v>26</v>
      </c>
      <c r="AD43" s="1">
        <v>1</v>
      </c>
      <c r="AE43" s="1" t="str">
        <f t="shared" si="6"/>
        <v>S_TPPUBUS</v>
      </c>
      <c r="AF43" s="1" t="str">
        <f>IF(B43="","","S_"&amp;LEFT(B43,LEN(B43)-2))</f>
        <v>S_TPPUBUSELC</v>
      </c>
      <c r="AG43" s="1" t="str">
        <f>B43&amp;"_L"</f>
        <v>TPPUBUSELC-N_L</v>
      </c>
      <c r="AH43" s="1" t="str">
        <f>B43&amp;"_U"</f>
        <v>TPPUBUSELC-N_U</v>
      </c>
      <c r="AI43" s="194">
        <v>0</v>
      </c>
      <c r="AJ43" s="699">
        <f>SUMIF(Analytica!$B$59:$B$137,B43,Analytica!$BB$59:$BB$192)</f>
        <v>0</v>
      </c>
      <c r="AK43" s="697" t="e">
        <f>IF($AP$10,BK43,#REF!)</f>
        <v>#REF!</v>
      </c>
      <c r="AL43" s="697" t="e">
        <f t="shared" si="49"/>
        <v>#REF!</v>
      </c>
      <c r="AM43" s="697" t="e">
        <f t="shared" si="49"/>
        <v>#REF!</v>
      </c>
      <c r="AN43" s="697">
        <f t="shared" si="49"/>
        <v>1</v>
      </c>
      <c r="AO43" s="697">
        <f t="shared" si="49"/>
        <v>1</v>
      </c>
      <c r="AP43" s="194">
        <v>1</v>
      </c>
      <c r="AQ43" s="650">
        <f>AJ43</f>
        <v>0</v>
      </c>
      <c r="AR43" s="697" t="e">
        <f>IF($AP$10,BR43,#REF!)</f>
        <v>#REF!</v>
      </c>
      <c r="AS43" s="697" t="e">
        <f t="shared" si="50"/>
        <v>#REF!</v>
      </c>
      <c r="AT43" s="697">
        <f t="shared" si="50"/>
        <v>0</v>
      </c>
      <c r="AU43" s="697">
        <f t="shared" si="50"/>
        <v>0</v>
      </c>
      <c r="AV43" s="697">
        <f t="shared" si="50"/>
        <v>0</v>
      </c>
      <c r="AX43" s="698">
        <v>0</v>
      </c>
      <c r="AY43" s="697" t="e">
        <f>IF(#REF!&lt;&gt;"",(AY$11-#REF!)/(BA$11-#REF!)*(BA43-#REF!)+#REF!,"")</f>
        <v>#REF!</v>
      </c>
      <c r="AZ43" s="697" t="e">
        <f t="shared" si="12"/>
        <v>#REF!</v>
      </c>
      <c r="BA43" s="697">
        <f t="shared" si="47"/>
        <v>1</v>
      </c>
      <c r="BB43" s="697">
        <f t="shared" si="47"/>
        <v>1</v>
      </c>
      <c r="BC43" s="711"/>
      <c r="BD43" s="697">
        <f t="shared" si="14"/>
        <v>0</v>
      </c>
      <c r="BE43" s="697" t="e">
        <f>IF(#REF!&lt;&gt;"",(BE$11-#REF!)/(BG$11-#REF!)*(BG43-#REF!)+#REF!,"")</f>
        <v>#REF!</v>
      </c>
      <c r="BF43" s="697">
        <f t="shared" si="48"/>
        <v>0</v>
      </c>
      <c r="BG43" s="697">
        <f t="shared" si="48"/>
        <v>0</v>
      </c>
      <c r="BH43" s="697">
        <f t="shared" si="48"/>
        <v>0</v>
      </c>
      <c r="BI43" s="692"/>
      <c r="BJ43" s="693">
        <v>0</v>
      </c>
      <c r="BK43" s="697">
        <v>0</v>
      </c>
      <c r="BL43" s="697">
        <v>0</v>
      </c>
      <c r="BM43" s="697">
        <f>BL43+(BM$11-BL$11)/(BN$11-BL$11)*(BN43-BL43)</f>
        <v>0.1</v>
      </c>
      <c r="BN43" s="697">
        <v>0.2</v>
      </c>
      <c r="BO43" s="697">
        <v>0.5</v>
      </c>
      <c r="BP43" s="194"/>
      <c r="BQ43" s="650">
        <f>AJ43</f>
        <v>0</v>
      </c>
      <c r="BR43" s="697">
        <v>0</v>
      </c>
      <c r="BS43" s="697" t="e">
        <f t="shared" si="51"/>
        <v>#REF!</v>
      </c>
      <c r="BT43" s="697" t="e">
        <f>BS43+(BT$11-BS$11)/(BU$11-BS$11)*(BU43-BS43)</f>
        <v>#REF!</v>
      </c>
      <c r="BU43" s="697">
        <v>0</v>
      </c>
      <c r="BV43" s="697">
        <v>0</v>
      </c>
      <c r="BW43" s="692"/>
      <c r="BX43" s="1" t="str">
        <f>B43</f>
        <v>TPPUBUSELC-N</v>
      </c>
      <c r="BY43" s="1" t="str">
        <f t="shared" ca="1" si="21"/>
        <v>-	S_TPPUBUSELC	1	TPPUBUSELC-N Set	1	10/03/2023 17:53:59	null	((tblITEMS.Item Like "TPPUBUSELC-N*"))	null	null	null	null	null	null	null</v>
      </c>
      <c r="BZ43" s="1" t="str">
        <f t="shared" si="22"/>
        <v>-	S_TPPUBUSELC	1	1	True	Like "TPPUBUSELC-N*"</v>
      </c>
      <c r="CI43" s="1">
        <f>SUMIF($CI$10:$CI$11,RIGHT(C43,3),$CJ$10:$CJ$11)</f>
        <v>0</v>
      </c>
      <c r="CJ43" s="1">
        <v>11</v>
      </c>
      <c r="CK43" s="625" t="e">
        <f>CJ43/CI43</f>
        <v>#DIV/0!</v>
      </c>
      <c r="CL43" s="625" t="e">
        <f>#REF!</f>
        <v>#REF!</v>
      </c>
      <c r="CM43" s="625" t="e">
        <f>CK43/#REF!</f>
        <v>#DIV/0!</v>
      </c>
      <c r="CN43" s="2" t="e">
        <f>#REF!*1000</f>
        <v>#REF!</v>
      </c>
      <c r="CO43" s="2">
        <f>O43*1000000</f>
        <v>60000</v>
      </c>
      <c r="CP43" s="9" t="e">
        <f>-PMT($CL$14,Z43,CN43)/CO43</f>
        <v>#REF!</v>
      </c>
      <c r="CQ43" s="1" t="e">
        <f>CP43+CM43</f>
        <v>#REF!</v>
      </c>
    </row>
    <row r="44" spans="1:95" x14ac:dyDescent="0.2">
      <c r="A44" s="191" t="s">
        <v>1124</v>
      </c>
      <c r="B44" s="191"/>
      <c r="C44" s="612"/>
      <c r="D44" s="612"/>
      <c r="E44" s="702" t="str">
        <f t="array" ref="E44">IFERROR(INDEX(Analytica!$F$59:$AY$138,MATCH($B44,Analytica!$B$59:$B$168,0),MATCH(E$15&amp;E$10,Analytica!$F$58:$AY$58&amp;Analytica!$F$51:'Analytica'!$AY$51,0)),"")</f>
        <v/>
      </c>
      <c r="F44" s="702" t="str">
        <f t="array" ref="F44">IFERROR(INDEX(Analytica!$F$59:$AY$138,MATCH($B44,Analytica!$B$59:$B$168,0),MATCH(F$15&amp;F$10,Analytica!$F$58:$AY$58&amp;Analytica!$F$51:'Analytica'!$AY$51,0)),"")</f>
        <v/>
      </c>
      <c r="G44" s="702" t="str">
        <f t="array" ref="G44">IFERROR(INDEX(Analytica!$F$59:$AY$138,MATCH($B44,Analytica!$B$59:$B$168,0),MATCH(G$15&amp;G$10,Analytica!$F$58:$AY$58&amp;Analytica!$F$51:'Analytica'!$AY$51,0)),"")</f>
        <v/>
      </c>
      <c r="H44" s="702"/>
      <c r="I44" s="701"/>
      <c r="J44" s="701"/>
      <c r="K44" s="701"/>
      <c r="L44" s="701"/>
      <c r="M44" s="701"/>
      <c r="N44" s="696" t="str">
        <f>IF(B44="","",MAX(N$18:N43)+1)</f>
        <v/>
      </c>
      <c r="O44" s="702"/>
      <c r="P44" s="620"/>
      <c r="Q44" s="620" t="str">
        <f t="array" ref="Q44">IFERROR(INDEX(Analytica!$F$59:$AY$138,MATCH($B44,Analytica!$B$59:$B$168,0),MATCH(Q$15&amp;Q$10,Analytica!$F$58:$AY$58&amp;Analytica!$F$51:'Analytica'!$AY$51,0)),"")</f>
        <v/>
      </c>
      <c r="R44" s="620" t="str">
        <f t="array" ref="R44">IFERROR(INDEX(Analytica!$F$59:$AY$138,MATCH($B44,Analytica!$B$59:$B$168,0),MATCH(R$15&amp;R$10,Analytica!$F$58:$AY$58&amp;Analytica!$F$51:'Analytica'!$AY$51,0)),"")</f>
        <v/>
      </c>
      <c r="S44" s="620" t="str">
        <f t="array" ref="S44">IFERROR(INDEX(Analytica!$F$59:$AY$138,MATCH($B44,Analytica!$B$59:$B$168,0),MATCH(S$15&amp;S$10,Analytica!$F$58:$AY$58&amp;Analytica!$F$51:'Analytica'!$AY$51,0)),"")</f>
        <v/>
      </c>
      <c r="T44" s="620" t="str">
        <f t="array" ref="T44">IFERROR(INDEX(Analytica!$F$59:$AY$138,MATCH($B44,Analytica!$B$59:$B$168,0),MATCH(T$15&amp;T$10,Analytica!$F$58:$AY$58&amp;Analytica!$F$51:'Analytica'!$AY$51,0)),"")</f>
        <v/>
      </c>
      <c r="U44" s="620" t="str">
        <f t="array" ref="U44">IFERROR(INDEX(Analytica!$F$59:$AY$138,MATCH($B44,Analytica!$B$59:$B$168,0),MATCH(U$15&amp;U$10,Analytica!$F$58:$AY$58&amp;Analytica!$F$51:'Analytica'!$AY$51,0)),"")</f>
        <v/>
      </c>
      <c r="V44" s="620" t="str">
        <f t="array" ref="V44">IFERROR(INDEX(Analytica!$F$59:$AY$138,MATCH($B44,Analytica!$B$59:$B$168,0),MATCH(V$15&amp;V$10,Analytica!$F$58:$AY$58&amp;Analytica!$F$51:'Analytica'!$AY$51,0)),"")</f>
        <v/>
      </c>
      <c r="W44" s="620" t="str">
        <f t="array" ref="W44">IFERROR(INDEX(Analytica!$F$59:$AY$138,MATCH($B44,Analytica!$B$59:$B$168,0),MATCH(W$15&amp;W$10,Analytica!$F$58:$AY$58&amp;Analytica!$F$51:'Analytica'!$AY$51,0)),"")</f>
        <v/>
      </c>
      <c r="X44" s="620" t="str">
        <f t="array" ref="X44">IFERROR(INDEX(Analytica!$F$59:$AY$138,MATCH($B44,Analytica!$B$59:$B$168,0),MATCH(X$15&amp;X$10,Analytica!$F$58:$AY$58&amp;Analytica!$F$51:'Analytica'!$AY$51,0)),"")</f>
        <v/>
      </c>
      <c r="Y44" s="620" t="str">
        <f t="array" ref="Y44">IFERROR(INDEX(Analytica!$F$59:$AY$138,MATCH($B44,Analytica!$B$59:$B$168,0),MATCH(Y$15&amp;Y$10,Analytica!$F$58:$AY$58&amp;Analytica!$F$51:'Analytica'!$AY$51,0)),"")</f>
        <v/>
      </c>
      <c r="Z44" s="694"/>
      <c r="AA44" s="694">
        <f t="shared" si="4"/>
        <v>0</v>
      </c>
      <c r="AB44" s="694">
        <f t="shared" si="42"/>
        <v>2018</v>
      </c>
      <c r="AC44" s="1">
        <f t="shared" ca="1" si="5"/>
        <v>27</v>
      </c>
      <c r="AE44" s="1" t="str">
        <f t="shared" si="6"/>
        <v>S_</v>
      </c>
      <c r="AF44" s="1" t="str">
        <f>AE39</f>
        <v>S_TPPUBUS</v>
      </c>
      <c r="AG44" s="1"/>
      <c r="AI44" s="194">
        <v>0</v>
      </c>
      <c r="AJ44" s="699"/>
      <c r="AM44" s="1"/>
      <c r="AP44" s="194">
        <v>1</v>
      </c>
      <c r="AT44" s="1"/>
      <c r="AX44" s="698"/>
      <c r="AY44" s="697" t="e">
        <f>IF(#REF!&lt;&gt;"",(AY$11-#REF!)/(BA$11-#REF!)*(BA44-#REF!)+#REF!,"")</f>
        <v>#REF!</v>
      </c>
      <c r="AZ44" s="697" t="e">
        <f t="shared" si="12"/>
        <v>#REF!</v>
      </c>
      <c r="BA44" s="697">
        <f t="shared" si="47"/>
        <v>1</v>
      </c>
      <c r="BB44" s="697">
        <f t="shared" si="47"/>
        <v>1</v>
      </c>
      <c r="BC44" s="711"/>
      <c r="BD44" s="697">
        <f t="shared" si="14"/>
        <v>0</v>
      </c>
      <c r="BE44" s="697" t="e">
        <f>IF(#REF!&lt;&gt;"",(BE$11-#REF!)/(BG$11-#REF!)*(BG44-#REF!)+#REF!,"")</f>
        <v>#REF!</v>
      </c>
      <c r="BF44" s="697">
        <f t="shared" si="48"/>
        <v>0</v>
      </c>
      <c r="BG44" s="697">
        <f t="shared" si="48"/>
        <v>0</v>
      </c>
      <c r="BH44" s="697">
        <f t="shared" si="48"/>
        <v>0</v>
      </c>
      <c r="BI44" s="692"/>
      <c r="BJ44" s="693"/>
      <c r="BL44" s="1" t="str">
        <f t="shared" ref="BL44:BL49" si="52">IF(BK44&lt;&gt;"",(BL$11-BK$11)/(BN$11-BK$11)*(BN44-BK44)+BK44,"")</f>
        <v/>
      </c>
      <c r="BP44" s="194"/>
      <c r="BS44" s="1" t="str">
        <f t="shared" si="51"/>
        <v/>
      </c>
      <c r="BT44" s="1"/>
      <c r="BW44" s="692"/>
      <c r="BX44" s="1" t="str">
        <f>D39</f>
        <v>TPPUBUS</v>
      </c>
      <c r="BY44" s="1" t="str">
        <f t="shared" ca="1" si="21"/>
        <v>-	S_TPPUBUS	1	TPPUBUS Set	1	10/03/2023 17:53:59	null	((tblITEMS.Item Like "TPPUBUS*"))	null	null	null	null	null	null	null</v>
      </c>
      <c r="BZ44" s="1" t="str">
        <f t="shared" si="22"/>
        <v>-	S_TPPUBUS	1	1	True	Like "TPPUBUS*"</v>
      </c>
      <c r="CK44" s="625"/>
      <c r="CL44" s="625"/>
      <c r="CM44" s="625"/>
      <c r="CN44" s="2"/>
      <c r="CO44" s="2"/>
      <c r="CP44" s="9"/>
      <c r="CQ44" s="9"/>
    </row>
    <row r="45" spans="1:95" x14ac:dyDescent="0.2">
      <c r="A45" s="191" t="str">
        <f>ITEMS_nTech!C36</f>
        <v>Transport Passenger Minibus Oil Diesel-N</v>
      </c>
      <c r="B45" s="191" t="str">
        <f>D45&amp;RIGHT(C45,3)&amp;"-N"</f>
        <v>TPPUMBTODS-N</v>
      </c>
      <c r="C45" s="612" t="str">
        <f>$D$6</f>
        <v>TRAODS</v>
      </c>
      <c r="D45" s="612" t="str">
        <f>TRP!$B$25</f>
        <v>TPPUMBT</v>
      </c>
      <c r="E45" s="702">
        <f t="array" ref="E45">IFERROR(INDEX(Analytica!$F$59:$AY$138,MATCH($B45,Analytica!$B$59:$B$168,0),MATCH(E$15&amp;E$10,Analytica!$F$58:$AY$58&amp;Analytica!$F$51:'Analytica'!$AY$51,0)),"")</f>
        <v>0.24052686742503102</v>
      </c>
      <c r="F45" s="702">
        <f t="array" ref="F45">IFERROR(INDEX(Analytica!$F$59:$AY$138,MATCH($B45,Analytica!$B$59:$B$168,0),MATCH(F$15&amp;F$10,Analytica!$F$58:$AY$58&amp;Analytica!$F$51:'Analytica'!$AY$51,0)),"")</f>
        <v>0.25933339216798273</v>
      </c>
      <c r="G45" s="702">
        <f t="array" ref="G45">IFERROR(INDEX(Analytica!$F$59:$AY$138,MATCH($B45,Analytica!$B$59:$B$168,0),MATCH(G$15&amp;G$10,Analytica!$F$58:$AY$58&amp;Analytica!$F$51:'Analytica'!$AY$51,0)),"")</f>
        <v>0.28675202586855569</v>
      </c>
      <c r="H45" s="702">
        <f t="array" ref="H45">IFERROR(INDEX(Analytica!$F$59:$AY$138,MATCH($B45,Analytica!$B$59:$B$168,0),MATCH(H$15&amp;H$10,Analytica!$F$58:$AY$58&amp;Analytica!$F$51:'Analytica'!$AY$51,0)),"")</f>
        <v>0.31706955919682966</v>
      </c>
      <c r="I45" s="701">
        <v>1</v>
      </c>
      <c r="J45" s="701">
        <v>1</v>
      </c>
      <c r="K45" s="701">
        <v>1</v>
      </c>
      <c r="L45" s="701">
        <v>1</v>
      </c>
      <c r="M45" s="701">
        <v>1</v>
      </c>
      <c r="N45" s="696">
        <f>IF(B45="","",MAX(N$18:N44)+1)</f>
        <v>24</v>
      </c>
      <c r="O45" s="702">
        <f t="array" ref="O45">IFERROR(INDEX(Analytica!$F$59:$AY$138,MATCH($B45,Analytica!$B$59:$B$168,0),MATCH(O$15&amp;O$10,Analytica!$F$58:$AY$58&amp;Analytica!$F$51:'Analytica'!$AY$51,0)),"")</f>
        <v>3.4999999999999996E-2</v>
      </c>
      <c r="P45" s="620">
        <f t="array" ref="P45">IFERROR(INDEX(Analytica!$F$59:$AY$138,MATCH($B45,Analytica!$B$59:$B$168,0),MATCH(P$15&amp;P$10,Analytica!$F$58:$AY$58&amp;Analytica!$F$51:'Analytica'!$AY$51,0)),"")</f>
        <v>496.02431464990411</v>
      </c>
      <c r="Q45" s="620">
        <f t="array" ref="Q45">IFERROR(INDEX(Analytica!$F$59:$AY$138,MATCH($B45,Analytica!$B$59:$B$168,0),MATCH(Q$15&amp;Q$10,Analytica!$F$58:$AY$58&amp;Analytica!$F$51:'Analytica'!$AY$51,0)),"")</f>
        <v>504.86263896951328</v>
      </c>
      <c r="R45" s="620">
        <f t="array" ref="R45">IFERROR(INDEX(Analytica!$F$59:$AY$138,MATCH($B45,Analytica!$B$59:$B$168,0),MATCH(R$15&amp;R$10,Analytica!$F$58:$AY$58&amp;Analytica!$F$51:'Analytica'!$AY$51,0)),"")</f>
        <v>363.56136717159279</v>
      </c>
      <c r="S45" s="620">
        <f t="array" ref="S45">IFERROR(INDEX(Analytica!$F$59:$AY$138,MATCH($B45,Analytica!$B$59:$B$168,0),MATCH(S$15&amp;S$10,Analytica!$F$58:$AY$58&amp;Analytica!$F$51:'Analytica'!$AY$51,0)),"")</f>
        <v>371.50085823323019</v>
      </c>
      <c r="T45" s="620">
        <f t="array" ref="T45">IFERROR(INDEX(Analytica!$F$59:$AY$138,MATCH($B45,Analytica!$B$59:$B$168,0),MATCH(T$15&amp;T$10,Analytica!$F$58:$AY$58&amp;Analytica!$F$51:'Analytica'!$AY$51,0)),"")</f>
        <v>379.44034929486759</v>
      </c>
      <c r="U45" s="620">
        <f t="array" ref="U45">IFERROR(INDEX(Analytica!$F$59:$AY$138,MATCH($B45,Analytica!$B$59:$B$168,0),MATCH(U$15&amp;U$10,Analytica!$F$58:$AY$58&amp;Analytica!$F$51:'Analytica'!$AY$51,0)),"")</f>
        <v>387.39622422821134</v>
      </c>
      <c r="V45" s="620">
        <f t="array" ref="V45">IFERROR(INDEX(Analytica!$F$59:$AY$138,MATCH($B45,Analytica!$B$59:$B$168,0),MATCH(V$15&amp;V$10,Analytica!$F$58:$AY$58&amp;Analytica!$F$51:'Analytica'!$AY$51,0)),"")</f>
        <v>13.392656495547412</v>
      </c>
      <c r="W45" s="620">
        <f t="array" ref="W45">IFERROR(INDEX(Analytica!$F$59:$AY$138,MATCH($B45,Analytica!$B$59:$B$168,0),MATCH(W$15&amp;W$10,Analytica!$F$58:$AY$58&amp;Analytica!$F$51:'Analytica'!$AY$51,0)),"")</f>
        <v>9.8161569136330051</v>
      </c>
      <c r="X45" s="620">
        <f t="array" ref="X45">IFERROR(INDEX(Analytica!$F$59:$AY$138,MATCH($B45,Analytica!$B$59:$B$168,0),MATCH(X$15&amp;X$10,Analytica!$F$58:$AY$58&amp;Analytica!$F$51:'Analytica'!$AY$51,0)),"")</f>
        <v>10.244889430961425</v>
      </c>
      <c r="Y45" s="620">
        <f t="array" ref="Y45">IFERROR(INDEX(Analytica!$F$59:$AY$138,MATCH($B45,Analytica!$B$59:$B$168,0),MATCH(Y$15&amp;Y$10,Analytica!$F$58:$AY$58&amp;Analytica!$F$51:'Analytica'!$AY$51,0)),"")</f>
        <v>10.459698054161706</v>
      </c>
      <c r="Z45" s="694">
        <f>Z43</f>
        <v>20</v>
      </c>
      <c r="AA45" s="694">
        <f t="shared" si="4"/>
        <v>20</v>
      </c>
      <c r="AB45" s="694">
        <f t="shared" si="42"/>
        <v>2018</v>
      </c>
      <c r="AC45" s="1">
        <f t="shared" ca="1" si="5"/>
        <v>28</v>
      </c>
      <c r="AE45" s="1" t="str">
        <f t="shared" si="6"/>
        <v>S_TPPUMBT</v>
      </c>
      <c r="AF45" s="1" t="str">
        <f t="shared" ref="AF45:AF51" si="53">IF(B45="","","S_"&amp;LEFT(B45,LEN(B45)-2))</f>
        <v>S_TPPUMBTODS</v>
      </c>
      <c r="AG45" s="1" t="str">
        <f t="shared" ref="AG45:AG51" si="54">B45&amp;"_L"</f>
        <v>TPPUMBTODS-N_L</v>
      </c>
      <c r="AH45" s="1" t="str">
        <f t="shared" ref="AH45:AH51" si="55">B45&amp;"_U"</f>
        <v>TPPUMBTODS-N_U</v>
      </c>
      <c r="AI45" s="194">
        <v>0</v>
      </c>
      <c r="AJ45" s="699">
        <f>SUMIF(Analytica!$B$59:$B$137,B45,Analytica!$BA$59:$BA$192)</f>
        <v>0.58515987307786188</v>
      </c>
      <c r="AK45" s="697" t="e">
        <f>IF($AP$10,BK45,#REF!)</f>
        <v>#REF!</v>
      </c>
      <c r="AL45" s="697" t="e">
        <f t="shared" ref="AL45:AO51" si="56">IF($AP$10,BL45,AY45)</f>
        <v>#REF!</v>
      </c>
      <c r="AM45" s="697" t="e">
        <f t="shared" si="56"/>
        <v>#REF!</v>
      </c>
      <c r="AN45" s="697">
        <f t="shared" si="56"/>
        <v>1</v>
      </c>
      <c r="AO45" s="697">
        <f t="shared" si="56"/>
        <v>1</v>
      </c>
      <c r="AP45" s="194">
        <v>1</v>
      </c>
      <c r="AQ45" s="650">
        <f t="shared" ref="AQ45:AQ51" si="57">AJ45</f>
        <v>0.58515987307786188</v>
      </c>
      <c r="AR45" s="697" t="e">
        <f>IF($AP$10,BR45,#REF!)</f>
        <v>#REF!</v>
      </c>
      <c r="AS45" s="697" t="e">
        <f t="shared" ref="AS45:AV51" si="58">IF($AP$10,BS45,BE45)</f>
        <v>#REF!</v>
      </c>
      <c r="AT45" s="697">
        <f t="shared" si="58"/>
        <v>0.29257993653893094</v>
      </c>
      <c r="AU45" s="697">
        <f t="shared" si="58"/>
        <v>0</v>
      </c>
      <c r="AV45" s="697">
        <f t="shared" si="58"/>
        <v>0</v>
      </c>
      <c r="AX45" s="698">
        <f>$AJ45</f>
        <v>0.58515987307786188</v>
      </c>
      <c r="AY45" s="697" t="e">
        <f>IF(#REF!&lt;&gt;"",(AY$11-#REF!)/(BA$11-#REF!)*(BA45-#REF!)+#REF!,"")</f>
        <v>#REF!</v>
      </c>
      <c r="AZ45" s="697" t="e">
        <f t="shared" si="12"/>
        <v>#REF!</v>
      </c>
      <c r="BA45" s="697">
        <f t="shared" si="47"/>
        <v>1</v>
      </c>
      <c r="BB45" s="697">
        <f t="shared" si="47"/>
        <v>1</v>
      </c>
      <c r="BC45" s="711"/>
      <c r="BD45" s="697">
        <f t="shared" si="14"/>
        <v>0.58515987307786188</v>
      </c>
      <c r="BE45" s="697" t="e">
        <f>IF(#REF!&lt;&gt;"",(BE$11-#REF!)/(BG$11-#REF!)*(BG45-#REF!)+#REF!,"")</f>
        <v>#REF!</v>
      </c>
      <c r="BF45" s="697">
        <f t="shared" si="48"/>
        <v>0.29257993653893094</v>
      </c>
      <c r="BG45" s="697">
        <f t="shared" si="48"/>
        <v>0</v>
      </c>
      <c r="BH45" s="697">
        <f t="shared" si="48"/>
        <v>0</v>
      </c>
      <c r="BI45" s="692"/>
      <c r="BJ45" s="693">
        <f>$AJ45</f>
        <v>0.58515987307786188</v>
      </c>
      <c r="BK45" s="697">
        <v>0.25</v>
      </c>
      <c r="BL45" s="697" t="e">
        <f t="shared" si="52"/>
        <v>#REF!</v>
      </c>
      <c r="BM45" s="697" t="e">
        <f t="shared" ref="BM45:BM51" si="59">BL45+(BM$11-BL$11)/(BN$11-BL$11)*(BN45-BL45)</f>
        <v>#REF!</v>
      </c>
      <c r="BN45" s="697">
        <v>0.45</v>
      </c>
      <c r="BO45" s="697">
        <f>MIN(1,$AJ45+BO$12)</f>
        <v>1</v>
      </c>
      <c r="BP45" s="194"/>
      <c r="BQ45" s="650">
        <f t="shared" ref="BQ45:BQ51" si="60">AJ45</f>
        <v>0.58515987307786188</v>
      </c>
      <c r="BR45" s="697">
        <v>0.2</v>
      </c>
      <c r="BS45" s="697" t="e">
        <f t="shared" si="51"/>
        <v>#REF!</v>
      </c>
      <c r="BT45" s="697" t="e">
        <f t="shared" ref="BT45:BT51" si="61">BS45+(BT$11-BS$11)/(BU$11-BS$11)*(BU45-BS45)</f>
        <v>#REF!</v>
      </c>
      <c r="BU45" s="715">
        <v>0.4</v>
      </c>
      <c r="BV45" s="715">
        <v>0.1</v>
      </c>
      <c r="BW45" s="692"/>
      <c r="BX45" s="1" t="str">
        <f t="shared" ref="BX45:BX51" si="62">B45</f>
        <v>TPPUMBTODS-N</v>
      </c>
      <c r="BY45" s="1" t="str">
        <f t="shared" ca="1" si="21"/>
        <v>-	S_TPPUMBTODS	1	TPPUMBTODS-N Set	1	10/03/2023 17:53:59	null	((tblITEMS.Item Like "TPPUMBTODS-N*"))	null	null	null	null	null	null	null</v>
      </c>
      <c r="BZ45" s="1" t="str">
        <f t="shared" si="22"/>
        <v>-	S_TPPUMBTODS	1	1	True	Like "TPPUMBTODS-N*"</v>
      </c>
      <c r="CI45" s="1">
        <f t="shared" ref="CI45:CI51" si="63">SUMIF($CI$10:$CI$11,RIGHT(C45,3),$CJ$10:$CJ$11)</f>
        <v>38.1</v>
      </c>
      <c r="CJ45" s="1">
        <v>10</v>
      </c>
      <c r="CK45" s="625">
        <f t="shared" ref="CK45:CK51" si="64">CJ45/CI45</f>
        <v>0.26246719160104987</v>
      </c>
      <c r="CL45" s="625" t="e">
        <f>#REF!</f>
        <v>#REF!</v>
      </c>
      <c r="CM45" s="625" t="e">
        <f>CK45/#REF!</f>
        <v>#REF!</v>
      </c>
      <c r="CN45" s="2" t="e">
        <f>#REF!*1000</f>
        <v>#REF!</v>
      </c>
      <c r="CO45" s="2">
        <f t="shared" ref="CO45:CO51" si="65">O45*1000000</f>
        <v>35000</v>
      </c>
      <c r="CP45" s="9" t="e">
        <f t="shared" ref="CP45:CP51" si="66">-PMT($CL$14,Z45,CN45)/CO45</f>
        <v>#REF!</v>
      </c>
      <c r="CQ45" s="9" t="e">
        <f t="shared" ref="CQ45:CQ51" si="67">CP45+CM45</f>
        <v>#REF!</v>
      </c>
    </row>
    <row r="46" spans="1:95" x14ac:dyDescent="0.2">
      <c r="A46" s="191" t="str">
        <f>ITEMS_nTech!C37</f>
        <v>Transport Passenger Minibus Oil Gasoline-N</v>
      </c>
      <c r="B46" s="191" t="str">
        <f>D46&amp;RIGHT(C46,3)&amp;"-N"</f>
        <v>TPPUMBTOGS-N</v>
      </c>
      <c r="C46" s="612" t="str">
        <f>$G$6</f>
        <v>TRAOGS</v>
      </c>
      <c r="D46" s="612" t="str">
        <f>TRP!$B$25</f>
        <v>TPPUMBT</v>
      </c>
      <c r="E46" s="702">
        <f t="array" ref="E46">IFERROR(INDEX(Analytica!$F$59:$AY$138,MATCH($B46,Analytica!$B$59:$B$168,0),MATCH(E$15&amp;E$10,Analytica!$F$58:$AY$58&amp;Analytica!$F$51:'Analytica'!$AY$51,0)),"")</f>
        <v>0.2038025244447535</v>
      </c>
      <c r="F46" s="702">
        <f t="array" ref="F46">IFERROR(INDEX(Analytica!$F$59:$AY$138,MATCH($B46,Analytica!$B$59:$B$168,0),MATCH(F$15&amp;F$10,Analytica!$F$58:$AY$58&amp;Analytica!$F$51:'Analytica'!$AY$51,0)),"")</f>
        <v>0.21973761419035504</v>
      </c>
      <c r="G46" s="702">
        <f t="array" ref="G46">IFERROR(INDEX(Analytica!$F$59:$AY$138,MATCH($B46,Analytica!$B$59:$B$168,0),MATCH(G$15&amp;G$10,Analytica!$F$58:$AY$58&amp;Analytica!$F$51:'Analytica'!$AY$51,0)),"")</f>
        <v>0.24296989100344107</v>
      </c>
      <c r="H46" s="702">
        <f t="array" ref="H46">IFERROR(INDEX(Analytica!$F$59:$AY$138,MATCH($B46,Analytica!$B$59:$B$168,0),MATCH(H$15&amp;H$10,Analytica!$F$58:$AY$58&amp;Analytica!$F$51:'Analytica'!$AY$51,0)),"")</f>
        <v>0.26865845500208052</v>
      </c>
      <c r="I46" s="701">
        <v>1</v>
      </c>
      <c r="J46" s="701">
        <v>1</v>
      </c>
      <c r="K46" s="701">
        <v>1</v>
      </c>
      <c r="L46" s="701">
        <v>1</v>
      </c>
      <c r="M46" s="701">
        <v>1</v>
      </c>
      <c r="N46" s="696">
        <f>IF(B46="","",MAX(N$18:N45)+1)</f>
        <v>25</v>
      </c>
      <c r="O46" s="702">
        <f t="array" ref="O46">IFERROR(INDEX(Analytica!$F$59:$AY$138,MATCH($B46,Analytica!$B$59:$B$168,0),MATCH(O$15&amp;O$10,Analytica!$F$58:$AY$58&amp;Analytica!$F$51:'Analytica'!$AY$51,0)),"")</f>
        <v>3.4999999999999996E-2</v>
      </c>
      <c r="P46" s="620">
        <f t="array" ref="P46">IFERROR(INDEX(Analytica!$F$59:$AY$138,MATCH($B46,Analytica!$B$59:$B$168,0),MATCH(P$15&amp;P$10,Analytica!$F$58:$AY$58&amp;Analytica!$F$51:'Analytica'!$AY$51,0)),"")</f>
        <v>350.63787759734595</v>
      </c>
      <c r="Q46" s="620">
        <f t="array" ref="Q46">IFERROR(INDEX(Analytica!$F$59:$AY$138,MATCH($B46,Analytica!$B$59:$B$168,0),MATCH(Q$15&amp;Q$10,Analytica!$F$58:$AY$58&amp;Analytica!$F$51:'Analytica'!$AY$51,0)),"")</f>
        <v>357.09962238446946</v>
      </c>
      <c r="R46" s="620">
        <f t="array" ref="R46">IFERROR(INDEX(Analytica!$F$59:$AY$138,MATCH($B46,Analytica!$B$59:$B$168,0),MATCH(R$15&amp;R$10,Analytica!$F$58:$AY$58&amp;Analytica!$F$51:'Analytica'!$AY$51,0)),"")</f>
        <v>363.56136717159279</v>
      </c>
      <c r="S46" s="620">
        <f t="array" ref="S46">IFERROR(INDEX(Analytica!$F$59:$AY$138,MATCH($B46,Analytica!$B$59:$B$168,0),MATCH(S$15&amp;S$10,Analytica!$F$58:$AY$58&amp;Analytica!$F$51:'Analytica'!$AY$51,0)),"")</f>
        <v>371.50085823323019</v>
      </c>
      <c r="T46" s="620">
        <f t="array" ref="T46">IFERROR(INDEX(Analytica!$F$59:$AY$138,MATCH($B46,Analytica!$B$59:$B$168,0),MATCH(T$15&amp;T$10,Analytica!$F$58:$AY$58&amp;Analytica!$F$51:'Analytica'!$AY$51,0)),"")</f>
        <v>379.44034929486759</v>
      </c>
      <c r="U46" s="620">
        <f t="array" ref="U46">IFERROR(INDEX(Analytica!$F$59:$AY$138,MATCH($B46,Analytica!$B$59:$B$168,0),MATCH(U$15&amp;U$10,Analytica!$F$58:$AY$58&amp;Analytica!$F$51:'Analytica'!$AY$51,0)),"")</f>
        <v>387.39622422821134</v>
      </c>
      <c r="V46" s="620">
        <f t="array" ref="V46">IFERROR(INDEX(Analytica!$F$59:$AY$138,MATCH($B46,Analytica!$B$59:$B$168,0),MATCH(V$15&amp;V$10,Analytica!$F$58:$AY$58&amp;Analytica!$F$51:'Analytica'!$AY$51,0)),"")</f>
        <v>9.4672226951283402</v>
      </c>
      <c r="W46" s="620">
        <f t="array" ref="W46">IFERROR(INDEX(Analytica!$F$59:$AY$138,MATCH($B46,Analytica!$B$59:$B$168,0),MATCH(W$15&amp;W$10,Analytica!$F$58:$AY$58&amp;Analytica!$F$51:'Analytica'!$AY$51,0)),"")</f>
        <v>9.8161569136330051</v>
      </c>
      <c r="X46" s="620">
        <f t="array" ref="X46">IFERROR(INDEX(Analytica!$F$59:$AY$138,MATCH($B46,Analytica!$B$59:$B$168,0),MATCH(X$15&amp;X$10,Analytica!$F$58:$AY$58&amp;Analytica!$F$51:'Analytica'!$AY$51,0)),"")</f>
        <v>10.244889430961425</v>
      </c>
      <c r="Y46" s="620">
        <f t="array" ref="Y46">IFERROR(INDEX(Analytica!$F$59:$AY$138,MATCH($B46,Analytica!$B$59:$B$168,0),MATCH(Y$15&amp;Y$10,Analytica!$F$58:$AY$58&amp;Analytica!$F$51:'Analytica'!$AY$51,0)),"")</f>
        <v>10.459698054161706</v>
      </c>
      <c r="Z46" s="694">
        <f t="shared" ref="Z46:Z51" si="68">Z45</f>
        <v>20</v>
      </c>
      <c r="AA46" s="694">
        <f t="shared" si="4"/>
        <v>20</v>
      </c>
      <c r="AB46" s="694">
        <f t="shared" si="42"/>
        <v>2018</v>
      </c>
      <c r="AC46" s="1">
        <f t="shared" ca="1" si="5"/>
        <v>29</v>
      </c>
      <c r="AE46" s="1" t="str">
        <f t="shared" si="6"/>
        <v>S_TPPUMBT</v>
      </c>
      <c r="AF46" s="1" t="str">
        <f t="shared" si="53"/>
        <v>S_TPPUMBTOGS</v>
      </c>
      <c r="AG46" s="1" t="str">
        <f t="shared" si="54"/>
        <v>TPPUMBTOGS-N_L</v>
      </c>
      <c r="AH46" s="1" t="str">
        <f t="shared" si="55"/>
        <v>TPPUMBTOGS-N_U</v>
      </c>
      <c r="AI46" s="194">
        <v>0</v>
      </c>
      <c r="AJ46" s="699">
        <f>SUMIF(Analytica!$B$59:$B$137,B46,Analytica!$BA$59:$BA$192)</f>
        <v>0.41484012692213817</v>
      </c>
      <c r="AK46" s="697" t="e">
        <f>IF($AP$10,BK46,#REF!)</f>
        <v>#REF!</v>
      </c>
      <c r="AL46" s="697" t="e">
        <f t="shared" si="56"/>
        <v>#REF!</v>
      </c>
      <c r="AM46" s="697" t="e">
        <f t="shared" si="56"/>
        <v>#REF!</v>
      </c>
      <c r="AN46" s="697">
        <f t="shared" si="56"/>
        <v>1</v>
      </c>
      <c r="AO46" s="697">
        <f t="shared" si="56"/>
        <v>1</v>
      </c>
      <c r="AP46" s="194">
        <v>1</v>
      </c>
      <c r="AQ46" s="650">
        <f t="shared" si="57"/>
        <v>0.41484012692213817</v>
      </c>
      <c r="AR46" s="697" t="e">
        <f>IF($AP$10,BR46,#REF!)</f>
        <v>#REF!</v>
      </c>
      <c r="AS46" s="697" t="e">
        <f t="shared" si="58"/>
        <v>#REF!</v>
      </c>
      <c r="AT46" s="697">
        <f t="shared" si="58"/>
        <v>0.20742006346106909</v>
      </c>
      <c r="AU46" s="697">
        <f t="shared" si="58"/>
        <v>0</v>
      </c>
      <c r="AV46" s="697">
        <f t="shared" si="58"/>
        <v>0</v>
      </c>
      <c r="AX46" s="698">
        <f>$AJ46</f>
        <v>0.41484012692213817</v>
      </c>
      <c r="AY46" s="697" t="e">
        <f>IF(#REF!&lt;&gt;"",(AY$11-#REF!)/(BA$11-#REF!)*(BA46-#REF!)+#REF!,"")</f>
        <v>#REF!</v>
      </c>
      <c r="AZ46" s="697" t="e">
        <f t="shared" si="12"/>
        <v>#REF!</v>
      </c>
      <c r="BA46" s="697">
        <f t="shared" si="47"/>
        <v>1</v>
      </c>
      <c r="BB46" s="697">
        <f t="shared" si="47"/>
        <v>1</v>
      </c>
      <c r="BC46" s="711"/>
      <c r="BD46" s="697">
        <f t="shared" si="14"/>
        <v>0.41484012692213817</v>
      </c>
      <c r="BE46" s="697" t="e">
        <f>IF(#REF!&lt;&gt;"",(BE$11-#REF!)/(BG$11-#REF!)*(BG46-#REF!)+#REF!,"")</f>
        <v>#REF!</v>
      </c>
      <c r="BF46" s="697">
        <f t="shared" si="48"/>
        <v>0.20742006346106909</v>
      </c>
      <c r="BG46" s="697">
        <f t="shared" si="48"/>
        <v>0</v>
      </c>
      <c r="BH46" s="697">
        <f t="shared" si="48"/>
        <v>0</v>
      </c>
      <c r="BI46" s="692"/>
      <c r="BJ46" s="693">
        <f>$AJ46</f>
        <v>0.41484012692213817</v>
      </c>
      <c r="BK46" s="697">
        <f>MIN(1,$AJ46+BK$12)</f>
        <v>0.43484012692213819</v>
      </c>
      <c r="BL46" s="697" t="e">
        <f t="shared" si="52"/>
        <v>#REF!</v>
      </c>
      <c r="BM46" s="697" t="e">
        <f t="shared" si="59"/>
        <v>#REF!</v>
      </c>
      <c r="BN46" s="697">
        <f>MIN(1,$AJ46+BN$12)</f>
        <v>0.66484012692213823</v>
      </c>
      <c r="BO46" s="697">
        <f>MIN(1,$AJ46+BO$12)</f>
        <v>0.91484012692213823</v>
      </c>
      <c r="BP46" s="194"/>
      <c r="BQ46" s="650">
        <f t="shared" si="60"/>
        <v>0.41484012692213817</v>
      </c>
      <c r="BR46" s="697">
        <v>0.75</v>
      </c>
      <c r="BS46" s="697" t="e">
        <f t="shared" si="51"/>
        <v>#REF!</v>
      </c>
      <c r="BT46" s="697" t="e">
        <f t="shared" si="61"/>
        <v>#REF!</v>
      </c>
      <c r="BU46" s="697">
        <f>$AQ46*BU$12</f>
        <v>0.10371003173053454</v>
      </c>
      <c r="BV46" s="697">
        <f>$AQ46*BV$12</f>
        <v>4.1484012692213822E-2</v>
      </c>
      <c r="BW46" s="692"/>
      <c r="BX46" s="1" t="str">
        <f t="shared" si="62"/>
        <v>TPPUMBTOGS-N</v>
      </c>
      <c r="BY46" s="1" t="str">
        <f t="shared" ca="1" si="21"/>
        <v>-	S_TPPUMBTOGS	1	TPPUMBTOGS-N Set	1	10/03/2023 17:53:59	null	((tblITEMS.Item Like "TPPUMBTOGS-N*"))	null	null	null	null	null	null	null</v>
      </c>
      <c r="BZ46" s="1" t="str">
        <f t="shared" si="22"/>
        <v>-	S_TPPUMBTOGS	1	1	True	Like "TPPUMBTOGS-N*"</v>
      </c>
      <c r="CI46" s="1">
        <f t="shared" si="63"/>
        <v>34.200000000000003</v>
      </c>
      <c r="CJ46" s="1">
        <v>10</v>
      </c>
      <c r="CK46" s="625">
        <f t="shared" si="64"/>
        <v>0.29239766081871343</v>
      </c>
      <c r="CL46" s="625" t="e">
        <f>#REF!</f>
        <v>#REF!</v>
      </c>
      <c r="CM46" s="625" t="e">
        <f>CK46/#REF!</f>
        <v>#REF!</v>
      </c>
      <c r="CN46" s="2" t="e">
        <f>#REF!*1000</f>
        <v>#REF!</v>
      </c>
      <c r="CO46" s="2">
        <f t="shared" si="65"/>
        <v>35000</v>
      </c>
      <c r="CP46" s="9" t="e">
        <f t="shared" si="66"/>
        <v>#REF!</v>
      </c>
      <c r="CQ46" s="9" t="e">
        <f t="shared" si="67"/>
        <v>#REF!</v>
      </c>
    </row>
    <row r="47" spans="1:95" x14ac:dyDescent="0.2">
      <c r="A47" s="191" t="str">
        <f>ITEMS_nTech!C38</f>
        <v>Transport Passenger Minibus Oil Diesel Hybrid-N</v>
      </c>
      <c r="B47" s="191" t="str">
        <f>D47&amp;RIGHT(C47,3)&amp;"H-N"</f>
        <v>TPPUMBTODSH-N</v>
      </c>
      <c r="C47" s="612" t="str">
        <f>$D$6</f>
        <v>TRAODS</v>
      </c>
      <c r="D47" s="612" t="str">
        <f>TRP!$B$25</f>
        <v>TPPUMBT</v>
      </c>
      <c r="E47" s="702">
        <f t="array" ref="E47">IFERROR(INDEX(Analytica!$F$59:$AY$138,MATCH($B47,Analytica!$B$59:$B$168,0),MATCH(E$15&amp;E$10,Analytica!$F$58:$AY$58&amp;Analytica!$F$51:'Analytica'!$AY$51,0)),"")</f>
        <v>0.24052686742503102</v>
      </c>
      <c r="F47" s="702">
        <f t="array" ref="F47">IFERROR(INDEX(Analytica!$F$59:$AY$138,MATCH($B47,Analytica!$B$59:$B$168,0),MATCH(F$15&amp;F$10,Analytica!$F$58:$AY$58&amp;Analytica!$F$51:'Analytica'!$AY$51,0)),"")</f>
        <v>0.25933339216798273</v>
      </c>
      <c r="G47" s="702">
        <f t="array" ref="G47">IFERROR(INDEX(Analytica!$F$59:$AY$138,MATCH($B47,Analytica!$B$59:$B$168,0),MATCH(G$15&amp;G$10,Analytica!$F$58:$AY$58&amp;Analytica!$F$51:'Analytica'!$AY$51,0)),"")</f>
        <v>0.28675202586855569</v>
      </c>
      <c r="H47" s="702">
        <f t="array" ref="H47">IFERROR(INDEX(Analytica!$F$59:$AY$138,MATCH($B47,Analytica!$B$59:$B$168,0),MATCH(H$15&amp;H$10,Analytica!$F$58:$AY$58&amp;Analytica!$F$51:'Analytica'!$AY$51,0)),"")</f>
        <v>0.31706955919682966</v>
      </c>
      <c r="I47" s="701">
        <v>1</v>
      </c>
      <c r="J47" s="701">
        <v>1</v>
      </c>
      <c r="K47" s="701">
        <v>1</v>
      </c>
      <c r="L47" s="701">
        <v>1</v>
      </c>
      <c r="M47" s="701">
        <v>1</v>
      </c>
      <c r="N47" s="696">
        <f>IF(B47="","",MAX(N$18:N46)+1)</f>
        <v>26</v>
      </c>
      <c r="O47" s="702">
        <f t="array" ref="O47">IFERROR(INDEX(Analytica!$F$59:$AY$138,MATCH($B47,Analytica!$B$59:$B$168,0),MATCH(O$15&amp;O$10,Analytica!$F$58:$AY$58&amp;Analytica!$F$51:'Analytica'!$AY$51,0)),"")</f>
        <v>3.4999999999999996E-2</v>
      </c>
      <c r="P47" s="620">
        <f t="array" ref="P47">IFERROR(INDEX(Analytica!$F$59:$AY$138,MATCH($B47,Analytica!$B$59:$B$168,0),MATCH(P$15&amp;P$10,Analytica!$F$58:$AY$58&amp;Analytica!$F$51:'Analytica'!$AY$51,0)),"")</f>
        <v>496.02431464990411</v>
      </c>
      <c r="Q47" s="620">
        <f t="array" ref="Q47">IFERROR(INDEX(Analytica!$F$59:$AY$138,MATCH($B47,Analytica!$B$59:$B$168,0),MATCH(Q$15&amp;Q$10,Analytica!$F$58:$AY$58&amp;Analytica!$F$51:'Analytica'!$AY$51,0)),"")</f>
        <v>504.86263896951328</v>
      </c>
      <c r="R47" s="620">
        <f t="array" ref="R47">IFERROR(INDEX(Analytica!$F$59:$AY$138,MATCH($B47,Analytica!$B$59:$B$168,0),MATCH(R$15&amp;R$10,Analytica!$F$58:$AY$58&amp;Analytica!$F$51:'Analytica'!$AY$51,0)),"")</f>
        <v>363.56136717159279</v>
      </c>
      <c r="S47" s="620">
        <f t="array" ref="S47">IFERROR(INDEX(Analytica!$F$59:$AY$138,MATCH($B47,Analytica!$B$59:$B$168,0),MATCH(S$15&amp;S$10,Analytica!$F$58:$AY$58&amp;Analytica!$F$51:'Analytica'!$AY$51,0)),"")</f>
        <v>371.50085823323019</v>
      </c>
      <c r="T47" s="620">
        <f t="array" ref="T47">IFERROR(INDEX(Analytica!$F$59:$AY$138,MATCH($B47,Analytica!$B$59:$B$168,0),MATCH(T$15&amp;T$10,Analytica!$F$58:$AY$58&amp;Analytica!$F$51:'Analytica'!$AY$51,0)),"")</f>
        <v>379.44034929486759</v>
      </c>
      <c r="U47" s="620">
        <f t="array" ref="U47">IFERROR(INDEX(Analytica!$F$59:$AY$138,MATCH($B47,Analytica!$B$59:$B$168,0),MATCH(U$15&amp;U$10,Analytica!$F$58:$AY$58&amp;Analytica!$F$51:'Analytica'!$AY$51,0)),"")</f>
        <v>387.39622422821134</v>
      </c>
      <c r="V47" s="620">
        <f t="array" ref="V47">IFERROR(INDEX(Analytica!$F$59:$AY$138,MATCH($B47,Analytica!$B$59:$B$168,0),MATCH(V$15&amp;V$10,Analytica!$F$58:$AY$58&amp;Analytica!$F$51:'Analytica'!$AY$51,0)),"")</f>
        <v>13.392656495547412</v>
      </c>
      <c r="W47" s="620">
        <f t="array" ref="W47">IFERROR(INDEX(Analytica!$F$59:$AY$138,MATCH($B47,Analytica!$B$59:$B$168,0),MATCH(W$15&amp;W$10,Analytica!$F$58:$AY$58&amp;Analytica!$F$51:'Analytica'!$AY$51,0)),"")</f>
        <v>9.8161569136330051</v>
      </c>
      <c r="X47" s="620">
        <f t="array" ref="X47">IFERROR(INDEX(Analytica!$F$59:$AY$138,MATCH($B47,Analytica!$B$59:$B$168,0),MATCH(X$15&amp;X$10,Analytica!$F$58:$AY$58&amp;Analytica!$F$51:'Analytica'!$AY$51,0)),"")</f>
        <v>10.244889430961425</v>
      </c>
      <c r="Y47" s="620">
        <f t="array" ref="Y47">IFERROR(INDEX(Analytica!$F$59:$AY$138,MATCH($B47,Analytica!$B$59:$B$168,0),MATCH(Y$15&amp;Y$10,Analytica!$F$58:$AY$58&amp;Analytica!$F$51:'Analytica'!$AY$51,0)),"")</f>
        <v>10.459698054161706</v>
      </c>
      <c r="Z47" s="694">
        <f t="shared" si="68"/>
        <v>20</v>
      </c>
      <c r="AA47" s="694">
        <f t="shared" si="4"/>
        <v>20</v>
      </c>
      <c r="AB47" s="694">
        <f t="shared" si="42"/>
        <v>2025</v>
      </c>
      <c r="AC47" s="1">
        <f t="shared" ca="1" si="5"/>
        <v>30</v>
      </c>
      <c r="AD47" s="1">
        <v>1</v>
      </c>
      <c r="AE47" s="1" t="str">
        <f t="shared" si="6"/>
        <v>S_TPPUMBT</v>
      </c>
      <c r="AF47" s="1" t="str">
        <f t="shared" si="53"/>
        <v>S_TPPUMBTODSH</v>
      </c>
      <c r="AG47" s="1" t="str">
        <f t="shared" si="54"/>
        <v>TPPUMBTODSH-N_L</v>
      </c>
      <c r="AH47" s="1" t="str">
        <f t="shared" si="55"/>
        <v>TPPUMBTODSH-N_U</v>
      </c>
      <c r="AI47" s="194">
        <v>0</v>
      </c>
      <c r="AJ47" s="699">
        <f>SUMIF(Analytica!$B$59:$B$137,B47,Analytica!$BA$59:$BA$192)</f>
        <v>0</v>
      </c>
      <c r="AK47" s="697" t="e">
        <f>IF($AP$10,BK47,#REF!)</f>
        <v>#REF!</v>
      </c>
      <c r="AL47" s="697" t="e">
        <f t="shared" si="56"/>
        <v>#REF!</v>
      </c>
      <c r="AM47" s="697" t="e">
        <f t="shared" si="56"/>
        <v>#REF!</v>
      </c>
      <c r="AN47" s="697">
        <f t="shared" si="56"/>
        <v>1</v>
      </c>
      <c r="AO47" s="697">
        <f t="shared" si="56"/>
        <v>1</v>
      </c>
      <c r="AP47" s="194">
        <v>1</v>
      </c>
      <c r="AQ47" s="650">
        <f t="shared" si="57"/>
        <v>0</v>
      </c>
      <c r="AR47" s="697" t="e">
        <f>IF($AP$10,BR47,#REF!)</f>
        <v>#REF!</v>
      </c>
      <c r="AS47" s="697" t="e">
        <f t="shared" si="58"/>
        <v>#REF!</v>
      </c>
      <c r="AT47" s="697">
        <f t="shared" si="58"/>
        <v>0</v>
      </c>
      <c r="AU47" s="697">
        <f t="shared" si="58"/>
        <v>0</v>
      </c>
      <c r="AV47" s="697">
        <f t="shared" si="58"/>
        <v>0</v>
      </c>
      <c r="AX47" s="698">
        <f>$AJ47</f>
        <v>0</v>
      </c>
      <c r="AY47" s="697" t="e">
        <f>IF(#REF!&lt;&gt;"",(AY$11-#REF!)/(BA$11-#REF!)*(BA47-#REF!)+#REF!,"")</f>
        <v>#REF!</v>
      </c>
      <c r="AZ47" s="697" t="e">
        <f t="shared" si="12"/>
        <v>#REF!</v>
      </c>
      <c r="BA47" s="697">
        <f t="shared" si="47"/>
        <v>1</v>
      </c>
      <c r="BB47" s="697">
        <f t="shared" si="47"/>
        <v>1</v>
      </c>
      <c r="BC47" s="711"/>
      <c r="BD47" s="697">
        <f t="shared" si="14"/>
        <v>0</v>
      </c>
      <c r="BE47" s="697" t="e">
        <f>IF(#REF!&lt;&gt;"",(BE$11-#REF!)/(BG$11-#REF!)*(BG47-#REF!)+#REF!,"")</f>
        <v>#REF!</v>
      </c>
      <c r="BF47" s="697">
        <f t="shared" si="48"/>
        <v>0</v>
      </c>
      <c r="BG47" s="697">
        <f t="shared" si="48"/>
        <v>0</v>
      </c>
      <c r="BH47" s="697">
        <f t="shared" si="48"/>
        <v>0</v>
      </c>
      <c r="BI47" s="692"/>
      <c r="BJ47" s="693">
        <f>$AJ47</f>
        <v>0</v>
      </c>
      <c r="BK47" s="697">
        <v>0</v>
      </c>
      <c r="BL47" s="697" t="e">
        <f t="shared" si="52"/>
        <v>#REF!</v>
      </c>
      <c r="BM47" s="697" t="e">
        <f t="shared" si="59"/>
        <v>#REF!</v>
      </c>
      <c r="BN47" s="697">
        <f>MIN(1,$AJ47+BN$12)</f>
        <v>0.25</v>
      </c>
      <c r="BO47" s="697">
        <f>MIN(1,$AJ47+BO$12)</f>
        <v>0.5</v>
      </c>
      <c r="BP47" s="194"/>
      <c r="BQ47" s="650">
        <f t="shared" si="60"/>
        <v>0</v>
      </c>
      <c r="BR47" s="697">
        <f>$AQ47*BR$12</f>
        <v>0</v>
      </c>
      <c r="BS47" s="697" t="e">
        <f t="shared" si="51"/>
        <v>#REF!</v>
      </c>
      <c r="BT47" s="697" t="e">
        <f t="shared" si="61"/>
        <v>#REF!</v>
      </c>
      <c r="BU47" s="715">
        <v>0.05</v>
      </c>
      <c r="BV47" s="715">
        <v>0.05</v>
      </c>
      <c r="BW47" s="692"/>
      <c r="BX47" s="1" t="str">
        <f t="shared" si="62"/>
        <v>TPPUMBTODSH-N</v>
      </c>
      <c r="BY47" s="1" t="str">
        <f t="shared" ca="1" si="21"/>
        <v>-	S_TPPUMBTODSH	1	TPPUMBTODSH-N Set	1	10/03/2023 17:53:59	null	((tblITEMS.Item Like "TPPUMBTODSH-N*"))	null	null	null	null	null	null	null</v>
      </c>
      <c r="BZ47" s="1" t="str">
        <f t="shared" si="22"/>
        <v>-	S_TPPUMBTODSH	1	1	True	Like "TPPUMBTODSH-N*"</v>
      </c>
      <c r="CI47" s="1">
        <f t="shared" si="63"/>
        <v>38.1</v>
      </c>
      <c r="CJ47" s="1">
        <v>10</v>
      </c>
      <c r="CK47" s="625">
        <f t="shared" si="64"/>
        <v>0.26246719160104987</v>
      </c>
      <c r="CL47" s="625" t="e">
        <f>#REF!</f>
        <v>#REF!</v>
      </c>
      <c r="CM47" s="625" t="e">
        <f>CK47/#REF!</f>
        <v>#REF!</v>
      </c>
      <c r="CN47" s="2" t="e">
        <f>#REF!*1000</f>
        <v>#REF!</v>
      </c>
      <c r="CO47" s="2">
        <f t="shared" si="65"/>
        <v>35000</v>
      </c>
      <c r="CP47" s="9" t="e">
        <f t="shared" si="66"/>
        <v>#REF!</v>
      </c>
      <c r="CQ47" s="9" t="e">
        <f t="shared" si="67"/>
        <v>#REF!</v>
      </c>
    </row>
    <row r="48" spans="1:95" x14ac:dyDescent="0.2">
      <c r="A48" s="191" t="str">
        <f>ITEMS_nTech!C39</f>
        <v>Transport Passenger Minibus Gas-N</v>
      </c>
      <c r="B48" s="191" t="str">
        <f>D48&amp;RIGHT(C48,3)&amp;"-N"</f>
        <v>TPPUMBTGAS-N</v>
      </c>
      <c r="C48" s="612" t="str">
        <f>$F$6</f>
        <v>TRAGAS</v>
      </c>
      <c r="D48" s="612" t="str">
        <f>TRP!$B$25</f>
        <v>TPPUMBT</v>
      </c>
      <c r="E48" s="702">
        <f t="array" ref="E48">IFERROR(INDEX(Analytica!$F$59:$AY$138,MATCH($B48,Analytica!$B$59:$B$168,0),MATCH(E$15&amp;E$10,Analytica!$F$58:$AY$58&amp;Analytica!$F$51:'Analytica'!$AY$51,0)),"")</f>
        <v>0.17369727011103256</v>
      </c>
      <c r="F48" s="702">
        <f t="array" ref="F48">IFERROR(INDEX(Analytica!$F$59:$AY$138,MATCH($B48,Analytica!$B$59:$B$168,0),MATCH(F$15&amp;F$10,Analytica!$F$58:$AY$58&amp;Analytica!$F$51:'Analytica'!$AY$51,0)),"")</f>
        <v>0.18727846394229747</v>
      </c>
      <c r="G48" s="702">
        <f t="array" ref="G48">IFERROR(INDEX(Analytica!$F$59:$AY$138,MATCH($B48,Analytica!$B$59:$B$168,0),MATCH(G$15&amp;G$10,Analytica!$F$58:$AY$58&amp;Analytica!$F$51:'Analytica'!$AY$51,0)),"")</f>
        <v>0.20707892064366076</v>
      </c>
      <c r="H48" s="702">
        <f t="array" ref="H48">IFERROR(INDEX(Analytica!$F$59:$AY$138,MATCH($B48,Analytica!$B$59:$B$168,0),MATCH(H$15&amp;H$10,Analytica!$F$58:$AY$58&amp;Analytica!$F$51:'Analytica'!$AY$51,0)),"")</f>
        <v>0.22897282726622464</v>
      </c>
      <c r="I48" s="701">
        <v>1</v>
      </c>
      <c r="J48" s="701">
        <v>1</v>
      </c>
      <c r="K48" s="701">
        <v>1</v>
      </c>
      <c r="L48" s="701">
        <v>1</v>
      </c>
      <c r="M48" s="701">
        <v>1</v>
      </c>
      <c r="N48" s="696">
        <f>IF(B48="","",MAX(N$18:N47)+1)</f>
        <v>27</v>
      </c>
      <c r="O48" s="702">
        <f t="array" ref="O48">IFERROR(INDEX(Analytica!$F$59:$AY$138,MATCH($B48,Analytica!$B$59:$B$168,0),MATCH(O$15&amp;O$10,Analytica!$F$58:$AY$58&amp;Analytica!$F$51:'Analytica'!$AY$51,0)),"")</f>
        <v>3.4999999999999996E-2</v>
      </c>
      <c r="P48" s="620">
        <f t="array" ref="P48">IFERROR(INDEX(Analytica!$F$59:$AY$138,MATCH($B48,Analytica!$B$59:$B$168,0),MATCH(P$15&amp;P$10,Analytica!$F$58:$AY$58&amp;Analytica!$F$51:'Analytica'!$AY$51,0)),"")</f>
        <v>545.62674611489456</v>
      </c>
      <c r="Q48" s="620">
        <f t="array" ref="Q48">IFERROR(INDEX(Analytica!$F$59:$AY$138,MATCH($B48,Analytica!$B$59:$B$168,0),MATCH(Q$15&amp;Q$10,Analytica!$F$58:$AY$58&amp;Analytica!$F$51:'Analytica'!$AY$51,0)),"")</f>
        <v>551.3701241175919</v>
      </c>
      <c r="R48" s="620">
        <f t="array" ref="R48">IFERROR(INDEX(Analytica!$F$59:$AY$138,MATCH($B48,Analytica!$B$59:$B$168,0),MATCH(R$15&amp;R$10,Analytica!$F$58:$AY$58&amp;Analytica!$F$51:'Analytica'!$AY$51,0)),"")</f>
        <v>557.11350212028935</v>
      </c>
      <c r="S48" s="620">
        <f t="array" ref="S48">IFERROR(INDEX(Analytica!$F$59:$AY$138,MATCH($B48,Analytica!$B$59:$B$168,0),MATCH(S$15&amp;S$10,Analytica!$F$58:$AY$58&amp;Analytica!$F$51:'Analytica'!$AY$51,0)),"")</f>
        <v>565.34503849646865</v>
      </c>
      <c r="T48" s="620">
        <f t="array" ref="T48">IFERROR(INDEX(Analytica!$F$59:$AY$138,MATCH($B48,Analytica!$B$59:$B$168,0),MATCH(T$15&amp;T$10,Analytica!$F$58:$AY$58&amp;Analytica!$F$51:'Analytica'!$AY$51,0)),"")</f>
        <v>573.57657487264794</v>
      </c>
      <c r="U48" s="620">
        <f t="array" ref="U48">IFERROR(INDEX(Analytica!$F$59:$AY$138,MATCH($B48,Analytica!$B$59:$B$168,0),MATCH(U$15&amp;U$10,Analytica!$F$58:$AY$58&amp;Analytica!$F$51:'Analytica'!$AY$51,0)),"")</f>
        <v>580.79572210982678</v>
      </c>
      <c r="V48" s="620">
        <f t="array" ref="V48">IFERROR(INDEX(Analytica!$F$59:$AY$138,MATCH($B48,Analytica!$B$59:$B$168,0),MATCH(V$15&amp;V$10,Analytica!$F$58:$AY$58&amp;Analytica!$F$51:'Analytica'!$AY$51,0)),"")</f>
        <v>14.731922145102153</v>
      </c>
      <c r="W48" s="620">
        <f t="array" ref="W48">IFERROR(INDEX(Analytica!$F$59:$AY$138,MATCH($B48,Analytica!$B$59:$B$168,0),MATCH(W$15&amp;W$10,Analytica!$F$58:$AY$58&amp;Analytica!$F$51:'Analytica'!$AY$51,0)),"")</f>
        <v>15.042064557247812</v>
      </c>
      <c r="X48" s="620">
        <f t="array" ref="X48">IFERROR(INDEX(Analytica!$F$59:$AY$138,MATCH($B48,Analytica!$B$59:$B$168,0),MATCH(X$15&amp;X$10,Analytica!$F$58:$AY$58&amp;Analytica!$F$51:'Analytica'!$AY$51,0)),"")</f>
        <v>15.486567521561494</v>
      </c>
      <c r="Y48" s="620">
        <f t="array" ref="Y48">IFERROR(INDEX(Analytica!$F$59:$AY$138,MATCH($B48,Analytica!$B$59:$B$168,0),MATCH(Y$15&amp;Y$10,Analytica!$F$58:$AY$58&amp;Analytica!$F$51:'Analytica'!$AY$51,0)),"")</f>
        <v>15.681484496965323</v>
      </c>
      <c r="Z48" s="694">
        <f t="shared" si="68"/>
        <v>20</v>
      </c>
      <c r="AA48" s="694">
        <f t="shared" si="4"/>
        <v>20</v>
      </c>
      <c r="AB48" s="694">
        <f t="shared" si="42"/>
        <v>2018</v>
      </c>
      <c r="AC48" s="1">
        <f t="shared" ca="1" si="5"/>
        <v>31</v>
      </c>
      <c r="AE48" s="1" t="str">
        <f t="shared" si="6"/>
        <v>S_TPPUMBT</v>
      </c>
      <c r="AF48" s="1" t="str">
        <f t="shared" si="53"/>
        <v>S_TPPUMBTGAS</v>
      </c>
      <c r="AG48" s="714" t="str">
        <f t="shared" si="54"/>
        <v>TPPUMBTGAS-N_L</v>
      </c>
      <c r="AH48" s="1" t="str">
        <f t="shared" si="55"/>
        <v>TPPUMBTGAS-N_U</v>
      </c>
      <c r="AI48" s="194">
        <v>0</v>
      </c>
      <c r="AJ48" s="699">
        <f>SUMIF(Analytica!$B$59:$B$137,B48,Analytica!$BA$59:$BA$192)</f>
        <v>0</v>
      </c>
      <c r="AK48" s="697" t="e">
        <f>IF($AP$10,BK48,#REF!)</f>
        <v>#REF!</v>
      </c>
      <c r="AL48" s="697" t="e">
        <f t="shared" si="56"/>
        <v>#REF!</v>
      </c>
      <c r="AM48" s="697" t="e">
        <f t="shared" si="56"/>
        <v>#REF!</v>
      </c>
      <c r="AN48" s="697">
        <f t="shared" si="56"/>
        <v>1</v>
      </c>
      <c r="AO48" s="697">
        <f t="shared" si="56"/>
        <v>1</v>
      </c>
      <c r="AP48" s="194">
        <v>1</v>
      </c>
      <c r="AQ48" s="650">
        <f t="shared" si="57"/>
        <v>0</v>
      </c>
      <c r="AR48" s="697" t="e">
        <f>IF($AP$10,BR48,#REF!)</f>
        <v>#REF!</v>
      </c>
      <c r="AS48" s="697" t="e">
        <f t="shared" si="58"/>
        <v>#REF!</v>
      </c>
      <c r="AT48" s="697">
        <f t="shared" si="58"/>
        <v>0</v>
      </c>
      <c r="AU48" s="697">
        <f t="shared" si="58"/>
        <v>0</v>
      </c>
      <c r="AV48" s="697">
        <f t="shared" si="58"/>
        <v>0</v>
      </c>
      <c r="AX48" s="698">
        <f>$AJ48</f>
        <v>0</v>
      </c>
      <c r="AY48" s="697" t="e">
        <f>IF(#REF!&lt;&gt;"",(AY$11-#REF!)/(BA$11-#REF!)*(BA48-#REF!)+#REF!,"")</f>
        <v>#REF!</v>
      </c>
      <c r="AZ48" s="697" t="e">
        <f t="shared" si="12"/>
        <v>#REF!</v>
      </c>
      <c r="BA48" s="697">
        <f t="shared" si="47"/>
        <v>1</v>
      </c>
      <c r="BB48" s="697">
        <f t="shared" si="47"/>
        <v>1</v>
      </c>
      <c r="BC48" s="711"/>
      <c r="BD48" s="697">
        <f t="shared" si="14"/>
        <v>0</v>
      </c>
      <c r="BE48" s="697" t="e">
        <f>IF(#REF!&lt;&gt;"",(BE$11-#REF!)/(BG$11-#REF!)*(BG48-#REF!)+#REF!,"")</f>
        <v>#REF!</v>
      </c>
      <c r="BF48" s="697">
        <f t="shared" si="48"/>
        <v>0</v>
      </c>
      <c r="BG48" s="697">
        <f t="shared" si="48"/>
        <v>0</v>
      </c>
      <c r="BH48" s="697">
        <f t="shared" si="48"/>
        <v>0</v>
      </c>
      <c r="BI48" s="692"/>
      <c r="BJ48" s="693">
        <f>$AJ48</f>
        <v>0</v>
      </c>
      <c r="BK48" s="697">
        <v>0</v>
      </c>
      <c r="BL48" s="697" t="e">
        <f t="shared" si="52"/>
        <v>#REF!</v>
      </c>
      <c r="BM48" s="697" t="e">
        <f t="shared" si="59"/>
        <v>#REF!</v>
      </c>
      <c r="BN48" s="697">
        <v>0</v>
      </c>
      <c r="BO48" s="697">
        <v>0</v>
      </c>
      <c r="BP48" s="194"/>
      <c r="BQ48" s="650">
        <f t="shared" si="60"/>
        <v>0</v>
      </c>
      <c r="BR48" s="697">
        <f>$AQ48*BR$12</f>
        <v>0</v>
      </c>
      <c r="BS48" s="697" t="e">
        <f t="shared" si="51"/>
        <v>#REF!</v>
      </c>
      <c r="BT48" s="697" t="e">
        <f t="shared" si="61"/>
        <v>#REF!</v>
      </c>
      <c r="BU48" s="697">
        <f>$AQ48*BU$12</f>
        <v>0</v>
      </c>
      <c r="BV48" s="697">
        <f>$AQ48*BV$12</f>
        <v>0</v>
      </c>
      <c r="BW48" s="692"/>
      <c r="BX48" s="707" t="str">
        <f t="shared" si="62"/>
        <v>TPPUMBTGAS-N</v>
      </c>
      <c r="BY48" s="1" t="str">
        <f t="shared" ca="1" si="21"/>
        <v>-	S_TPPUMBTGAS	1	TPPUMBTGAS-N Set	1	10/03/2023 17:53:59	null	((tblITEMS.Item Like "TPPUMBTGAS-N*"))	null	null	null	null	null	null	null</v>
      </c>
      <c r="BZ48" s="1" t="str">
        <f t="shared" si="22"/>
        <v>-	S_TPPUMBTGAS	1	1	True	Like "TPPUMBTGAS-N*"</v>
      </c>
      <c r="CI48" s="1">
        <f t="shared" si="63"/>
        <v>0</v>
      </c>
      <c r="CJ48" s="1">
        <v>10</v>
      </c>
      <c r="CK48" s="625" t="e">
        <f t="shared" si="64"/>
        <v>#DIV/0!</v>
      </c>
      <c r="CL48" s="625" t="e">
        <f>#REF!</f>
        <v>#REF!</v>
      </c>
      <c r="CM48" s="625" t="e">
        <f>CK48/#REF!</f>
        <v>#DIV/0!</v>
      </c>
      <c r="CN48" s="2" t="e">
        <f>#REF!*1000</f>
        <v>#REF!</v>
      </c>
      <c r="CO48" s="2">
        <f t="shared" si="65"/>
        <v>35000</v>
      </c>
      <c r="CP48" s="9" t="e">
        <f t="shared" si="66"/>
        <v>#REF!</v>
      </c>
      <c r="CQ48" s="9" t="e">
        <f t="shared" si="67"/>
        <v>#REF!</v>
      </c>
    </row>
    <row r="49" spans="1:95" x14ac:dyDescent="0.2">
      <c r="A49" s="191" t="str">
        <f>ITEMS_nTech!C40</f>
        <v>Transport Passenger Minibus Hydrogen Fuel Cell-N</v>
      </c>
      <c r="B49" s="191" t="str">
        <f>D49&amp;RIGHT(C49,3)&amp;"F-N"</f>
        <v>TPPUMBTHGNF-N</v>
      </c>
      <c r="C49" s="612" t="str">
        <f>K6</f>
        <v>TRAHGN</v>
      </c>
      <c r="D49" s="612" t="str">
        <f>TRP!$B$25</f>
        <v>TPPUMBT</v>
      </c>
      <c r="E49" s="702">
        <f t="array" ref="E49">IFERROR(INDEX(Analytica!$F$59:$AY$138,MATCH($B49,Analytica!$B$59:$B$168,0),MATCH(E$15&amp;E$10,Analytica!$F$58:$AY$58&amp;Analytica!$F$51:'Analytica'!$AY$51,0)),"")</f>
        <v>0.41362961436156093</v>
      </c>
      <c r="F49" s="702">
        <f t="array" ref="F49">IFERROR(INDEX(Analytica!$F$59:$AY$138,MATCH($B49,Analytica!$B$59:$B$168,0),MATCH(F$15&amp;F$10,Analytica!$F$58:$AY$58&amp;Analytica!$F$51:'Analytica'!$AY$51,0)),"")</f>
        <v>0.44597084783866037</v>
      </c>
      <c r="G49" s="702">
        <f t="array" ref="G49">IFERROR(INDEX(Analytica!$F$59:$AY$138,MATCH($B49,Analytica!$B$59:$B$168,0),MATCH(G$15&amp;G$10,Analytica!$F$58:$AY$58&amp;Analytica!$F$51:'Analytica'!$AY$51,0)),"")</f>
        <v>0.49312216613129889</v>
      </c>
      <c r="H49" s="702">
        <f t="array" ref="H49">IFERROR(INDEX(Analytica!$F$59:$AY$138,MATCH($B49,Analytica!$B$59:$B$168,0),MATCH(H$15&amp;H$10,Analytica!$F$58:$AY$58&amp;Analytica!$F$51:'Analytica'!$AY$51,0)),"")</f>
        <v>0.54525866860695826</v>
      </c>
      <c r="I49" s="701">
        <v>1</v>
      </c>
      <c r="J49" s="701">
        <v>1</v>
      </c>
      <c r="K49" s="701">
        <v>1</v>
      </c>
      <c r="L49" s="701">
        <v>1</v>
      </c>
      <c r="M49" s="701">
        <v>1</v>
      </c>
      <c r="N49" s="696">
        <f>IF(B49="","",MAX(N$18:N48)+1)</f>
        <v>28</v>
      </c>
      <c r="O49" s="702">
        <f t="array" ref="O49">IFERROR(INDEX(Analytica!$F$59:$AY$138,MATCH($B49,Analytica!$B$59:$B$168,0),MATCH(O$15&amp;O$10,Analytica!$F$58:$AY$58&amp;Analytica!$F$51:'Analytica'!$AY$51,0)),"")</f>
        <v>3.4999999999999996E-2</v>
      </c>
      <c r="P49" s="620">
        <f t="array" ref="P49">IFERROR(INDEX(Analytica!$F$59:$AY$138,MATCH($B49,Analytica!$B$59:$B$168,0),MATCH(P$15&amp;P$10,Analytica!$F$58:$AY$58&amp;Analytica!$F$51:'Analytica'!$AY$51,0)),"")</f>
        <v>1793.7891316594641</v>
      </c>
      <c r="Q49" s="620">
        <f t="array" ref="Q49">IFERROR(INDEX(Analytica!$F$59:$AY$138,MATCH($B49,Analytica!$B$59:$B$168,0),MATCH(Q$15&amp;Q$10,Analytica!$F$58:$AY$58&amp;Analytica!$F$51:'Analytica'!$AY$51,0)),"")</f>
        <v>1377.0389964110029</v>
      </c>
      <c r="R49" s="620">
        <f t="array" ref="R49">IFERROR(INDEX(Analytica!$F$59:$AY$138,MATCH($B49,Analytica!$B$59:$B$168,0),MATCH(R$15&amp;R$10,Analytica!$F$58:$AY$58&amp;Analytica!$F$51:'Analytica'!$AY$51,0)),"")</f>
        <v>960.28886116254182</v>
      </c>
      <c r="S49" s="620">
        <f t="array" ref="S49">IFERROR(INDEX(Analytica!$F$59:$AY$138,MATCH($B49,Analytica!$B$59:$B$168,0),MATCH(S$15&amp;S$10,Analytica!$F$58:$AY$58&amp;Analytica!$F$51:'Analytica'!$AY$51,0)),"")</f>
        <v>914.45644042789343</v>
      </c>
      <c r="T49" s="620">
        <f t="array" ref="T49">IFERROR(INDEX(Analytica!$F$59:$AY$138,MATCH($B49,Analytica!$B$59:$B$168,0),MATCH(T$15&amp;T$10,Analytica!$F$58:$AY$58&amp;Analytica!$F$51:'Analytica'!$AY$51,0)),"")</f>
        <v>868.6240196932448</v>
      </c>
      <c r="U49" s="620">
        <f t="array" ref="U49">IFERROR(INDEX(Analytica!$F$59:$AY$138,MATCH($B49,Analytica!$B$59:$B$168,0),MATCH(U$15&amp;U$10,Analytica!$F$58:$AY$58&amp;Analytica!$F$51:'Analytica'!$AY$51,0)),"")</f>
        <v>387.39622422821134</v>
      </c>
      <c r="V49" s="620">
        <f t="array" ref="V49">IFERROR(INDEX(Analytica!$F$59:$AY$138,MATCH($B49,Analytica!$B$59:$B$168,0),MATCH(V$15&amp;V$10,Analytica!$F$58:$AY$58&amp;Analytica!$F$51:'Analytica'!$AY$51,0)),"")</f>
        <v>48.432306554805528</v>
      </c>
      <c r="W49" s="620">
        <f t="array" ref="W49">IFERROR(INDEX(Analytica!$F$59:$AY$138,MATCH($B49,Analytica!$B$59:$B$168,0),MATCH(W$15&amp;W$10,Analytica!$F$58:$AY$58&amp;Analytica!$F$51:'Analytica'!$AY$51,0)),"")</f>
        <v>25.927799251388628</v>
      </c>
      <c r="X49" s="620">
        <f t="array" ref="X49">IFERROR(INDEX(Analytica!$F$59:$AY$138,MATCH($B49,Analytica!$B$59:$B$168,0),MATCH(X$15&amp;X$10,Analytica!$F$58:$AY$58&amp;Analytica!$F$51:'Analytica'!$AY$51,0)),"")</f>
        <v>23.45284853171761</v>
      </c>
      <c r="Y49" s="620">
        <f t="array" ref="Y49">IFERROR(INDEX(Analytica!$F$59:$AY$138,MATCH($B49,Analytica!$B$59:$B$168,0),MATCH(Y$15&amp;Y$10,Analytica!$F$58:$AY$58&amp;Analytica!$F$51:'Analytica'!$AY$51,0)),"")</f>
        <v>10.459698054161706</v>
      </c>
      <c r="Z49" s="694">
        <f t="shared" si="68"/>
        <v>20</v>
      </c>
      <c r="AA49" s="694">
        <f t="shared" si="4"/>
        <v>20</v>
      </c>
      <c r="AB49" s="694">
        <f t="shared" si="42"/>
        <v>2025</v>
      </c>
      <c r="AC49" s="1">
        <f t="shared" ca="1" si="5"/>
        <v>32</v>
      </c>
      <c r="AD49" s="1">
        <v>1</v>
      </c>
      <c r="AE49" s="1" t="str">
        <f t="shared" si="6"/>
        <v>S_TPPUMBT</v>
      </c>
      <c r="AF49" s="1" t="str">
        <f t="shared" si="53"/>
        <v>S_TPPUMBTHGNF</v>
      </c>
      <c r="AG49" s="714" t="str">
        <f t="shared" si="54"/>
        <v>TPPUMBTHGNF-N_L</v>
      </c>
      <c r="AH49" s="1" t="str">
        <f t="shared" si="55"/>
        <v>TPPUMBTHGNF-N_U</v>
      </c>
      <c r="AI49" s="194">
        <v>0</v>
      </c>
      <c r="AJ49" s="699">
        <f>SUMIF(Analytica!$B$59:$B$137,B49,Analytica!$BB$59:$BB$192)</f>
        <v>0</v>
      </c>
      <c r="AK49" s="697" t="e">
        <f>IF($AP$10,BK49,#REF!)</f>
        <v>#REF!</v>
      </c>
      <c r="AL49" s="697" t="e">
        <f t="shared" si="56"/>
        <v>#REF!</v>
      </c>
      <c r="AM49" s="697" t="e">
        <f t="shared" si="56"/>
        <v>#REF!</v>
      </c>
      <c r="AN49" s="697">
        <f t="shared" si="56"/>
        <v>1</v>
      </c>
      <c r="AO49" s="697">
        <f t="shared" si="56"/>
        <v>1</v>
      </c>
      <c r="AP49" s="194">
        <v>1</v>
      </c>
      <c r="AQ49" s="650">
        <f t="shared" si="57"/>
        <v>0</v>
      </c>
      <c r="AR49" s="697" t="e">
        <f>IF($AP$10,BR49,#REF!)</f>
        <v>#REF!</v>
      </c>
      <c r="AS49" s="697" t="e">
        <f t="shared" si="58"/>
        <v>#REF!</v>
      </c>
      <c r="AT49" s="697">
        <f t="shared" si="58"/>
        <v>0</v>
      </c>
      <c r="AU49" s="697">
        <f t="shared" si="58"/>
        <v>0</v>
      </c>
      <c r="AV49" s="697">
        <f t="shared" si="58"/>
        <v>0</v>
      </c>
      <c r="AX49" s="698">
        <f>AX41</f>
        <v>0</v>
      </c>
      <c r="AY49" s="697" t="e">
        <f>IF(#REF!&lt;&gt;"",(AY$11-#REF!)/(BA$11-#REF!)*(BA49-#REF!)+#REF!,"")</f>
        <v>#REF!</v>
      </c>
      <c r="AZ49" s="697" t="e">
        <f t="shared" si="12"/>
        <v>#REF!</v>
      </c>
      <c r="BA49" s="697">
        <f t="shared" si="47"/>
        <v>1</v>
      </c>
      <c r="BB49" s="697">
        <f t="shared" si="47"/>
        <v>1</v>
      </c>
      <c r="BC49" s="711"/>
      <c r="BD49" s="697">
        <f t="shared" si="14"/>
        <v>0</v>
      </c>
      <c r="BE49" s="697" t="e">
        <f>IF(#REF!&lt;&gt;"",(BE$11-#REF!)/(BG$11-#REF!)*(BG49-#REF!)+#REF!,"")</f>
        <v>#REF!</v>
      </c>
      <c r="BF49" s="697">
        <f t="shared" si="48"/>
        <v>0</v>
      </c>
      <c r="BG49" s="697">
        <f t="shared" si="48"/>
        <v>0</v>
      </c>
      <c r="BH49" s="697">
        <f t="shared" si="48"/>
        <v>0</v>
      </c>
      <c r="BI49" s="692"/>
      <c r="BJ49" s="693">
        <f>$AJ49</f>
        <v>0</v>
      </c>
      <c r="BK49" s="697">
        <f>BK41</f>
        <v>0</v>
      </c>
      <c r="BL49" s="697" t="e">
        <f t="shared" si="52"/>
        <v>#REF!</v>
      </c>
      <c r="BM49" s="697" t="e">
        <f t="shared" si="59"/>
        <v>#REF!</v>
      </c>
      <c r="BN49" s="697">
        <f>BN41</f>
        <v>0.5</v>
      </c>
      <c r="BO49" s="697">
        <f>BO41</f>
        <v>0.8</v>
      </c>
      <c r="BP49" s="194"/>
      <c r="BQ49" s="650">
        <f t="shared" si="60"/>
        <v>0</v>
      </c>
      <c r="BR49" s="697">
        <f>BR41</f>
        <v>0</v>
      </c>
      <c r="BS49" s="697">
        <v>0</v>
      </c>
      <c r="BT49" s="697">
        <f t="shared" si="61"/>
        <v>0.1</v>
      </c>
      <c r="BU49" s="697">
        <f>BU41</f>
        <v>0.2</v>
      </c>
      <c r="BV49" s="697">
        <f>BV41</f>
        <v>0.6</v>
      </c>
      <c r="BW49" s="692"/>
      <c r="BX49" s="707" t="str">
        <f t="shared" si="62"/>
        <v>TPPUMBTHGNF-N</v>
      </c>
      <c r="BY49" s="1" t="str">
        <f t="shared" ca="1" si="21"/>
        <v>-	S_TPPUMBTHGNF	1	TPPUMBTHGNF-N Set	1	10/03/2023 17:53:59	null	((tblITEMS.Item Like "TPPUMBTHGNF-N*"))	null	null	null	null	null	null	null</v>
      </c>
      <c r="BZ49" s="1" t="str">
        <f t="shared" si="22"/>
        <v>-	S_TPPUMBTHGNF	1	1	True	Like "TPPUMBTHGNF-N*"</v>
      </c>
      <c r="CI49" s="1">
        <f t="shared" si="63"/>
        <v>0</v>
      </c>
      <c r="CJ49" s="1">
        <v>10</v>
      </c>
      <c r="CK49" s="625" t="e">
        <f t="shared" si="64"/>
        <v>#DIV/0!</v>
      </c>
      <c r="CL49" s="625" t="e">
        <f>#REF!</f>
        <v>#REF!</v>
      </c>
      <c r="CM49" s="625" t="e">
        <f>CK49/#REF!</f>
        <v>#DIV/0!</v>
      </c>
      <c r="CN49" s="2" t="e">
        <f>#REF!*1000</f>
        <v>#REF!</v>
      </c>
      <c r="CO49" s="2">
        <f t="shared" si="65"/>
        <v>35000</v>
      </c>
      <c r="CP49" s="9" t="e">
        <f t="shared" si="66"/>
        <v>#REF!</v>
      </c>
      <c r="CQ49" s="9" t="e">
        <f t="shared" si="67"/>
        <v>#REF!</v>
      </c>
    </row>
    <row r="50" spans="1:95" x14ac:dyDescent="0.2">
      <c r="A50" s="191" t="str">
        <f>ITEMS_nTech!C41</f>
        <v>Transport Passenger Minibus Oil Blended Gasoline-Ethanol-E85-N</v>
      </c>
      <c r="B50" s="191" t="str">
        <f>D50&amp;RIGHT(C50,3)&amp;"-N"</f>
        <v>TPPUMBTBGS-N</v>
      </c>
      <c r="C50" s="612" t="str">
        <f>$L$6</f>
        <v>TRABGS</v>
      </c>
      <c r="D50" s="612" t="str">
        <f>TRP!$B$25</f>
        <v>TPPUMBT</v>
      </c>
      <c r="E50" s="702">
        <f t="array" ref="E50">IFERROR(INDEX(Analytica!$F$59:$AY$138,MATCH($B50,Analytica!$B$59:$B$168,0),MATCH(E$15&amp;E$10,Analytica!$F$58:$AY$58&amp;Analytica!$F$51:'Analytica'!$AY$51,0)),"")</f>
        <v>0.2038025244447535</v>
      </c>
      <c r="F50" s="702">
        <f t="array" ref="F50">IFERROR(INDEX(Analytica!$F$59:$AY$138,MATCH($B50,Analytica!$B$59:$B$168,0),MATCH(F$15&amp;F$10,Analytica!$F$58:$AY$58&amp;Analytica!$F$51:'Analytica'!$AY$51,0)),"")</f>
        <v>0.21973761419035504</v>
      </c>
      <c r="G50" s="702">
        <f t="array" ref="G50">IFERROR(INDEX(Analytica!$F$59:$AY$138,MATCH($B50,Analytica!$B$59:$B$168,0),MATCH(G$15&amp;G$10,Analytica!$F$58:$AY$58&amp;Analytica!$F$51:'Analytica'!$AY$51,0)),"")</f>
        <v>0.24296989100344107</v>
      </c>
      <c r="H50" s="702">
        <f t="array" ref="H50">IFERROR(INDEX(Analytica!$F$59:$AY$138,MATCH($B50,Analytica!$B$59:$B$168,0),MATCH(H$15&amp;H$10,Analytica!$F$58:$AY$58&amp;Analytica!$F$51:'Analytica'!$AY$51,0)),"")</f>
        <v>0.26865845500208052</v>
      </c>
      <c r="I50" s="701">
        <v>1</v>
      </c>
      <c r="J50" s="701">
        <v>1</v>
      </c>
      <c r="K50" s="701">
        <v>1</v>
      </c>
      <c r="L50" s="701">
        <v>1</v>
      </c>
      <c r="M50" s="701">
        <v>1</v>
      </c>
      <c r="N50" s="696">
        <f>IF(B50="","",MAX(N$18:N49)+1)</f>
        <v>29</v>
      </c>
      <c r="O50" s="702">
        <f t="array" ref="O50">IFERROR(INDEX(Analytica!$F$59:$AY$138,MATCH($B50,Analytica!$B$59:$B$168,0),MATCH(O$15&amp;O$10,Analytica!$F$58:$AY$58&amp;Analytica!$F$51:'Analytica'!$AY$51,0)),"")</f>
        <v>3.4999999999999996E-2</v>
      </c>
      <c r="P50" s="620">
        <f t="array" ref="P50">IFERROR(INDEX(Analytica!$F$59:$AY$138,MATCH($B50,Analytica!$B$59:$B$168,0),MATCH(P$15&amp;P$10,Analytica!$F$58:$AY$58&amp;Analytica!$F$51:'Analytica'!$AY$51,0)),"")</f>
        <v>350.63787759734595</v>
      </c>
      <c r="Q50" s="620">
        <f t="array" ref="Q50">IFERROR(INDEX(Analytica!$F$59:$AY$138,MATCH($B50,Analytica!$B$59:$B$168,0),MATCH(Q$15&amp;Q$10,Analytica!$F$58:$AY$58&amp;Analytica!$F$51:'Analytica'!$AY$51,0)),"")</f>
        <v>357.09962238446946</v>
      </c>
      <c r="R50" s="620">
        <f t="array" ref="R50">IFERROR(INDEX(Analytica!$F$59:$AY$138,MATCH($B50,Analytica!$B$59:$B$168,0),MATCH(R$15&amp;R$10,Analytica!$F$58:$AY$58&amp;Analytica!$F$51:'Analytica'!$AY$51,0)),"")</f>
        <v>363.56136717159279</v>
      </c>
      <c r="S50" s="620">
        <f t="array" ref="S50">IFERROR(INDEX(Analytica!$F$59:$AY$138,MATCH($B50,Analytica!$B$59:$B$168,0),MATCH(S$15&amp;S$10,Analytica!$F$58:$AY$58&amp;Analytica!$F$51:'Analytica'!$AY$51,0)),"")</f>
        <v>371.50085823323019</v>
      </c>
      <c r="T50" s="620">
        <f t="array" ref="T50">IFERROR(INDEX(Analytica!$F$59:$AY$138,MATCH($B50,Analytica!$B$59:$B$168,0),MATCH(T$15&amp;T$10,Analytica!$F$58:$AY$58&amp;Analytica!$F$51:'Analytica'!$AY$51,0)),"")</f>
        <v>379.44034929486759</v>
      </c>
      <c r="U50" s="620">
        <f t="array" ref="U50">IFERROR(INDEX(Analytica!$F$59:$AY$138,MATCH($B50,Analytica!$B$59:$B$168,0),MATCH(U$15&amp;U$10,Analytica!$F$58:$AY$58&amp;Analytica!$F$51:'Analytica'!$AY$51,0)),"")</f>
        <v>387.39622422821134</v>
      </c>
      <c r="V50" s="620">
        <f t="array" ref="V50">IFERROR(INDEX(Analytica!$F$59:$AY$138,MATCH($B50,Analytica!$B$59:$B$168,0),MATCH(V$15&amp;V$10,Analytica!$F$58:$AY$58&amp;Analytica!$F$51:'Analytica'!$AY$51,0)),"")</f>
        <v>9.4672226951283402</v>
      </c>
      <c r="W50" s="620">
        <f t="array" ref="W50">IFERROR(INDEX(Analytica!$F$59:$AY$138,MATCH($B50,Analytica!$B$59:$B$168,0),MATCH(W$15&amp;W$10,Analytica!$F$58:$AY$58&amp;Analytica!$F$51:'Analytica'!$AY$51,0)),"")</f>
        <v>9.8161569136330051</v>
      </c>
      <c r="X50" s="620">
        <f t="array" ref="X50">IFERROR(INDEX(Analytica!$F$59:$AY$138,MATCH($B50,Analytica!$B$59:$B$168,0),MATCH(X$15&amp;X$10,Analytica!$F$58:$AY$58&amp;Analytica!$F$51:'Analytica'!$AY$51,0)),"")</f>
        <v>10.244889430961425</v>
      </c>
      <c r="Y50" s="620">
        <f t="array" ref="Y50">IFERROR(INDEX(Analytica!$F$59:$AY$138,MATCH($B50,Analytica!$B$59:$B$168,0),MATCH(Y$15&amp;Y$10,Analytica!$F$58:$AY$58&amp;Analytica!$F$51:'Analytica'!$AY$51,0)),"")</f>
        <v>10.459698054161706</v>
      </c>
      <c r="Z50" s="694">
        <f t="shared" si="68"/>
        <v>20</v>
      </c>
      <c r="AA50" s="694">
        <f t="shared" ref="AA50:AA81" si="69">Z50</f>
        <v>20</v>
      </c>
      <c r="AB50" s="922">
        <v>2080</v>
      </c>
      <c r="AC50" s="1">
        <f t="shared" ref="AC50:AC81" ca="1" si="70">OFFSET(AC50,-1,0)+1</f>
        <v>33</v>
      </c>
      <c r="AD50" s="1">
        <v>1</v>
      </c>
      <c r="AE50" s="1" t="str">
        <f t="shared" ref="AE50:AE81" si="71">"S_"&amp;D50</f>
        <v>S_TPPUMBT</v>
      </c>
      <c r="AF50" s="1" t="str">
        <f t="shared" si="53"/>
        <v>S_TPPUMBTBGS</v>
      </c>
      <c r="AG50" s="714" t="str">
        <f t="shared" si="54"/>
        <v>TPPUMBTBGS-N_L</v>
      </c>
      <c r="AH50" s="1" t="str">
        <f t="shared" si="55"/>
        <v>TPPUMBTBGS-N_U</v>
      </c>
      <c r="AI50" s="194">
        <v>0</v>
      </c>
      <c r="AJ50" s="699">
        <f>SUMIF(Analytica!$B$59:$B$137,B50,Analytica!$BB$59:$BB$192)</f>
        <v>0</v>
      </c>
      <c r="AK50" s="697" t="e">
        <f>IF($AP$10,BK50,#REF!)</f>
        <v>#REF!</v>
      </c>
      <c r="AL50" s="697" t="e">
        <f t="shared" si="56"/>
        <v>#REF!</v>
      </c>
      <c r="AM50" s="697" t="e">
        <f t="shared" si="56"/>
        <v>#REF!</v>
      </c>
      <c r="AN50" s="697">
        <f t="shared" si="56"/>
        <v>1</v>
      </c>
      <c r="AO50" s="697">
        <f t="shared" si="56"/>
        <v>1</v>
      </c>
      <c r="AP50" s="194">
        <v>1</v>
      </c>
      <c r="AQ50" s="650">
        <f t="shared" si="57"/>
        <v>0</v>
      </c>
      <c r="AR50" s="697" t="e">
        <f>IF($AP$10,BR50,#REF!)</f>
        <v>#REF!</v>
      </c>
      <c r="AS50" s="697" t="e">
        <f t="shared" si="58"/>
        <v>#REF!</v>
      </c>
      <c r="AT50" s="697">
        <f t="shared" si="58"/>
        <v>0</v>
      </c>
      <c r="AU50" s="697">
        <f t="shared" si="58"/>
        <v>0</v>
      </c>
      <c r="AV50" s="697">
        <f t="shared" si="58"/>
        <v>0</v>
      </c>
      <c r="AX50" s="698">
        <v>0</v>
      </c>
      <c r="AY50" s="697" t="e">
        <f>IF(#REF!&lt;&gt;"",(AY$11-#REF!)/(BA$11-#REF!)*(BA50-#REF!)+#REF!,"")</f>
        <v>#REF!</v>
      </c>
      <c r="AZ50" s="697" t="e">
        <f t="shared" ref="AZ50:AZ81" si="72">AY50+(AZ$11-AY$11)/(BA$11-AY$11)*(BA50-AY50)</f>
        <v>#REF!</v>
      </c>
      <c r="BA50" s="697">
        <f t="shared" si="47"/>
        <v>1</v>
      </c>
      <c r="BB50" s="697">
        <f t="shared" si="47"/>
        <v>1</v>
      </c>
      <c r="BC50" s="711"/>
      <c r="BD50" s="697">
        <f t="shared" ref="BD50:BD81" si="73">AJ50</f>
        <v>0</v>
      </c>
      <c r="BE50" s="697" t="e">
        <f>IF(#REF!&lt;&gt;"",(BE$11-#REF!)/(BG$11-#REF!)*(BG50-#REF!)+#REF!,"")</f>
        <v>#REF!</v>
      </c>
      <c r="BF50" s="697">
        <f t="shared" si="48"/>
        <v>0</v>
      </c>
      <c r="BG50" s="697">
        <f t="shared" si="48"/>
        <v>0</v>
      </c>
      <c r="BH50" s="697">
        <f t="shared" si="48"/>
        <v>0</v>
      </c>
      <c r="BI50" s="692"/>
      <c r="BJ50" s="693">
        <v>0</v>
      </c>
      <c r="BK50" s="697">
        <v>0</v>
      </c>
      <c r="BL50" s="697">
        <v>0</v>
      </c>
      <c r="BM50" s="697">
        <f t="shared" si="59"/>
        <v>0.1</v>
      </c>
      <c r="BN50" s="697">
        <v>0.2</v>
      </c>
      <c r="BO50" s="697">
        <v>0.5</v>
      </c>
      <c r="BP50" s="194"/>
      <c r="BQ50" s="650">
        <f t="shared" si="60"/>
        <v>0</v>
      </c>
      <c r="BR50" s="697">
        <v>0</v>
      </c>
      <c r="BS50" s="697" t="e">
        <f t="shared" ref="BS50:BS81" si="74">IF(BR50&lt;&gt;"",(BS$11-BR$11)/(BU$11-BR$11)*(BU50-BR50)+BR50,"")</f>
        <v>#REF!</v>
      </c>
      <c r="BT50" s="697" t="e">
        <f t="shared" si="61"/>
        <v>#REF!</v>
      </c>
      <c r="BU50" s="697">
        <v>0</v>
      </c>
      <c r="BV50" s="697">
        <v>0</v>
      </c>
      <c r="BW50" s="692"/>
      <c r="BX50" s="707" t="str">
        <f t="shared" si="62"/>
        <v>TPPUMBTBGS-N</v>
      </c>
      <c r="BY50" s="1" t="str">
        <f t="shared" ca="1" si="21"/>
        <v>-	S_TPPUMBTBGS	1	TPPUMBTBGS-N Set	1	10/03/2023 17:53:59	null	((tblITEMS.Item Like "TPPUMBTBGS-N*"))	null	null	null	null	null	null	null</v>
      </c>
      <c r="BZ50" s="1" t="str">
        <f t="shared" si="22"/>
        <v>-	S_TPPUMBTBGS	1	1	True	Like "TPPUMBTBGS-N*"</v>
      </c>
      <c r="CI50" s="1">
        <f t="shared" si="63"/>
        <v>0</v>
      </c>
      <c r="CJ50" s="1">
        <v>11</v>
      </c>
      <c r="CK50" s="625" t="e">
        <f t="shared" si="64"/>
        <v>#DIV/0!</v>
      </c>
      <c r="CL50" s="625" t="e">
        <f>#REF!</f>
        <v>#REF!</v>
      </c>
      <c r="CM50" s="625" t="e">
        <f>CK50/#REF!</f>
        <v>#DIV/0!</v>
      </c>
      <c r="CN50" s="2" t="e">
        <f>#REF!*1000</f>
        <v>#REF!</v>
      </c>
      <c r="CO50" s="2">
        <f t="shared" si="65"/>
        <v>35000</v>
      </c>
      <c r="CP50" s="9" t="e">
        <f t="shared" si="66"/>
        <v>#REF!</v>
      </c>
      <c r="CQ50" s="9" t="e">
        <f t="shared" si="67"/>
        <v>#REF!</v>
      </c>
    </row>
    <row r="51" spans="1:95" x14ac:dyDescent="0.2">
      <c r="A51" s="191" t="str">
        <f>ITEMS_nTech!C42</f>
        <v>Transport Passenger Minibus Electricity-N</v>
      </c>
      <c r="B51" s="191" t="str">
        <f>D51&amp;RIGHT(C51,3)&amp;"-N"</f>
        <v>TPPUMBTELC-N</v>
      </c>
      <c r="C51" s="612" t="s">
        <v>1131</v>
      </c>
      <c r="D51" s="612" t="str">
        <f>TRP!$B$25</f>
        <v>TPPUMBT</v>
      </c>
      <c r="E51" s="702">
        <f t="array" ref="E51">IFERROR(INDEX(Analytica!$F$59:$AY$138,MATCH($B51,Analytica!$B$59:$B$168,0),MATCH(E$15&amp;E$10,Analytica!$F$58:$AY$58&amp;Analytica!$F$51:'Analytica'!$AY$51,0)),"")</f>
        <v>0.81441953153919366</v>
      </c>
      <c r="F51" s="702">
        <f t="array" ref="F51">IFERROR(INDEX(Analytica!$F$59:$AY$138,MATCH($B51,Analytica!$B$59:$B$168,0),MATCH(F$15&amp;F$10,Analytica!$F$58:$AY$58&amp;Analytica!$F$51:'Analytica'!$AY$51,0)),"")</f>
        <v>0.87809807703810294</v>
      </c>
      <c r="G51" s="702">
        <f t="array" ref="G51">IFERROR(INDEX(Analytica!$F$59:$AY$138,MATCH($B51,Analytica!$B$59:$B$168,0),MATCH(G$15&amp;G$10,Analytica!$F$58:$AY$58&amp;Analytica!$F$51:'Analytica'!$AY$51,0)),"")</f>
        <v>0.9709370644365708</v>
      </c>
      <c r="H51" s="702">
        <f t="array" ref="H51">IFERROR(INDEX(Analytica!$F$59:$AY$138,MATCH($B51,Analytica!$B$59:$B$168,0),MATCH(H$15&amp;H$10,Analytica!$F$58:$AY$58&amp;Analytica!$F$51:'Analytica'!$AY$51,0)),"")</f>
        <v>1.07359167244344</v>
      </c>
      <c r="I51" s="701">
        <v>1</v>
      </c>
      <c r="J51" s="701">
        <v>1</v>
      </c>
      <c r="K51" s="701">
        <v>1</v>
      </c>
      <c r="L51" s="701">
        <v>1</v>
      </c>
      <c r="M51" s="701">
        <v>1</v>
      </c>
      <c r="N51" s="696">
        <f>IF(B51="","",MAX(N$18:N50)+1)</f>
        <v>30</v>
      </c>
      <c r="O51" s="702">
        <f t="array" ref="O51">IFERROR(INDEX(Analytica!$F$59:$AY$138,MATCH($B51,Analytica!$B$59:$B$168,0),MATCH(O$15&amp;O$10,Analytica!$F$58:$AY$58&amp;Analytica!$F$51:'Analytica'!$AY$51,0)),"")</f>
        <v>3.4999999999999996E-2</v>
      </c>
      <c r="P51" s="620">
        <f t="array" ref="P51">IFERROR(INDEX(Analytica!$F$59:$AY$138,MATCH($B51,Analytica!$B$59:$B$168,0),MATCH(P$15&amp;P$10,Analytica!$F$58:$AY$58&amp;Analytica!$F$51:'Analytica'!$AY$51,0)),"")</f>
        <v>820.96300033176112</v>
      </c>
      <c r="Q51" s="620">
        <f t="array" ref="Q51">IFERROR(INDEX(Analytica!$F$59:$AY$138,MATCH($B51,Analytica!$B$59:$B$168,0),MATCH(Q$15&amp;Q$10,Analytica!$F$58:$AY$58&amp;Analytica!$F$51:'Analytica'!$AY$51,0)),"")</f>
        <v>755.33369376548785</v>
      </c>
      <c r="R51" s="620">
        <f t="array" ref="R51">IFERROR(INDEX(Analytica!$F$59:$AY$138,MATCH($B51,Analytica!$B$59:$B$168,0),MATCH(R$15&amp;R$10,Analytica!$F$58:$AY$58&amp;Analytica!$F$51:'Analytica'!$AY$51,0)),"")</f>
        <v>363.56136717159279</v>
      </c>
      <c r="S51" s="620">
        <f t="array" ref="S51">IFERROR(INDEX(Analytica!$F$59:$AY$138,MATCH($B51,Analytica!$B$59:$B$168,0),MATCH(S$15&amp;S$10,Analytica!$F$58:$AY$58&amp;Analytica!$F$51:'Analytica'!$AY$51,0)),"")</f>
        <v>371.50085823323019</v>
      </c>
      <c r="T51" s="620">
        <f t="array" ref="T51">IFERROR(INDEX(Analytica!$F$59:$AY$138,MATCH($B51,Analytica!$B$59:$B$168,0),MATCH(T$15&amp;T$10,Analytica!$F$58:$AY$58&amp;Analytica!$F$51:'Analytica'!$AY$51,0)),"")</f>
        <v>379.44034929486759</v>
      </c>
      <c r="U51" s="620">
        <f t="array" ref="U51">IFERROR(INDEX(Analytica!$F$59:$AY$138,MATCH($B51,Analytica!$B$59:$B$168,0),MATCH(U$15&amp;U$10,Analytica!$F$58:$AY$58&amp;Analytica!$F$51:'Analytica'!$AY$51,0)),"")</f>
        <v>387.39622422821134</v>
      </c>
      <c r="V51" s="620">
        <f t="array" ref="V51">IFERROR(INDEX(Analytica!$F$59:$AY$138,MATCH($B51,Analytica!$B$59:$B$168,0),MATCH(V$15&amp;V$10,Analytica!$F$58:$AY$58&amp;Analytica!$F$51:'Analytica'!$AY$51,0)),"")</f>
        <v>16.624500756718163</v>
      </c>
      <c r="W51" s="620">
        <f t="array" ref="W51">IFERROR(INDEX(Analytica!$F$59:$AY$138,MATCH($B51,Analytica!$B$59:$B$168,0),MATCH(W$15&amp;W$10,Analytica!$F$58:$AY$58&amp;Analytica!$F$51:'Analytica'!$AY$51,0)),"")</f>
        <v>7.3621176852247538</v>
      </c>
      <c r="X51" s="620">
        <f t="array" ref="X51">IFERROR(INDEX(Analytica!$F$59:$AY$138,MATCH($B51,Analytica!$B$59:$B$168,0),MATCH(X$15&amp;X$10,Analytica!$F$58:$AY$58&amp;Analytica!$F$51:'Analytica'!$AY$51,0)),"")</f>
        <v>7.683667073221069</v>
      </c>
      <c r="Y51" s="620">
        <f t="array" ref="Y51">IFERROR(INDEX(Analytica!$F$59:$AY$138,MATCH($B51,Analytica!$B$59:$B$168,0),MATCH(Y$15&amp;Y$10,Analytica!$F$58:$AY$58&amp;Analytica!$F$51:'Analytica'!$AY$51,0)),"")</f>
        <v>7.8447735406212802</v>
      </c>
      <c r="Z51" s="694">
        <f t="shared" si="68"/>
        <v>20</v>
      </c>
      <c r="AA51" s="694">
        <f t="shared" si="69"/>
        <v>20</v>
      </c>
      <c r="AB51" s="694">
        <f t="shared" si="42"/>
        <v>2025</v>
      </c>
      <c r="AC51" s="1">
        <f t="shared" ca="1" si="70"/>
        <v>34</v>
      </c>
      <c r="AD51" s="1">
        <v>1</v>
      </c>
      <c r="AE51" s="1" t="str">
        <f t="shared" si="71"/>
        <v>S_TPPUMBT</v>
      </c>
      <c r="AF51" s="1" t="str">
        <f t="shared" si="53"/>
        <v>S_TPPUMBTELC</v>
      </c>
      <c r="AG51" s="714" t="str">
        <f t="shared" si="54"/>
        <v>TPPUMBTELC-N_L</v>
      </c>
      <c r="AH51" s="1" t="str">
        <f t="shared" si="55"/>
        <v>TPPUMBTELC-N_U</v>
      </c>
      <c r="AI51" s="194">
        <v>0</v>
      </c>
      <c r="AJ51" s="699">
        <f>SUMIF(Analytica!$B$59:$B$137,B51,Analytica!$BB$59:$BB$192)</f>
        <v>0</v>
      </c>
      <c r="AK51" s="697" t="e">
        <f>IF($AP$10,BK51,#REF!)</f>
        <v>#REF!</v>
      </c>
      <c r="AL51" s="697" t="e">
        <f t="shared" si="56"/>
        <v>#REF!</v>
      </c>
      <c r="AM51" s="697" t="e">
        <f t="shared" si="56"/>
        <v>#REF!</v>
      </c>
      <c r="AN51" s="697">
        <f t="shared" si="56"/>
        <v>1</v>
      </c>
      <c r="AO51" s="697">
        <f t="shared" si="56"/>
        <v>1</v>
      </c>
      <c r="AP51" s="194">
        <v>1</v>
      </c>
      <c r="AQ51" s="650">
        <f t="shared" si="57"/>
        <v>0</v>
      </c>
      <c r="AR51" s="697" t="e">
        <f>IF($AP$10,BR51,#REF!)</f>
        <v>#REF!</v>
      </c>
      <c r="AS51" s="697" t="e">
        <f t="shared" si="58"/>
        <v>#REF!</v>
      </c>
      <c r="AT51" s="697">
        <f t="shared" si="58"/>
        <v>0</v>
      </c>
      <c r="AU51" s="697">
        <f t="shared" si="58"/>
        <v>0</v>
      </c>
      <c r="AV51" s="697">
        <f t="shared" si="58"/>
        <v>0</v>
      </c>
      <c r="AX51" s="698">
        <v>0</v>
      </c>
      <c r="AY51" s="697" t="e">
        <f>IF(#REF!&lt;&gt;"",(AY$11-#REF!)/(BA$11-#REF!)*(BA51-#REF!)+#REF!,"")</f>
        <v>#REF!</v>
      </c>
      <c r="AZ51" s="697" t="e">
        <f t="shared" si="72"/>
        <v>#REF!</v>
      </c>
      <c r="BA51" s="697">
        <f t="shared" si="47"/>
        <v>1</v>
      </c>
      <c r="BB51" s="697">
        <f t="shared" si="47"/>
        <v>1</v>
      </c>
      <c r="BC51" s="711"/>
      <c r="BD51" s="697">
        <f t="shared" si="73"/>
        <v>0</v>
      </c>
      <c r="BE51" s="697" t="e">
        <f>IF(#REF!&lt;&gt;"",(BE$11-#REF!)/(BG$11-#REF!)*(BG51-#REF!)+#REF!,"")</f>
        <v>#REF!</v>
      </c>
      <c r="BF51" s="697">
        <f t="shared" si="48"/>
        <v>0</v>
      </c>
      <c r="BG51" s="697">
        <f t="shared" si="48"/>
        <v>0</v>
      </c>
      <c r="BH51" s="697">
        <f t="shared" si="48"/>
        <v>0</v>
      </c>
      <c r="BI51" s="692"/>
      <c r="BJ51" s="693">
        <v>0</v>
      </c>
      <c r="BK51" s="697">
        <v>0</v>
      </c>
      <c r="BL51" s="697">
        <v>0</v>
      </c>
      <c r="BM51" s="697">
        <f t="shared" si="59"/>
        <v>0.1</v>
      </c>
      <c r="BN51" s="697">
        <v>0.2</v>
      </c>
      <c r="BO51" s="697">
        <v>0.5</v>
      </c>
      <c r="BP51" s="194"/>
      <c r="BQ51" s="650">
        <f t="shared" si="60"/>
        <v>0</v>
      </c>
      <c r="BR51" s="697">
        <v>1</v>
      </c>
      <c r="BS51" s="697" t="e">
        <f t="shared" si="74"/>
        <v>#REF!</v>
      </c>
      <c r="BT51" s="697" t="e">
        <f t="shared" si="61"/>
        <v>#REF!</v>
      </c>
      <c r="BU51" s="697">
        <v>0</v>
      </c>
      <c r="BV51" s="697">
        <v>0</v>
      </c>
      <c r="BW51" s="692"/>
      <c r="BX51" s="707" t="str">
        <f t="shared" si="62"/>
        <v>TPPUMBTELC-N</v>
      </c>
      <c r="BY51" s="1" t="str">
        <f t="shared" ca="1" si="21"/>
        <v>-	S_TPPUMBTELC	1	TPPUMBTELC-N Set	1	10/03/2023 17:53:59	null	((tblITEMS.Item Like "TPPUMBTELC-N*"))	null	null	null	null	null	null	null</v>
      </c>
      <c r="BZ51" s="1" t="str">
        <f t="shared" si="22"/>
        <v>-	S_TPPUMBTELC	1	1	True	Like "TPPUMBTELC-N*"</v>
      </c>
      <c r="CI51" s="1">
        <f t="shared" si="63"/>
        <v>0</v>
      </c>
      <c r="CJ51" s="1">
        <v>12</v>
      </c>
      <c r="CK51" s="625" t="e">
        <f t="shared" si="64"/>
        <v>#DIV/0!</v>
      </c>
      <c r="CL51" s="625" t="e">
        <f>#REF!</f>
        <v>#REF!</v>
      </c>
      <c r="CM51" s="625" t="e">
        <f>CK51/#REF!</f>
        <v>#DIV/0!</v>
      </c>
      <c r="CN51" s="2" t="e">
        <f>#REF!*1000</f>
        <v>#REF!</v>
      </c>
      <c r="CO51" s="2">
        <f t="shared" si="65"/>
        <v>35000</v>
      </c>
      <c r="CP51" s="9" t="e">
        <f t="shared" si="66"/>
        <v>#REF!</v>
      </c>
      <c r="CQ51" s="9" t="e">
        <f t="shared" si="67"/>
        <v>#REF!</v>
      </c>
    </row>
    <row r="52" spans="1:95" x14ac:dyDescent="0.2">
      <c r="A52" s="191" t="s">
        <v>1124</v>
      </c>
      <c r="B52" s="191"/>
      <c r="C52" s="612"/>
      <c r="D52" s="612"/>
      <c r="E52" s="702" t="str">
        <f t="array" ref="E52">IFERROR(INDEX(Analytica!$F$59:$AY$138,MATCH($B52,Analytica!$B$59:$B$168,0),MATCH(E$15&amp;E$10,Analytica!$F$58:$AY$58&amp;Analytica!$F$51:'Analytica'!$AY$51,0)),"")</f>
        <v/>
      </c>
      <c r="F52" s="702" t="str">
        <f t="array" ref="F52">IFERROR(INDEX(Analytica!$F$59:$AY$138,MATCH($B52,Analytica!$B$59:$B$168,0),MATCH(F$15&amp;F$10,Analytica!$F$58:$AY$58&amp;Analytica!$F$51:'Analytica'!$AY$51,0)),"")</f>
        <v/>
      </c>
      <c r="G52" s="702" t="str">
        <f t="array" ref="G52">IFERROR(INDEX(Analytica!$F$59:$AY$138,MATCH($B52,Analytica!$B$59:$B$168,0),MATCH(G$15&amp;G$10,Analytica!$F$58:$AY$58&amp;Analytica!$F$51:'Analytica'!$AY$51,0)),"")</f>
        <v/>
      </c>
      <c r="H52" s="702" t="str">
        <f t="array" ref="H52">IFERROR(INDEX(Analytica!$F$59:$AY$138,MATCH($B52,Analytica!$B$59:$B$168,0),MATCH(H$15&amp;H$10,Analytica!$F$58:$AY$58&amp;Analytica!$F$51:'Analytica'!$AY$51,0)),"")</f>
        <v/>
      </c>
      <c r="I52" s="701">
        <v>1</v>
      </c>
      <c r="J52" s="701">
        <v>1</v>
      </c>
      <c r="K52" s="701">
        <v>1</v>
      </c>
      <c r="L52" s="701">
        <v>1</v>
      </c>
      <c r="M52" s="701">
        <v>1</v>
      </c>
      <c r="N52" s="696" t="str">
        <f>IF(B52="","",MAX(N$18:N51)+1)</f>
        <v/>
      </c>
      <c r="O52" s="702" t="str">
        <f t="array" ref="O52">IFERROR(INDEX(Analytica!$F$59:$AY$138,MATCH($B52,Analytica!$B$59:$B$168,0),MATCH(O$15&amp;O$10,Analytica!$F$58:$AY$58&amp;Analytica!$F$51:'Analytica'!$AY$51,0)),"")</f>
        <v/>
      </c>
      <c r="P52" s="620" t="str">
        <f t="array" ref="P52">IFERROR(INDEX(Analytica!$F$59:$AY$138,MATCH($B52,Analytica!$B$59:$B$168,0),MATCH(P$15&amp;P$10,Analytica!$F$58:$AY$58&amp;Analytica!$F$51:'Analytica'!$AY$51,0)),"")</f>
        <v/>
      </c>
      <c r="Q52" s="620" t="str">
        <f t="array" ref="Q52">IFERROR(INDEX(Analytica!$F$59:$AY$138,MATCH($B52,Analytica!$B$59:$B$168,0),MATCH(Q$15&amp;Q$10,Analytica!$F$58:$AY$58&amp;Analytica!$F$51:'Analytica'!$AY$51,0)),"")</f>
        <v/>
      </c>
      <c r="R52" s="620" t="str">
        <f t="array" ref="R52">IFERROR(INDEX(Analytica!$F$59:$AY$138,MATCH($B52,Analytica!$B$59:$B$168,0),MATCH(R$15&amp;R$10,Analytica!$F$58:$AY$58&amp;Analytica!$F$51:'Analytica'!$AY$51,0)),"")</f>
        <v/>
      </c>
      <c r="S52" s="620" t="str">
        <f t="array" ref="S52">IFERROR(INDEX(Analytica!$F$59:$AY$138,MATCH($B52,Analytica!$B$59:$B$168,0),MATCH(S$15&amp;S$10,Analytica!$F$58:$AY$58&amp;Analytica!$F$51:'Analytica'!$AY$51,0)),"")</f>
        <v/>
      </c>
      <c r="T52" s="620" t="str">
        <f t="array" ref="T52">IFERROR(INDEX(Analytica!$F$59:$AY$138,MATCH($B52,Analytica!$B$59:$B$168,0),MATCH(T$15&amp;T$10,Analytica!$F$58:$AY$58&amp;Analytica!$F$51:'Analytica'!$AY$51,0)),"")</f>
        <v/>
      </c>
      <c r="U52" s="620" t="str">
        <f t="array" ref="U52">IFERROR(INDEX(Analytica!$F$59:$AY$138,MATCH($B52,Analytica!$B$59:$B$168,0),MATCH(U$15&amp;U$10,Analytica!$F$58:$AY$58&amp;Analytica!$F$51:'Analytica'!$AY$51,0)),"")</f>
        <v/>
      </c>
      <c r="V52" s="620" t="str">
        <f t="array" ref="V52">IFERROR(INDEX(Analytica!$F$59:$AY$138,MATCH($B52,Analytica!$B$59:$B$168,0),MATCH(V$15&amp;V$10,Analytica!$F$58:$AY$58&amp;Analytica!$F$51:'Analytica'!$AY$51,0)),"")</f>
        <v/>
      </c>
      <c r="W52" s="620" t="str">
        <f t="array" ref="W52">IFERROR(INDEX(Analytica!$F$59:$AY$138,MATCH($B52,Analytica!$B$59:$B$168,0),MATCH(W$15&amp;W$10,Analytica!$F$58:$AY$58&amp;Analytica!$F$51:'Analytica'!$AY$51,0)),"")</f>
        <v/>
      </c>
      <c r="X52" s="620" t="str">
        <f t="array" ref="X52">IFERROR(INDEX(Analytica!$F$59:$AY$138,MATCH($B52,Analytica!$B$59:$B$168,0),MATCH(X$15&amp;X$10,Analytica!$F$58:$AY$58&amp;Analytica!$F$51:'Analytica'!$AY$51,0)),"")</f>
        <v/>
      </c>
      <c r="Y52" s="620" t="str">
        <f t="array" ref="Y52">IFERROR(INDEX(Analytica!$F$59:$AY$138,MATCH($B52,Analytica!$B$59:$B$168,0),MATCH(Y$15&amp;Y$10,Analytica!$F$58:$AY$58&amp;Analytica!$F$51:'Analytica'!$AY$51,0)),"")</f>
        <v/>
      </c>
      <c r="Z52" s="694"/>
      <c r="AA52" s="694">
        <f t="shared" si="69"/>
        <v>0</v>
      </c>
      <c r="AB52" s="694">
        <f t="shared" si="42"/>
        <v>2018</v>
      </c>
      <c r="AC52" s="1">
        <f t="shared" ca="1" si="70"/>
        <v>35</v>
      </c>
      <c r="AE52" s="1" t="str">
        <f t="shared" si="71"/>
        <v>S_</v>
      </c>
      <c r="AF52" s="1" t="str">
        <f>AE47</f>
        <v>S_TPPUMBT</v>
      </c>
      <c r="AG52" s="1"/>
      <c r="AI52" s="194">
        <v>0</v>
      </c>
      <c r="AJ52" s="699"/>
      <c r="AM52" s="1"/>
      <c r="AP52" s="194">
        <v>1</v>
      </c>
      <c r="AT52" s="1"/>
      <c r="AX52" s="698"/>
      <c r="AY52" s="697" t="e">
        <f>IF(#REF!&lt;&gt;"",(AY$11-#REF!)/(BA$11-#REF!)*(BA52-#REF!)+#REF!,"")</f>
        <v>#REF!</v>
      </c>
      <c r="AZ52" s="697" t="e">
        <f t="shared" si="72"/>
        <v>#REF!</v>
      </c>
      <c r="BA52" s="697">
        <f t="shared" si="47"/>
        <v>1</v>
      </c>
      <c r="BB52" s="697">
        <f t="shared" si="47"/>
        <v>1</v>
      </c>
      <c r="BC52" s="711"/>
      <c r="BD52" s="697">
        <f t="shared" si="73"/>
        <v>0</v>
      </c>
      <c r="BE52" s="697" t="e">
        <f>IF(#REF!&lt;&gt;"",(BE$11-#REF!)/(BG$11-#REF!)*(BG52-#REF!)+#REF!,"")</f>
        <v>#REF!</v>
      </c>
      <c r="BF52" s="697">
        <f t="shared" si="48"/>
        <v>0</v>
      </c>
      <c r="BG52" s="697">
        <f t="shared" si="48"/>
        <v>0</v>
      </c>
      <c r="BH52" s="697">
        <f t="shared" si="48"/>
        <v>0</v>
      </c>
      <c r="BI52" s="692"/>
      <c r="BJ52" s="693"/>
      <c r="BL52" s="1" t="str">
        <f>IF(BK52&lt;&gt;"",(BL$11-BK$11)/(BN$11-BK$11)*(BN52-BK52)+BK52,"")</f>
        <v/>
      </c>
      <c r="BP52" s="194"/>
      <c r="BS52" s="1" t="str">
        <f t="shared" si="74"/>
        <v/>
      </c>
      <c r="BT52" s="1"/>
      <c r="BW52" s="692"/>
      <c r="BX52" s="1" t="str">
        <f>D47</f>
        <v>TPPUMBT</v>
      </c>
      <c r="BY52" s="1" t="str">
        <f t="shared" ca="1" si="21"/>
        <v>-	S_TPPUMBT	1	TPPUMBT Set	1	10/03/2023 17:53:59	null	((tblITEMS.Item Like "TPPUMBT*"))	null	null	null	null	null	null	null</v>
      </c>
      <c r="BZ52" s="1" t="str">
        <f t="shared" si="22"/>
        <v>-	S_TPPUMBT	1	1	True	Like "TPPUMBT*"</v>
      </c>
      <c r="CK52" s="625"/>
      <c r="CL52" s="625"/>
      <c r="CM52" s="625"/>
      <c r="CN52" s="2"/>
      <c r="CO52" s="2"/>
      <c r="CP52" s="9"/>
      <c r="CQ52" s="9"/>
    </row>
    <row r="53" spans="1:95" x14ac:dyDescent="0.2">
      <c r="A53" s="191" t="str">
        <f>ITEMS_nTech!C44</f>
        <v>Transport Passenger BRT Oil Diesel-N</v>
      </c>
      <c r="B53" s="191" t="str">
        <f>D53&amp;RIGHT(C53,3)&amp;"-N"</f>
        <v>TPPUBRTODS-N</v>
      </c>
      <c r="C53" s="612" t="str">
        <f>$D$6</f>
        <v>TRAODS</v>
      </c>
      <c r="D53" s="612" t="str">
        <f>TRP!$B$26</f>
        <v>TPPUBRT</v>
      </c>
      <c r="E53" s="702">
        <f t="array" ref="E53">IFERROR(INDEX(Analytica!$F$59:$AY$138,MATCH($B53,Analytica!$B$59:$B$168,0),MATCH(E$15&amp;E$10,Analytica!$F$58:$AY$58&amp;Analytica!$F$51:'Analytica'!$AY$51,0)),"")</f>
        <v>6.5323297732971908E-2</v>
      </c>
      <c r="F53" s="702">
        <f t="array" ref="F53">IFERROR(INDEX(Analytica!$F$59:$AY$138,MATCH($B53,Analytica!$B$59:$B$168,0),MATCH(F$15&amp;F$10,Analytica!$F$58:$AY$58&amp;Analytica!$F$51:'Analytica'!$AY$51,0)),"")</f>
        <v>7.043085277768743E-2</v>
      </c>
      <c r="G53" s="702">
        <f t="array" ref="G53">IFERROR(INDEX(Analytica!$F$59:$AY$138,MATCH($B53,Analytica!$B$59:$B$168,0),MATCH(G$15&amp;G$10,Analytica!$F$58:$AY$58&amp;Analytica!$F$51:'Analytica'!$AY$51,0)),"")</f>
        <v>7.7877320574937056E-2</v>
      </c>
      <c r="H53" s="702">
        <f t="array" ref="H53">IFERROR(INDEX(Analytica!$F$59:$AY$138,MATCH($B53,Analytica!$B$59:$B$168,0),MATCH(H$15&amp;H$10,Analytica!$F$58:$AY$58&amp;Analytica!$F$51:'Analytica'!$AY$51,0)),"")</f>
        <v>8.6111083718879447E-2</v>
      </c>
      <c r="I53" s="701">
        <v>1</v>
      </c>
      <c r="J53" s="701">
        <v>1</v>
      </c>
      <c r="K53" s="701">
        <v>1</v>
      </c>
      <c r="L53" s="701">
        <v>1</v>
      </c>
      <c r="M53" s="701">
        <v>1</v>
      </c>
      <c r="N53" s="696">
        <f>IF(B53="","",MAX(N$18:N52)+1)</f>
        <v>31</v>
      </c>
      <c r="O53" s="702">
        <f t="array" ref="O53">IFERROR(INDEX(Analytica!$F$59:$AY$138,MATCH($B53,Analytica!$B$59:$B$168,0),MATCH(O$15&amp;O$10,Analytica!$F$58:$AY$58&amp;Analytica!$F$51:'Analytica'!$AY$51,0)),"")</f>
        <v>0.06</v>
      </c>
      <c r="P53" s="620">
        <f t="array" ref="P53">IFERROR(INDEX(Analytica!$F$59:$AY$138,MATCH($B53,Analytica!$B$59:$B$168,0),MATCH(P$15&amp;P$10,Analytica!$F$58:$AY$58&amp;Analytica!$F$51:'Analytica'!$AY$51,0)),"")</f>
        <v>1615.4013682562638</v>
      </c>
      <c r="Q53" s="620">
        <f t="array" ref="Q53">IFERROR(INDEX(Analytica!$F$59:$AY$138,MATCH($B53,Analytica!$B$59:$B$168,0),MATCH(Q$15&amp;Q$10,Analytica!$F$58:$AY$58&amp;Analytica!$F$51:'Analytica'!$AY$51,0)),"")</f>
        <v>1645.5633521187683</v>
      </c>
      <c r="R53" s="620">
        <f t="array" ref="R53">IFERROR(INDEX(Analytica!$F$59:$AY$138,MATCH($B53,Analytica!$B$59:$B$168,0),MATCH(R$15&amp;R$10,Analytica!$F$58:$AY$58&amp;Analytica!$F$51:'Analytica'!$AY$51,0)),"")</f>
        <v>1675.7253359812721</v>
      </c>
      <c r="S53" s="620">
        <f t="array" ref="S53">IFERROR(INDEX(Analytica!$F$59:$AY$138,MATCH($B53,Analytica!$B$59:$B$168,0),MATCH(S$15&amp;S$10,Analytica!$F$58:$AY$58&amp;Analytica!$F$51:'Analytica'!$AY$51,0)),"")</f>
        <v>1695.1176876140198</v>
      </c>
      <c r="T53" s="620">
        <f t="array" ref="T53">IFERROR(INDEX(Analytica!$F$59:$AY$138,MATCH($B53,Analytica!$B$59:$B$168,0),MATCH(T$15&amp;T$10,Analytica!$F$58:$AY$58&amp;Analytica!$F$51:'Analytica'!$AY$51,0)),"")</f>
        <v>1714.5100392467668</v>
      </c>
      <c r="U53" s="620">
        <f t="array" ref="U53">IFERROR(INDEX(Analytica!$F$59:$AY$138,MATCH($B53,Analytica!$B$59:$B$168,0),MATCH(U$15&amp;U$10,Analytica!$F$58:$AY$58&amp;Analytica!$F$51:'Analytica'!$AY$51,0)),"")</f>
        <v>1758.7858226703579</v>
      </c>
      <c r="V53" s="620">
        <f t="array" ref="V53">IFERROR(INDEX(Analytica!$F$59:$AY$138,MATCH($B53,Analytica!$B$59:$B$168,0),MATCH(V$15&amp;V$10,Analytica!$F$58:$AY$58&amp;Analytica!$F$51:'Analytica'!$AY$51,0)),"")</f>
        <v>43.615836942919124</v>
      </c>
      <c r="W53" s="620">
        <f t="array" ref="W53">IFERROR(INDEX(Analytica!$F$59:$AY$138,MATCH($B53,Analytica!$B$59:$B$168,0),MATCH(W$15&amp;W$10,Analytica!$F$58:$AY$58&amp;Analytica!$F$51:'Analytica'!$AY$51,0)),"")</f>
        <v>45.244584071494344</v>
      </c>
      <c r="X53" s="620">
        <f t="array" ref="X53">IFERROR(INDEX(Analytica!$F$59:$AY$138,MATCH($B53,Analytica!$B$59:$B$168,0),MATCH(X$15&amp;X$10,Analytica!$F$58:$AY$58&amp;Analytica!$F$51:'Analytica'!$AY$51,0)),"")</f>
        <v>46.291771059662707</v>
      </c>
      <c r="Y53" s="620">
        <f t="array" ref="Y53">IFERROR(INDEX(Analytica!$F$59:$AY$138,MATCH($B53,Analytica!$B$59:$B$168,0),MATCH(Y$15&amp;Y$10,Analytica!$F$58:$AY$58&amp;Analytica!$F$51:'Analytica'!$AY$51,0)),"")</f>
        <v>47.487217212099665</v>
      </c>
      <c r="Z53" s="694">
        <f>Z51</f>
        <v>20</v>
      </c>
      <c r="AA53" s="694">
        <f t="shared" si="69"/>
        <v>20</v>
      </c>
      <c r="AB53" s="694">
        <v>2013</v>
      </c>
      <c r="AC53" s="1">
        <f t="shared" ca="1" si="70"/>
        <v>36</v>
      </c>
      <c r="AE53" s="1" t="str">
        <f t="shared" si="71"/>
        <v>S_TPPUBRT</v>
      </c>
      <c r="AF53" s="1" t="str">
        <f>IF(B53="","","S_"&amp;LEFT(B53,LEN(B53)-2))</f>
        <v>S_TPPUBRTODS</v>
      </c>
      <c r="AG53" s="714" t="str">
        <f>B53&amp;"_L"</f>
        <v>TPPUBRTODS-N_L</v>
      </c>
      <c r="AH53" s="1" t="str">
        <f>B53&amp;"_U"</f>
        <v>TPPUBRTODS-N_U</v>
      </c>
      <c r="AI53" s="194">
        <v>0</v>
      </c>
      <c r="AJ53" s="699">
        <f>SUMIF(Analytica!$B$59:$B$137,B53,Analytica!$BA$59:$BA$192)</f>
        <v>1</v>
      </c>
      <c r="AK53" s="697" t="e">
        <f>IF($AP$10,BK53,#REF!)</f>
        <v>#REF!</v>
      </c>
      <c r="AL53" s="697" t="e">
        <f t="shared" ref="AL53:AO57" si="75">IF($AP$10,BL53,AY53)</f>
        <v>#REF!</v>
      </c>
      <c r="AM53" s="697" t="e">
        <f t="shared" si="75"/>
        <v>#REF!</v>
      </c>
      <c r="AN53" s="697">
        <f t="shared" si="75"/>
        <v>1</v>
      </c>
      <c r="AO53" s="697">
        <f t="shared" si="75"/>
        <v>1</v>
      </c>
      <c r="AP53" s="194">
        <v>1</v>
      </c>
      <c r="AQ53" s="650">
        <f>AJ53</f>
        <v>1</v>
      </c>
      <c r="AR53" s="697" t="e">
        <f>IF($AP$10,BR53,#REF!)</f>
        <v>#REF!</v>
      </c>
      <c r="AS53" s="697" t="e">
        <f t="shared" ref="AS53:AV57" si="76">IF($AP$10,BS53,BE53)</f>
        <v>#REF!</v>
      </c>
      <c r="AT53" s="697">
        <f t="shared" si="76"/>
        <v>0.5</v>
      </c>
      <c r="AU53" s="697">
        <f t="shared" si="76"/>
        <v>0</v>
      </c>
      <c r="AV53" s="697">
        <f t="shared" si="76"/>
        <v>0</v>
      </c>
      <c r="AX53" s="698">
        <f>$AJ53</f>
        <v>1</v>
      </c>
      <c r="AY53" s="697" t="e">
        <f>IF(#REF!&lt;&gt;"",(AY$11-#REF!)/(BA$11-#REF!)*(BA53-#REF!)+#REF!,"")</f>
        <v>#REF!</v>
      </c>
      <c r="AZ53" s="697" t="e">
        <f t="shared" si="72"/>
        <v>#REF!</v>
      </c>
      <c r="BA53" s="697">
        <f t="shared" si="47"/>
        <v>1</v>
      </c>
      <c r="BB53" s="697">
        <f t="shared" si="47"/>
        <v>1</v>
      </c>
      <c r="BC53" s="711"/>
      <c r="BD53" s="697">
        <f t="shared" si="73"/>
        <v>1</v>
      </c>
      <c r="BE53" s="697" t="e">
        <f>IF(#REF!&lt;&gt;"",(BE$11-#REF!)/(BG$11-#REF!)*(BG53-#REF!)+#REF!,"")</f>
        <v>#REF!</v>
      </c>
      <c r="BF53" s="697">
        <f t="shared" si="48"/>
        <v>0.5</v>
      </c>
      <c r="BG53" s="697">
        <f t="shared" si="48"/>
        <v>0</v>
      </c>
      <c r="BH53" s="697">
        <f t="shared" si="48"/>
        <v>0</v>
      </c>
      <c r="BI53" s="692"/>
      <c r="BJ53" s="693">
        <f>$AJ53</f>
        <v>1</v>
      </c>
      <c r="BK53" s="697">
        <f>MIN(1,$AJ53+BK$12)</f>
        <v>1</v>
      </c>
      <c r="BL53" s="697" t="e">
        <f>IF(BK53&lt;&gt;"",(BL$11-BK$11)/(BN$11-BK$11)*(BN53-BK53)+BK53,"")</f>
        <v>#REF!</v>
      </c>
      <c r="BM53" s="697" t="e">
        <f>BL53+(BM$11-BL$11)/(BN$11-BL$11)*(BN53-BL53)</f>
        <v>#REF!</v>
      </c>
      <c r="BN53" s="697">
        <f>MIN(1,$AJ53+BN$12)</f>
        <v>1</v>
      </c>
      <c r="BO53" s="697">
        <f>MIN(1,$AJ53+BO$12)</f>
        <v>1</v>
      </c>
      <c r="BP53" s="194"/>
      <c r="BQ53" s="650">
        <f>AJ53</f>
        <v>1</v>
      </c>
      <c r="BR53" s="697">
        <f>$AQ53*BR$12</f>
        <v>1</v>
      </c>
      <c r="BS53" s="697" t="e">
        <f t="shared" si="74"/>
        <v>#REF!</v>
      </c>
      <c r="BT53" s="697" t="e">
        <f>BS53+(BT$11-BS$11)/(BU$11-BS$11)*(BU53-BS53)</f>
        <v>#REF!</v>
      </c>
      <c r="BU53" s="697">
        <f>$AQ53*BU$12</f>
        <v>0.25</v>
      </c>
      <c r="BV53" s="697">
        <f>$AQ53*BV$12</f>
        <v>0.1</v>
      </c>
      <c r="BW53" s="692"/>
      <c r="BX53" s="1" t="str">
        <f>B53</f>
        <v>TPPUBRTODS-N</v>
      </c>
      <c r="BY53" s="1" t="str">
        <f t="shared" ca="1" si="21"/>
        <v>-	S_TPPUBRTODS	1	TPPUBRTODS-N Set	1	10/03/2023 17:53:59	null	((tblITEMS.Item Like "TPPUBRTODS-N*"))	null	null	null	null	null	null	null</v>
      </c>
      <c r="BZ53" s="1" t="str">
        <f t="shared" si="22"/>
        <v>-	S_TPPUBRTODS	1	1	True	Like "TPPUBRTODS-N*"</v>
      </c>
      <c r="CI53" s="1">
        <f>SUMIF($CI$10:$CI$11,RIGHT(C53,3),$CJ$10:$CJ$11)</f>
        <v>38.1</v>
      </c>
      <c r="CJ53" s="1">
        <v>10</v>
      </c>
      <c r="CK53" s="625">
        <f>CJ53/CI53</f>
        <v>0.26246719160104987</v>
      </c>
      <c r="CL53" s="625" t="e">
        <f>#REF!</f>
        <v>#REF!</v>
      </c>
      <c r="CM53" s="625" t="e">
        <f>CK53/#REF!</f>
        <v>#REF!</v>
      </c>
      <c r="CN53" s="2" t="e">
        <f>#REF!*1000</f>
        <v>#REF!</v>
      </c>
      <c r="CO53" s="2">
        <f>O53*1000000</f>
        <v>60000</v>
      </c>
      <c r="CP53" s="9" t="e">
        <f>-PMT($CL$14,Z53,CN53)/CO53</f>
        <v>#REF!</v>
      </c>
      <c r="CQ53" s="9" t="e">
        <f>CP53+CM53</f>
        <v>#REF!</v>
      </c>
    </row>
    <row r="54" spans="1:95" x14ac:dyDescent="0.2">
      <c r="A54" s="191" t="str">
        <f>ITEMS_nTech!C45</f>
        <v>Transport Passenger BRT Gas-N</v>
      </c>
      <c r="B54" s="191" t="str">
        <f>D54&amp;RIGHT(C54,3)&amp;"-N"</f>
        <v>TPPUBRTGAS-N</v>
      </c>
      <c r="C54" s="612" t="str">
        <f>$F$6</f>
        <v>TRAGAS</v>
      </c>
      <c r="D54" s="612" t="str">
        <f>TRP!$B$26</f>
        <v>TPPUBRT</v>
      </c>
      <c r="E54" s="702">
        <f t="array" ref="E54">IFERROR(INDEX(Analytica!$F$59:$AY$138,MATCH($B54,Analytica!$B$59:$B$168,0),MATCH(E$15&amp;E$10,Analytica!$F$58:$AY$58&amp;Analytica!$F$51:'Analytica'!$AY$51,0)),"")</f>
        <v>5.6802867593888626E-2</v>
      </c>
      <c r="F54" s="702">
        <f t="array" ref="F54">IFERROR(INDEX(Analytica!$F$59:$AY$138,MATCH($B54,Analytica!$B$59:$B$168,0),MATCH(F$15&amp;F$10,Analytica!$F$58:$AY$58&amp;Analytica!$F$51:'Analytica'!$AY$51,0)),"")</f>
        <v>6.1244219806684722E-2</v>
      </c>
      <c r="G54" s="702">
        <f t="array" ref="G54">IFERROR(INDEX(Analytica!$F$59:$AY$138,MATCH($B54,Analytica!$B$59:$B$168,0),MATCH(G$15&amp;G$10,Analytica!$F$58:$AY$58&amp;Analytica!$F$51:'Analytica'!$AY$51,0)),"")</f>
        <v>6.7719409195597449E-2</v>
      </c>
      <c r="H54" s="702">
        <f t="array" ref="H54">IFERROR(INDEX(Analytica!$F$59:$AY$138,MATCH($B54,Analytica!$B$59:$B$168,0),MATCH(H$15&amp;H$10,Analytica!$F$58:$AY$58&amp;Analytica!$F$51:'Analytica'!$AY$51,0)),"")</f>
        <v>7.4879203233808214E-2</v>
      </c>
      <c r="I54" s="701">
        <v>1</v>
      </c>
      <c r="J54" s="701">
        <v>1</v>
      </c>
      <c r="K54" s="701">
        <v>1</v>
      </c>
      <c r="L54" s="701">
        <v>1</v>
      </c>
      <c r="M54" s="701">
        <v>1</v>
      </c>
      <c r="N54" s="696">
        <f>IF(B54="","",MAX(N$18:N53)+1)</f>
        <v>32</v>
      </c>
      <c r="O54" s="702">
        <f t="array" ref="O54">IFERROR(INDEX(Analytica!$F$59:$AY$138,MATCH($B54,Analytica!$B$59:$B$168,0),MATCH(O$15&amp;O$10,Analytica!$F$58:$AY$58&amp;Analytica!$F$51:'Analytica'!$AY$51,0)),"")</f>
        <v>0.06</v>
      </c>
      <c r="P54" s="620">
        <f t="array" ref="P54">IFERROR(INDEX(Analytica!$F$59:$AY$138,MATCH($B54,Analytica!$B$59:$B$168,0),MATCH(P$15&amp;P$10,Analytica!$F$58:$AY$58&amp;Analytica!$F$51:'Analytica'!$AY$51,0)),"")</f>
        <v>1712.7968806812237</v>
      </c>
      <c r="Q54" s="620">
        <f t="array" ref="Q54">IFERROR(INDEX(Analytica!$F$59:$AY$138,MATCH($B54,Analytica!$B$59:$B$168,0),MATCH(Q$15&amp;Q$10,Analytica!$F$58:$AY$58&amp;Analytica!$F$51:'Analytica'!$AY$51,0)),"")</f>
        <v>1730.7939448361396</v>
      </c>
      <c r="R54" s="620">
        <f t="array" ref="R54">IFERROR(INDEX(Analytica!$F$59:$AY$138,MATCH($B54,Analytica!$B$59:$B$168,0),MATCH(R$15&amp;R$10,Analytica!$F$58:$AY$58&amp;Analytica!$F$51:'Analytica'!$AY$51,0)),"")</f>
        <v>1748.7910089910563</v>
      </c>
      <c r="S54" s="620">
        <f t="array" ref="S54">IFERROR(INDEX(Analytica!$F$59:$AY$138,MATCH($B54,Analytica!$B$59:$B$168,0),MATCH(S$15&amp;S$10,Analytica!$F$58:$AY$58&amp;Analytica!$F$51:'Analytica'!$AY$51,0)),"")</f>
        <v>1763.3725882959811</v>
      </c>
      <c r="T54" s="620">
        <f t="array" ref="T54">IFERROR(INDEX(Analytica!$F$59:$AY$138,MATCH($B54,Analytica!$B$59:$B$168,0),MATCH(T$15&amp;T$10,Analytica!$F$58:$AY$58&amp;Analytica!$F$51:'Analytica'!$AY$51,0)),"")</f>
        <v>1777.9541676009053</v>
      </c>
      <c r="U54" s="620">
        <f t="array" ref="U54">IFERROR(INDEX(Analytica!$F$59:$AY$138,MATCH($B54,Analytica!$B$59:$B$168,0),MATCH(U$15&amp;U$10,Analytica!$F$58:$AY$58&amp;Analytica!$F$51:'Analytica'!$AY$51,0)),"")</f>
        <v>1815.4670514421152</v>
      </c>
      <c r="V54" s="620">
        <f t="array" ref="V54">IFERROR(INDEX(Analytica!$F$59:$AY$138,MATCH($B54,Analytica!$B$59:$B$168,0),MATCH(V$15&amp;V$10,Analytica!$F$58:$AY$58&amp;Analytica!$F$51:'Analytica'!$AY$51,0)),"")</f>
        <v>46.245515778393042</v>
      </c>
      <c r="W54" s="620">
        <f t="array" ref="W54">IFERROR(INDEX(Analytica!$F$59:$AY$138,MATCH($B54,Analytica!$B$59:$B$168,0),MATCH(W$15&amp;W$10,Analytica!$F$58:$AY$58&amp;Analytica!$F$51:'Analytica'!$AY$51,0)),"")</f>
        <v>47.217357242758517</v>
      </c>
      <c r="X54" s="620">
        <f t="array" ref="X54">IFERROR(INDEX(Analytica!$F$59:$AY$138,MATCH($B54,Analytica!$B$59:$B$168,0),MATCH(X$15&amp;X$10,Analytica!$F$58:$AY$58&amp;Analytica!$F$51:'Analytica'!$AY$51,0)),"")</f>
        <v>48.004762525224443</v>
      </c>
      <c r="Y54" s="620">
        <f t="array" ref="Y54">IFERROR(INDEX(Analytica!$F$59:$AY$138,MATCH($B54,Analytica!$B$59:$B$168,0),MATCH(Y$15&amp;Y$10,Analytica!$F$58:$AY$58&amp;Analytica!$F$51:'Analytica'!$AY$51,0)),"")</f>
        <v>49.017610388937108</v>
      </c>
      <c r="Z54" s="694">
        <f>Z53</f>
        <v>20</v>
      </c>
      <c r="AA54" s="694">
        <f t="shared" si="69"/>
        <v>20</v>
      </c>
      <c r="AB54" s="694">
        <f>IF(AD54,base.year+$AB$12,base.year+$AB$10)</f>
        <v>2025</v>
      </c>
      <c r="AC54" s="1">
        <f t="shared" ca="1" si="70"/>
        <v>37</v>
      </c>
      <c r="AD54" s="1">
        <v>1</v>
      </c>
      <c r="AE54" s="1" t="str">
        <f t="shared" si="71"/>
        <v>S_TPPUBRT</v>
      </c>
      <c r="AF54" s="1" t="str">
        <f>IF(B54="","","S_"&amp;LEFT(B54,LEN(B54)-2))</f>
        <v>S_TPPUBRTGAS</v>
      </c>
      <c r="AG54" s="714" t="str">
        <f>B54&amp;"_L"</f>
        <v>TPPUBRTGAS-N_L</v>
      </c>
      <c r="AH54" s="1" t="str">
        <f>B54&amp;"_U"</f>
        <v>TPPUBRTGAS-N_U</v>
      </c>
      <c r="AI54" s="194">
        <v>0</v>
      </c>
      <c r="AJ54" s="699">
        <f>SUMIF(Analytica!$B$59:$B$137,B54,Analytica!$BA$59:$BA$192)</f>
        <v>0</v>
      </c>
      <c r="AK54" s="697" t="e">
        <f>IF($AP$10,BK54,#REF!)</f>
        <v>#REF!</v>
      </c>
      <c r="AL54" s="697" t="e">
        <f t="shared" si="75"/>
        <v>#REF!</v>
      </c>
      <c r="AM54" s="697" t="e">
        <f t="shared" si="75"/>
        <v>#REF!</v>
      </c>
      <c r="AN54" s="697">
        <f t="shared" si="75"/>
        <v>1</v>
      </c>
      <c r="AO54" s="697">
        <f t="shared" si="75"/>
        <v>1</v>
      </c>
      <c r="AP54" s="194">
        <v>1</v>
      </c>
      <c r="AQ54" s="650">
        <f>AJ54</f>
        <v>0</v>
      </c>
      <c r="AR54" s="697" t="e">
        <f>IF($AP$10,BR54,#REF!)</f>
        <v>#REF!</v>
      </c>
      <c r="AS54" s="697" t="e">
        <f t="shared" si="76"/>
        <v>#REF!</v>
      </c>
      <c r="AT54" s="697">
        <f t="shared" si="76"/>
        <v>0</v>
      </c>
      <c r="AU54" s="697">
        <f t="shared" si="76"/>
        <v>0</v>
      </c>
      <c r="AV54" s="697">
        <f t="shared" si="76"/>
        <v>0</v>
      </c>
      <c r="AX54" s="698">
        <f>$AJ54</f>
        <v>0</v>
      </c>
      <c r="AY54" s="697" t="e">
        <f>IF(#REF!&lt;&gt;"",(AY$11-#REF!)/(BA$11-#REF!)*(BA54-#REF!)+#REF!,"")</f>
        <v>#REF!</v>
      </c>
      <c r="AZ54" s="697" t="e">
        <f t="shared" si="72"/>
        <v>#REF!</v>
      </c>
      <c r="BA54" s="697">
        <f t="shared" si="47"/>
        <v>1</v>
      </c>
      <c r="BB54" s="697">
        <f t="shared" si="47"/>
        <v>1</v>
      </c>
      <c r="BC54" s="711"/>
      <c r="BD54" s="697">
        <f t="shared" si="73"/>
        <v>0</v>
      </c>
      <c r="BE54" s="697" t="e">
        <f>IF(#REF!&lt;&gt;"",(BE$11-#REF!)/(BG$11-#REF!)*(BG54-#REF!)+#REF!,"")</f>
        <v>#REF!</v>
      </c>
      <c r="BF54" s="697">
        <f t="shared" si="48"/>
        <v>0</v>
      </c>
      <c r="BG54" s="697">
        <f t="shared" si="48"/>
        <v>0</v>
      </c>
      <c r="BH54" s="697">
        <f t="shared" si="48"/>
        <v>0</v>
      </c>
      <c r="BI54" s="692"/>
      <c r="BJ54" s="693">
        <f>$AJ54</f>
        <v>0</v>
      </c>
      <c r="BK54" s="697">
        <v>0</v>
      </c>
      <c r="BL54" s="697" t="e">
        <f>IF(BK54&lt;&gt;"",(BL$11-BK$11)/(BN$11-BK$11)*(BN54-BK54)+BK54,"")</f>
        <v>#REF!</v>
      </c>
      <c r="BM54" s="697" t="e">
        <f>BL54+(BM$11-BL$11)/(BN$11-BL$11)*(BN54-BL54)</f>
        <v>#REF!</v>
      </c>
      <c r="BN54" s="715">
        <v>0.125</v>
      </c>
      <c r="BO54" s="715">
        <v>0.25</v>
      </c>
      <c r="BP54" s="194"/>
      <c r="BQ54" s="650">
        <f>AJ54</f>
        <v>0</v>
      </c>
      <c r="BR54" s="697">
        <f>$AQ54*BR$12</f>
        <v>0</v>
      </c>
      <c r="BS54" s="697" t="e">
        <f t="shared" si="74"/>
        <v>#REF!</v>
      </c>
      <c r="BT54" s="697" t="e">
        <f>BS54+(BT$11-BS$11)/(BU$11-BS$11)*(BU54-BS54)</f>
        <v>#REF!</v>
      </c>
      <c r="BU54" s="697">
        <f>$AQ54*BU$12</f>
        <v>0</v>
      </c>
      <c r="BV54" s="697">
        <f>$AQ54*BV$12</f>
        <v>0</v>
      </c>
      <c r="BW54" s="692"/>
      <c r="BX54" s="707" t="str">
        <f>B54</f>
        <v>TPPUBRTGAS-N</v>
      </c>
      <c r="BY54" s="1" t="str">
        <f t="shared" ca="1" si="21"/>
        <v>-	S_TPPUBRTGAS	1	TPPUBRTGAS-N Set	1	10/03/2023 17:53:59	null	((tblITEMS.Item Like "TPPUBRTGAS-N*"))	null	null	null	null	null	null	null</v>
      </c>
      <c r="BZ54" s="1" t="str">
        <f t="shared" si="22"/>
        <v>-	S_TPPUBRTGAS	1	1	True	Like "TPPUBRTGAS-N*"</v>
      </c>
      <c r="CI54" s="1">
        <f>SUMIF($CI$10:$CI$11,RIGHT(C54,3),$CJ$10:$CJ$11)</f>
        <v>0</v>
      </c>
      <c r="CJ54" s="1">
        <v>10</v>
      </c>
      <c r="CK54" s="625" t="e">
        <f>CJ54/CI54</f>
        <v>#DIV/0!</v>
      </c>
      <c r="CL54" s="625" t="e">
        <f>#REF!</f>
        <v>#REF!</v>
      </c>
      <c r="CM54" s="625" t="e">
        <f>CK54/#REF!</f>
        <v>#DIV/0!</v>
      </c>
      <c r="CN54" s="2" t="e">
        <f>#REF!*1000</f>
        <v>#REF!</v>
      </c>
      <c r="CO54" s="2">
        <f>O54*1000000</f>
        <v>60000</v>
      </c>
      <c r="CP54" s="9" t="e">
        <f>-PMT($CL$14,Z54,CN54)/CO54</f>
        <v>#REF!</v>
      </c>
      <c r="CQ54" s="9" t="e">
        <f>CP54+CM54</f>
        <v>#REF!</v>
      </c>
    </row>
    <row r="55" spans="1:95" x14ac:dyDescent="0.2">
      <c r="A55" s="191" t="str">
        <f>ITEMS_nTech!C46</f>
        <v>Transport Passenger BRT Electricity-N</v>
      </c>
      <c r="B55" s="191" t="str">
        <f>D55&amp;RIGHT(C55,3)&amp;"-N"</f>
        <v>TPPUBRTELC-N</v>
      </c>
      <c r="C55" s="612" t="str">
        <f>$E$6</f>
        <v>TRAELC</v>
      </c>
      <c r="D55" s="612" t="str">
        <f>TRP!$B$26</f>
        <v>TPPUBRT</v>
      </c>
      <c r="E55" s="702">
        <f t="array" ref="E55">IFERROR(INDEX(Analytica!$F$59:$AY$138,MATCH($B55,Analytica!$B$59:$B$168,0),MATCH(E$15&amp;E$10,Analytica!$F$58:$AY$58&amp;Analytica!$F$51:'Analytica'!$AY$51,0)),"")</f>
        <v>0.21275823278067008</v>
      </c>
      <c r="F55" s="702">
        <f t="array" ref="F55">IFERROR(INDEX(Analytica!$F$59:$AY$138,MATCH($B55,Analytica!$B$59:$B$168,0),MATCH(F$15&amp;F$10,Analytica!$F$58:$AY$58&amp;Analytica!$F$51:'Analytica'!$AY$51,0)),"")</f>
        <v>0.22939355926993843</v>
      </c>
      <c r="G55" s="702">
        <f t="array" ref="G55">IFERROR(INDEX(Analytica!$F$59:$AY$138,MATCH($B55,Analytica!$B$59:$B$168,0),MATCH(G$15&amp;G$10,Analytica!$F$58:$AY$58&amp;Analytica!$F$51:'Analytica'!$AY$51,0)),"")</f>
        <v>0.25364673361942214</v>
      </c>
      <c r="H55" s="702">
        <f t="array" ref="H55">IFERROR(INDEX(Analytica!$F$59:$AY$138,MATCH($B55,Analytica!$B$59:$B$168,0),MATCH(H$15&amp;H$10,Analytica!$F$58:$AY$58&amp;Analytica!$F$51:'Analytica'!$AY$51,0)),"")</f>
        <v>0.28046413195103725</v>
      </c>
      <c r="I55" s="701">
        <v>1</v>
      </c>
      <c r="J55" s="701">
        <v>1</v>
      </c>
      <c r="K55" s="701">
        <v>1</v>
      </c>
      <c r="L55" s="701">
        <v>1</v>
      </c>
      <c r="M55" s="701">
        <v>1</v>
      </c>
      <c r="N55" s="696">
        <f>IF(B55="","",MAX(N$18:N54)+1)</f>
        <v>33</v>
      </c>
      <c r="O55" s="702">
        <f t="array" ref="O55">IFERROR(INDEX(Analytica!$F$59:$AY$138,MATCH($B55,Analytica!$B$59:$B$168,0),MATCH(O$15&amp;O$10,Analytica!$F$58:$AY$58&amp;Analytica!$F$51:'Analytica'!$AY$51,0)),"")</f>
        <v>0.06</v>
      </c>
      <c r="P55" s="620">
        <f t="array" ref="P55">IFERROR(INDEX(Analytica!$F$59:$AY$138,MATCH($B55,Analytica!$B$59:$B$168,0),MATCH(P$15&amp;P$10,Analytica!$F$58:$AY$58&amp;Analytica!$F$51:'Analytica'!$AY$51,0)),"")</f>
        <v>4643.4184762355026</v>
      </c>
      <c r="Q55" s="620">
        <f t="array" ref="Q55">IFERROR(INDEX(Analytica!$F$59:$AY$138,MATCH($B55,Analytica!$B$59:$B$168,0),MATCH(Q$15&amp;Q$10,Analytica!$F$58:$AY$58&amp;Analytica!$F$51:'Analytica'!$AY$51,0)),"")</f>
        <v>4403.3626567749834</v>
      </c>
      <c r="R55" s="620">
        <f t="array" ref="R55">IFERROR(INDEX(Analytica!$F$59:$AY$138,MATCH($B55,Analytica!$B$59:$B$168,0),MATCH(R$15&amp;R$10,Analytica!$F$58:$AY$58&amp;Analytica!$F$51:'Analytica'!$AY$51,0)),"")</f>
        <v>4163.3068373144624</v>
      </c>
      <c r="S55" s="620">
        <f t="array" ref="S55">IFERROR(INDEX(Analytica!$F$59:$AY$138,MATCH($B55,Analytica!$B$59:$B$168,0),MATCH(S$15&amp;S$10,Analytica!$F$58:$AY$58&amp;Analytica!$F$51:'Analytica'!$AY$51,0)),"")</f>
        <v>4191.6176377219545</v>
      </c>
      <c r="T55" s="620">
        <f t="array" ref="T55">IFERROR(INDEX(Analytica!$F$59:$AY$138,MATCH($B55,Analytica!$B$59:$B$168,0),MATCH(T$15&amp;T$10,Analytica!$F$58:$AY$58&amp;Analytica!$F$51:'Analytica'!$AY$51,0)),"")</f>
        <v>4219.9284381294465</v>
      </c>
      <c r="U55" s="620">
        <f t="array" ref="U55">IFERROR(INDEX(Analytica!$F$59:$AY$138,MATCH($B55,Analytica!$B$59:$B$168,0),MATCH(U$15&amp;U$10,Analytica!$F$58:$AY$58&amp;Analytica!$F$51:'Analytica'!$AY$51,0)),"")</f>
        <v>4273.6648275840971</v>
      </c>
      <c r="V55" s="620">
        <f t="array" ref="V55">IFERROR(INDEX(Analytica!$F$59:$AY$138,MATCH($B55,Analytica!$B$59:$B$168,0),MATCH(V$15&amp;V$10,Analytica!$F$58:$AY$58&amp;Analytica!$F$51:'Analytica'!$AY$51,0)),"")</f>
        <v>94.029224143768928</v>
      </c>
      <c r="W55" s="620">
        <f t="array" ref="W55">IFERROR(INDEX(Analytica!$F$59:$AY$138,MATCH($B55,Analytica!$B$59:$B$168,0),MATCH(W$15&amp;W$10,Analytica!$F$58:$AY$58&amp;Analytica!$F$51:'Analytica'!$AY$51,0)),"")</f>
        <v>84.306963455617861</v>
      </c>
      <c r="X55" s="620">
        <f t="array" ref="X55">IFERROR(INDEX(Analytica!$F$59:$AY$138,MATCH($B55,Analytica!$B$59:$B$168,0),MATCH(X$15&amp;X$10,Analytica!$F$58:$AY$58&amp;Analytica!$F$51:'Analytica'!$AY$51,0)),"")</f>
        <v>85.453550872121298</v>
      </c>
      <c r="Y55" s="620">
        <f t="array" ref="Y55">IFERROR(INDEX(Analytica!$F$59:$AY$138,MATCH($B55,Analytica!$B$59:$B$168,0),MATCH(Y$15&amp;Y$10,Analytica!$F$58:$AY$58&amp;Analytica!$F$51:'Analytica'!$AY$51,0)),"")</f>
        <v>86.541712758577972</v>
      </c>
      <c r="Z55" s="694">
        <f>Z54</f>
        <v>20</v>
      </c>
      <c r="AA55" s="694">
        <f t="shared" si="69"/>
        <v>20</v>
      </c>
      <c r="AB55" s="694">
        <f>IF(AD55,base.year+$AB$12,base.year+$AB$10)</f>
        <v>2025</v>
      </c>
      <c r="AC55" s="1">
        <f t="shared" ca="1" si="70"/>
        <v>38</v>
      </c>
      <c r="AD55" s="1">
        <v>1</v>
      </c>
      <c r="AE55" s="1" t="str">
        <f t="shared" si="71"/>
        <v>S_TPPUBRT</v>
      </c>
      <c r="AF55" s="1" t="str">
        <f>IF(B55="","","S_"&amp;LEFT(B55,LEN(B55)-2))</f>
        <v>S_TPPUBRTELC</v>
      </c>
      <c r="AG55" s="714" t="str">
        <f>B55&amp;"_L"</f>
        <v>TPPUBRTELC-N_L</v>
      </c>
      <c r="AH55" s="1" t="str">
        <f>B55&amp;"_U"</f>
        <v>TPPUBRTELC-N_U</v>
      </c>
      <c r="AI55" s="194">
        <v>0</v>
      </c>
      <c r="AJ55" s="699">
        <f>SUMIF(Analytica!$B$59:$B$137,B55,Analytica!$BA$59:$BA$192)</f>
        <v>0</v>
      </c>
      <c r="AK55" s="697" t="e">
        <f>IF($AP$10,BK55,#REF!)</f>
        <v>#REF!</v>
      </c>
      <c r="AL55" s="697" t="e">
        <f t="shared" si="75"/>
        <v>#REF!</v>
      </c>
      <c r="AM55" s="697" t="e">
        <f t="shared" si="75"/>
        <v>#REF!</v>
      </c>
      <c r="AN55" s="697">
        <f t="shared" si="75"/>
        <v>1</v>
      </c>
      <c r="AO55" s="697">
        <f t="shared" si="75"/>
        <v>1</v>
      </c>
      <c r="AP55" s="194">
        <v>1</v>
      </c>
      <c r="AQ55" s="650">
        <f>AJ55</f>
        <v>0</v>
      </c>
      <c r="AR55" s="697" t="e">
        <f>IF($AP$10,BR55,#REF!)</f>
        <v>#REF!</v>
      </c>
      <c r="AS55" s="697" t="e">
        <f t="shared" si="76"/>
        <v>#REF!</v>
      </c>
      <c r="AT55" s="697">
        <f t="shared" si="76"/>
        <v>0</v>
      </c>
      <c r="AU55" s="697">
        <f t="shared" si="76"/>
        <v>0</v>
      </c>
      <c r="AV55" s="697">
        <f t="shared" si="76"/>
        <v>0</v>
      </c>
      <c r="AX55" s="698">
        <f>$AJ55</f>
        <v>0</v>
      </c>
      <c r="AY55" s="697" t="e">
        <f>IF(#REF!&lt;&gt;"",(AY$11-#REF!)/(BA$11-#REF!)*(BA55-#REF!)+#REF!,"")</f>
        <v>#REF!</v>
      </c>
      <c r="AZ55" s="697" t="e">
        <f t="shared" si="72"/>
        <v>#REF!</v>
      </c>
      <c r="BA55" s="697">
        <f t="shared" si="47"/>
        <v>1</v>
      </c>
      <c r="BB55" s="697">
        <f t="shared" si="47"/>
        <v>1</v>
      </c>
      <c r="BC55" s="711"/>
      <c r="BD55" s="697">
        <f t="shared" si="73"/>
        <v>0</v>
      </c>
      <c r="BE55" s="697" t="e">
        <f>IF(#REF!&lt;&gt;"",(BE$11-#REF!)/(BG$11-#REF!)*(BG55-#REF!)+#REF!,"")</f>
        <v>#REF!</v>
      </c>
      <c r="BF55" s="697">
        <f t="shared" si="48"/>
        <v>0</v>
      </c>
      <c r="BG55" s="697">
        <f t="shared" si="48"/>
        <v>0</v>
      </c>
      <c r="BH55" s="697">
        <f t="shared" si="48"/>
        <v>0</v>
      </c>
      <c r="BI55" s="692"/>
      <c r="BJ55" s="693">
        <f>$AJ55</f>
        <v>0</v>
      </c>
      <c r="BK55" s="697">
        <v>0</v>
      </c>
      <c r="BL55" s="697" t="e">
        <f>IF(BK55&lt;&gt;"",(BL$11-BK$11)/(BN$11-BK$11)*(BN55-BK55)+BK55,"")</f>
        <v>#REF!</v>
      </c>
      <c r="BM55" s="697" t="e">
        <f>BL55+(BM$11-BL$11)/(BN$11-BL$11)*(BN55-BL55)</f>
        <v>#REF!</v>
      </c>
      <c r="BN55" s="697">
        <f>MIN(1,$AJ55+BN$12)</f>
        <v>0.25</v>
      </c>
      <c r="BO55" s="697">
        <f>MIN(1,$AJ55+BO$12)</f>
        <v>0.5</v>
      </c>
      <c r="BP55" s="194"/>
      <c r="BQ55" s="650">
        <f>AJ55</f>
        <v>0</v>
      </c>
      <c r="BR55" s="697">
        <f>$AQ55*BR$12</f>
        <v>0</v>
      </c>
      <c r="BS55" s="697" t="e">
        <f t="shared" si="74"/>
        <v>#REF!</v>
      </c>
      <c r="BT55" s="697" t="e">
        <f>BS55+(BT$11-BS$11)/(BU$11-BS$11)*(BU55-BS55)</f>
        <v>#REF!</v>
      </c>
      <c r="BU55" s="715">
        <v>0.125</v>
      </c>
      <c r="BV55" s="715">
        <v>0.25</v>
      </c>
      <c r="BW55" s="692"/>
      <c r="BX55" s="707" t="str">
        <f>B55</f>
        <v>TPPUBRTELC-N</v>
      </c>
      <c r="BY55" s="1" t="str">
        <f t="shared" ca="1" si="21"/>
        <v>-	S_TPPUBRTELC	1	TPPUBRTELC-N Set	1	10/03/2023 17:53:59	null	((tblITEMS.Item Like "TPPUBRTELC-N*"))	null	null	null	null	null	null	null</v>
      </c>
      <c r="BZ55" s="1" t="str">
        <f t="shared" si="22"/>
        <v>-	S_TPPUBRTELC	1	1	True	Like "TPPUBRTELC-N*"</v>
      </c>
      <c r="CI55" s="1">
        <f>SUMIF($CI$10:$CI$11,RIGHT(C55,3),$CJ$10:$CJ$11)</f>
        <v>0</v>
      </c>
      <c r="CJ55" s="1">
        <v>10</v>
      </c>
      <c r="CK55" s="625" t="e">
        <f>CJ55/CI55</f>
        <v>#DIV/0!</v>
      </c>
      <c r="CL55" s="625" t="e">
        <f>#REF!</f>
        <v>#REF!</v>
      </c>
      <c r="CM55" s="625" t="e">
        <f>CK55/#REF!</f>
        <v>#DIV/0!</v>
      </c>
      <c r="CN55" s="2" t="e">
        <f>#REF!*1000</f>
        <v>#REF!</v>
      </c>
      <c r="CO55" s="2">
        <f>O55*1000000</f>
        <v>60000</v>
      </c>
      <c r="CP55" s="9" t="e">
        <f>-PMT($CL$14,Z55,CN55)/CO55</f>
        <v>#REF!</v>
      </c>
      <c r="CQ55" s="9" t="e">
        <f>CP55+CM55</f>
        <v>#REF!</v>
      </c>
    </row>
    <row r="56" spans="1:95" x14ac:dyDescent="0.2">
      <c r="A56" s="191" t="str">
        <f>ITEMS_nTech!C47</f>
        <v>Transport Passenger BRT Hydrogen-N</v>
      </c>
      <c r="B56" s="191" t="str">
        <f>D56&amp;RIGHT(C56,3)&amp;"F-N"</f>
        <v>TPPUBRTHGNF-N</v>
      </c>
      <c r="C56" s="612" t="str">
        <f>K6</f>
        <v>TRAHGN</v>
      </c>
      <c r="D56" s="612" t="str">
        <f>TRP!$B$26</f>
        <v>TPPUBRT</v>
      </c>
      <c r="E56" s="702">
        <f t="array" ref="E56">IFERROR(INDEX(Analytica!$F$59:$AY$138,MATCH($B56,Analytica!$B$59:$B$168,0),MATCH(E$15&amp;E$10,Analytica!$F$58:$AY$58&amp;Analytica!$F$51:'Analytica'!$AY$51,0)),"")</f>
        <v>0.13780930986929765</v>
      </c>
      <c r="F56" s="702">
        <f t="array" ref="F56">IFERROR(INDEX(Analytica!$F$59:$AY$138,MATCH($B56,Analytica!$B$59:$B$168,0),MATCH(F$15&amp;F$10,Analytica!$F$58:$AY$58&amp;Analytica!$F$51:'Analytica'!$AY$51,0)),"")</f>
        <v>0.14858446452711918</v>
      </c>
      <c r="G56" s="702">
        <f t="array" ref="G56">IFERROR(INDEX(Analytica!$F$59:$AY$138,MATCH($B56,Analytica!$B$59:$B$168,0),MATCH(G$15&amp;G$10,Analytica!$F$58:$AY$58&amp;Analytica!$F$51:'Analytica'!$AY$51,0)),"")</f>
        <v>0.16429390700348931</v>
      </c>
      <c r="H56" s="702">
        <f t="array" ref="H56">IFERROR(INDEX(Analytica!$F$59:$AY$138,MATCH($B56,Analytica!$B$59:$B$168,0),MATCH(H$15&amp;H$10,Analytica!$F$58:$AY$58&amp;Analytica!$F$51:'Analytica'!$AY$51,0)),"")</f>
        <v>0.18166426728646726</v>
      </c>
      <c r="I56" s="701">
        <v>1</v>
      </c>
      <c r="J56" s="701">
        <v>1</v>
      </c>
      <c r="K56" s="701">
        <v>1</v>
      </c>
      <c r="L56" s="701">
        <v>1</v>
      </c>
      <c r="M56" s="701">
        <v>1</v>
      </c>
      <c r="N56" s="696">
        <f>IF(B56="","",MAX(N$18:N55)+1)</f>
        <v>34</v>
      </c>
      <c r="O56" s="702">
        <f t="array" ref="O56">IFERROR(INDEX(Analytica!$F$59:$AY$138,MATCH($B56,Analytica!$B$59:$B$168,0),MATCH(O$15&amp;O$10,Analytica!$F$58:$AY$58&amp;Analytica!$F$51:'Analytica'!$AY$51,0)),"")</f>
        <v>0.06</v>
      </c>
      <c r="P56" s="620">
        <f t="array" ref="P56">IFERROR(INDEX(Analytica!$F$59:$AY$138,MATCH($B56,Analytica!$B$59:$B$168,0),MATCH(P$15&amp;P$10,Analytica!$F$58:$AY$58&amp;Analytica!$F$51:'Analytica'!$AY$51,0)),"")</f>
        <v>2321.7092381177513</v>
      </c>
      <c r="Q56" s="620">
        <f t="array" ref="Q56">IFERROR(INDEX(Analytica!$F$59:$AY$138,MATCH($B56,Analytica!$B$59:$B$168,0),MATCH(Q$15&amp;Q$10,Analytica!$F$58:$AY$58&amp;Analytica!$F$51:'Analytica'!$AY$51,0)),"")</f>
        <v>2069.5039570616195</v>
      </c>
      <c r="R56" s="620">
        <f t="array" ref="R56">IFERROR(INDEX(Analytica!$F$59:$AY$138,MATCH($B56,Analytica!$B$59:$B$168,0),MATCH(R$15&amp;R$10,Analytica!$F$58:$AY$58&amp;Analytica!$F$51:'Analytica'!$AY$51,0)),"")</f>
        <v>1817.2986760054873</v>
      </c>
      <c r="S56" s="620">
        <f t="array" ref="S56">IFERROR(INDEX(Analytica!$F$59:$AY$138,MATCH($B56,Analytica!$B$59:$B$168,0),MATCH(S$15&amp;S$10,Analytica!$F$58:$AY$58&amp;Analytica!$F$51:'Analytica'!$AY$51,0)),"")</f>
        <v>1788.6941354190726</v>
      </c>
      <c r="T56" s="620">
        <f t="array" ref="T56">IFERROR(INDEX(Analytica!$F$59:$AY$138,MATCH($B56,Analytica!$B$59:$B$168,0),MATCH(T$15&amp;T$10,Analytica!$F$58:$AY$58&amp;Analytica!$F$51:'Analytica'!$AY$51,0)),"")</f>
        <v>1760.0895948326574</v>
      </c>
      <c r="U56" s="620">
        <f t="array" ref="U56">IFERROR(INDEX(Analytica!$F$59:$AY$138,MATCH($B56,Analytica!$B$59:$B$168,0),MATCH(U$15&amp;U$10,Analytica!$F$58:$AY$58&amp;Analytica!$F$51:'Analytica'!$AY$51,0)),"")</f>
        <v>1753.1617829965594</v>
      </c>
      <c r="V56" s="620">
        <f t="array" ref="V56">IFERROR(INDEX(Analytica!$F$59:$AY$138,MATCH($B56,Analytica!$B$59:$B$168,0),MATCH(V$15&amp;V$10,Analytica!$F$58:$AY$58&amp;Analytica!$F$51:'Analytica'!$AY$51,0)),"")</f>
        <v>62.686149429179281</v>
      </c>
      <c r="W56" s="620">
        <f t="array" ref="W56">IFERROR(INDEX(Analytica!$F$59:$AY$138,MATCH($B56,Analytica!$B$59:$B$168,0),MATCH(W$15&amp;W$10,Analytica!$F$58:$AY$58&amp;Analytica!$F$51:'Analytica'!$AY$51,0)),"")</f>
        <v>49.067064252148157</v>
      </c>
      <c r="X56" s="620">
        <f t="array" ref="X56">IFERROR(INDEX(Analytica!$F$59:$AY$138,MATCH($B56,Analytica!$B$59:$B$168,0),MATCH(X$15&amp;X$10,Analytica!$F$58:$AY$58&amp;Analytica!$F$51:'Analytica'!$AY$51,0)),"")</f>
        <v>47.522419060481752</v>
      </c>
      <c r="Y56" s="620">
        <f t="array" ref="Y56">IFERROR(INDEX(Analytica!$F$59:$AY$138,MATCH($B56,Analytica!$B$59:$B$168,0),MATCH(Y$15&amp;Y$10,Analytica!$F$58:$AY$58&amp;Analytica!$F$51:'Analytica'!$AY$51,0)),"")</f>
        <v>47.3353681409071</v>
      </c>
      <c r="Z56" s="694">
        <f>Z55</f>
        <v>20</v>
      </c>
      <c r="AA56" s="694">
        <f t="shared" si="69"/>
        <v>20</v>
      </c>
      <c r="AB56" s="694">
        <f>IF(AD56,base.year+$AB$12,base.year+$AB$10)</f>
        <v>2025</v>
      </c>
      <c r="AC56" s="1">
        <f t="shared" ca="1" si="70"/>
        <v>39</v>
      </c>
      <c r="AD56" s="1">
        <v>1</v>
      </c>
      <c r="AE56" s="1" t="str">
        <f t="shared" si="71"/>
        <v>S_TPPUBRT</v>
      </c>
      <c r="AF56" s="1" t="str">
        <f>IF(B56="","","S_"&amp;LEFT(B56,LEN(B56)-2))</f>
        <v>S_TPPUBRTHGNF</v>
      </c>
      <c r="AG56" s="714" t="str">
        <f>B56&amp;"_L"</f>
        <v>TPPUBRTHGNF-N_L</v>
      </c>
      <c r="AH56" s="1" t="str">
        <f>B56&amp;"_U"</f>
        <v>TPPUBRTHGNF-N_U</v>
      </c>
      <c r="AI56" s="194">
        <v>0</v>
      </c>
      <c r="AJ56" s="699">
        <v>0</v>
      </c>
      <c r="AK56" s="697" t="e">
        <f>IF($AP$10,BK56,#REF!)</f>
        <v>#REF!</v>
      </c>
      <c r="AL56" s="697" t="e">
        <f t="shared" si="75"/>
        <v>#REF!</v>
      </c>
      <c r="AM56" s="697" t="e">
        <f t="shared" si="75"/>
        <v>#REF!</v>
      </c>
      <c r="AN56" s="697">
        <f t="shared" si="75"/>
        <v>1</v>
      </c>
      <c r="AO56" s="697">
        <f t="shared" si="75"/>
        <v>1</v>
      </c>
      <c r="AP56" s="194">
        <v>1</v>
      </c>
      <c r="AQ56" s="650">
        <f>AJ56</f>
        <v>0</v>
      </c>
      <c r="AR56" s="697" t="e">
        <f>IF($AP$10,BR56,#REF!)</f>
        <v>#REF!</v>
      </c>
      <c r="AS56" s="697" t="e">
        <f t="shared" si="76"/>
        <v>#REF!</v>
      </c>
      <c r="AT56" s="697">
        <f t="shared" si="76"/>
        <v>0</v>
      </c>
      <c r="AU56" s="697">
        <f t="shared" si="76"/>
        <v>0</v>
      </c>
      <c r="AV56" s="697">
        <f t="shared" si="76"/>
        <v>0</v>
      </c>
      <c r="AX56" s="698">
        <f>$AJ56</f>
        <v>0</v>
      </c>
      <c r="AY56" s="697" t="e">
        <f>IF(#REF!&lt;&gt;"",(AY$11-#REF!)/(BA$11-#REF!)*(BA56-#REF!)+#REF!,"")</f>
        <v>#REF!</v>
      </c>
      <c r="AZ56" s="697" t="e">
        <f t="shared" si="72"/>
        <v>#REF!</v>
      </c>
      <c r="BA56" s="697">
        <f t="shared" si="47"/>
        <v>1</v>
      </c>
      <c r="BB56" s="697">
        <f t="shared" si="47"/>
        <v>1</v>
      </c>
      <c r="BC56" s="711"/>
      <c r="BD56" s="697">
        <f t="shared" si="73"/>
        <v>0</v>
      </c>
      <c r="BE56" s="697" t="e">
        <f>IF(#REF!&lt;&gt;"",(BE$11-#REF!)/(BG$11-#REF!)*(BG56-#REF!)+#REF!,"")</f>
        <v>#REF!</v>
      </c>
      <c r="BF56" s="697">
        <f t="shared" si="48"/>
        <v>0</v>
      </c>
      <c r="BG56" s="697">
        <f t="shared" si="48"/>
        <v>0</v>
      </c>
      <c r="BH56" s="697">
        <f t="shared" si="48"/>
        <v>0</v>
      </c>
      <c r="BI56" s="692"/>
      <c r="BJ56" s="693">
        <f>$AJ56</f>
        <v>0</v>
      </c>
      <c r="BK56" s="697">
        <v>0</v>
      </c>
      <c r="BL56" s="697" t="e">
        <f>IF(BK56&lt;&gt;"",(BL$11-BK$11)/(BN$11-BK$11)*(BN56-BK56)+BK56,"")</f>
        <v>#REF!</v>
      </c>
      <c r="BM56" s="697" t="e">
        <f>BL56+(BM$11-BL$11)/(BN$11-BL$11)*(BN56-BL56)</f>
        <v>#REF!</v>
      </c>
      <c r="BN56" s="697">
        <f>MIN(1,$AJ56+BN$12)</f>
        <v>0.25</v>
      </c>
      <c r="BO56" s="697">
        <f>MIN(1,$AJ56+BO$12)</f>
        <v>0.5</v>
      </c>
      <c r="BP56" s="194"/>
      <c r="BQ56" s="650">
        <f>AJ56</f>
        <v>0</v>
      </c>
      <c r="BR56" s="697">
        <f>$AQ56*BR$12</f>
        <v>0</v>
      </c>
      <c r="BS56" s="697" t="e">
        <f t="shared" si="74"/>
        <v>#REF!</v>
      </c>
      <c r="BT56" s="697" t="e">
        <f>BS56+(BT$11-BS$11)/(BU$11-BS$11)*(BU56-BS56)</f>
        <v>#REF!</v>
      </c>
      <c r="BU56" s="715">
        <v>0.125</v>
      </c>
      <c r="BV56" s="715">
        <v>0.25</v>
      </c>
      <c r="BW56" s="692"/>
      <c r="BX56" s="707" t="str">
        <f>B56</f>
        <v>TPPUBRTHGNF-N</v>
      </c>
      <c r="BY56" s="1" t="str">
        <f t="shared" ca="1" si="21"/>
        <v>-	S_TPPUBRTHGNF	1	TPPUBRTHGNF-N Set	1	10/03/2023 17:53:59	null	((tblITEMS.Item Like "TPPUBRTHGNF-N*"))	null	null	null	null	null	null	null</v>
      </c>
      <c r="BZ56" s="1" t="str">
        <f t="shared" si="22"/>
        <v>-	S_TPPUBRTHGNF	1	1	True	Like "TPPUBRTHGNF-N*"</v>
      </c>
      <c r="CI56" s="1">
        <f>SUMIF($CI$10:$CI$11,RIGHT(C56,3),$CJ$10:$CJ$11)</f>
        <v>0</v>
      </c>
      <c r="CJ56" s="1">
        <v>10</v>
      </c>
      <c r="CK56" s="625" t="e">
        <f>CJ56/CI56</f>
        <v>#DIV/0!</v>
      </c>
      <c r="CL56" s="625" t="e">
        <f>#REF!</f>
        <v>#REF!</v>
      </c>
      <c r="CM56" s="625" t="e">
        <f>CK56/#REF!</f>
        <v>#DIV/0!</v>
      </c>
      <c r="CN56" s="2" t="e">
        <f>#REF!*1000</f>
        <v>#REF!</v>
      </c>
      <c r="CO56" s="2">
        <f>O56*1000000</f>
        <v>60000</v>
      </c>
      <c r="CP56" s="9" t="e">
        <f>-PMT($CL$14,Z56,CN56)/CO56</f>
        <v>#REF!</v>
      </c>
      <c r="CQ56" s="9" t="e">
        <f>CP56+CM56</f>
        <v>#REF!</v>
      </c>
    </row>
    <row r="57" spans="1:95" x14ac:dyDescent="0.2">
      <c r="A57" s="191" t="str">
        <f>ITEMS_nTech!C48</f>
        <v>Transport Passenger BRT Oil Blended Gasoline-Ethanol-E85-N</v>
      </c>
      <c r="B57" s="191" t="str">
        <f>D57&amp;RIGHT(C57,3)&amp;"-N"</f>
        <v>TPPUBRTBGS-N</v>
      </c>
      <c r="C57" s="612" t="str">
        <f>$L$6</f>
        <v>TRABGS</v>
      </c>
      <c r="D57" s="612" t="str">
        <f>TRP!$B$26</f>
        <v>TPPUBRT</v>
      </c>
      <c r="E57" s="702">
        <f t="array" ref="E57">IFERROR(INDEX(Analytica!$F$59:$AY$138,MATCH($B57,Analytica!$B$59:$B$168,0),MATCH(E$15&amp;E$10,Analytica!$F$58:$AY$58&amp;Analytica!$F$51:'Analytica'!$AY$51,0)),"")</f>
        <v>6.5323297732971908E-2</v>
      </c>
      <c r="F57" s="702">
        <f t="array" ref="F57">IFERROR(INDEX(Analytica!$F$59:$AY$138,MATCH($B57,Analytica!$B$59:$B$168,0),MATCH(F$15&amp;F$10,Analytica!$F$58:$AY$58&amp;Analytica!$F$51:'Analytica'!$AY$51,0)),"")</f>
        <v>7.043085277768743E-2</v>
      </c>
      <c r="G57" s="702">
        <f t="array" ref="G57">IFERROR(INDEX(Analytica!$F$59:$AY$138,MATCH($B57,Analytica!$B$59:$B$168,0),MATCH(G$15&amp;G$10,Analytica!$F$58:$AY$58&amp;Analytica!$F$51:'Analytica'!$AY$51,0)),"")</f>
        <v>7.7877320574937056E-2</v>
      </c>
      <c r="H57" s="702">
        <f t="array" ref="H57">IFERROR(INDEX(Analytica!$F$59:$AY$138,MATCH($B57,Analytica!$B$59:$B$168,0),MATCH(H$15&amp;H$10,Analytica!$F$58:$AY$58&amp;Analytica!$F$51:'Analytica'!$AY$51,0)),"")</f>
        <v>8.6111083718879447E-2</v>
      </c>
      <c r="I57" s="701">
        <v>1</v>
      </c>
      <c r="J57" s="701">
        <v>1</v>
      </c>
      <c r="K57" s="701">
        <v>1</v>
      </c>
      <c r="L57" s="701">
        <v>1</v>
      </c>
      <c r="M57" s="701">
        <v>1</v>
      </c>
      <c r="N57" s="696">
        <f>IF(B57="","",MAX(N$18:N56)+1)</f>
        <v>35</v>
      </c>
      <c r="O57" s="702">
        <f t="array" ref="O57">IFERROR(INDEX(Analytica!$F$59:$AY$138,MATCH($B57,Analytica!$B$59:$B$168,0),MATCH(O$15&amp;O$10,Analytica!$F$58:$AY$58&amp;Analytica!$F$51:'Analytica'!$AY$51,0)),"")</f>
        <v>0.06</v>
      </c>
      <c r="P57" s="620">
        <f t="array" ref="P57">IFERROR(INDEX(Analytica!$F$59:$AY$138,MATCH($B57,Analytica!$B$59:$B$168,0),MATCH(P$15&amp;P$10,Analytica!$F$58:$AY$58&amp;Analytica!$F$51:'Analytica'!$AY$51,0)),"")</f>
        <v>1615.4013682562638</v>
      </c>
      <c r="Q57" s="620">
        <f t="array" ref="Q57">IFERROR(INDEX(Analytica!$F$59:$AY$138,MATCH($B57,Analytica!$B$59:$B$168,0),MATCH(Q$15&amp;Q$10,Analytica!$F$58:$AY$58&amp;Analytica!$F$51:'Analytica'!$AY$51,0)),"")</f>
        <v>1645.5633521187683</v>
      </c>
      <c r="R57" s="620">
        <f t="array" ref="R57">IFERROR(INDEX(Analytica!$F$59:$AY$138,MATCH($B57,Analytica!$B$59:$B$168,0),MATCH(R$15&amp;R$10,Analytica!$F$58:$AY$58&amp;Analytica!$F$51:'Analytica'!$AY$51,0)),"")</f>
        <v>1675.7253359812721</v>
      </c>
      <c r="S57" s="620">
        <f t="array" ref="S57">IFERROR(INDEX(Analytica!$F$59:$AY$138,MATCH($B57,Analytica!$B$59:$B$168,0),MATCH(S$15&amp;S$10,Analytica!$F$58:$AY$58&amp;Analytica!$F$51:'Analytica'!$AY$51,0)),"")</f>
        <v>1695.1176876140198</v>
      </c>
      <c r="T57" s="620">
        <f t="array" ref="T57">IFERROR(INDEX(Analytica!$F$59:$AY$138,MATCH($B57,Analytica!$B$59:$B$168,0),MATCH(T$15&amp;T$10,Analytica!$F$58:$AY$58&amp;Analytica!$F$51:'Analytica'!$AY$51,0)),"")</f>
        <v>1714.5100392467668</v>
      </c>
      <c r="U57" s="620">
        <f t="array" ref="U57">IFERROR(INDEX(Analytica!$F$59:$AY$138,MATCH($B57,Analytica!$B$59:$B$168,0),MATCH(U$15&amp;U$10,Analytica!$F$58:$AY$58&amp;Analytica!$F$51:'Analytica'!$AY$51,0)),"")</f>
        <v>1758.7858226703579</v>
      </c>
      <c r="V57" s="620">
        <f t="array" ref="V57">IFERROR(INDEX(Analytica!$F$59:$AY$138,MATCH($B57,Analytica!$B$59:$B$168,0),MATCH(V$15&amp;V$10,Analytica!$F$58:$AY$58&amp;Analytica!$F$51:'Analytica'!$AY$51,0)),"")</f>
        <v>43.615836942919124</v>
      </c>
      <c r="W57" s="620">
        <f t="array" ref="W57">IFERROR(INDEX(Analytica!$F$59:$AY$138,MATCH($B57,Analytica!$B$59:$B$168,0),MATCH(W$15&amp;W$10,Analytica!$F$58:$AY$58&amp;Analytica!$F$51:'Analytica'!$AY$51,0)),"")</f>
        <v>45.244584071494344</v>
      </c>
      <c r="X57" s="620">
        <f t="array" ref="X57">IFERROR(INDEX(Analytica!$F$59:$AY$138,MATCH($B57,Analytica!$B$59:$B$168,0),MATCH(X$15&amp;X$10,Analytica!$F$58:$AY$58&amp;Analytica!$F$51:'Analytica'!$AY$51,0)),"")</f>
        <v>46.291771059662707</v>
      </c>
      <c r="Y57" s="620">
        <f t="array" ref="Y57">IFERROR(INDEX(Analytica!$F$59:$AY$138,MATCH($B57,Analytica!$B$59:$B$168,0),MATCH(Y$15&amp;Y$10,Analytica!$F$58:$AY$58&amp;Analytica!$F$51:'Analytica'!$AY$51,0)),"")</f>
        <v>47.487217212099665</v>
      </c>
      <c r="Z57" s="694">
        <f>Z56</f>
        <v>20</v>
      </c>
      <c r="AA57" s="694">
        <f t="shared" si="69"/>
        <v>20</v>
      </c>
      <c r="AB57" s="922">
        <v>2080</v>
      </c>
      <c r="AC57" s="1">
        <f t="shared" ca="1" si="70"/>
        <v>40</v>
      </c>
      <c r="AD57" s="1">
        <v>1</v>
      </c>
      <c r="AE57" s="1" t="str">
        <f t="shared" si="71"/>
        <v>S_TPPUBRT</v>
      </c>
      <c r="AF57" s="1" t="str">
        <f>IF(B57="","","S_"&amp;LEFT(B57,LEN(B57)-2))</f>
        <v>S_TPPUBRTBGS</v>
      </c>
      <c r="AG57" s="714" t="str">
        <f>B57&amp;"_L"</f>
        <v>TPPUBRTBGS-N_L</v>
      </c>
      <c r="AH57" s="1" t="str">
        <f>B57&amp;"_U"</f>
        <v>TPPUBRTBGS-N_U</v>
      </c>
      <c r="AI57" s="194">
        <v>0</v>
      </c>
      <c r="AJ57" s="699">
        <f>SUMIF(Analytica!$B$59:$B$137,B57,Analytica!$BB$59:$BB$192)</f>
        <v>0</v>
      </c>
      <c r="AK57" s="697" t="e">
        <f>IF($AP$10,BK57,#REF!)</f>
        <v>#REF!</v>
      </c>
      <c r="AL57" s="697" t="e">
        <f t="shared" si="75"/>
        <v>#REF!</v>
      </c>
      <c r="AM57" s="697" t="e">
        <f t="shared" si="75"/>
        <v>#REF!</v>
      </c>
      <c r="AN57" s="697">
        <f t="shared" si="75"/>
        <v>1</v>
      </c>
      <c r="AO57" s="697">
        <f t="shared" si="75"/>
        <v>1</v>
      </c>
      <c r="AP57" s="194">
        <v>1</v>
      </c>
      <c r="AQ57" s="650">
        <f>AJ57</f>
        <v>0</v>
      </c>
      <c r="AR57" s="697" t="e">
        <f>IF($AP$10,BR57,#REF!)</f>
        <v>#REF!</v>
      </c>
      <c r="AS57" s="697" t="e">
        <f t="shared" si="76"/>
        <v>#REF!</v>
      </c>
      <c r="AT57" s="697">
        <f t="shared" si="76"/>
        <v>0</v>
      </c>
      <c r="AU57" s="697">
        <f t="shared" si="76"/>
        <v>0</v>
      </c>
      <c r="AV57" s="697">
        <f t="shared" si="76"/>
        <v>0</v>
      </c>
      <c r="AX57" s="698">
        <v>0</v>
      </c>
      <c r="AY57" s="697" t="e">
        <f>IF(#REF!&lt;&gt;"",(AY$11-#REF!)/(BA$11-#REF!)*(BA57-#REF!)+#REF!,"")</f>
        <v>#REF!</v>
      </c>
      <c r="AZ57" s="697" t="e">
        <f t="shared" si="72"/>
        <v>#REF!</v>
      </c>
      <c r="BA57" s="697">
        <f t="shared" si="47"/>
        <v>1</v>
      </c>
      <c r="BB57" s="697">
        <f t="shared" si="47"/>
        <v>1</v>
      </c>
      <c r="BC57" s="711"/>
      <c r="BD57" s="697">
        <f t="shared" si="73"/>
        <v>0</v>
      </c>
      <c r="BE57" s="697" t="e">
        <f>IF(#REF!&lt;&gt;"",(BE$11-#REF!)/(BG$11-#REF!)*(BG57-#REF!)+#REF!,"")</f>
        <v>#REF!</v>
      </c>
      <c r="BF57" s="697">
        <f t="shared" si="48"/>
        <v>0</v>
      </c>
      <c r="BG57" s="697">
        <f t="shared" si="48"/>
        <v>0</v>
      </c>
      <c r="BH57" s="697">
        <f t="shared" si="48"/>
        <v>0</v>
      </c>
      <c r="BI57" s="692"/>
      <c r="BJ57" s="693">
        <v>0</v>
      </c>
      <c r="BK57" s="697">
        <v>0</v>
      </c>
      <c r="BL57" s="697">
        <v>0</v>
      </c>
      <c r="BM57" s="697">
        <f>BL57+(BM$11-BL$11)/(BN$11-BL$11)*(BN57-BL57)</f>
        <v>0.1</v>
      </c>
      <c r="BN57" s="697">
        <v>0.2</v>
      </c>
      <c r="BO57" s="697">
        <v>0.5</v>
      </c>
      <c r="BP57" s="194"/>
      <c r="BQ57" s="650">
        <f>AJ57</f>
        <v>0</v>
      </c>
      <c r="BR57" s="697">
        <v>0</v>
      </c>
      <c r="BS57" s="697" t="e">
        <f t="shared" si="74"/>
        <v>#REF!</v>
      </c>
      <c r="BT57" s="697" t="e">
        <f>BS57+(BT$11-BS$11)/(BU$11-BS$11)*(BU57-BS57)</f>
        <v>#REF!</v>
      </c>
      <c r="BU57" s="697">
        <v>0</v>
      </c>
      <c r="BV57" s="697">
        <v>0</v>
      </c>
      <c r="BW57" s="692"/>
      <c r="BX57" s="707" t="str">
        <f>B57</f>
        <v>TPPUBRTBGS-N</v>
      </c>
      <c r="BY57" s="1" t="str">
        <f t="shared" ca="1" si="21"/>
        <v>-	S_TPPUBRTBGS	1	TPPUBRTBGS-N Set	1	10/03/2023 17:53:59	null	((tblITEMS.Item Like "TPPUBRTBGS-N*"))	null	null	null	null	null	null	null</v>
      </c>
      <c r="BZ57" s="1" t="str">
        <f t="shared" si="22"/>
        <v>-	S_TPPUBRTBGS	1	1	True	Like "TPPUBRTBGS-N*"</v>
      </c>
      <c r="CI57" s="1">
        <f>SUMIF($CI$10:$CI$11,RIGHT(C57,3),$CJ$10:$CJ$11)</f>
        <v>0</v>
      </c>
      <c r="CJ57" s="1">
        <v>11</v>
      </c>
      <c r="CK57" s="625" t="e">
        <f>CJ57/CI57</f>
        <v>#DIV/0!</v>
      </c>
      <c r="CL57" s="625" t="e">
        <f>#REF!</f>
        <v>#REF!</v>
      </c>
      <c r="CM57" s="625" t="e">
        <f>CK57/#REF!</f>
        <v>#DIV/0!</v>
      </c>
      <c r="CN57" s="2" t="e">
        <f>#REF!*1000</f>
        <v>#REF!</v>
      </c>
      <c r="CO57" s="2">
        <f>O57*1000000</f>
        <v>60000</v>
      </c>
      <c r="CP57" s="9" t="e">
        <f>-PMT($CL$14,Z57,CN57)/CO57</f>
        <v>#REF!</v>
      </c>
      <c r="CQ57" s="9" t="e">
        <f>CP57+CM57</f>
        <v>#REF!</v>
      </c>
    </row>
    <row r="58" spans="1:95" x14ac:dyDescent="0.2">
      <c r="A58" s="191" t="s">
        <v>1124</v>
      </c>
      <c r="B58" s="191"/>
      <c r="C58" s="612"/>
      <c r="D58" s="612"/>
      <c r="E58" s="702" t="str">
        <f t="array" ref="E58">IFERROR(INDEX(Analytica!$F$59:$AY$138,MATCH($B58,Analytica!$B$59:$B$168,0),MATCH(E$15&amp;E$10,Analytica!$F$58:$AY$58&amp;Analytica!$F$51:'Analytica'!$AY$51,0)),"")</f>
        <v/>
      </c>
      <c r="F58" s="702" t="str">
        <f t="array" ref="F58">IFERROR(INDEX(Analytica!$F$59:$AY$138,MATCH($B58,Analytica!$B$59:$B$168,0),MATCH(F$15&amp;F$10,Analytica!$F$58:$AY$58&amp;Analytica!$F$51:'Analytica'!$AY$51,0)),"")</f>
        <v/>
      </c>
      <c r="G58" s="702" t="str">
        <f t="array" ref="G58">IFERROR(INDEX(Analytica!$F$59:$AY$138,MATCH($B58,Analytica!$B$59:$B$168,0),MATCH(G$15&amp;G$10,Analytica!$F$58:$AY$58&amp;Analytica!$F$51:'Analytica'!$AY$51,0)),"")</f>
        <v/>
      </c>
      <c r="H58" s="702" t="str">
        <f t="array" ref="H58">IFERROR(INDEX(Analytica!$F$59:$AY$138,MATCH($B58,Analytica!$B$59:$B$168,0),MATCH(H$15&amp;H$10,Analytica!$F$58:$AY$58&amp;Analytica!$F$51:'Analytica'!$AY$51,0)),"")</f>
        <v/>
      </c>
      <c r="I58" s="701"/>
      <c r="J58" s="701"/>
      <c r="K58" s="701"/>
      <c r="L58" s="701"/>
      <c r="M58" s="701"/>
      <c r="N58" s="696" t="str">
        <f>IF(B58="","",MAX(N$18:N57)+1)</f>
        <v/>
      </c>
      <c r="O58" s="702" t="str">
        <f t="array" ref="O58">IFERROR(INDEX(Analytica!$F$59:$AY$138,MATCH($B58,Analytica!$B$59:$B$168,0),MATCH(O$15&amp;O$10,Analytica!$F$58:$AY$58&amp;Analytica!$F$51:'Analytica'!$AY$51,0)),"")</f>
        <v/>
      </c>
      <c r="P58" s="620" t="str">
        <f t="array" ref="P58">IFERROR(INDEX(Analytica!$F$59:$AY$138,MATCH($B58,Analytica!$B$59:$B$168,0),MATCH(P$15&amp;P$10,Analytica!$F$58:$AY$58&amp;Analytica!$F$51:'Analytica'!$AY$51,0)),"")</f>
        <v/>
      </c>
      <c r="Q58" s="620" t="str">
        <f t="array" ref="Q58">IFERROR(INDEX(Analytica!$F$59:$AY$138,MATCH($B58,Analytica!$B$59:$B$168,0),MATCH(Q$15&amp;Q$10,Analytica!$F$58:$AY$58&amp;Analytica!$F$51:'Analytica'!$AY$51,0)),"")</f>
        <v/>
      </c>
      <c r="R58" s="620" t="str">
        <f t="array" ref="R58">IFERROR(INDEX(Analytica!$F$59:$AY$138,MATCH($B58,Analytica!$B$59:$B$168,0),MATCH(R$15&amp;R$10,Analytica!$F$58:$AY$58&amp;Analytica!$F$51:'Analytica'!$AY$51,0)),"")</f>
        <v/>
      </c>
      <c r="S58" s="620" t="str">
        <f t="array" ref="S58">IFERROR(INDEX(Analytica!$F$59:$AY$138,MATCH($B58,Analytica!$B$59:$B$168,0),MATCH(S$15&amp;S$10,Analytica!$F$58:$AY$58&amp;Analytica!$F$51:'Analytica'!$AY$51,0)),"")</f>
        <v/>
      </c>
      <c r="T58" s="620" t="str">
        <f t="array" ref="T58">IFERROR(INDEX(Analytica!$F$59:$AY$138,MATCH($B58,Analytica!$B$59:$B$168,0),MATCH(T$15&amp;T$10,Analytica!$F$58:$AY$58&amp;Analytica!$F$51:'Analytica'!$AY$51,0)),"")</f>
        <v/>
      </c>
      <c r="U58" s="620" t="str">
        <f t="array" ref="U58">IFERROR(INDEX(Analytica!$F$59:$AY$138,MATCH($B58,Analytica!$B$59:$B$168,0),MATCH(U$15&amp;U$10,Analytica!$F$58:$AY$58&amp;Analytica!$F$51:'Analytica'!$AY$51,0)),"")</f>
        <v/>
      </c>
      <c r="V58" s="620" t="str">
        <f t="array" ref="V58">IFERROR(INDEX(Analytica!$F$59:$AY$138,MATCH($B58,Analytica!$B$59:$B$168,0),MATCH(V$15&amp;V$10,Analytica!$F$58:$AY$58&amp;Analytica!$F$51:'Analytica'!$AY$51,0)),"")</f>
        <v/>
      </c>
      <c r="W58" s="620" t="str">
        <f t="array" ref="W58">IFERROR(INDEX(Analytica!$F$59:$AY$138,MATCH($B58,Analytica!$B$59:$B$168,0),MATCH(W$15&amp;W$10,Analytica!$F$58:$AY$58&amp;Analytica!$F$51:'Analytica'!$AY$51,0)),"")</f>
        <v/>
      </c>
      <c r="X58" s="620" t="str">
        <f t="array" ref="X58">IFERROR(INDEX(Analytica!$F$59:$AY$138,MATCH($B58,Analytica!$B$59:$B$168,0),MATCH(X$15&amp;X$10,Analytica!$F$58:$AY$58&amp;Analytica!$F$51:'Analytica'!$AY$51,0)),"")</f>
        <v/>
      </c>
      <c r="Y58" s="620" t="str">
        <f t="array" ref="Y58">IFERROR(INDEX(Analytica!$F$59:$AY$138,MATCH($B58,Analytica!$B$59:$B$168,0),MATCH(Y$15&amp;Y$10,Analytica!$F$58:$AY$58&amp;Analytica!$F$51:'Analytica'!$AY$51,0)),"")</f>
        <v/>
      </c>
      <c r="Z58" s="694"/>
      <c r="AA58" s="694">
        <f t="shared" si="69"/>
        <v>0</v>
      </c>
      <c r="AB58" s="694">
        <f>IF(AD58,base.year+$AB$12,base.year+$AB$10)</f>
        <v>2018</v>
      </c>
      <c r="AC58" s="1">
        <f t="shared" ca="1" si="70"/>
        <v>41</v>
      </c>
      <c r="AE58" s="1" t="str">
        <f t="shared" si="71"/>
        <v>S_</v>
      </c>
      <c r="AF58" s="1" t="str">
        <f>AE53</f>
        <v>S_TPPUBRT</v>
      </c>
      <c r="AG58" s="1"/>
      <c r="AI58" s="194">
        <v>0</v>
      </c>
      <c r="AJ58" s="699"/>
      <c r="AM58" s="1"/>
      <c r="AP58" s="194">
        <v>1</v>
      </c>
      <c r="AT58" s="1"/>
      <c r="AX58" s="698"/>
      <c r="AY58" s="697" t="e">
        <f>IF(#REF!&lt;&gt;"",(AY$11-#REF!)/(BA$11-#REF!)*(BA58-#REF!)+#REF!,"")</f>
        <v>#REF!</v>
      </c>
      <c r="AZ58" s="697" t="e">
        <f t="shared" si="72"/>
        <v>#REF!</v>
      </c>
      <c r="BA58" s="697">
        <f t="shared" ref="BA58:BB77" si="77">MIN(1,$AJ58+BA$12)</f>
        <v>1</v>
      </c>
      <c r="BB58" s="697">
        <f t="shared" si="77"/>
        <v>1</v>
      </c>
      <c r="BC58" s="711"/>
      <c r="BD58" s="697">
        <f t="shared" si="73"/>
        <v>0</v>
      </c>
      <c r="BE58" s="697" t="e">
        <f>IF(#REF!&lt;&gt;"",(BE$11-#REF!)/(BG$11-#REF!)*(BG58-#REF!)+#REF!,"")</f>
        <v>#REF!</v>
      </c>
      <c r="BF58" s="697">
        <f t="shared" ref="BF58:BH77" si="78">$AQ58*BF$12</f>
        <v>0</v>
      </c>
      <c r="BG58" s="697">
        <f t="shared" si="78"/>
        <v>0</v>
      </c>
      <c r="BH58" s="697">
        <f t="shared" si="78"/>
        <v>0</v>
      </c>
      <c r="BI58" s="692"/>
      <c r="BJ58" s="693"/>
      <c r="BL58" s="1" t="str">
        <f t="shared" ref="BL58:BL107" si="79">IF(BK58&lt;&gt;"",(BL$11-BK$11)/(BN$11-BK$11)*(BN58-BK58)+BK58,"")</f>
        <v/>
      </c>
      <c r="BP58" s="194"/>
      <c r="BS58" s="1" t="str">
        <f t="shared" si="74"/>
        <v/>
      </c>
      <c r="BT58" s="1"/>
      <c r="BW58" s="692"/>
      <c r="BX58" s="1" t="str">
        <f>D53</f>
        <v>TPPUBRT</v>
      </c>
      <c r="BY58" s="1" t="str">
        <f t="shared" ca="1" si="21"/>
        <v>-	S_TPPUBRT	1	TPPUBRT Set	1	10/03/2023 17:53:59	null	((tblITEMS.Item Like "TPPUBRT*"))	null	null	null	null	null	null	null</v>
      </c>
      <c r="BZ58" s="1" t="str">
        <f t="shared" si="22"/>
        <v>-	S_TPPUBRT	1	1	True	Like "TPPUBRT*"</v>
      </c>
      <c r="CK58" s="625"/>
      <c r="CL58" s="625"/>
      <c r="CM58" s="625"/>
      <c r="CN58" s="2"/>
      <c r="CO58" s="2"/>
      <c r="CP58" s="9"/>
      <c r="CQ58" s="9"/>
    </row>
    <row r="59" spans="1:95" x14ac:dyDescent="0.2">
      <c r="A59" s="191" t="str">
        <f>ITEMS_nTech!C50</f>
        <v>Transport Passenger Metro Rail Electricity-N</v>
      </c>
      <c r="B59" s="191" t="str">
        <f>D59&amp;RIGHT(C59,3)&amp;"-N"</f>
        <v>TPPUMERELC-N</v>
      </c>
      <c r="C59" s="612" t="str">
        <f>$E$6</f>
        <v>TRAELC</v>
      </c>
      <c r="D59" s="612" t="str">
        <f>TRP!$B$27</f>
        <v>TPPUMER</v>
      </c>
      <c r="E59" s="716">
        <f>TRP!E79</f>
        <v>3.858057479967961</v>
      </c>
      <c r="F59" s="702">
        <f>E59</f>
        <v>3.858057479967961</v>
      </c>
      <c r="G59" s="702">
        <f>F59</f>
        <v>3.858057479967961</v>
      </c>
      <c r="H59" s="702">
        <f>G59</f>
        <v>3.858057479967961</v>
      </c>
      <c r="I59" s="701">
        <v>1</v>
      </c>
      <c r="J59" s="701">
        <v>1</v>
      </c>
      <c r="K59" s="701">
        <v>1</v>
      </c>
      <c r="L59" s="701">
        <v>1</v>
      </c>
      <c r="M59" s="701">
        <v>1</v>
      </c>
      <c r="N59" s="696">
        <f>IF(B59="","",MAX(N$18:N58)+1)</f>
        <v>36</v>
      </c>
      <c r="O59" s="702">
        <f t="array" ref="O59">IFERROR(INDEX(Analytica!$F$59:$AY$138,MATCH($B59,Analytica!$B$59:$B$168,0),MATCH(O$15&amp;O$10,Analytica!$F$58:$AY$58&amp;Analytica!$F$51:'Analytica'!$AY$51,0)),"")</f>
        <v>1</v>
      </c>
      <c r="P59" s="702">
        <f t="array" ref="P59">IFERROR(INDEX(Analytica!$F$59:$AY$138,MATCH($B59,Analytica!$B$59:$B$168,0),MATCH(P$15&amp;P$10,Analytica!$F$58:$AY$58&amp;Analytica!$F$51:'Analytica'!$AY$51,0)),"")</f>
        <v>1E-3</v>
      </c>
      <c r="Q59" s="702">
        <f t="array" ref="Q59">IFERROR(INDEX(Analytica!$F$59:$AY$138,MATCH($B59,Analytica!$B$59:$B$168,0),MATCH(Q$15&amp;Q$10,Analytica!$F$58:$AY$58&amp;Analytica!$F$51:'Analytica'!$AY$51,0)),"")</f>
        <v>1E-3</v>
      </c>
      <c r="R59" s="702">
        <f t="array" ref="R59">IFERROR(INDEX(Analytica!$F$59:$AY$138,MATCH($B59,Analytica!$B$59:$B$168,0),MATCH(R$15&amp;R$10,Analytica!$F$58:$AY$58&amp;Analytica!$F$51:'Analytica'!$AY$51,0)),"")</f>
        <v>1E-3</v>
      </c>
      <c r="S59" s="702">
        <f t="array" ref="S59">IFERROR(INDEX(Analytica!$F$59:$AY$138,MATCH($B59,Analytica!$B$59:$B$168,0),MATCH(S$15&amp;S$10,Analytica!$F$58:$AY$58&amp;Analytica!$F$51:'Analytica'!$AY$51,0)),"")</f>
        <v>1E-3</v>
      </c>
      <c r="T59" s="702">
        <f t="array" ref="T59">IFERROR(INDEX(Analytica!$F$59:$AY$138,MATCH($B59,Analytica!$B$59:$B$168,0),MATCH(T$15&amp;T$10,Analytica!$F$58:$AY$58&amp;Analytica!$F$51:'Analytica'!$AY$51,0)),"")</f>
        <v>1E-3</v>
      </c>
      <c r="U59" s="702">
        <f t="array" ref="U59">IFERROR(INDEX(Analytica!$F$59:$AY$138,MATCH($B59,Analytica!$B$59:$B$168,0),MATCH(U$15&amp;U$10,Analytica!$F$58:$AY$58&amp;Analytica!$F$51:'Analytica'!$AY$51,0)),"")</f>
        <v>1E-3</v>
      </c>
      <c r="V59" s="702">
        <f t="array" ref="V59">IFERROR(INDEX(Analytica!$F$59:$AY$138,MATCH($B59,Analytica!$B$59:$B$168,0),MATCH(V$15&amp;V$10,Analytica!$F$58:$AY$58&amp;Analytica!$F$51:'Analytica'!$AY$51,0)),"")</f>
        <v>2.0250000000000001E-5</v>
      </c>
      <c r="W59" s="702">
        <f t="array" ref="W59">IFERROR(INDEX(Analytica!$F$59:$AY$138,MATCH($B59,Analytica!$B$59:$B$168,0),MATCH(W$15&amp;W$10,Analytica!$F$58:$AY$58&amp;Analytica!$F$51:'Analytica'!$AY$51,0)),"")</f>
        <v>2.0250000000000001E-5</v>
      </c>
      <c r="X59" s="702">
        <f t="array" ref="X59">IFERROR(INDEX(Analytica!$F$59:$AY$138,MATCH($B59,Analytica!$B$59:$B$168,0),MATCH(X$15&amp;X$10,Analytica!$F$58:$AY$58&amp;Analytica!$F$51:'Analytica'!$AY$51,0)),"")</f>
        <v>2.0250000000000001E-5</v>
      </c>
      <c r="Y59" s="702">
        <f t="array" ref="Y59">IFERROR(INDEX(Analytica!$F$59:$AY$138,MATCH($B59,Analytica!$B$59:$B$168,0),MATCH(Y$15&amp;Y$10,Analytica!$F$58:$AY$58&amp;Analytica!$F$51:'Analytica'!$AY$51,0)),"")</f>
        <v>2.0250000000000001E-5</v>
      </c>
      <c r="Z59" s="702">
        <v>50</v>
      </c>
      <c r="AA59" s="694">
        <f t="shared" si="69"/>
        <v>50</v>
      </c>
      <c r="AB59" s="694">
        <v>2013</v>
      </c>
      <c r="AC59" s="1">
        <f t="shared" ca="1" si="70"/>
        <v>42</v>
      </c>
      <c r="AE59" s="1" t="str">
        <f t="shared" si="71"/>
        <v>S_TPPUMER</v>
      </c>
      <c r="AF59" s="1" t="str">
        <f>IF(B59="","","S_"&amp;LEFT(B59,LEN(B59)-2))</f>
        <v>S_TPPUMERELC</v>
      </c>
      <c r="AG59" s="1"/>
      <c r="AI59" s="194">
        <v>0</v>
      </c>
      <c r="AJ59" s="699">
        <f>SUMIF(Analytica!$B$59:$B$137,B59,Analytica!$BA$59:$BA$192)</f>
        <v>0</v>
      </c>
      <c r="AK59" s="697" t="e">
        <f>IF($AP$10,BK59,#REF!)</f>
        <v>#REF!</v>
      </c>
      <c r="AL59" s="697" t="e">
        <f>IF($AP$10,BL59,AY59)</f>
        <v>#REF!</v>
      </c>
      <c r="AM59" s="697" t="e">
        <f>IF($AP$10,BM59,AZ59)</f>
        <v>#REF!</v>
      </c>
      <c r="AN59" s="697">
        <f>IF($AP$10,BN59,BA59)</f>
        <v>1</v>
      </c>
      <c r="AO59" s="697">
        <f>IF($AP$10,BO59,BB59)</f>
        <v>1</v>
      </c>
      <c r="AP59" s="194">
        <v>1</v>
      </c>
      <c r="AQ59" s="650">
        <f>AJ59</f>
        <v>0</v>
      </c>
      <c r="AR59" s="697" t="e">
        <f>IF($AP$10,BR59,#REF!)</f>
        <v>#REF!</v>
      </c>
      <c r="AS59" s="697" t="e">
        <f>IF($AP$10,BS59,BE59)</f>
        <v>#REF!</v>
      </c>
      <c r="AT59" s="697">
        <f>IF($AP$10,BT59,BF59)</f>
        <v>0</v>
      </c>
      <c r="AU59" s="697">
        <f>IF($AP$10,BU59,BG59)</f>
        <v>0</v>
      </c>
      <c r="AV59" s="697">
        <f>IF($AP$10,BV59,BH59)</f>
        <v>0</v>
      </c>
      <c r="AX59" s="698">
        <f>$AJ59</f>
        <v>0</v>
      </c>
      <c r="AY59" s="697" t="e">
        <f>IF(#REF!&lt;&gt;"",(AY$11-#REF!)/(BA$11-#REF!)*(BA59-#REF!)+#REF!,"")</f>
        <v>#REF!</v>
      </c>
      <c r="AZ59" s="697" t="e">
        <f t="shared" si="72"/>
        <v>#REF!</v>
      </c>
      <c r="BA59" s="697">
        <f t="shared" si="77"/>
        <v>1</v>
      </c>
      <c r="BB59" s="697">
        <f t="shared" si="77"/>
        <v>1</v>
      </c>
      <c r="BC59" s="711"/>
      <c r="BD59" s="697">
        <f t="shared" si="73"/>
        <v>0</v>
      </c>
      <c r="BE59" s="697" t="e">
        <f>IF(#REF!&lt;&gt;"",(BE$11-#REF!)/(BG$11-#REF!)*(BG59-#REF!)+#REF!,"")</f>
        <v>#REF!</v>
      </c>
      <c r="BF59" s="697">
        <f t="shared" si="78"/>
        <v>0</v>
      </c>
      <c r="BG59" s="697">
        <f t="shared" si="78"/>
        <v>0</v>
      </c>
      <c r="BH59" s="697">
        <f t="shared" si="78"/>
        <v>0</v>
      </c>
      <c r="BI59" s="692"/>
      <c r="BJ59" s="693">
        <f>$AJ59</f>
        <v>0</v>
      </c>
      <c r="BK59" s="697">
        <f>MIN(1,$AJ59+BK$12)</f>
        <v>0.02</v>
      </c>
      <c r="BL59" s="697" t="e">
        <f t="shared" si="79"/>
        <v>#REF!</v>
      </c>
      <c r="BM59" s="697" t="e">
        <f>BL59+(BM$11-BL$11)/(BN$11-BL$11)*(BN59-BL59)</f>
        <v>#REF!</v>
      </c>
      <c r="BN59" s="697">
        <f>MIN(1,$AJ59+BN$12)</f>
        <v>0.25</v>
      </c>
      <c r="BO59" s="697">
        <f>MIN(1,$AJ59+BO$12)</f>
        <v>0.5</v>
      </c>
      <c r="BP59" s="194"/>
      <c r="BQ59" s="650">
        <f>AJ59</f>
        <v>0</v>
      </c>
      <c r="BR59" s="697">
        <f>$AQ59*BR$12</f>
        <v>0</v>
      </c>
      <c r="BS59" s="697" t="e">
        <f t="shared" si="74"/>
        <v>#REF!</v>
      </c>
      <c r="BT59" s="697" t="e">
        <f>BS59+(BT$11-BS$11)/(BU$11-BS$11)*(BU59-BS59)</f>
        <v>#REF!</v>
      </c>
      <c r="BU59" s="697">
        <f>$AQ59*BU$12</f>
        <v>0</v>
      </c>
      <c r="BV59" s="697">
        <f>$AQ59*BV$12</f>
        <v>0</v>
      </c>
      <c r="BW59" s="692"/>
      <c r="CI59" s="1">
        <f>SUMIF($CI$10:$CI$11,RIGHT(C59,3),$CJ$10:$CJ$11)</f>
        <v>0</v>
      </c>
      <c r="CJ59" s="1">
        <v>10</v>
      </c>
      <c r="CK59" s="625" t="e">
        <f>CJ59/CI59</f>
        <v>#DIV/0!</v>
      </c>
      <c r="CL59" s="625" t="e">
        <f>#REF!</f>
        <v>#REF!</v>
      </c>
      <c r="CM59" s="625" t="e">
        <f>CK59/#REF!</f>
        <v>#DIV/0!</v>
      </c>
      <c r="CN59" s="2" t="e">
        <f>#REF!*1000</f>
        <v>#REF!</v>
      </c>
      <c r="CO59" s="2">
        <f>O59*1000000</f>
        <v>1000000</v>
      </c>
      <c r="CP59" s="9" t="e">
        <f>-PMT($CL$14,Z59,CN59)/CO59</f>
        <v>#REF!</v>
      </c>
      <c r="CQ59" s="9" t="e">
        <f>CP59+CM59</f>
        <v>#REF!</v>
      </c>
    </row>
    <row r="60" spans="1:95" x14ac:dyDescent="0.2">
      <c r="A60" s="191" t="s">
        <v>1124</v>
      </c>
      <c r="B60" s="191"/>
      <c r="C60" s="612"/>
      <c r="D60" s="612"/>
      <c r="E60" s="702" t="str">
        <f t="array" ref="E60">IFERROR(INDEX(Analytica!$F$59:$AY$138,MATCH($B60,Analytica!$B$59:$B$168,0),MATCH(E$15&amp;E$10,Analytica!$F$58:$AY$58&amp;Analytica!$F$51:'Analytica'!$AY$51,0)),"")</f>
        <v/>
      </c>
      <c r="F60" s="702" t="str">
        <f t="array" ref="F60">IFERROR(INDEX(Analytica!$F$59:$AY$138,MATCH($B60,Analytica!$B$59:$B$168,0),MATCH(F$15&amp;F$10,Analytica!$F$58:$AY$58&amp;Analytica!$F$51:'Analytica'!$AY$51,0)),"")</f>
        <v/>
      </c>
      <c r="G60" s="702" t="str">
        <f t="array" ref="G60">IFERROR(INDEX(Analytica!$F$59:$AY$138,MATCH($B60,Analytica!$B$59:$B$168,0),MATCH(G$15&amp;G$10,Analytica!$F$58:$AY$58&amp;Analytica!$F$51:'Analytica'!$AY$51,0)),"")</f>
        <v/>
      </c>
      <c r="H60" s="702" t="str">
        <f t="array" ref="H60">IFERROR(INDEX(Analytica!$F$59:$AY$138,MATCH($B60,Analytica!$B$59:$B$168,0),MATCH(H$15&amp;H$10,Analytica!$F$58:$AY$58&amp;Analytica!$F$51:'Analytica'!$AY$51,0)),"")</f>
        <v/>
      </c>
      <c r="I60" s="701"/>
      <c r="J60" s="701"/>
      <c r="K60" s="701"/>
      <c r="L60" s="701"/>
      <c r="M60" s="701"/>
      <c r="N60" s="696" t="str">
        <f>IF(B60="","",MAX(N$18:N59)+1)</f>
        <v/>
      </c>
      <c r="O60" s="702" t="str">
        <f t="array" ref="O60">IFERROR(INDEX(Analytica!$F$59:$AY$138,MATCH($B60,Analytica!$B$59:$B$168,0),MATCH(O$15&amp;O$10,Analytica!$F$58:$AY$58&amp;Analytica!$F$51:'Analytica'!$AY$51,0)),"")</f>
        <v/>
      </c>
      <c r="P60" s="702" t="str">
        <f t="array" ref="P60">IFERROR(INDEX(Analytica!$F$59:$AY$138,MATCH($B60,Analytica!$B$59:$B$168,0),MATCH(P$15&amp;P$10,Analytica!$F$58:$AY$58&amp;Analytica!$F$51:'Analytica'!$AY$51,0)),"")</f>
        <v/>
      </c>
      <c r="Q60" s="702" t="str">
        <f t="array" ref="Q60">IFERROR(INDEX(Analytica!$F$59:$AY$138,MATCH($B60,Analytica!$B$59:$B$168,0),MATCH(Q$15&amp;Q$10,Analytica!$F$58:$AY$58&amp;Analytica!$F$51:'Analytica'!$AY$51,0)),"")</f>
        <v/>
      </c>
      <c r="R60" s="702" t="str">
        <f t="array" ref="R60">IFERROR(INDEX(Analytica!$F$59:$AY$138,MATCH($B60,Analytica!$B$59:$B$168,0),MATCH(R$15&amp;R$10,Analytica!$F$58:$AY$58&amp;Analytica!$F$51:'Analytica'!$AY$51,0)),"")</f>
        <v/>
      </c>
      <c r="S60" s="702" t="str">
        <f t="array" ref="S60">IFERROR(INDEX(Analytica!$F$59:$AY$138,MATCH($B60,Analytica!$B$59:$B$168,0),MATCH(S$15&amp;S$10,Analytica!$F$58:$AY$58&amp;Analytica!$F$51:'Analytica'!$AY$51,0)),"")</f>
        <v/>
      </c>
      <c r="T60" s="702" t="str">
        <f t="array" ref="T60">IFERROR(INDEX(Analytica!$F$59:$AY$138,MATCH($B60,Analytica!$B$59:$B$168,0),MATCH(T$15&amp;T$10,Analytica!$F$58:$AY$58&amp;Analytica!$F$51:'Analytica'!$AY$51,0)),"")</f>
        <v/>
      </c>
      <c r="U60" s="702" t="str">
        <f t="array" ref="U60">IFERROR(INDEX(Analytica!$F$59:$AY$138,MATCH($B60,Analytica!$B$59:$B$168,0),MATCH(U$15&amp;U$10,Analytica!$F$58:$AY$58&amp;Analytica!$F$51:'Analytica'!$AY$51,0)),"")</f>
        <v/>
      </c>
      <c r="V60" s="702" t="str">
        <f t="array" ref="V60">IFERROR(INDEX(Analytica!$F$59:$AY$138,MATCH($B60,Analytica!$B$59:$B$168,0),MATCH(V$15&amp;V$10,Analytica!$F$58:$AY$58&amp;Analytica!$F$51:'Analytica'!$AY$51,0)),"")</f>
        <v/>
      </c>
      <c r="W60" s="702" t="str">
        <f t="array" ref="W60">IFERROR(INDEX(Analytica!$F$59:$AY$138,MATCH($B60,Analytica!$B$59:$B$168,0),MATCH(W$15&amp;W$10,Analytica!$F$58:$AY$58&amp;Analytica!$F$51:'Analytica'!$AY$51,0)),"")</f>
        <v/>
      </c>
      <c r="X60" s="702" t="str">
        <f t="array" ref="X60">IFERROR(INDEX(Analytica!$F$59:$AY$138,MATCH($B60,Analytica!$B$59:$B$168,0),MATCH(X$15&amp;X$10,Analytica!$F$58:$AY$58&amp;Analytica!$F$51:'Analytica'!$AY$51,0)),"")</f>
        <v/>
      </c>
      <c r="Y60" s="702" t="str">
        <f t="array" ref="Y60">IFERROR(INDEX(Analytica!$F$59:$AY$138,MATCH($B60,Analytica!$B$59:$B$168,0),MATCH(Y$15&amp;Y$10,Analytica!$F$58:$AY$58&amp;Analytica!$F$51:'Analytica'!$AY$51,0)),"")</f>
        <v/>
      </c>
      <c r="Z60" s="702" t="str">
        <f t="array" ref="Z60">IFERROR(INDEX(Analytica!$F$59:$AY$138,MATCH($B60,Analytica!$B$59:$B$168,0),MATCH(Z$15&amp;Z$10,Analytica!$F$58:$AY$58&amp;Analytica!$F$51:'Analytica'!$AY$51,0)),"")</f>
        <v/>
      </c>
      <c r="AA60" s="694" t="str">
        <f t="shared" si="69"/>
        <v/>
      </c>
      <c r="AB60" s="694">
        <f>IF(AD60,base.year+$AB$12,base.year+$AB$10)</f>
        <v>2018</v>
      </c>
      <c r="AC60" s="1">
        <f t="shared" ca="1" si="70"/>
        <v>43</v>
      </c>
      <c r="AE60" s="1" t="str">
        <f t="shared" si="71"/>
        <v>S_</v>
      </c>
      <c r="AF60" s="1" t="str">
        <f>AE59</f>
        <v>S_TPPUMER</v>
      </c>
      <c r="AG60" s="1"/>
      <c r="AI60" s="194">
        <v>0</v>
      </c>
      <c r="AJ60" s="699"/>
      <c r="AM60" s="1"/>
      <c r="AP60" s="194">
        <v>1</v>
      </c>
      <c r="AT60" s="1"/>
      <c r="AX60" s="698"/>
      <c r="AY60" s="697" t="e">
        <f>IF(#REF!&lt;&gt;"",(AY$11-#REF!)/(BA$11-#REF!)*(BA60-#REF!)+#REF!,"")</f>
        <v>#REF!</v>
      </c>
      <c r="AZ60" s="697" t="e">
        <f t="shared" si="72"/>
        <v>#REF!</v>
      </c>
      <c r="BA60" s="697">
        <f t="shared" si="77"/>
        <v>1</v>
      </c>
      <c r="BB60" s="697">
        <f t="shared" si="77"/>
        <v>1</v>
      </c>
      <c r="BC60" s="711"/>
      <c r="BD60" s="697">
        <f t="shared" si="73"/>
        <v>0</v>
      </c>
      <c r="BE60" s="697" t="e">
        <f>IF(#REF!&lt;&gt;"",(BE$11-#REF!)/(BG$11-#REF!)*(BG60-#REF!)+#REF!,"")</f>
        <v>#REF!</v>
      </c>
      <c r="BF60" s="697">
        <f t="shared" si="78"/>
        <v>0</v>
      </c>
      <c r="BG60" s="697">
        <f t="shared" si="78"/>
        <v>0</v>
      </c>
      <c r="BH60" s="697">
        <f t="shared" si="78"/>
        <v>0</v>
      </c>
      <c r="BI60" s="692"/>
      <c r="BJ60" s="693"/>
      <c r="BL60" s="1" t="str">
        <f t="shared" si="79"/>
        <v/>
      </c>
      <c r="BP60" s="194"/>
      <c r="BS60" s="1" t="str">
        <f t="shared" si="74"/>
        <v/>
      </c>
      <c r="BT60" s="1"/>
      <c r="BW60" s="692"/>
      <c r="CK60" s="625"/>
      <c r="CL60" s="625"/>
      <c r="CM60" s="625"/>
      <c r="CN60" s="2"/>
      <c r="CO60" s="2"/>
      <c r="CP60" s="9"/>
      <c r="CQ60" s="9"/>
    </row>
    <row r="61" spans="1:95" x14ac:dyDescent="0.2">
      <c r="A61" s="191" t="str">
        <f>ITEMS_nTech!C52</f>
        <v>Transport Passenger Gautrain Electricity-N</v>
      </c>
      <c r="B61" s="191" t="str">
        <f>D61&amp;RIGHT(C61,3)&amp;"-N"</f>
        <v>TPPUGATELC-N</v>
      </c>
      <c r="C61" s="612" t="str">
        <f>$E$6</f>
        <v>TRAELC</v>
      </c>
      <c r="D61" s="612" t="str">
        <f>TRP!B28</f>
        <v>TPPUGAT</v>
      </c>
      <c r="E61" s="702">
        <f t="array" ref="E61">IFERROR(INDEX(Analytica!$F$59:$AY$138,MATCH($B61,Analytica!$B$59:$B$168,0),MATCH(E$15&amp;E$10,Analytica!$F$58:$AY$58&amp;Analytica!$F$51:'Analytica'!$AY$51,0)),"")</f>
        <v>7.0026980278615358</v>
      </c>
      <c r="F61" s="702">
        <f t="array" ref="F61">IFERROR(INDEX(Analytica!$F$59:$AY$138,MATCH($B61,Analytica!$B$59:$B$168,0),MATCH(F$15&amp;F$10,Analytica!$F$58:$AY$58&amp;Analytica!$F$51:'Analytica'!$AY$51,0)),"")</f>
        <v>7.0026980278615358</v>
      </c>
      <c r="G61" s="702">
        <f t="array" ref="G61">IFERROR(INDEX(Analytica!$F$59:$AY$138,MATCH($B61,Analytica!$B$59:$B$168,0),MATCH(G$15&amp;G$10,Analytica!$F$58:$AY$58&amp;Analytica!$F$51:'Analytica'!$AY$51,0)),"")</f>
        <v>7.0026980278615358</v>
      </c>
      <c r="H61" s="702">
        <f t="array" ref="H61">IFERROR(INDEX(Analytica!$F$59:$AY$138,MATCH($B61,Analytica!$B$59:$B$168,0),MATCH(H$15&amp;H$10,Analytica!$F$58:$AY$58&amp;Analytica!$F$51:'Analytica'!$AY$51,0)),"")</f>
        <v>7.0026980278615358</v>
      </c>
      <c r="I61" s="701">
        <v>1</v>
      </c>
      <c r="J61" s="701">
        <v>1</v>
      </c>
      <c r="K61" s="701">
        <v>1</v>
      </c>
      <c r="L61" s="701">
        <v>1</v>
      </c>
      <c r="M61" s="701">
        <v>1</v>
      </c>
      <c r="N61" s="696">
        <f>IF(B61="","",MAX(N$18:N60)+1)</f>
        <v>37</v>
      </c>
      <c r="O61" s="702">
        <f t="array" ref="O61">IFERROR(INDEX(Analytica!$F$59:$AY$138,MATCH($B61,Analytica!$B$59:$B$168,0),MATCH(O$15&amp;O$10,Analytica!$F$58:$AY$58&amp;Analytica!$F$51:'Analytica'!$AY$51,0)),"")</f>
        <v>1</v>
      </c>
      <c r="P61" s="702">
        <f t="array" ref="P61">IFERROR(INDEX(Analytica!$F$59:$AY$138,MATCH($B61,Analytica!$B$59:$B$168,0),MATCH(P$15&amp;P$10,Analytica!$F$58:$AY$58&amp;Analytica!$F$51:'Analytica'!$AY$51,0)),"")</f>
        <v>1E-3</v>
      </c>
      <c r="Q61" s="702">
        <f t="array" ref="Q61">IFERROR(INDEX(Analytica!$F$59:$AY$138,MATCH($B61,Analytica!$B$59:$B$168,0),MATCH(Q$15&amp;Q$10,Analytica!$F$58:$AY$58&amp;Analytica!$F$51:'Analytica'!$AY$51,0)),"")</f>
        <v>1E-3</v>
      </c>
      <c r="R61" s="702">
        <f t="array" ref="R61">IFERROR(INDEX(Analytica!$F$59:$AY$138,MATCH($B61,Analytica!$B$59:$B$168,0),MATCH(R$15&amp;R$10,Analytica!$F$58:$AY$58&amp;Analytica!$F$51:'Analytica'!$AY$51,0)),"")</f>
        <v>1E-3</v>
      </c>
      <c r="S61" s="702">
        <f t="array" ref="S61">IFERROR(INDEX(Analytica!$F$59:$AY$138,MATCH($B61,Analytica!$B$59:$B$168,0),MATCH(S$15&amp;S$10,Analytica!$F$58:$AY$58&amp;Analytica!$F$51:'Analytica'!$AY$51,0)),"")</f>
        <v>1E-3</v>
      </c>
      <c r="T61" s="702">
        <f t="array" ref="T61">IFERROR(INDEX(Analytica!$F$59:$AY$138,MATCH($B61,Analytica!$B$59:$B$168,0),MATCH(T$15&amp;T$10,Analytica!$F$58:$AY$58&amp;Analytica!$F$51:'Analytica'!$AY$51,0)),"")</f>
        <v>1E-3</v>
      </c>
      <c r="U61" s="702">
        <f t="array" ref="U61">IFERROR(INDEX(Analytica!$F$59:$AY$138,MATCH($B61,Analytica!$B$59:$B$168,0),MATCH(U$15&amp;U$10,Analytica!$F$58:$AY$58&amp;Analytica!$F$51:'Analytica'!$AY$51,0)),"")</f>
        <v>1E-3</v>
      </c>
      <c r="V61" s="702">
        <f t="array" ref="V61">IFERROR(INDEX(Analytica!$F$59:$AY$138,MATCH($B61,Analytica!$B$59:$B$168,0),MATCH(V$15&amp;V$10,Analytica!$F$58:$AY$58&amp;Analytica!$F$51:'Analytica'!$AY$51,0)),"")</f>
        <v>2.0250000000000001E-5</v>
      </c>
      <c r="W61" s="702">
        <f t="array" ref="W61">IFERROR(INDEX(Analytica!$F$59:$AY$138,MATCH($B61,Analytica!$B$59:$B$168,0),MATCH(W$15&amp;W$10,Analytica!$F$58:$AY$58&amp;Analytica!$F$51:'Analytica'!$AY$51,0)),"")</f>
        <v>2.0250000000000001E-5</v>
      </c>
      <c r="X61" s="702">
        <f t="array" ref="X61">IFERROR(INDEX(Analytica!$F$59:$AY$138,MATCH($B61,Analytica!$B$59:$B$168,0),MATCH(X$15&amp;X$10,Analytica!$F$58:$AY$58&amp;Analytica!$F$51:'Analytica'!$AY$51,0)),"")</f>
        <v>2.0250000000000001E-5</v>
      </c>
      <c r="Y61" s="702">
        <f t="array" ref="Y61">IFERROR(INDEX(Analytica!$F$59:$AY$138,MATCH($B61,Analytica!$B$59:$B$168,0),MATCH(Y$15&amp;Y$10,Analytica!$F$58:$AY$58&amp;Analytica!$F$51:'Analytica'!$AY$51,0)),"")</f>
        <v>2.0250000000000001E-5</v>
      </c>
      <c r="Z61" s="702">
        <v>50</v>
      </c>
      <c r="AA61" s="694">
        <f t="shared" si="69"/>
        <v>50</v>
      </c>
      <c r="AB61" s="694">
        <v>2013</v>
      </c>
      <c r="AC61" s="1">
        <f t="shared" ca="1" si="70"/>
        <v>44</v>
      </c>
      <c r="AE61" s="1" t="str">
        <f t="shared" si="71"/>
        <v>S_TPPUGAT</v>
      </c>
      <c r="AF61" s="1" t="str">
        <f>IF(B61="","","S_"&amp;LEFT(B61,LEN(B61)-2))</f>
        <v>S_TPPUGATELC</v>
      </c>
      <c r="AG61" s="1"/>
      <c r="AI61" s="194">
        <v>0</v>
      </c>
      <c r="AJ61" s="699">
        <f>SUMIF(Analytica!$B$59:$B$137,B61,Analytica!$BA$59:$BA$192)</f>
        <v>0</v>
      </c>
      <c r="AK61" s="697" t="e">
        <f>IF($AP$10,BK61,#REF!)</f>
        <v>#REF!</v>
      </c>
      <c r="AL61" s="697" t="e">
        <f>IF($AP$10,BL61,AY61)</f>
        <v>#REF!</v>
      </c>
      <c r="AM61" s="697" t="e">
        <f>IF($AP$10,BM61,AZ61)</f>
        <v>#REF!</v>
      </c>
      <c r="AN61" s="697">
        <f>IF($AP$10,BN61,BA61)</f>
        <v>1</v>
      </c>
      <c r="AO61" s="697">
        <f>IF($AP$10,BO61,BB61)</f>
        <v>1</v>
      </c>
      <c r="AP61" s="194">
        <v>1</v>
      </c>
      <c r="AQ61" s="650">
        <f>AJ61</f>
        <v>0</v>
      </c>
      <c r="AR61" s="697" t="e">
        <f>IF($AP$10,BR61,#REF!)</f>
        <v>#REF!</v>
      </c>
      <c r="AS61" s="697" t="e">
        <f>IF($AP$10,BS61,BE61)</f>
        <v>#REF!</v>
      </c>
      <c r="AT61" s="697">
        <f>IF($AP$10,BT61,BF61)</f>
        <v>0</v>
      </c>
      <c r="AU61" s="697">
        <f>IF($AP$10,BU61,BG61)</f>
        <v>0</v>
      </c>
      <c r="AV61" s="697">
        <f>IF($AP$10,BV61,BH61)</f>
        <v>0</v>
      </c>
      <c r="AX61" s="698">
        <f>$AJ61</f>
        <v>0</v>
      </c>
      <c r="AY61" s="697" t="e">
        <f>IF(#REF!&lt;&gt;"",(AY$11-#REF!)/(BA$11-#REF!)*(BA61-#REF!)+#REF!,"")</f>
        <v>#REF!</v>
      </c>
      <c r="AZ61" s="697" t="e">
        <f t="shared" si="72"/>
        <v>#REF!</v>
      </c>
      <c r="BA61" s="697">
        <f t="shared" si="77"/>
        <v>1</v>
      </c>
      <c r="BB61" s="697">
        <f t="shared" si="77"/>
        <v>1</v>
      </c>
      <c r="BC61" s="711"/>
      <c r="BD61" s="697">
        <f t="shared" si="73"/>
        <v>0</v>
      </c>
      <c r="BE61" s="697" t="e">
        <f>IF(#REF!&lt;&gt;"",(BE$11-#REF!)/(BG$11-#REF!)*(BG61-#REF!)+#REF!,"")</f>
        <v>#REF!</v>
      </c>
      <c r="BF61" s="697">
        <f t="shared" si="78"/>
        <v>0</v>
      </c>
      <c r="BG61" s="697">
        <f t="shared" si="78"/>
        <v>0</v>
      </c>
      <c r="BH61" s="697">
        <f t="shared" si="78"/>
        <v>0</v>
      </c>
      <c r="BI61" s="692"/>
      <c r="BJ61" s="693">
        <f>$AJ61</f>
        <v>0</v>
      </c>
      <c r="BK61" s="697">
        <f>MIN(1,$AJ61+BK$12)</f>
        <v>0.02</v>
      </c>
      <c r="BL61" s="697" t="e">
        <f t="shared" si="79"/>
        <v>#REF!</v>
      </c>
      <c r="BM61" s="697" t="e">
        <f>BL61+(BM$11-BL$11)/(BN$11-BL$11)*(BN61-BL61)</f>
        <v>#REF!</v>
      </c>
      <c r="BN61" s="697">
        <f>MIN(1,$AJ61+BN$12)</f>
        <v>0.25</v>
      </c>
      <c r="BO61" s="697">
        <f>MIN(1,$AJ61+BO$12)</f>
        <v>0.5</v>
      </c>
      <c r="BP61" s="194"/>
      <c r="BQ61" s="650">
        <f>AJ61</f>
        <v>0</v>
      </c>
      <c r="BR61" s="697">
        <f>$AQ61*BR$12</f>
        <v>0</v>
      </c>
      <c r="BS61" s="697" t="e">
        <f t="shared" si="74"/>
        <v>#REF!</v>
      </c>
      <c r="BT61" s="697" t="e">
        <f>BS61+(BT$11-BS$11)/(BU$11-BS$11)*(BU61-BS61)</f>
        <v>#REF!</v>
      </c>
      <c r="BU61" s="697">
        <f>$AQ61*BU$12</f>
        <v>0</v>
      </c>
      <c r="BV61" s="697">
        <f>$AQ61*BV$12</f>
        <v>0</v>
      </c>
      <c r="BW61" s="692"/>
      <c r="CI61" s="1">
        <f>SUMIF($CI$10:$CI$11,RIGHT(C61,3),$CJ$10:$CJ$11)</f>
        <v>0</v>
      </c>
      <c r="CJ61" s="1">
        <v>10</v>
      </c>
      <c r="CK61" s="625" t="e">
        <f>CJ61/CI61</f>
        <v>#DIV/0!</v>
      </c>
      <c r="CL61" s="625" t="e">
        <f>#REF!</f>
        <v>#REF!</v>
      </c>
      <c r="CM61" s="625" t="e">
        <f>CK61/#REF!</f>
        <v>#DIV/0!</v>
      </c>
      <c r="CN61" s="2" t="e">
        <f>#REF!*1000</f>
        <v>#REF!</v>
      </c>
      <c r="CO61" s="2">
        <f>O61*1000000</f>
        <v>1000000</v>
      </c>
      <c r="CP61" s="9" t="e">
        <f>-PMT($CL$14,Z61,CN61)/CO61</f>
        <v>#REF!</v>
      </c>
      <c r="CQ61" s="9" t="e">
        <f>CP61+CM61</f>
        <v>#REF!</v>
      </c>
    </row>
    <row r="62" spans="1:95" x14ac:dyDescent="0.2">
      <c r="A62" s="191" t="s">
        <v>1124</v>
      </c>
      <c r="B62" s="191"/>
      <c r="C62" s="612"/>
      <c r="D62" s="612"/>
      <c r="E62" s="702" t="str">
        <f t="array" ref="E62">IFERROR(INDEX(Analytica!$F$59:$AY$138,MATCH($B62,Analytica!$B$59:$B$168,0),MATCH(E$15&amp;E$10,Analytica!$F$58:$AY$58&amp;Analytica!$F$51:'Analytica'!$AY$51,0)),"")</f>
        <v/>
      </c>
      <c r="F62" s="702" t="str">
        <f t="array" ref="F62">IFERROR(INDEX(Analytica!$F$59:$AY$138,MATCH($B62,Analytica!$B$59:$B$168,0),MATCH(F$15&amp;F$10,Analytica!$F$58:$AY$58&amp;Analytica!$F$51:'Analytica'!$AY$51,0)),"")</f>
        <v/>
      </c>
      <c r="G62" s="702" t="str">
        <f t="array" ref="G62">IFERROR(INDEX(Analytica!$F$59:$AY$138,MATCH($B62,Analytica!$B$59:$B$168,0),MATCH(G$15&amp;G$10,Analytica!$F$58:$AY$58&amp;Analytica!$F$51:'Analytica'!$AY$51,0)),"")</f>
        <v/>
      </c>
      <c r="H62" s="702" t="str">
        <f t="array" ref="H62">IFERROR(INDEX(Analytica!$F$59:$AY$138,MATCH($B62,Analytica!$B$59:$B$168,0),MATCH(H$15&amp;H$10,Analytica!$F$58:$AY$58&amp;Analytica!$F$51:'Analytica'!$AY$51,0)),"")</f>
        <v/>
      </c>
      <c r="I62" s="701"/>
      <c r="J62" s="701"/>
      <c r="K62" s="701"/>
      <c r="L62" s="701"/>
      <c r="M62" s="701"/>
      <c r="N62" s="696" t="str">
        <f>IF(B62="","",MAX(N$18:N61)+1)</f>
        <v/>
      </c>
      <c r="O62" s="702" t="str">
        <f t="array" ref="O62">IFERROR(INDEX(Analytica!$F$59:$AY$138,MATCH($B62,Analytica!$B$59:$B$168,0),MATCH(O$15&amp;O$10,Analytica!$F$58:$AY$58&amp;Analytica!$F$51:'Analytica'!$AY$51,0)),"")</f>
        <v/>
      </c>
      <c r="P62" s="620" t="str">
        <f t="array" ref="P62">IFERROR(INDEX(Analytica!$F$59:$AY$138,MATCH($B62,Analytica!$B$59:$B$168,0),MATCH(P$15&amp;P$10,Analytica!$F$58:$AY$58&amp;Analytica!$F$51:'Analytica'!$AY$51,0)),"")</f>
        <v/>
      </c>
      <c r="Q62" s="620" t="str">
        <f t="array" ref="Q62">IFERROR(INDEX(Analytica!$F$59:$AY$138,MATCH($B62,Analytica!$B$59:$B$168,0),MATCH(Q$15&amp;Q$10,Analytica!$F$58:$AY$58&amp;Analytica!$F$51:'Analytica'!$AY$51,0)),"")</f>
        <v/>
      </c>
      <c r="R62" s="620" t="str">
        <f t="array" ref="R62">IFERROR(INDEX(Analytica!$F$59:$AY$138,MATCH($B62,Analytica!$B$59:$B$168,0),MATCH(R$15&amp;R$10,Analytica!$F$58:$AY$58&amp;Analytica!$F$51:'Analytica'!$AY$51,0)),"")</f>
        <v/>
      </c>
      <c r="S62" s="620" t="str">
        <f t="array" ref="S62">IFERROR(INDEX(Analytica!$F$59:$AY$138,MATCH($B62,Analytica!$B$59:$B$168,0),MATCH(S$15&amp;S$10,Analytica!$F$58:$AY$58&amp;Analytica!$F$51:'Analytica'!$AY$51,0)),"")</f>
        <v/>
      </c>
      <c r="T62" s="620" t="str">
        <f t="array" ref="T62">IFERROR(INDEX(Analytica!$F$59:$AY$138,MATCH($B62,Analytica!$B$59:$B$168,0),MATCH(T$15&amp;T$10,Analytica!$F$58:$AY$58&amp;Analytica!$F$51:'Analytica'!$AY$51,0)),"")</f>
        <v/>
      </c>
      <c r="U62" s="620" t="str">
        <f t="array" ref="U62">IFERROR(INDEX(Analytica!$F$59:$AY$138,MATCH($B62,Analytica!$B$59:$B$168,0),MATCH(U$15&amp;U$10,Analytica!$F$58:$AY$58&amp;Analytica!$F$51:'Analytica'!$AY$51,0)),"")</f>
        <v/>
      </c>
      <c r="V62" s="620" t="str">
        <f t="array" ref="V62">IFERROR(INDEX(Analytica!$F$59:$AY$138,MATCH($B62,Analytica!$B$59:$B$168,0),MATCH(V$15&amp;V$10,Analytica!$F$58:$AY$58&amp;Analytica!$F$51:'Analytica'!$AY$51,0)),"")</f>
        <v/>
      </c>
      <c r="W62" s="620" t="str">
        <f t="array" ref="W62">IFERROR(INDEX(Analytica!$F$59:$AY$138,MATCH($B62,Analytica!$B$59:$B$168,0),MATCH(W$15&amp;W$10,Analytica!$F$58:$AY$58&amp;Analytica!$F$51:'Analytica'!$AY$51,0)),"")</f>
        <v/>
      </c>
      <c r="X62" s="620" t="str">
        <f t="array" ref="X62">IFERROR(INDEX(Analytica!$F$59:$AY$138,MATCH($B62,Analytica!$B$59:$B$168,0),MATCH(X$15&amp;X$10,Analytica!$F$58:$AY$58&amp;Analytica!$F$51:'Analytica'!$AY$51,0)),"")</f>
        <v/>
      </c>
      <c r="Y62" s="620" t="str">
        <f t="array" ref="Y62">IFERROR(INDEX(Analytica!$F$59:$AY$138,MATCH($B62,Analytica!$B$59:$B$168,0),MATCH(Y$15&amp;Y$10,Analytica!$F$58:$AY$58&amp;Analytica!$F$51:'Analytica'!$AY$51,0)),"")</f>
        <v/>
      </c>
      <c r="Z62" s="694"/>
      <c r="AA62" s="694">
        <f t="shared" si="69"/>
        <v>0</v>
      </c>
      <c r="AB62" s="694">
        <f t="shared" ref="AB62:AB107" si="80">IF(AD62,base.year+$AB$12,base.year+$AB$10)</f>
        <v>2018</v>
      </c>
      <c r="AC62" s="1">
        <f t="shared" ca="1" si="70"/>
        <v>45</v>
      </c>
      <c r="AE62" s="1" t="str">
        <f t="shared" si="71"/>
        <v>S_</v>
      </c>
      <c r="AF62" s="1" t="str">
        <f>AE61</f>
        <v>S_TPPUGAT</v>
      </c>
      <c r="AG62" s="1"/>
      <c r="AI62" s="194">
        <v>0</v>
      </c>
      <c r="AJ62" s="699"/>
      <c r="AM62" s="1"/>
      <c r="AP62" s="194">
        <v>1</v>
      </c>
      <c r="AT62" s="1"/>
      <c r="AX62" s="698"/>
      <c r="AY62" s="697" t="e">
        <f>IF(#REF!&lt;&gt;"",(AY$11-#REF!)/(BA$11-#REF!)*(BA62-#REF!)+#REF!,"")</f>
        <v>#REF!</v>
      </c>
      <c r="AZ62" s="697" t="e">
        <f t="shared" si="72"/>
        <v>#REF!</v>
      </c>
      <c r="BA62" s="697">
        <f t="shared" si="77"/>
        <v>1</v>
      </c>
      <c r="BB62" s="697">
        <f t="shared" si="77"/>
        <v>1</v>
      </c>
      <c r="BC62" s="711"/>
      <c r="BD62" s="697">
        <f t="shared" si="73"/>
        <v>0</v>
      </c>
      <c r="BE62" s="697" t="e">
        <f>IF(#REF!&lt;&gt;"",(BE$11-#REF!)/(BG$11-#REF!)*(BG62-#REF!)+#REF!,"")</f>
        <v>#REF!</v>
      </c>
      <c r="BF62" s="697">
        <f t="shared" si="78"/>
        <v>0</v>
      </c>
      <c r="BG62" s="697">
        <f t="shared" si="78"/>
        <v>0</v>
      </c>
      <c r="BH62" s="697">
        <f t="shared" si="78"/>
        <v>0</v>
      </c>
      <c r="BI62" s="692"/>
      <c r="BJ62" s="693"/>
      <c r="BL62" s="1" t="str">
        <f t="shared" si="79"/>
        <v/>
      </c>
      <c r="BP62" s="194"/>
      <c r="BS62" s="1" t="str">
        <f t="shared" si="74"/>
        <v/>
      </c>
      <c r="BT62" s="1"/>
      <c r="BW62" s="692"/>
      <c r="CK62" s="625"/>
      <c r="CL62" s="625"/>
      <c r="CM62" s="625"/>
      <c r="CN62" s="2"/>
      <c r="CO62" s="2"/>
      <c r="CP62" s="9"/>
    </row>
    <row r="63" spans="1:95" x14ac:dyDescent="0.2">
      <c r="A63" s="191" t="s">
        <v>1124</v>
      </c>
      <c r="B63" s="191"/>
      <c r="C63" s="612"/>
      <c r="D63" s="612"/>
      <c r="E63" s="702">
        <f>15/13</f>
        <v>1.1538461538461537</v>
      </c>
      <c r="F63" s="702" t="str">
        <f t="array" ref="F63">IFERROR(INDEX(Analytica!$F$59:$AY$138,MATCH($B63,Analytica!$B$59:$B$168,0),MATCH(F$15&amp;F$10,Analytica!$F$58:$AY$58&amp;Analytica!$F$51:'Analytica'!$AY$51,0)),"")</f>
        <v/>
      </c>
      <c r="G63" s="702" t="str">
        <f t="array" ref="G63">IFERROR(INDEX(Analytica!$F$59:$AY$138,MATCH($B63,Analytica!$B$59:$B$168,0),MATCH(G$15&amp;G$10,Analytica!$F$58:$AY$58&amp;Analytica!$F$51:'Analytica'!$AY$51,0)),"")</f>
        <v/>
      </c>
      <c r="H63" s="702" t="str">
        <f t="array" ref="H63">IFERROR(INDEX(Analytica!$F$59:$AY$138,MATCH($B63,Analytica!$B$59:$B$168,0),MATCH(H$15&amp;H$10,Analytica!$F$58:$AY$58&amp;Analytica!$F$51:'Analytica'!$AY$51,0)),"")</f>
        <v/>
      </c>
      <c r="I63" s="701"/>
      <c r="J63" s="701"/>
      <c r="K63" s="701"/>
      <c r="L63" s="701"/>
      <c r="M63" s="701"/>
      <c r="N63" s="696" t="str">
        <f>IF(B63="","",MAX(N$18:N62)+1)</f>
        <v/>
      </c>
      <c r="O63" s="702" t="str">
        <f t="array" ref="O63">IFERROR(INDEX(Analytica!$F$59:$AY$138,MATCH($B63,Analytica!$B$59:$B$168,0),MATCH(O$15&amp;O$10,Analytica!$F$58:$AY$58&amp;Analytica!$F$51:'Analytica'!$AY$51,0)),"")</f>
        <v/>
      </c>
      <c r="P63" s="620" t="str">
        <f t="array" ref="P63">IFERROR(INDEX(Analytica!$F$59:$AY$138,MATCH($B63,Analytica!$B$59:$B$168,0),MATCH(P$15&amp;P$10,Analytica!$F$58:$AY$58&amp;Analytica!$F$51:'Analytica'!$AY$51,0)),"")</f>
        <v/>
      </c>
      <c r="Q63" s="620" t="str">
        <f t="array" ref="Q63">IFERROR(INDEX(Analytica!$F$59:$AY$138,MATCH($B63,Analytica!$B$59:$B$168,0),MATCH(Q$15&amp;Q$10,Analytica!$F$58:$AY$58&amp;Analytica!$F$51:'Analytica'!$AY$51,0)),"")</f>
        <v/>
      </c>
      <c r="R63" s="620" t="str">
        <f t="array" ref="R63">IFERROR(INDEX(Analytica!$F$59:$AY$138,MATCH($B63,Analytica!$B$59:$B$168,0),MATCH(R$15&amp;R$10,Analytica!$F$58:$AY$58&amp;Analytica!$F$51:'Analytica'!$AY$51,0)),"")</f>
        <v/>
      </c>
      <c r="S63" s="620" t="str">
        <f t="array" ref="S63">IFERROR(INDEX(Analytica!$F$59:$AY$138,MATCH($B63,Analytica!$B$59:$B$168,0),MATCH(S$15&amp;S$10,Analytica!$F$58:$AY$58&amp;Analytica!$F$51:'Analytica'!$AY$51,0)),"")</f>
        <v/>
      </c>
      <c r="T63" s="620" t="str">
        <f t="array" ref="T63">IFERROR(INDEX(Analytica!$F$59:$AY$138,MATCH($B63,Analytica!$B$59:$B$168,0),MATCH(T$15&amp;T$10,Analytica!$F$58:$AY$58&amp;Analytica!$F$51:'Analytica'!$AY$51,0)),"")</f>
        <v/>
      </c>
      <c r="U63" s="620" t="str">
        <f t="array" ref="U63">IFERROR(INDEX(Analytica!$F$59:$AY$138,MATCH($B63,Analytica!$B$59:$B$168,0),MATCH(U$15&amp;U$10,Analytica!$F$58:$AY$58&amp;Analytica!$F$51:'Analytica'!$AY$51,0)),"")</f>
        <v/>
      </c>
      <c r="V63" s="620" t="str">
        <f t="array" ref="V63">IFERROR(INDEX(Analytica!$F$59:$AY$138,MATCH($B63,Analytica!$B$59:$B$168,0),MATCH(V$15&amp;V$10,Analytica!$F$58:$AY$58&amp;Analytica!$F$51:'Analytica'!$AY$51,0)),"")</f>
        <v/>
      </c>
      <c r="W63" s="620" t="str">
        <f t="array" ref="W63">IFERROR(INDEX(Analytica!$F$59:$AY$138,MATCH($B63,Analytica!$B$59:$B$168,0),MATCH(W$15&amp;W$10,Analytica!$F$58:$AY$58&amp;Analytica!$F$51:'Analytica'!$AY$51,0)),"")</f>
        <v/>
      </c>
      <c r="X63" s="620" t="str">
        <f t="array" ref="X63">IFERROR(INDEX(Analytica!$F$59:$AY$138,MATCH($B63,Analytica!$B$59:$B$168,0),MATCH(X$15&amp;X$10,Analytica!$F$58:$AY$58&amp;Analytica!$F$51:'Analytica'!$AY$51,0)),"")</f>
        <v/>
      </c>
      <c r="Y63" s="620" t="str">
        <f t="array" ref="Y63">IFERROR(INDEX(Analytica!$F$59:$AY$138,MATCH($B63,Analytica!$B$59:$B$168,0),MATCH(Y$15&amp;Y$10,Analytica!$F$58:$AY$58&amp;Analytica!$F$51:'Analytica'!$AY$51,0)),"")</f>
        <v/>
      </c>
      <c r="Z63" s="694"/>
      <c r="AA63" s="694">
        <f t="shared" si="69"/>
        <v>0</v>
      </c>
      <c r="AB63" s="694">
        <f t="shared" si="80"/>
        <v>2018</v>
      </c>
      <c r="AC63" s="1">
        <f t="shared" ca="1" si="70"/>
        <v>46</v>
      </c>
      <c r="AE63" s="1" t="str">
        <f t="shared" si="71"/>
        <v>S_</v>
      </c>
      <c r="AF63" s="1" t="str">
        <f t="shared" ref="AF63:AF70" si="81">IF(B63="","","S_"&amp;LEFT(B63,LEN(B63)-2))</f>
        <v/>
      </c>
      <c r="AG63" s="1"/>
      <c r="AI63" s="194">
        <v>0</v>
      </c>
      <c r="AJ63" s="699"/>
      <c r="AM63" s="1"/>
      <c r="AP63" s="194">
        <v>1</v>
      </c>
      <c r="AT63" s="1"/>
      <c r="AX63" s="698"/>
      <c r="AY63" s="697" t="e">
        <f>IF(#REF!&lt;&gt;"",(AY$11-#REF!)/(BA$11-#REF!)*(BA63-#REF!)+#REF!,"")</f>
        <v>#REF!</v>
      </c>
      <c r="AZ63" s="697" t="e">
        <f t="shared" si="72"/>
        <v>#REF!</v>
      </c>
      <c r="BA63" s="697">
        <f t="shared" si="77"/>
        <v>1</v>
      </c>
      <c r="BB63" s="697">
        <f t="shared" si="77"/>
        <v>1</v>
      </c>
      <c r="BC63" s="711"/>
      <c r="BD63" s="697">
        <f t="shared" si="73"/>
        <v>0</v>
      </c>
      <c r="BE63" s="697" t="e">
        <f>IF(#REF!&lt;&gt;"",(BE$11-#REF!)/(BG$11-#REF!)*(BG63-#REF!)+#REF!,"")</f>
        <v>#REF!</v>
      </c>
      <c r="BF63" s="697">
        <f t="shared" si="78"/>
        <v>0</v>
      </c>
      <c r="BG63" s="697">
        <f t="shared" si="78"/>
        <v>0</v>
      </c>
      <c r="BH63" s="697">
        <f t="shared" si="78"/>
        <v>0</v>
      </c>
      <c r="BI63" s="692"/>
      <c r="BJ63" s="693"/>
      <c r="BL63" s="1" t="str">
        <f t="shared" si="79"/>
        <v/>
      </c>
      <c r="BP63" s="194"/>
      <c r="BS63" s="1" t="str">
        <f t="shared" si="74"/>
        <v/>
      </c>
      <c r="BT63" s="1"/>
      <c r="BW63" s="692"/>
      <c r="CK63" s="625"/>
      <c r="CL63" s="625"/>
      <c r="CM63" s="625"/>
      <c r="CN63" s="2"/>
      <c r="CO63" s="2"/>
      <c r="CP63" s="9"/>
    </row>
    <row r="64" spans="1:95" x14ac:dyDescent="0.2">
      <c r="A64" s="191" t="s">
        <v>1124</v>
      </c>
      <c r="B64" s="191"/>
      <c r="C64" s="609"/>
      <c r="D64" s="609"/>
      <c r="E64" s="702" t="str">
        <f t="array" ref="E64">IFERROR(INDEX(Analytica!$F$59:$AY$138,MATCH($B64,Analytica!$B$59:$B$168,0),MATCH(E$15&amp;E$10,Analytica!$F$58:$AY$58&amp;Analytica!$F$51:'Analytica'!$AY$51,0)),"")</f>
        <v/>
      </c>
      <c r="F64" s="702" t="str">
        <f t="array" ref="F64">IFERROR(INDEX(Analytica!$F$59:$AY$138,MATCH($B64,Analytica!$B$59:$B$168,0),MATCH(F$15&amp;F$10,Analytica!$F$58:$AY$58&amp;Analytica!$F$51:'Analytica'!$AY$51,0)),"")</f>
        <v/>
      </c>
      <c r="G64" s="702" t="str">
        <f t="array" ref="G64">IFERROR(INDEX(Analytica!$F$59:$AY$138,MATCH($B64,Analytica!$B$59:$B$168,0),MATCH(G$15&amp;G$10,Analytica!$F$58:$AY$58&amp;Analytica!$F$51:'Analytica'!$AY$51,0)),"")</f>
        <v/>
      </c>
      <c r="H64" s="702" t="str">
        <f t="array" ref="H64">IFERROR(INDEX(Analytica!$F$59:$AY$138,MATCH($B64,Analytica!$B$59:$B$168,0),MATCH(H$15&amp;H$10,Analytica!$F$58:$AY$58&amp;Analytica!$F$51:'Analytica'!$AY$51,0)),"")</f>
        <v/>
      </c>
      <c r="I64" s="620"/>
      <c r="J64" s="620"/>
      <c r="K64" s="620"/>
      <c r="L64" s="701"/>
      <c r="M64" s="701"/>
      <c r="N64" s="696" t="str">
        <f>IF(B64="","",MAX(N$18:N63)+1)</f>
        <v/>
      </c>
      <c r="O64" s="702" t="str">
        <f t="array" ref="O64">IFERROR(INDEX(Analytica!$F$59:$AY$138,MATCH($B64,Analytica!$B$59:$B$168,0),MATCH(O$15&amp;O$10,Analytica!$F$58:$AY$58&amp;Analytica!$F$51:'Analytica'!$AY$51,0)),"")</f>
        <v/>
      </c>
      <c r="P64" s="620" t="str">
        <f t="array" ref="P64">IFERROR(INDEX(Analytica!$F$59:$AY$138,MATCH($B64,Analytica!$B$59:$B$168,0),MATCH(P$15&amp;P$10,Analytica!$F$58:$AY$58&amp;Analytica!$F$51:'Analytica'!$AY$51,0)),"")</f>
        <v/>
      </c>
      <c r="Q64" s="620" t="str">
        <f t="array" ref="Q64">IFERROR(INDEX(Analytica!$F$59:$AY$138,MATCH($B64,Analytica!$B$59:$B$168,0),MATCH(Q$15&amp;Q$10,Analytica!$F$58:$AY$58&amp;Analytica!$F$51:'Analytica'!$AY$51,0)),"")</f>
        <v/>
      </c>
      <c r="R64" s="620" t="str">
        <f t="array" ref="R64">IFERROR(INDEX(Analytica!$F$59:$AY$138,MATCH($B64,Analytica!$B$59:$B$168,0),MATCH(R$15&amp;R$10,Analytica!$F$58:$AY$58&amp;Analytica!$F$51:'Analytica'!$AY$51,0)),"")</f>
        <v/>
      </c>
      <c r="S64" s="620" t="str">
        <f t="array" ref="S64">IFERROR(INDEX(Analytica!$F$59:$AY$138,MATCH($B64,Analytica!$B$59:$B$168,0),MATCH(S$15&amp;S$10,Analytica!$F$58:$AY$58&amp;Analytica!$F$51:'Analytica'!$AY$51,0)),"")</f>
        <v/>
      </c>
      <c r="T64" s="620" t="str">
        <f t="array" ref="T64">IFERROR(INDEX(Analytica!$F$59:$AY$138,MATCH($B64,Analytica!$B$59:$B$168,0),MATCH(T$15&amp;T$10,Analytica!$F$58:$AY$58&amp;Analytica!$F$51:'Analytica'!$AY$51,0)),"")</f>
        <v/>
      </c>
      <c r="U64" s="620" t="str">
        <f t="array" ref="U64">IFERROR(INDEX(Analytica!$F$59:$AY$138,MATCH($B64,Analytica!$B$59:$B$168,0),MATCH(U$15&amp;U$10,Analytica!$F$58:$AY$58&amp;Analytica!$F$51:'Analytica'!$AY$51,0)),"")</f>
        <v/>
      </c>
      <c r="V64" s="620" t="str">
        <f t="array" ref="V64">IFERROR(INDEX(Analytica!$F$59:$AY$138,MATCH($B64,Analytica!$B$59:$B$168,0),MATCH(V$15&amp;V$10,Analytica!$F$58:$AY$58&amp;Analytica!$F$51:'Analytica'!$AY$51,0)),"")</f>
        <v/>
      </c>
      <c r="W64" s="620" t="str">
        <f t="array" ref="W64">IFERROR(INDEX(Analytica!$F$59:$AY$138,MATCH($B64,Analytica!$B$59:$B$168,0),MATCH(W$15&amp;W$10,Analytica!$F$58:$AY$58&amp;Analytica!$F$51:'Analytica'!$AY$51,0)),"")</f>
        <v/>
      </c>
      <c r="X64" s="620" t="str">
        <f t="array" ref="X64">IFERROR(INDEX(Analytica!$F$59:$AY$138,MATCH($B64,Analytica!$B$59:$B$168,0),MATCH(X$15&amp;X$10,Analytica!$F$58:$AY$58&amp;Analytica!$F$51:'Analytica'!$AY$51,0)),"")</f>
        <v/>
      </c>
      <c r="Y64" s="620" t="str">
        <f t="array" ref="Y64">IFERROR(INDEX(Analytica!$F$59:$AY$138,MATCH($B64,Analytica!$B$59:$B$168,0),MATCH(Y$15&amp;Y$10,Analytica!$F$58:$AY$58&amp;Analytica!$F$51:'Analytica'!$AY$51,0)),"")</f>
        <v/>
      </c>
      <c r="Z64" s="694"/>
      <c r="AA64" s="694">
        <f t="shared" si="69"/>
        <v>0</v>
      </c>
      <c r="AB64" s="694">
        <f t="shared" si="80"/>
        <v>2018</v>
      </c>
      <c r="AC64" s="1">
        <f t="shared" ca="1" si="70"/>
        <v>47</v>
      </c>
      <c r="AE64" s="1" t="str">
        <f t="shared" si="71"/>
        <v>S_</v>
      </c>
      <c r="AF64" s="1" t="str">
        <f t="shared" si="81"/>
        <v/>
      </c>
      <c r="AG64" s="1"/>
      <c r="AI64" s="194">
        <v>0</v>
      </c>
      <c r="AJ64" s="705"/>
      <c r="AM64" s="1"/>
      <c r="AP64" s="194">
        <v>1</v>
      </c>
      <c r="AT64" s="1"/>
      <c r="AX64" s="704"/>
      <c r="AY64" s="697" t="e">
        <f>IF(#REF!&lt;&gt;"",(AY$11-#REF!)/(BA$11-#REF!)*(BA64-#REF!)+#REF!,"")</f>
        <v>#REF!</v>
      </c>
      <c r="AZ64" s="697" t="e">
        <f t="shared" si="72"/>
        <v>#REF!</v>
      </c>
      <c r="BA64" s="697">
        <f t="shared" si="77"/>
        <v>1</v>
      </c>
      <c r="BB64" s="697">
        <f t="shared" si="77"/>
        <v>1</v>
      </c>
      <c r="BC64" s="711"/>
      <c r="BD64" s="697">
        <f t="shared" si="73"/>
        <v>0</v>
      </c>
      <c r="BE64" s="697" t="e">
        <f>IF(#REF!&lt;&gt;"",(BE$11-#REF!)/(BG$11-#REF!)*(BG64-#REF!)+#REF!,"")</f>
        <v>#REF!</v>
      </c>
      <c r="BF64" s="697">
        <f t="shared" si="78"/>
        <v>0</v>
      </c>
      <c r="BG64" s="697">
        <f t="shared" si="78"/>
        <v>0</v>
      </c>
      <c r="BH64" s="697">
        <f t="shared" si="78"/>
        <v>0</v>
      </c>
      <c r="BI64" s="692"/>
      <c r="BJ64" s="703"/>
      <c r="BL64" s="1" t="str">
        <f t="shared" si="79"/>
        <v/>
      </c>
      <c r="BP64" s="194"/>
      <c r="BS64" s="1" t="str">
        <f t="shared" si="74"/>
        <v/>
      </c>
      <c r="BT64" s="1"/>
      <c r="BW64" s="692"/>
      <c r="CK64" s="625"/>
      <c r="CL64" s="625"/>
      <c r="CM64" s="625"/>
      <c r="CN64" s="2"/>
      <c r="CO64" s="2"/>
      <c r="CP64" s="9"/>
    </row>
    <row r="65" spans="1:94" x14ac:dyDescent="0.2">
      <c r="A65" s="191" t="str">
        <f>ITEMS_nTech!C56</f>
        <v>Transport Freight - LCV Oil Diesel-N</v>
      </c>
      <c r="B65" s="191" t="str">
        <f>D65&amp;RIGHT(C65,3)&amp;"-N"</f>
        <v>TFLCVODS-N</v>
      </c>
      <c r="C65" s="612" t="str">
        <f>$D$6</f>
        <v>TRAODS</v>
      </c>
      <c r="D65" s="612" t="str">
        <f>TRP!$B$31</f>
        <v>TFLCV</v>
      </c>
      <c r="E65" s="702">
        <f t="array" ref="E65">IFERROR(INDEX(Analytica!$F$59:$AY$138,MATCH($B65,Analytica!$B$59:$B$168,0),MATCH(E$15&amp;E$10,Analytica!$F$58:$AY$58&amp;Analytica!$F$51:'Analytica'!$AY$51,0)),"")</f>
        <v>0.23665489362454264</v>
      </c>
      <c r="F65" s="702">
        <f t="array" ref="F65">IFERROR(INDEX(Analytica!$F$59:$AY$138,MATCH($B65,Analytica!$B$59:$B$168,0),MATCH(F$15&amp;F$10,Analytica!$F$58:$AY$58&amp;Analytica!$F$51:'Analytica'!$AY$51,0)),"")</f>
        <v>0.25007346676770725</v>
      </c>
      <c r="G65" s="702">
        <f t="array" ref="G65">IFERROR(INDEX(Analytica!$F$59:$AY$138,MATCH($B65,Analytica!$B$59:$B$168,0),MATCH(G$15&amp;G$10,Analytica!$F$58:$AY$58&amp;Analytica!$F$51:'Analytica'!$AY$51,0)),"")</f>
        <v>0.27651307304523115</v>
      </c>
      <c r="H65" s="702">
        <f t="array" ref="H65">IFERROR(INDEX(Analytica!$F$59:$AY$138,MATCH($B65,Analytica!$B$59:$B$168,0),MATCH(H$15&amp;H$10,Analytica!$F$58:$AY$58&amp;Analytica!$F$51:'Analytica'!$AY$51,0)),"")</f>
        <v>0.30574806897022955</v>
      </c>
      <c r="I65" s="701">
        <v>1</v>
      </c>
      <c r="J65" s="701">
        <v>1</v>
      </c>
      <c r="K65" s="701">
        <v>1</v>
      </c>
      <c r="L65" s="701">
        <v>1</v>
      </c>
      <c r="M65" s="701">
        <v>1</v>
      </c>
      <c r="N65" s="696">
        <f>IF(B65="","",MAX(N$18:N64)+1)</f>
        <v>38</v>
      </c>
      <c r="O65" s="702">
        <f t="array" ref="O65">IFERROR(INDEX(Analytica!$F$59:$AY$138,MATCH($B65,Analytica!$B$59:$B$168,0),MATCH(O$15&amp;O$10,Analytica!$F$58:$AY$58&amp;Analytica!$F$51:'Analytica'!$AY$51,0)),"")</f>
        <v>0.04</v>
      </c>
      <c r="P65" s="620">
        <f t="array" ref="P65">IFERROR(INDEX(Analytica!$F$59:$AY$138,MATCH($B65,Analytica!$B$59:$B$168,0),MATCH(P$15&amp;P$10,Analytica!$F$58:$AY$58&amp;Analytica!$F$51:'Analytica'!$AY$51,0)),"")</f>
        <v>496.02431464990411</v>
      </c>
      <c r="Q65" s="620">
        <f t="array" ref="Q65">IFERROR(INDEX(Analytica!$F$59:$AY$138,MATCH($B65,Analytica!$B$59:$B$168,0),MATCH(Q$15&amp;Q$10,Analytica!$F$58:$AY$58&amp;Analytica!$F$51:'Analytica'!$AY$51,0)),"")</f>
        <v>504.86263896951328</v>
      </c>
      <c r="R65" s="620">
        <f t="array" ref="R65">IFERROR(INDEX(Analytica!$F$59:$AY$138,MATCH($B65,Analytica!$B$59:$B$168,0),MATCH(R$15&amp;R$10,Analytica!$F$58:$AY$58&amp;Analytica!$F$51:'Analytica'!$AY$51,0)),"")</f>
        <v>363.56136717159279</v>
      </c>
      <c r="S65" s="620">
        <f t="array" ref="S65">IFERROR(INDEX(Analytica!$F$59:$AY$138,MATCH($B65,Analytica!$B$59:$B$168,0),MATCH(S$15&amp;S$10,Analytica!$F$58:$AY$58&amp;Analytica!$F$51:'Analytica'!$AY$51,0)),"")</f>
        <v>371.50085823323019</v>
      </c>
      <c r="T65" s="620">
        <f t="array" ref="T65">IFERROR(INDEX(Analytica!$F$59:$AY$138,MATCH($B65,Analytica!$B$59:$B$168,0),MATCH(T$15&amp;T$10,Analytica!$F$58:$AY$58&amp;Analytica!$F$51:'Analytica'!$AY$51,0)),"")</f>
        <v>379.44034929486759</v>
      </c>
      <c r="U65" s="620">
        <f t="array" ref="U65">IFERROR(INDEX(Analytica!$F$59:$AY$138,MATCH($B65,Analytica!$B$59:$B$168,0),MATCH(U$15&amp;U$10,Analytica!$F$58:$AY$58&amp;Analytica!$F$51:'Analytica'!$AY$51,0)),"")</f>
        <v>387.39622422821134</v>
      </c>
      <c r="V65" s="620">
        <f t="array" ref="V65">IFERROR(INDEX(Analytica!$F$59:$AY$138,MATCH($B65,Analytica!$B$59:$B$168,0),MATCH(V$15&amp;V$10,Analytica!$F$58:$AY$58&amp;Analytica!$F$51:'Analytica'!$AY$51,0)),"")</f>
        <v>13.392656495547412</v>
      </c>
      <c r="W65" s="620">
        <f t="array" ref="W65">IFERROR(INDEX(Analytica!$F$59:$AY$138,MATCH($B65,Analytica!$B$59:$B$168,0),MATCH(W$15&amp;W$10,Analytica!$F$58:$AY$58&amp;Analytica!$F$51:'Analytica'!$AY$51,0)),"")</f>
        <v>9.8161569136330051</v>
      </c>
      <c r="X65" s="620">
        <f t="array" ref="X65">IFERROR(INDEX(Analytica!$F$59:$AY$138,MATCH($B65,Analytica!$B$59:$B$168,0),MATCH(X$15&amp;X$10,Analytica!$F$58:$AY$58&amp;Analytica!$F$51:'Analytica'!$AY$51,0)),"")</f>
        <v>10.244889430961425</v>
      </c>
      <c r="Y65" s="620">
        <f t="array" ref="Y65">IFERROR(INDEX(Analytica!$F$59:$AY$138,MATCH($B65,Analytica!$B$59:$B$168,0),MATCH(Y$15&amp;Y$10,Analytica!$F$58:$AY$58&amp;Analytica!$F$51:'Analytica'!$AY$51,0)),"")</f>
        <v>10.459698054161706</v>
      </c>
      <c r="Z65" s="694">
        <v>20</v>
      </c>
      <c r="AA65" s="694">
        <f t="shared" si="69"/>
        <v>20</v>
      </c>
      <c r="AB65" s="694">
        <f t="shared" si="80"/>
        <v>2018</v>
      </c>
      <c r="AC65" s="1">
        <f t="shared" ca="1" si="70"/>
        <v>48</v>
      </c>
      <c r="AE65" s="1" t="str">
        <f t="shared" si="71"/>
        <v>S_TFLCV</v>
      </c>
      <c r="AF65" s="1" t="str">
        <f t="shared" si="81"/>
        <v>S_TFLCVODS</v>
      </c>
      <c r="AG65" s="1" t="str">
        <f t="shared" ref="AG65:AG70" si="82">B65&amp;"_L"</f>
        <v>TFLCVODS-N_L</v>
      </c>
      <c r="AH65" s="1" t="str">
        <f t="shared" ref="AH65:AH70" si="83">B65&amp;"_U"</f>
        <v>TFLCVODS-N_U</v>
      </c>
      <c r="AI65" s="194">
        <v>0</v>
      </c>
      <c r="AJ65" s="699">
        <f>SUMIF(Analytica!$B$59:$B$137,B65,Analytica!$BA$59:$BA$192)</f>
        <v>0.74392467269385154</v>
      </c>
      <c r="AK65" s="697" t="e">
        <f>IF($AP$10,BK65,#REF!)</f>
        <v>#REF!</v>
      </c>
      <c r="AL65" s="697" t="e">
        <f t="shared" ref="AL65:AO70" si="84">IF($AP$10,BL65,AY65)</f>
        <v>#REF!</v>
      </c>
      <c r="AM65" s="697" t="e">
        <f t="shared" si="84"/>
        <v>#REF!</v>
      </c>
      <c r="AN65" s="697">
        <f t="shared" si="84"/>
        <v>1</v>
      </c>
      <c r="AO65" s="697">
        <f t="shared" si="84"/>
        <v>1</v>
      </c>
      <c r="AP65" s="194">
        <v>1</v>
      </c>
      <c r="AQ65" s="650">
        <f t="shared" ref="AQ65:AQ70" si="85">AJ65</f>
        <v>0.74392467269385154</v>
      </c>
      <c r="AR65" s="697" t="e">
        <f>IF($AP$10,BR65,#REF!)</f>
        <v>#REF!</v>
      </c>
      <c r="AS65" s="697" t="e">
        <f t="shared" ref="AS65:AV70" si="86">IF($AP$10,BS65,BE65)</f>
        <v>#REF!</v>
      </c>
      <c r="AT65" s="697">
        <f t="shared" si="86"/>
        <v>0.37196233634692577</v>
      </c>
      <c r="AU65" s="697">
        <f t="shared" si="86"/>
        <v>0</v>
      </c>
      <c r="AV65" s="697">
        <f t="shared" si="86"/>
        <v>0</v>
      </c>
      <c r="AX65" s="698">
        <f t="shared" ref="AX65:AX70" si="87">$AJ65</f>
        <v>0.74392467269385154</v>
      </c>
      <c r="AY65" s="697" t="e">
        <f>IF(#REF!&lt;&gt;"",(AY$11-#REF!)/(BA$11-#REF!)*(BA65-#REF!)+#REF!,"")</f>
        <v>#REF!</v>
      </c>
      <c r="AZ65" s="697" t="e">
        <f t="shared" si="72"/>
        <v>#REF!</v>
      </c>
      <c r="BA65" s="697">
        <f t="shared" si="77"/>
        <v>1</v>
      </c>
      <c r="BB65" s="697">
        <f t="shared" si="77"/>
        <v>1</v>
      </c>
      <c r="BC65" s="711"/>
      <c r="BD65" s="697">
        <f t="shared" si="73"/>
        <v>0.74392467269385154</v>
      </c>
      <c r="BE65" s="697" t="e">
        <f>IF(#REF!&lt;&gt;"",(BE$11-#REF!)/(BG$11-#REF!)*(BG65-#REF!)+#REF!,"")</f>
        <v>#REF!</v>
      </c>
      <c r="BF65" s="697">
        <f t="shared" si="78"/>
        <v>0.37196233634692577</v>
      </c>
      <c r="BG65" s="697">
        <f t="shared" si="78"/>
        <v>0</v>
      </c>
      <c r="BH65" s="697">
        <f t="shared" si="78"/>
        <v>0</v>
      </c>
      <c r="BI65" s="692"/>
      <c r="BJ65" s="693">
        <f t="shared" ref="BJ65:BJ70" si="88">$AJ65</f>
        <v>0.74392467269385154</v>
      </c>
      <c r="BK65" s="697">
        <f>MIN(1,$AJ65+BK$12)</f>
        <v>0.76392467269385156</v>
      </c>
      <c r="BL65" s="697" t="e">
        <f t="shared" si="79"/>
        <v>#REF!</v>
      </c>
      <c r="BM65" s="697" t="e">
        <f t="shared" ref="BM65:BM70" si="89">BL65+(BM$11-BL$11)/(BN$11-BL$11)*(BN65-BL65)</f>
        <v>#REF!</v>
      </c>
      <c r="BN65" s="697">
        <f t="shared" ref="BN65:BO68" si="90">MIN(1,$AJ65+BN$12)</f>
        <v>0.99392467269385154</v>
      </c>
      <c r="BO65" s="697">
        <f t="shared" si="90"/>
        <v>1</v>
      </c>
      <c r="BP65" s="194"/>
      <c r="BQ65" s="650">
        <f t="shared" ref="BQ65:BQ70" si="91">AJ65</f>
        <v>0.74392467269385154</v>
      </c>
      <c r="BR65" s="697">
        <f t="shared" ref="BR65:BR70" si="92">$AQ65*BR$12</f>
        <v>0.74392467269385154</v>
      </c>
      <c r="BS65" s="697" t="e">
        <f t="shared" si="74"/>
        <v>#REF!</v>
      </c>
      <c r="BT65" s="697" t="e">
        <f t="shared" ref="BT65:BT70" si="93">BS65+(BT$11-BS$11)/(BU$11-BS$11)*(BU65-BS65)</f>
        <v>#REF!</v>
      </c>
      <c r="BU65" s="715">
        <v>0.5</v>
      </c>
      <c r="BV65" s="715">
        <v>0.6</v>
      </c>
      <c r="BW65" s="692"/>
      <c r="BX65" s="1" t="str">
        <f t="shared" ref="BX65:BX70" si="94">B65</f>
        <v>TFLCVODS-N</v>
      </c>
      <c r="BY65" s="1" t="str">
        <f t="shared" ref="BY65:BY107" ca="1" si="95">"-"&amp;CHAR(9)&amp;AF65&amp;CHAR(9)&amp;"1"&amp;CHAR(9)&amp;BX65&amp;" Set"&amp;CHAR(9)&amp;"1"&amp;CHAR(9)&amp;TEXT(NOW(),"mm/dd/yyyy H:mm:ss")&amp;CHAR(9)&amp;"null"&amp;CHAR(9)&amp;"((tblITEMS.Item Like "&amp;CHAR(34)&amp;BX65&amp;"*"&amp;CHAR(34)&amp;"))"&amp;CHAR(9)&amp;"null"&amp;CHAR(9)&amp;"null"&amp;CHAR(9)&amp;"null"&amp;CHAR(9)&amp;"null"&amp;CHAR(9)&amp;"null"&amp;CHAR(9)&amp;"null"&amp;CHAR(9)&amp;"null"</f>
        <v>-	S_TFLCVODS	1	TFLCVODS-N Set	1	10/03/2023 17:53:59	null	((tblITEMS.Item Like "TFLCVODS-N*"))	null	null	null	null	null	null	null</v>
      </c>
      <c r="BZ65" s="1" t="str">
        <f t="shared" ref="BZ65:BZ107" si="96">"-"&amp;CHAR(9)&amp;AF65&amp;CHAR(9)&amp;"1"&amp;CHAR(9)&amp;"1"&amp;CHAR(9)&amp;"True"&amp;CHAR(9)&amp;"Like "&amp;CHAR(34)&amp;BX65&amp;"*"&amp;CHAR(34)</f>
        <v>-	S_TFLCVODS	1	1	True	Like "TFLCVODS-N*"</v>
      </c>
      <c r="CI65" s="1">
        <f t="shared" ref="CI65:CI70" si="97">SUMIF($CI$10:$CI$11,RIGHT(C65,3),$CJ$10:$CJ$11)</f>
        <v>38.1</v>
      </c>
      <c r="CJ65" s="1">
        <v>35</v>
      </c>
      <c r="CK65" s="625">
        <f t="shared" ref="CK65:CK70" si="98">CJ65/CI65</f>
        <v>0.9186351706036745</v>
      </c>
      <c r="CL65" s="625" t="e">
        <f>#REF!</f>
        <v>#REF!</v>
      </c>
      <c r="CM65" s="625" t="e">
        <f>CK65/#REF!</f>
        <v>#REF!</v>
      </c>
      <c r="CN65" s="2" t="e">
        <f>#REF!*1000</f>
        <v>#REF!</v>
      </c>
      <c r="CO65" s="2">
        <f t="shared" ref="CO65:CO70" si="99">O65*1000000</f>
        <v>40000</v>
      </c>
      <c r="CP65" s="9" t="e">
        <f t="shared" ref="CP65:CP70" si="100">-PMT($CL$14,Z65,CN65)/CO65</f>
        <v>#REF!</v>
      </c>
    </row>
    <row r="66" spans="1:94" x14ac:dyDescent="0.2">
      <c r="A66" s="191" t="str">
        <f>ITEMS_nTech!C57</f>
        <v>Transport Freight - LCV Oil Diesel Hybrid-N</v>
      </c>
      <c r="B66" s="191" t="str">
        <f>D66&amp;RIGHT(C66,3)&amp;"H-N"</f>
        <v>TFLCVODSH-N</v>
      </c>
      <c r="C66" s="612" t="str">
        <f>$D$6</f>
        <v>TRAODS</v>
      </c>
      <c r="D66" s="612" t="str">
        <f>TRP!$B$31</f>
        <v>TFLCV</v>
      </c>
      <c r="E66" s="702">
        <f t="array" ref="E66">IFERROR(INDEX(Analytica!$F$59:$AY$138,MATCH($B66,Analytica!$B$59:$B$168,0),MATCH(E$15&amp;E$10,Analytica!$F$58:$AY$58&amp;Analytica!$F$51:'Analytica'!$AY$51,0)),"")</f>
        <v>0.24270993496077886</v>
      </c>
      <c r="F66" s="702">
        <f t="array" ref="F66">IFERROR(INDEX(Analytica!$F$59:$AY$138,MATCH($B66,Analytica!$B$59:$B$168,0),MATCH(F$15&amp;F$10,Analytica!$F$58:$AY$58&amp;Analytica!$F$51:'Analytica'!$AY$51,0)),"")</f>
        <v>0.25647183510559879</v>
      </c>
      <c r="G66" s="702">
        <f t="array" ref="G66">IFERROR(INDEX(Analytica!$F$59:$AY$138,MATCH($B66,Analytica!$B$59:$B$168,0),MATCH(G$15&amp;G$10,Analytica!$F$58:$AY$58&amp;Analytica!$F$51:'Analytica'!$AY$51,0)),"")</f>
        <v>0.28358792394586324</v>
      </c>
      <c r="H66" s="702">
        <f t="array" ref="H66">IFERROR(INDEX(Analytica!$F$59:$AY$138,MATCH($B66,Analytica!$B$59:$B$168,0),MATCH(H$15&amp;H$10,Analytica!$F$58:$AY$58&amp;Analytica!$F$51:'Analytica'!$AY$51,0)),"")</f>
        <v>0.31357092514588203</v>
      </c>
      <c r="I66" s="701">
        <v>1</v>
      </c>
      <c r="J66" s="701">
        <v>1</v>
      </c>
      <c r="K66" s="701">
        <v>1</v>
      </c>
      <c r="L66" s="701">
        <v>1</v>
      </c>
      <c r="M66" s="701">
        <v>1</v>
      </c>
      <c r="N66" s="696">
        <f>IF(B66="","",MAX(N$18:N65)+1)</f>
        <v>39</v>
      </c>
      <c r="O66" s="702">
        <f t="array" ref="O66">IFERROR(INDEX(Analytica!$F$59:$AY$138,MATCH($B66,Analytica!$B$59:$B$168,0),MATCH(O$15&amp;O$10,Analytica!$F$58:$AY$58&amp;Analytica!$F$51:'Analytica'!$AY$51,0)),"")</f>
        <v>0.04</v>
      </c>
      <c r="P66" s="620">
        <f t="array" ref="P66">IFERROR(INDEX(Analytica!$F$59:$AY$138,MATCH($B66,Analytica!$B$59:$B$168,0),MATCH(P$15&amp;P$10,Analytica!$F$58:$AY$58&amp;Analytica!$F$51:'Analytica'!$AY$51,0)),"")</f>
        <v>676.04693374770159</v>
      </c>
      <c r="Q66" s="620">
        <f t="array" ref="Q66">IFERROR(INDEX(Analytica!$F$59:$AY$138,MATCH($B66,Analytica!$B$59:$B$168,0),MATCH(Q$15&amp;Q$10,Analytica!$F$58:$AY$58&amp;Analytica!$F$51:'Analytica'!$AY$51,0)),"")</f>
        <v>671.50401988044803</v>
      </c>
      <c r="R66" s="620">
        <f t="array" ref="R66">IFERROR(INDEX(Analytica!$F$59:$AY$138,MATCH($B66,Analytica!$B$59:$B$168,0),MATCH(R$15&amp;R$10,Analytica!$F$58:$AY$58&amp;Analytica!$F$51:'Analytica'!$AY$51,0)),"")</f>
        <v>363.56136717159279</v>
      </c>
      <c r="S66" s="620">
        <f t="array" ref="S66">IFERROR(INDEX(Analytica!$F$59:$AY$138,MATCH($B66,Analytica!$B$59:$B$168,0),MATCH(S$15&amp;S$10,Analytica!$F$58:$AY$58&amp;Analytica!$F$51:'Analytica'!$AY$51,0)),"")</f>
        <v>371.50085823323019</v>
      </c>
      <c r="T66" s="620">
        <f t="array" ref="T66">IFERROR(INDEX(Analytica!$F$59:$AY$138,MATCH($B66,Analytica!$B$59:$B$168,0),MATCH(T$15&amp;T$10,Analytica!$F$58:$AY$58&amp;Analytica!$F$51:'Analytica'!$AY$51,0)),"")</f>
        <v>379.44034929486759</v>
      </c>
      <c r="U66" s="620">
        <f t="array" ref="U66">IFERROR(INDEX(Analytica!$F$59:$AY$138,MATCH($B66,Analytica!$B$59:$B$168,0),MATCH(U$15&amp;U$10,Analytica!$F$58:$AY$58&amp;Analytica!$F$51:'Analytica'!$AY$51,0)),"")</f>
        <v>387.39622422821134</v>
      </c>
      <c r="V66" s="620">
        <f t="array" ref="V66">IFERROR(INDEX(Analytica!$F$59:$AY$138,MATCH($B66,Analytica!$B$59:$B$168,0),MATCH(V$15&amp;V$10,Analytica!$F$58:$AY$58&amp;Analytica!$F$51:'Analytica'!$AY$51,0)),"")</f>
        <v>18.253267211187943</v>
      </c>
      <c r="W66" s="620">
        <f t="array" ref="W66">IFERROR(INDEX(Analytica!$F$59:$AY$138,MATCH($B66,Analytica!$B$59:$B$168,0),MATCH(W$15&amp;W$10,Analytica!$F$58:$AY$58&amp;Analytica!$F$51:'Analytica'!$AY$51,0)),"")</f>
        <v>9.8161569136330051</v>
      </c>
      <c r="X66" s="620">
        <f t="array" ref="X66">IFERROR(INDEX(Analytica!$F$59:$AY$138,MATCH($B66,Analytica!$B$59:$B$168,0),MATCH(X$15&amp;X$10,Analytica!$F$58:$AY$58&amp;Analytica!$F$51:'Analytica'!$AY$51,0)),"")</f>
        <v>10.244889430961425</v>
      </c>
      <c r="Y66" s="620">
        <f t="array" ref="Y66">IFERROR(INDEX(Analytica!$F$59:$AY$138,MATCH($B66,Analytica!$B$59:$B$168,0),MATCH(Y$15&amp;Y$10,Analytica!$F$58:$AY$58&amp;Analytica!$F$51:'Analytica'!$AY$51,0)),"")</f>
        <v>10.459698054161706</v>
      </c>
      <c r="Z66" s="694">
        <f>Z65</f>
        <v>20</v>
      </c>
      <c r="AA66" s="694">
        <f t="shared" si="69"/>
        <v>20</v>
      </c>
      <c r="AB66" s="694">
        <f t="shared" si="80"/>
        <v>2025</v>
      </c>
      <c r="AC66" s="1">
        <f t="shared" ca="1" si="70"/>
        <v>49</v>
      </c>
      <c r="AD66" s="1">
        <v>1</v>
      </c>
      <c r="AE66" s="1" t="str">
        <f t="shared" si="71"/>
        <v>S_TFLCV</v>
      </c>
      <c r="AF66" s="1" t="str">
        <f t="shared" si="81"/>
        <v>S_TFLCVODSH</v>
      </c>
      <c r="AG66" s="1" t="str">
        <f t="shared" si="82"/>
        <v>TFLCVODSH-N_L</v>
      </c>
      <c r="AH66" s="1" t="str">
        <f t="shared" si="83"/>
        <v>TFLCVODSH-N_U</v>
      </c>
      <c r="AI66" s="194">
        <v>0</v>
      </c>
      <c r="AJ66" s="699">
        <f>SUMIF(Analytica!$B$59:$B$137,B66,Analytica!$BA$59:$BA$192)</f>
        <v>0</v>
      </c>
      <c r="AK66" s="697" t="e">
        <f>IF($AP$10,BK66,#REF!)</f>
        <v>#REF!</v>
      </c>
      <c r="AL66" s="697" t="e">
        <f t="shared" si="84"/>
        <v>#REF!</v>
      </c>
      <c r="AM66" s="697" t="e">
        <f t="shared" si="84"/>
        <v>#REF!</v>
      </c>
      <c r="AN66" s="697">
        <f t="shared" si="84"/>
        <v>1</v>
      </c>
      <c r="AO66" s="697">
        <f t="shared" si="84"/>
        <v>1</v>
      </c>
      <c r="AP66" s="194">
        <v>1</v>
      </c>
      <c r="AQ66" s="650">
        <f t="shared" si="85"/>
        <v>0</v>
      </c>
      <c r="AR66" s="697" t="e">
        <f>IF($AP$10,BR66,#REF!)</f>
        <v>#REF!</v>
      </c>
      <c r="AS66" s="697" t="e">
        <f t="shared" si="86"/>
        <v>#REF!</v>
      </c>
      <c r="AT66" s="697">
        <f t="shared" si="86"/>
        <v>0</v>
      </c>
      <c r="AU66" s="697">
        <f t="shared" si="86"/>
        <v>0</v>
      </c>
      <c r="AV66" s="697">
        <f t="shared" si="86"/>
        <v>0</v>
      </c>
      <c r="AX66" s="698">
        <f t="shared" si="87"/>
        <v>0</v>
      </c>
      <c r="AY66" s="697" t="e">
        <f>IF(#REF!&lt;&gt;"",(AY$11-#REF!)/(BA$11-#REF!)*(BA66-#REF!)+#REF!,"")</f>
        <v>#REF!</v>
      </c>
      <c r="AZ66" s="697" t="e">
        <f t="shared" si="72"/>
        <v>#REF!</v>
      </c>
      <c r="BA66" s="697">
        <f t="shared" si="77"/>
        <v>1</v>
      </c>
      <c r="BB66" s="697">
        <f t="shared" si="77"/>
        <v>1</v>
      </c>
      <c r="BC66" s="711"/>
      <c r="BD66" s="697">
        <f t="shared" si="73"/>
        <v>0</v>
      </c>
      <c r="BE66" s="697" t="e">
        <f>IF(#REF!&lt;&gt;"",(BE$11-#REF!)/(BG$11-#REF!)*(BG66-#REF!)+#REF!,"")</f>
        <v>#REF!</v>
      </c>
      <c r="BF66" s="697">
        <f t="shared" si="78"/>
        <v>0</v>
      </c>
      <c r="BG66" s="697">
        <f t="shared" si="78"/>
        <v>0</v>
      </c>
      <c r="BH66" s="697">
        <f t="shared" si="78"/>
        <v>0</v>
      </c>
      <c r="BI66" s="692"/>
      <c r="BJ66" s="693">
        <f t="shared" si="88"/>
        <v>0</v>
      </c>
      <c r="BK66" s="697">
        <f>MIN(1,$AJ66+BK$12)</f>
        <v>0.02</v>
      </c>
      <c r="BL66" s="697" t="e">
        <f t="shared" si="79"/>
        <v>#REF!</v>
      </c>
      <c r="BM66" s="697" t="e">
        <f t="shared" si="89"/>
        <v>#REF!</v>
      </c>
      <c r="BN66" s="697">
        <f t="shared" si="90"/>
        <v>0.25</v>
      </c>
      <c r="BO66" s="697">
        <f t="shared" si="90"/>
        <v>0.5</v>
      </c>
      <c r="BP66" s="194"/>
      <c r="BQ66" s="650">
        <f t="shared" si="91"/>
        <v>0</v>
      </c>
      <c r="BR66" s="697">
        <f t="shared" si="92"/>
        <v>0</v>
      </c>
      <c r="BS66" s="697" t="e">
        <f t="shared" si="74"/>
        <v>#REF!</v>
      </c>
      <c r="BT66" s="697" t="e">
        <f t="shared" si="93"/>
        <v>#REF!</v>
      </c>
      <c r="BU66" s="715">
        <v>0.5</v>
      </c>
      <c r="BV66" s="715">
        <v>0.6</v>
      </c>
      <c r="BW66" s="692"/>
      <c r="BX66" s="1" t="str">
        <f t="shared" si="94"/>
        <v>TFLCVODSH-N</v>
      </c>
      <c r="BY66" s="1" t="str">
        <f t="shared" ca="1" si="95"/>
        <v>-	S_TFLCVODSH	1	TFLCVODSH-N Set	1	10/03/2023 17:53:59	null	((tblITEMS.Item Like "TFLCVODSH-N*"))	null	null	null	null	null	null	null</v>
      </c>
      <c r="BZ66" s="1" t="str">
        <f t="shared" si="96"/>
        <v>-	S_TFLCVODSH	1	1	True	Like "TFLCVODSH-N*"</v>
      </c>
      <c r="CI66" s="1">
        <f t="shared" si="97"/>
        <v>38.1</v>
      </c>
      <c r="CJ66" s="1">
        <v>36</v>
      </c>
      <c r="CK66" s="625">
        <f t="shared" si="98"/>
        <v>0.94488188976377951</v>
      </c>
      <c r="CL66" s="625" t="e">
        <f>#REF!</f>
        <v>#REF!</v>
      </c>
      <c r="CM66" s="625" t="e">
        <f>CK66/#REF!</f>
        <v>#REF!</v>
      </c>
      <c r="CN66" s="2" t="e">
        <f>#REF!*1000</f>
        <v>#REF!</v>
      </c>
      <c r="CO66" s="2">
        <f t="shared" si="99"/>
        <v>40000</v>
      </c>
      <c r="CP66" s="9" t="e">
        <f t="shared" si="100"/>
        <v>#REF!</v>
      </c>
    </row>
    <row r="67" spans="1:94" x14ac:dyDescent="0.2">
      <c r="A67" s="191" t="str">
        <f>ITEMS_nTech!C58</f>
        <v>Transport Freight - LCV Oil Gasoline-N</v>
      </c>
      <c r="B67" s="191" t="str">
        <f>D67&amp;RIGHT(C67,3)&amp;"-N"</f>
        <v>TFLCVOGS-N</v>
      </c>
      <c r="C67" s="612" t="str">
        <f>$G$6</f>
        <v>TRAOGS</v>
      </c>
      <c r="D67" s="612" t="str">
        <f>TRP!$B$31</f>
        <v>TFLCV</v>
      </c>
      <c r="E67" s="702">
        <f t="array" ref="E67">IFERROR(INDEX(Analytica!$F$59:$AY$138,MATCH($B67,Analytica!$B$59:$B$168,0),MATCH(E$15&amp;E$10,Analytica!$F$58:$AY$58&amp;Analytica!$F$51:'Analytica'!$AY$51,0)),"")</f>
        <v>0.2068742400139009</v>
      </c>
      <c r="F67" s="702">
        <f t="array" ref="F67">IFERROR(INDEX(Analytica!$F$59:$AY$138,MATCH($B67,Analytica!$B$59:$B$168,0),MATCH(F$15&amp;F$10,Analytica!$F$58:$AY$58&amp;Analytica!$F$51:'Analytica'!$AY$51,0)),"")</f>
        <v>0.21860421981084194</v>
      </c>
      <c r="G67" s="702">
        <f t="array" ref="G67">IFERROR(INDEX(Analytica!$F$59:$AY$138,MATCH($B67,Analytica!$B$59:$B$168,0),MATCH(G$15&amp;G$10,Analytica!$F$58:$AY$58&amp;Analytica!$F$51:'Analytica'!$AY$51,0)),"")</f>
        <v>0.24171666583364532</v>
      </c>
      <c r="H67" s="702">
        <f t="array" ref="H67">IFERROR(INDEX(Analytica!$F$59:$AY$138,MATCH($B67,Analytica!$B$59:$B$168,0),MATCH(H$15&amp;H$10,Analytica!$F$58:$AY$58&amp;Analytica!$F$51:'Analytica'!$AY$51,0)),"")</f>
        <v>0.26727272964945947</v>
      </c>
      <c r="I67" s="701">
        <v>1</v>
      </c>
      <c r="J67" s="701">
        <v>1</v>
      </c>
      <c r="K67" s="701">
        <v>1</v>
      </c>
      <c r="L67" s="701">
        <v>1</v>
      </c>
      <c r="M67" s="701">
        <v>1</v>
      </c>
      <c r="N67" s="696">
        <f>IF(B67="","",MAX(N$18:N66)+1)</f>
        <v>40</v>
      </c>
      <c r="O67" s="702">
        <f t="array" ref="O67">IFERROR(INDEX(Analytica!$F$59:$AY$138,MATCH($B67,Analytica!$B$59:$B$168,0),MATCH(O$15&amp;O$10,Analytica!$F$58:$AY$58&amp;Analytica!$F$51:'Analytica'!$AY$51,0)),"")</f>
        <v>3.4999999999999996E-2</v>
      </c>
      <c r="P67" s="620">
        <f t="array" ref="P67">IFERROR(INDEX(Analytica!$F$59:$AY$138,MATCH($B67,Analytica!$B$59:$B$168,0),MATCH(P$15&amp;P$10,Analytica!$F$58:$AY$58&amp;Analytica!$F$51:'Analytica'!$AY$51,0)),"")</f>
        <v>350.63787759734595</v>
      </c>
      <c r="Q67" s="620">
        <f t="array" ref="Q67">IFERROR(INDEX(Analytica!$F$59:$AY$138,MATCH($B67,Analytica!$B$59:$B$168,0),MATCH(Q$15&amp;Q$10,Analytica!$F$58:$AY$58&amp;Analytica!$F$51:'Analytica'!$AY$51,0)),"")</f>
        <v>357.09962238446946</v>
      </c>
      <c r="R67" s="620">
        <f t="array" ref="R67">IFERROR(INDEX(Analytica!$F$59:$AY$138,MATCH($B67,Analytica!$B$59:$B$168,0),MATCH(R$15&amp;R$10,Analytica!$F$58:$AY$58&amp;Analytica!$F$51:'Analytica'!$AY$51,0)),"")</f>
        <v>363.56136717159279</v>
      </c>
      <c r="S67" s="620">
        <f t="array" ref="S67">IFERROR(INDEX(Analytica!$F$59:$AY$138,MATCH($B67,Analytica!$B$59:$B$168,0),MATCH(S$15&amp;S$10,Analytica!$F$58:$AY$58&amp;Analytica!$F$51:'Analytica'!$AY$51,0)),"")</f>
        <v>371.50085823323019</v>
      </c>
      <c r="T67" s="620">
        <f t="array" ref="T67">IFERROR(INDEX(Analytica!$F$59:$AY$138,MATCH($B67,Analytica!$B$59:$B$168,0),MATCH(T$15&amp;T$10,Analytica!$F$58:$AY$58&amp;Analytica!$F$51:'Analytica'!$AY$51,0)),"")</f>
        <v>379.44034929486759</v>
      </c>
      <c r="U67" s="620">
        <f t="array" ref="U67">IFERROR(INDEX(Analytica!$F$59:$AY$138,MATCH($B67,Analytica!$B$59:$B$168,0),MATCH(U$15&amp;U$10,Analytica!$F$58:$AY$58&amp;Analytica!$F$51:'Analytica'!$AY$51,0)),"")</f>
        <v>387.39622422821134</v>
      </c>
      <c r="V67" s="620">
        <f t="array" ref="V67">IFERROR(INDEX(Analytica!$F$59:$AY$138,MATCH($B67,Analytica!$B$59:$B$168,0),MATCH(V$15&amp;V$10,Analytica!$F$58:$AY$58&amp;Analytica!$F$51:'Analytica'!$AY$51,0)),"")</f>
        <v>9.4672226951283402</v>
      </c>
      <c r="W67" s="620">
        <f t="array" ref="W67">IFERROR(INDEX(Analytica!$F$59:$AY$138,MATCH($B67,Analytica!$B$59:$B$168,0),MATCH(W$15&amp;W$10,Analytica!$F$58:$AY$58&amp;Analytica!$F$51:'Analytica'!$AY$51,0)),"")</f>
        <v>9.8161569136330051</v>
      </c>
      <c r="X67" s="620">
        <f t="array" ref="X67">IFERROR(INDEX(Analytica!$F$59:$AY$138,MATCH($B67,Analytica!$B$59:$B$168,0),MATCH(X$15&amp;X$10,Analytica!$F$58:$AY$58&amp;Analytica!$F$51:'Analytica'!$AY$51,0)),"")</f>
        <v>10.244889430961425</v>
      </c>
      <c r="Y67" s="620">
        <f t="array" ref="Y67">IFERROR(INDEX(Analytica!$F$59:$AY$138,MATCH($B67,Analytica!$B$59:$B$168,0),MATCH(Y$15&amp;Y$10,Analytica!$F$58:$AY$58&amp;Analytica!$F$51:'Analytica'!$AY$51,0)),"")</f>
        <v>10.459698054161706</v>
      </c>
      <c r="Z67" s="694">
        <f>Z66</f>
        <v>20</v>
      </c>
      <c r="AA67" s="694">
        <f t="shared" si="69"/>
        <v>20</v>
      </c>
      <c r="AB67" s="694">
        <f t="shared" si="80"/>
        <v>2018</v>
      </c>
      <c r="AC67" s="1">
        <f t="shared" ca="1" si="70"/>
        <v>50</v>
      </c>
      <c r="AE67" s="1" t="str">
        <f t="shared" si="71"/>
        <v>S_TFLCV</v>
      </c>
      <c r="AF67" s="1" t="str">
        <f t="shared" si="81"/>
        <v>S_TFLCVOGS</v>
      </c>
      <c r="AG67" s="1" t="str">
        <f t="shared" si="82"/>
        <v>TFLCVOGS-N_L</v>
      </c>
      <c r="AH67" s="1" t="str">
        <f t="shared" si="83"/>
        <v>TFLCVOGS-N_U</v>
      </c>
      <c r="AI67" s="194">
        <v>0</v>
      </c>
      <c r="AJ67" s="699">
        <f>SUMIF(Analytica!$B$59:$B$137,B67,Analytica!$BA$59:$BA$192)</f>
        <v>0.25607532730614846</v>
      </c>
      <c r="AK67" s="697" t="e">
        <f>IF($AP$10,BK67,#REF!)</f>
        <v>#REF!</v>
      </c>
      <c r="AL67" s="697" t="e">
        <f t="shared" si="84"/>
        <v>#REF!</v>
      </c>
      <c r="AM67" s="697" t="e">
        <f t="shared" si="84"/>
        <v>#REF!</v>
      </c>
      <c r="AN67" s="697">
        <f t="shared" si="84"/>
        <v>1</v>
      </c>
      <c r="AO67" s="697">
        <f t="shared" si="84"/>
        <v>1</v>
      </c>
      <c r="AP67" s="194">
        <v>1</v>
      </c>
      <c r="AQ67" s="650">
        <f t="shared" si="85"/>
        <v>0.25607532730614846</v>
      </c>
      <c r="AR67" s="697" t="e">
        <f>IF($AP$10,BR67,#REF!)</f>
        <v>#REF!</v>
      </c>
      <c r="AS67" s="697" t="e">
        <f t="shared" si="86"/>
        <v>#REF!</v>
      </c>
      <c r="AT67" s="697">
        <f t="shared" si="86"/>
        <v>0.12803766365307423</v>
      </c>
      <c r="AU67" s="697">
        <f t="shared" si="86"/>
        <v>0</v>
      </c>
      <c r="AV67" s="697">
        <f t="shared" si="86"/>
        <v>0</v>
      </c>
      <c r="AX67" s="698">
        <f t="shared" si="87"/>
        <v>0.25607532730614846</v>
      </c>
      <c r="AY67" s="697" t="e">
        <f>IF(#REF!&lt;&gt;"",(AY$11-#REF!)/(BA$11-#REF!)*(BA67-#REF!)+#REF!,"")</f>
        <v>#REF!</v>
      </c>
      <c r="AZ67" s="697" t="e">
        <f t="shared" si="72"/>
        <v>#REF!</v>
      </c>
      <c r="BA67" s="697">
        <f t="shared" si="77"/>
        <v>1</v>
      </c>
      <c r="BB67" s="697">
        <f t="shared" si="77"/>
        <v>1</v>
      </c>
      <c r="BC67" s="711"/>
      <c r="BD67" s="697">
        <f t="shared" si="73"/>
        <v>0.25607532730614846</v>
      </c>
      <c r="BE67" s="697" t="e">
        <f>IF(#REF!&lt;&gt;"",(BE$11-#REF!)/(BG$11-#REF!)*(BG67-#REF!)+#REF!,"")</f>
        <v>#REF!</v>
      </c>
      <c r="BF67" s="697">
        <f t="shared" si="78"/>
        <v>0.12803766365307423</v>
      </c>
      <c r="BG67" s="697">
        <f t="shared" si="78"/>
        <v>0</v>
      </c>
      <c r="BH67" s="697">
        <f t="shared" si="78"/>
        <v>0</v>
      </c>
      <c r="BI67" s="692"/>
      <c r="BJ67" s="693">
        <f t="shared" si="88"/>
        <v>0.25607532730614846</v>
      </c>
      <c r="BK67" s="697">
        <f>MIN(1,$AJ67+BK$12)</f>
        <v>0.27607532730614848</v>
      </c>
      <c r="BL67" s="697" t="e">
        <f t="shared" si="79"/>
        <v>#REF!</v>
      </c>
      <c r="BM67" s="697" t="e">
        <f t="shared" si="89"/>
        <v>#REF!</v>
      </c>
      <c r="BN67" s="697">
        <f t="shared" si="90"/>
        <v>0.50607532730614846</v>
      </c>
      <c r="BO67" s="697">
        <f t="shared" si="90"/>
        <v>0.75607532730614846</v>
      </c>
      <c r="BP67" s="194"/>
      <c r="BQ67" s="650">
        <f t="shared" si="91"/>
        <v>0.25607532730614846</v>
      </c>
      <c r="BR67" s="697">
        <f t="shared" si="92"/>
        <v>0.25607532730614846</v>
      </c>
      <c r="BS67" s="697" t="e">
        <f t="shared" si="74"/>
        <v>#REF!</v>
      </c>
      <c r="BT67" s="697" t="e">
        <f t="shared" si="93"/>
        <v>#REF!</v>
      </c>
      <c r="BU67" s="697">
        <f t="shared" ref="BU67:BV70" si="101">$AQ67*BU$12</f>
        <v>6.4018831826537115E-2</v>
      </c>
      <c r="BV67" s="697">
        <f t="shared" si="101"/>
        <v>2.5607532730614849E-2</v>
      </c>
      <c r="BW67" s="692"/>
      <c r="BX67" s="1" t="str">
        <f t="shared" si="94"/>
        <v>TFLCVOGS-N</v>
      </c>
      <c r="BY67" s="1" t="str">
        <f t="shared" ca="1" si="95"/>
        <v>-	S_TFLCVOGS	1	TFLCVOGS-N Set	1	10/03/2023 17:53:59	null	((tblITEMS.Item Like "TFLCVOGS-N*"))	null	null	null	null	null	null	null</v>
      </c>
      <c r="BZ67" s="1" t="str">
        <f t="shared" si="96"/>
        <v>-	S_TFLCVOGS	1	1	True	Like "TFLCVOGS-N*"</v>
      </c>
      <c r="CI67" s="1">
        <f t="shared" si="97"/>
        <v>34.200000000000003</v>
      </c>
      <c r="CJ67" s="1">
        <v>36</v>
      </c>
      <c r="CK67" s="625">
        <f t="shared" si="98"/>
        <v>1.0526315789473684</v>
      </c>
      <c r="CL67" s="625" t="e">
        <f>#REF!</f>
        <v>#REF!</v>
      </c>
      <c r="CM67" s="625" t="e">
        <f>CK67/#REF!</f>
        <v>#REF!</v>
      </c>
      <c r="CN67" s="2" t="e">
        <f>#REF!*1000</f>
        <v>#REF!</v>
      </c>
      <c r="CO67" s="2">
        <f t="shared" si="99"/>
        <v>35000</v>
      </c>
      <c r="CP67" s="9" t="e">
        <f t="shared" si="100"/>
        <v>#REF!</v>
      </c>
    </row>
    <row r="68" spans="1:94" x14ac:dyDescent="0.2">
      <c r="A68" s="191" t="str">
        <f>ITEMS_nTech!C59</f>
        <v>Transport Freight - LCV Oil GasolineHybrid-N</v>
      </c>
      <c r="B68" s="191" t="str">
        <f>D68&amp;RIGHT(C68,3)&amp;"H-N"</f>
        <v>TFLCVOGSH-N</v>
      </c>
      <c r="C68" s="612" t="str">
        <f>$G$6</f>
        <v>TRAOGS</v>
      </c>
      <c r="D68" s="612" t="str">
        <f>TRP!$B$31</f>
        <v>TFLCV</v>
      </c>
      <c r="E68" s="702">
        <f t="array" ref="E68">IFERROR(INDEX(Analytica!$F$59:$AY$138,MATCH($B68,Analytica!$B$59:$B$168,0),MATCH(E$15&amp;E$10,Analytica!$F$58:$AY$58&amp;Analytica!$F$51:'Analytica'!$AY$51,0)),"")</f>
        <v>0.2707440173280492</v>
      </c>
      <c r="F68" s="702">
        <f t="array" ref="F68">IFERROR(INDEX(Analytica!$F$59:$AY$138,MATCH($B68,Analytica!$B$59:$B$168,0),MATCH(F$15&amp;F$10,Analytica!$F$58:$AY$58&amp;Analytica!$F$51:'Analytica'!$AY$51,0)),"")</f>
        <v>0.28609547845335548</v>
      </c>
      <c r="G68" s="702">
        <f t="array" ref="G68">IFERROR(INDEX(Analytica!$F$59:$AY$138,MATCH($B68,Analytica!$B$59:$B$168,0),MATCH(G$15&amp;G$10,Analytica!$F$58:$AY$58&amp;Analytica!$F$51:'Analytica'!$AY$51,0)),"")</f>
        <v>0.31634359675977686</v>
      </c>
      <c r="H68" s="702">
        <f t="array" ref="H68">IFERROR(INDEX(Analytica!$F$59:$AY$138,MATCH($B68,Analytica!$B$59:$B$168,0),MATCH(H$15&amp;H$10,Analytica!$F$58:$AY$58&amp;Analytica!$F$51:'Analytica'!$AY$51,0)),"")</f>
        <v>0.3497897686181996</v>
      </c>
      <c r="I68" s="701">
        <v>1</v>
      </c>
      <c r="J68" s="701">
        <v>1</v>
      </c>
      <c r="K68" s="701">
        <v>1</v>
      </c>
      <c r="L68" s="701">
        <v>1</v>
      </c>
      <c r="M68" s="701">
        <v>1</v>
      </c>
      <c r="N68" s="696">
        <f>IF(B68="","",MAX(N$18:N67)+1)</f>
        <v>41</v>
      </c>
      <c r="O68" s="702">
        <f t="array" ref="O68">IFERROR(INDEX(Analytica!$F$59:$AY$138,MATCH($B68,Analytica!$B$59:$B$168,0),MATCH(O$15&amp;O$10,Analytica!$F$58:$AY$58&amp;Analytica!$F$51:'Analytica'!$AY$51,0)),"")</f>
        <v>3.4999999999999996E-2</v>
      </c>
      <c r="P68" s="620">
        <f t="array" ref="P68">IFERROR(INDEX(Analytica!$F$59:$AY$138,MATCH($B68,Analytica!$B$59:$B$168,0),MATCH(P$15&amp;P$10,Analytica!$F$58:$AY$58&amp;Analytica!$F$51:'Analytica'!$AY$51,0)),"")</f>
        <v>450.69795583180115</v>
      </c>
      <c r="Q68" s="620">
        <f t="array" ref="Q68">IFERROR(INDEX(Analytica!$F$59:$AY$138,MATCH($B68,Analytica!$B$59:$B$168,0),MATCH(Q$15&amp;Q$10,Analytica!$F$58:$AY$58&amp;Analytica!$F$51:'Analytica'!$AY$51,0)),"")</f>
        <v>447.83490632433029</v>
      </c>
      <c r="R68" s="620">
        <f t="array" ref="R68">IFERROR(INDEX(Analytica!$F$59:$AY$138,MATCH($B68,Analytica!$B$59:$B$168,0),MATCH(R$15&amp;R$10,Analytica!$F$58:$AY$58&amp;Analytica!$F$51:'Analytica'!$AY$51,0)),"")</f>
        <v>363.56136717159279</v>
      </c>
      <c r="S68" s="620">
        <f t="array" ref="S68">IFERROR(INDEX(Analytica!$F$59:$AY$138,MATCH($B68,Analytica!$B$59:$B$168,0),MATCH(S$15&amp;S$10,Analytica!$F$58:$AY$58&amp;Analytica!$F$51:'Analytica'!$AY$51,0)),"")</f>
        <v>371.50085823323019</v>
      </c>
      <c r="T68" s="620">
        <f t="array" ref="T68">IFERROR(INDEX(Analytica!$F$59:$AY$138,MATCH($B68,Analytica!$B$59:$B$168,0),MATCH(T$15&amp;T$10,Analytica!$F$58:$AY$58&amp;Analytica!$F$51:'Analytica'!$AY$51,0)),"")</f>
        <v>379.44034929486759</v>
      </c>
      <c r="U68" s="620">
        <f t="array" ref="U68">IFERROR(INDEX(Analytica!$F$59:$AY$138,MATCH($B68,Analytica!$B$59:$B$168,0),MATCH(U$15&amp;U$10,Analytica!$F$58:$AY$58&amp;Analytica!$F$51:'Analytica'!$AY$51,0)),"")</f>
        <v>387.39622422821134</v>
      </c>
      <c r="V68" s="620">
        <f t="array" ref="V68">IFERROR(INDEX(Analytica!$F$59:$AY$138,MATCH($B68,Analytica!$B$59:$B$168,0),MATCH(V$15&amp;V$10,Analytica!$F$58:$AY$58&amp;Analytica!$F$51:'Analytica'!$AY$51,0)),"")</f>
        <v>12.168844807458632</v>
      </c>
      <c r="W68" s="620">
        <f t="array" ref="W68">IFERROR(INDEX(Analytica!$F$59:$AY$138,MATCH($B68,Analytica!$B$59:$B$168,0),MATCH(W$15&amp;W$10,Analytica!$F$58:$AY$58&amp;Analytica!$F$51:'Analytica'!$AY$51,0)),"")</f>
        <v>9.8161569136330051</v>
      </c>
      <c r="X68" s="620">
        <f t="array" ref="X68">IFERROR(INDEX(Analytica!$F$59:$AY$138,MATCH($B68,Analytica!$B$59:$B$168,0),MATCH(X$15&amp;X$10,Analytica!$F$58:$AY$58&amp;Analytica!$F$51:'Analytica'!$AY$51,0)),"")</f>
        <v>10.244889430961425</v>
      </c>
      <c r="Y68" s="620">
        <f t="array" ref="Y68">IFERROR(INDEX(Analytica!$F$59:$AY$138,MATCH($B68,Analytica!$B$59:$B$168,0),MATCH(Y$15&amp;Y$10,Analytica!$F$58:$AY$58&amp;Analytica!$F$51:'Analytica'!$AY$51,0)),"")</f>
        <v>10.459698054161706</v>
      </c>
      <c r="Z68" s="694">
        <f>Z67</f>
        <v>20</v>
      </c>
      <c r="AA68" s="694">
        <f t="shared" si="69"/>
        <v>20</v>
      </c>
      <c r="AB68" s="694">
        <f t="shared" si="80"/>
        <v>2025</v>
      </c>
      <c r="AC68" s="1">
        <f t="shared" ca="1" si="70"/>
        <v>51</v>
      </c>
      <c r="AD68" s="1">
        <v>1</v>
      </c>
      <c r="AE68" s="1" t="str">
        <f t="shared" si="71"/>
        <v>S_TFLCV</v>
      </c>
      <c r="AF68" s="1" t="str">
        <f t="shared" si="81"/>
        <v>S_TFLCVOGSH</v>
      </c>
      <c r="AG68" s="1" t="str">
        <f t="shared" si="82"/>
        <v>TFLCVOGSH-N_L</v>
      </c>
      <c r="AH68" s="1" t="str">
        <f t="shared" si="83"/>
        <v>TFLCVOGSH-N_U</v>
      </c>
      <c r="AI68" s="194">
        <v>0</v>
      </c>
      <c r="AJ68" s="699">
        <f>SUMIF(Analytica!$B$59:$B$137,B68,Analytica!$BA$59:$BA$192)</f>
        <v>0</v>
      </c>
      <c r="AK68" s="697" t="e">
        <f>IF($AP$10,BK68,#REF!)</f>
        <v>#REF!</v>
      </c>
      <c r="AL68" s="697" t="e">
        <f t="shared" si="84"/>
        <v>#REF!</v>
      </c>
      <c r="AM68" s="697" t="e">
        <f t="shared" si="84"/>
        <v>#REF!</v>
      </c>
      <c r="AN68" s="697">
        <f t="shared" si="84"/>
        <v>1</v>
      </c>
      <c r="AO68" s="697">
        <f t="shared" si="84"/>
        <v>1</v>
      </c>
      <c r="AP68" s="194">
        <v>1</v>
      </c>
      <c r="AQ68" s="650">
        <f t="shared" si="85"/>
        <v>0</v>
      </c>
      <c r="AR68" s="697" t="e">
        <f>IF($AP$10,BR68,#REF!)</f>
        <v>#REF!</v>
      </c>
      <c r="AS68" s="697" t="e">
        <f t="shared" si="86"/>
        <v>#REF!</v>
      </c>
      <c r="AT68" s="697">
        <f t="shared" si="86"/>
        <v>0</v>
      </c>
      <c r="AU68" s="697">
        <f t="shared" si="86"/>
        <v>0</v>
      </c>
      <c r="AV68" s="697">
        <f t="shared" si="86"/>
        <v>0</v>
      </c>
      <c r="AX68" s="698">
        <f t="shared" si="87"/>
        <v>0</v>
      </c>
      <c r="AY68" s="697" t="e">
        <f>IF(#REF!&lt;&gt;"",(AY$11-#REF!)/(BA$11-#REF!)*(BA68-#REF!)+#REF!,"")</f>
        <v>#REF!</v>
      </c>
      <c r="AZ68" s="697" t="e">
        <f t="shared" si="72"/>
        <v>#REF!</v>
      </c>
      <c r="BA68" s="697">
        <f t="shared" si="77"/>
        <v>1</v>
      </c>
      <c r="BB68" s="697">
        <f t="shared" si="77"/>
        <v>1</v>
      </c>
      <c r="BC68" s="711"/>
      <c r="BD68" s="697">
        <f t="shared" si="73"/>
        <v>0</v>
      </c>
      <c r="BE68" s="697" t="e">
        <f>IF(#REF!&lt;&gt;"",(BE$11-#REF!)/(BG$11-#REF!)*(BG68-#REF!)+#REF!,"")</f>
        <v>#REF!</v>
      </c>
      <c r="BF68" s="697">
        <f t="shared" si="78"/>
        <v>0</v>
      </c>
      <c r="BG68" s="697">
        <f t="shared" si="78"/>
        <v>0</v>
      </c>
      <c r="BH68" s="697">
        <f t="shared" si="78"/>
        <v>0</v>
      </c>
      <c r="BI68" s="692"/>
      <c r="BJ68" s="693">
        <f t="shared" si="88"/>
        <v>0</v>
      </c>
      <c r="BK68" s="697">
        <f>MIN(1,$AJ68+BK$12)</f>
        <v>0.02</v>
      </c>
      <c r="BL68" s="697" t="e">
        <f t="shared" si="79"/>
        <v>#REF!</v>
      </c>
      <c r="BM68" s="697" t="e">
        <f t="shared" si="89"/>
        <v>#REF!</v>
      </c>
      <c r="BN68" s="697">
        <f t="shared" si="90"/>
        <v>0.25</v>
      </c>
      <c r="BO68" s="697">
        <f t="shared" si="90"/>
        <v>0.5</v>
      </c>
      <c r="BP68" s="194"/>
      <c r="BQ68" s="650">
        <f t="shared" si="91"/>
        <v>0</v>
      </c>
      <c r="BR68" s="697">
        <f t="shared" si="92"/>
        <v>0</v>
      </c>
      <c r="BS68" s="697" t="e">
        <f t="shared" si="74"/>
        <v>#REF!</v>
      </c>
      <c r="BT68" s="697" t="e">
        <f t="shared" si="93"/>
        <v>#REF!</v>
      </c>
      <c r="BU68" s="697">
        <f t="shared" si="101"/>
        <v>0</v>
      </c>
      <c r="BV68" s="697">
        <f t="shared" si="101"/>
        <v>0</v>
      </c>
      <c r="BW68" s="692"/>
      <c r="BX68" s="1" t="str">
        <f t="shared" si="94"/>
        <v>TFLCVOGSH-N</v>
      </c>
      <c r="BY68" s="1" t="str">
        <f t="shared" ca="1" si="95"/>
        <v>-	S_TFLCVOGSH	1	TFLCVOGSH-N Set	1	10/03/2023 17:53:59	null	((tblITEMS.Item Like "TFLCVOGSH-N*"))	null	null	null	null	null	null	null</v>
      </c>
      <c r="BZ68" s="1" t="str">
        <f t="shared" si="96"/>
        <v>-	S_TFLCVOGSH	1	1	True	Like "TFLCVOGSH-N*"</v>
      </c>
      <c r="CI68" s="1">
        <f t="shared" si="97"/>
        <v>34.200000000000003</v>
      </c>
      <c r="CJ68" s="1">
        <v>37</v>
      </c>
      <c r="CK68" s="625">
        <f t="shared" si="98"/>
        <v>1.0818713450292397</v>
      </c>
      <c r="CL68" s="625" t="e">
        <f>#REF!</f>
        <v>#REF!</v>
      </c>
      <c r="CM68" s="625" t="e">
        <f>CK68/#REF!</f>
        <v>#REF!</v>
      </c>
      <c r="CN68" s="2" t="e">
        <f>#REF!*1000</f>
        <v>#REF!</v>
      </c>
      <c r="CO68" s="2">
        <f t="shared" si="99"/>
        <v>35000</v>
      </c>
      <c r="CP68" s="9" t="e">
        <f t="shared" si="100"/>
        <v>#REF!</v>
      </c>
    </row>
    <row r="69" spans="1:94" x14ac:dyDescent="0.2">
      <c r="A69" s="191" t="str">
        <f>ITEMS_nTech!C60</f>
        <v>Transport Freight - LCV Gas-N</v>
      </c>
      <c r="B69" s="191" t="str">
        <f>D69&amp;RIGHT(C69,3)&amp;"-N"</f>
        <v>TFLCVGAS-N</v>
      </c>
      <c r="C69" s="612" t="str">
        <f>$F$6</f>
        <v>TRAGAS</v>
      </c>
      <c r="D69" s="612" t="str">
        <f>TRP!$B$31</f>
        <v>TFLCV</v>
      </c>
      <c r="E69" s="702">
        <f t="array" ref="E69">IFERROR(INDEX(Analytica!$F$59:$AY$138,MATCH($B69,Analytica!$B$59:$B$168,0),MATCH(E$15&amp;E$10,Analytica!$F$58:$AY$58&amp;Analytica!$F$51:'Analytica'!$AY$51,0)),"")</f>
        <v>0.17631523870770266</v>
      </c>
      <c r="F69" s="702">
        <f t="array" ref="F69">IFERROR(INDEX(Analytica!$F$59:$AY$138,MATCH($B69,Analytica!$B$59:$B$168,0),MATCH(F$15&amp;F$10,Analytica!$F$58:$AY$58&amp;Analytica!$F$51:'Analytica'!$AY$51,0)),"")</f>
        <v>0.1863124920525136</v>
      </c>
      <c r="G69" s="702">
        <f t="array" ref="G69">IFERROR(INDEX(Analytica!$F$59:$AY$138,MATCH($B69,Analytica!$B$59:$B$168,0),MATCH(G$15&amp;G$10,Analytica!$F$58:$AY$58&amp;Analytica!$F$51:'Analytica'!$AY$51,0)),"")</f>
        <v>0.2060108191006548</v>
      </c>
      <c r="H69" s="702">
        <f t="array" ref="H69">IFERROR(INDEX(Analytica!$F$59:$AY$138,MATCH($B69,Analytica!$B$59:$B$168,0),MATCH(H$15&amp;H$10,Analytica!$F$58:$AY$58&amp;Analytica!$F$51:'Analytica'!$AY$51,0)),"")</f>
        <v>0.22779179817186146</v>
      </c>
      <c r="I69" s="701">
        <v>1</v>
      </c>
      <c r="J69" s="701">
        <v>1</v>
      </c>
      <c r="K69" s="701">
        <v>1</v>
      </c>
      <c r="L69" s="701">
        <v>1</v>
      </c>
      <c r="M69" s="701">
        <v>1</v>
      </c>
      <c r="N69" s="696">
        <f>IF(B69="","",MAX(N$18:N68)+1)</f>
        <v>42</v>
      </c>
      <c r="O69" s="702">
        <f t="array" ref="O69">IFERROR(INDEX(Analytica!$F$59:$AY$138,MATCH($B69,Analytica!$B$59:$B$168,0),MATCH(O$15&amp;O$10,Analytica!$F$58:$AY$58&amp;Analytica!$F$51:'Analytica'!$AY$51,0)),"")</f>
        <v>3.4999999999999996E-2</v>
      </c>
      <c r="P69" s="620">
        <f t="array" ref="P69">IFERROR(INDEX(Analytica!$F$59:$AY$138,MATCH($B69,Analytica!$B$59:$B$168,0),MATCH(P$15&amp;P$10,Analytica!$F$58:$AY$58&amp;Analytica!$F$51:'Analytica'!$AY$51,0)),"")</f>
        <v>545.62674611489456</v>
      </c>
      <c r="Q69" s="620">
        <f t="array" ref="Q69">IFERROR(INDEX(Analytica!$F$59:$AY$138,MATCH($B69,Analytica!$B$59:$B$168,0),MATCH(Q$15&amp;Q$10,Analytica!$F$58:$AY$58&amp;Analytica!$F$51:'Analytica'!$AY$51,0)),"")</f>
        <v>551.3701241175919</v>
      </c>
      <c r="R69" s="620">
        <f t="array" ref="R69">IFERROR(INDEX(Analytica!$F$59:$AY$138,MATCH($B69,Analytica!$B$59:$B$168,0),MATCH(R$15&amp;R$10,Analytica!$F$58:$AY$58&amp;Analytica!$F$51:'Analytica'!$AY$51,0)),"")</f>
        <v>557.11350212028935</v>
      </c>
      <c r="S69" s="620">
        <f t="array" ref="S69">IFERROR(INDEX(Analytica!$F$59:$AY$138,MATCH($B69,Analytica!$B$59:$B$168,0),MATCH(S$15&amp;S$10,Analytica!$F$58:$AY$58&amp;Analytica!$F$51:'Analytica'!$AY$51,0)),"")</f>
        <v>565.34503849646865</v>
      </c>
      <c r="T69" s="620">
        <f t="array" ref="T69">IFERROR(INDEX(Analytica!$F$59:$AY$138,MATCH($B69,Analytica!$B$59:$B$168,0),MATCH(T$15&amp;T$10,Analytica!$F$58:$AY$58&amp;Analytica!$F$51:'Analytica'!$AY$51,0)),"")</f>
        <v>573.57657487264794</v>
      </c>
      <c r="U69" s="620">
        <f t="array" ref="U69">IFERROR(INDEX(Analytica!$F$59:$AY$138,MATCH($B69,Analytica!$B$59:$B$168,0),MATCH(U$15&amp;U$10,Analytica!$F$58:$AY$58&amp;Analytica!$F$51:'Analytica'!$AY$51,0)),"")</f>
        <v>580.79572210982678</v>
      </c>
      <c r="V69" s="620">
        <f t="array" ref="V69">IFERROR(INDEX(Analytica!$F$59:$AY$138,MATCH($B69,Analytica!$B$59:$B$168,0),MATCH(V$15&amp;V$10,Analytica!$F$58:$AY$58&amp;Analytica!$F$51:'Analytica'!$AY$51,0)),"")</f>
        <v>14.731922145102153</v>
      </c>
      <c r="W69" s="620">
        <f t="array" ref="W69">IFERROR(INDEX(Analytica!$F$59:$AY$138,MATCH($B69,Analytica!$B$59:$B$168,0),MATCH(W$15&amp;W$10,Analytica!$F$58:$AY$58&amp;Analytica!$F$51:'Analytica'!$AY$51,0)),"")</f>
        <v>15.042064557247812</v>
      </c>
      <c r="X69" s="620">
        <f t="array" ref="X69">IFERROR(INDEX(Analytica!$F$59:$AY$138,MATCH($B69,Analytica!$B$59:$B$168,0),MATCH(X$15&amp;X$10,Analytica!$F$58:$AY$58&amp;Analytica!$F$51:'Analytica'!$AY$51,0)),"")</f>
        <v>15.486567521561494</v>
      </c>
      <c r="Y69" s="620">
        <f t="array" ref="Y69">IFERROR(INDEX(Analytica!$F$59:$AY$138,MATCH($B69,Analytica!$B$59:$B$168,0),MATCH(Y$15&amp;Y$10,Analytica!$F$58:$AY$58&amp;Analytica!$F$51:'Analytica'!$AY$51,0)),"")</f>
        <v>15.681484496965323</v>
      </c>
      <c r="Z69" s="694">
        <f>Z68</f>
        <v>20</v>
      </c>
      <c r="AA69" s="694">
        <f t="shared" si="69"/>
        <v>20</v>
      </c>
      <c r="AB69" s="694">
        <f t="shared" si="80"/>
        <v>2025</v>
      </c>
      <c r="AC69" s="1">
        <f t="shared" ca="1" si="70"/>
        <v>52</v>
      </c>
      <c r="AD69" s="1">
        <v>1</v>
      </c>
      <c r="AE69" s="1" t="str">
        <f t="shared" si="71"/>
        <v>S_TFLCV</v>
      </c>
      <c r="AF69" s="1" t="str">
        <f t="shared" si="81"/>
        <v>S_TFLCVGAS</v>
      </c>
      <c r="AG69" s="714" t="str">
        <f t="shared" si="82"/>
        <v>TFLCVGAS-N_L</v>
      </c>
      <c r="AH69" s="1" t="str">
        <f t="shared" si="83"/>
        <v>TFLCVGAS-N_U</v>
      </c>
      <c r="AI69" s="194">
        <v>0</v>
      </c>
      <c r="AJ69" s="699">
        <f>SUMIF(Analytica!$B$59:$B$137,B69,Analytica!$BA$59:$BA$192)</f>
        <v>0</v>
      </c>
      <c r="AK69" s="697" t="e">
        <f>IF($AP$10,BK69,#REF!)</f>
        <v>#REF!</v>
      </c>
      <c r="AL69" s="697" t="e">
        <f t="shared" si="84"/>
        <v>#REF!</v>
      </c>
      <c r="AM69" s="697" t="e">
        <f t="shared" si="84"/>
        <v>#REF!</v>
      </c>
      <c r="AN69" s="697">
        <f t="shared" si="84"/>
        <v>1</v>
      </c>
      <c r="AO69" s="697">
        <f t="shared" si="84"/>
        <v>1</v>
      </c>
      <c r="AP69" s="194">
        <v>1</v>
      </c>
      <c r="AQ69" s="650">
        <f t="shared" si="85"/>
        <v>0</v>
      </c>
      <c r="AR69" s="697" t="e">
        <f>IF($AP$10,BR69,#REF!)</f>
        <v>#REF!</v>
      </c>
      <c r="AS69" s="697" t="e">
        <f t="shared" si="86"/>
        <v>#REF!</v>
      </c>
      <c r="AT69" s="697">
        <f t="shared" si="86"/>
        <v>0</v>
      </c>
      <c r="AU69" s="697">
        <f t="shared" si="86"/>
        <v>0</v>
      </c>
      <c r="AV69" s="697">
        <f t="shared" si="86"/>
        <v>0</v>
      </c>
      <c r="AX69" s="698">
        <f t="shared" si="87"/>
        <v>0</v>
      </c>
      <c r="AY69" s="697" t="e">
        <f>IF(#REF!&lt;&gt;"",(AY$11-#REF!)/(BA$11-#REF!)*(BA69-#REF!)+#REF!,"")</f>
        <v>#REF!</v>
      </c>
      <c r="AZ69" s="697" t="e">
        <f t="shared" si="72"/>
        <v>#REF!</v>
      </c>
      <c r="BA69" s="697">
        <f t="shared" si="77"/>
        <v>1</v>
      </c>
      <c r="BB69" s="697">
        <f t="shared" si="77"/>
        <v>1</v>
      </c>
      <c r="BC69" s="711"/>
      <c r="BD69" s="697">
        <f t="shared" si="73"/>
        <v>0</v>
      </c>
      <c r="BE69" s="697" t="e">
        <f>IF(#REF!&lt;&gt;"",(BE$11-#REF!)/(BG$11-#REF!)*(BG69-#REF!)+#REF!,"")</f>
        <v>#REF!</v>
      </c>
      <c r="BF69" s="697">
        <f t="shared" si="78"/>
        <v>0</v>
      </c>
      <c r="BG69" s="697">
        <f t="shared" si="78"/>
        <v>0</v>
      </c>
      <c r="BH69" s="697">
        <f t="shared" si="78"/>
        <v>0</v>
      </c>
      <c r="BI69" s="692"/>
      <c r="BJ69" s="693">
        <f t="shared" si="88"/>
        <v>0</v>
      </c>
      <c r="BK69" s="697">
        <v>0</v>
      </c>
      <c r="BL69" s="697" t="e">
        <f t="shared" si="79"/>
        <v>#REF!</v>
      </c>
      <c r="BM69" s="697" t="e">
        <f t="shared" si="89"/>
        <v>#REF!</v>
      </c>
      <c r="BN69" s="697">
        <v>0</v>
      </c>
      <c r="BO69" s="697">
        <v>0</v>
      </c>
      <c r="BP69" s="194"/>
      <c r="BQ69" s="650">
        <f t="shared" si="91"/>
        <v>0</v>
      </c>
      <c r="BR69" s="697">
        <f t="shared" si="92"/>
        <v>0</v>
      </c>
      <c r="BS69" s="697" t="e">
        <f t="shared" si="74"/>
        <v>#REF!</v>
      </c>
      <c r="BT69" s="697" t="e">
        <f t="shared" si="93"/>
        <v>#REF!</v>
      </c>
      <c r="BU69" s="697">
        <f t="shared" si="101"/>
        <v>0</v>
      </c>
      <c r="BV69" s="697">
        <f t="shared" si="101"/>
        <v>0</v>
      </c>
      <c r="BW69" s="692"/>
      <c r="BX69" s="707" t="str">
        <f t="shared" si="94"/>
        <v>TFLCVGAS-N</v>
      </c>
      <c r="BY69" s="1" t="str">
        <f t="shared" ca="1" si="95"/>
        <v>-	S_TFLCVGAS	1	TFLCVGAS-N Set	1	10/03/2023 17:53:59	null	((tblITEMS.Item Like "TFLCVGAS-N*"))	null	null	null	null	null	null	null</v>
      </c>
      <c r="BZ69" s="1" t="str">
        <f t="shared" si="96"/>
        <v>-	S_TFLCVGAS	1	1	True	Like "TFLCVGAS-N*"</v>
      </c>
      <c r="CI69" s="1">
        <f t="shared" si="97"/>
        <v>0</v>
      </c>
      <c r="CJ69" s="1">
        <v>36</v>
      </c>
      <c r="CK69" s="625" t="e">
        <f t="shared" si="98"/>
        <v>#DIV/0!</v>
      </c>
      <c r="CL69" s="625" t="e">
        <f>#REF!</f>
        <v>#REF!</v>
      </c>
      <c r="CM69" s="625" t="e">
        <f>CK69/#REF!</f>
        <v>#DIV/0!</v>
      </c>
      <c r="CN69" s="2" t="e">
        <f>#REF!*1000</f>
        <v>#REF!</v>
      </c>
      <c r="CO69" s="2">
        <f t="shared" si="99"/>
        <v>35000</v>
      </c>
      <c r="CP69" s="9" t="e">
        <f t="shared" si="100"/>
        <v>#REF!</v>
      </c>
    </row>
    <row r="70" spans="1:94" x14ac:dyDescent="0.2">
      <c r="A70" s="191" t="str">
        <f>ITEMS_nTech!C61</f>
        <v>Transport Freight - LCV Electricity-N</v>
      </c>
      <c r="B70" s="191" t="str">
        <f>D70&amp;RIGHT(C70,3)&amp;"-N"</f>
        <v>TFLCVELC-N</v>
      </c>
      <c r="C70" s="612" t="str">
        <f>$E$6</f>
        <v>TRAELC</v>
      </c>
      <c r="D70" s="612" t="str">
        <f>TRP!$B$31</f>
        <v>TFLCV</v>
      </c>
      <c r="E70" s="702">
        <f t="array" ref="E70">IFERROR(INDEX(Analytica!$F$59:$AY$138,MATCH($B70,Analytica!$B$59:$B$168,0),MATCH(E$15&amp;E$10,Analytica!$F$58:$AY$58&amp;Analytica!$F$51:'Analytica'!$AY$51,0)),"")</f>
        <v>0.8266944783862078</v>
      </c>
      <c r="F70" s="702">
        <f t="array" ref="F70">IFERROR(INDEX(Analytica!$F$59:$AY$138,MATCH($B70,Analytica!$B$59:$B$168,0),MATCH(F$15&amp;F$10,Analytica!$F$58:$AY$58&amp;Analytica!$F$51:'Analytica'!$AY$51,0)),"")</f>
        <v>0.87356889604720478</v>
      </c>
      <c r="G70" s="702">
        <f t="array" ref="G70">IFERROR(INDEX(Analytica!$F$59:$AY$138,MATCH($B70,Analytica!$B$59:$B$168,0),MATCH(G$15&amp;G$10,Analytica!$F$58:$AY$58&amp;Analytica!$F$51:'Analytica'!$AY$51,0)),"")</f>
        <v>0.96592902511773071</v>
      </c>
      <c r="H70" s="702">
        <f t="array" ref="H70">IFERROR(INDEX(Analytica!$F$59:$AY$138,MATCH($B70,Analytica!$B$59:$B$168,0),MATCH(H$15&amp;H$10,Analytica!$F$58:$AY$58&amp;Analytica!$F$51:'Analytica'!$AY$51,0)),"")</f>
        <v>1.068054146372071</v>
      </c>
      <c r="I70" s="701">
        <v>1</v>
      </c>
      <c r="J70" s="701">
        <v>1</v>
      </c>
      <c r="K70" s="701">
        <v>1</v>
      </c>
      <c r="L70" s="701">
        <v>1</v>
      </c>
      <c r="M70" s="701">
        <v>1</v>
      </c>
      <c r="N70" s="696">
        <f>IF(B70="","",MAX(N$18:N69)+1)</f>
        <v>43</v>
      </c>
      <c r="O70" s="702">
        <f t="array" ref="O70">IFERROR(INDEX(Analytica!$F$59:$AY$138,MATCH($B70,Analytica!$B$59:$B$168,0),MATCH(O$15&amp;O$10,Analytica!$F$58:$AY$58&amp;Analytica!$F$51:'Analytica'!$AY$51,0)),"")</f>
        <v>3.4999999999999996E-2</v>
      </c>
      <c r="P70" s="620">
        <f t="array" ref="P70">IFERROR(INDEX(Analytica!$F$59:$AY$138,MATCH($B70,Analytica!$B$59:$B$168,0),MATCH(P$15&amp;P$10,Analytica!$F$58:$AY$58&amp;Analytica!$F$51:'Analytica'!$AY$51,0)),"")</f>
        <v>820.96300033176112</v>
      </c>
      <c r="Q70" s="620">
        <f t="array" ref="Q70">IFERROR(INDEX(Analytica!$F$59:$AY$138,MATCH($B70,Analytica!$B$59:$B$168,0),MATCH(Q$15&amp;Q$10,Analytica!$F$58:$AY$58&amp;Analytica!$F$51:'Analytica'!$AY$51,0)),"")</f>
        <v>755.33369376548785</v>
      </c>
      <c r="R70" s="620">
        <f t="array" ref="R70">IFERROR(INDEX(Analytica!$F$59:$AY$138,MATCH($B70,Analytica!$B$59:$B$168,0),MATCH(R$15&amp;R$10,Analytica!$F$58:$AY$58&amp;Analytica!$F$51:'Analytica'!$AY$51,0)),"")</f>
        <v>689.70438719921458</v>
      </c>
      <c r="S70" s="620">
        <f t="array" ref="S70">IFERROR(INDEX(Analytica!$F$59:$AY$138,MATCH($B70,Analytica!$B$59:$B$168,0),MATCH(S$15&amp;S$10,Analytica!$F$58:$AY$58&amp;Analytica!$F$51:'Analytica'!$AY$51,0)),"")</f>
        <v>696.54423846668703</v>
      </c>
      <c r="T70" s="620">
        <f t="array" ref="T70">IFERROR(INDEX(Analytica!$F$59:$AY$138,MATCH($B70,Analytica!$B$59:$B$168,0),MATCH(T$15&amp;T$10,Analytica!$F$58:$AY$58&amp;Analytica!$F$51:'Analytica'!$AY$51,0)),"")</f>
        <v>379.44034929486759</v>
      </c>
      <c r="U70" s="620">
        <f t="array" ref="U70">IFERROR(INDEX(Analytica!$F$59:$AY$138,MATCH($B70,Analytica!$B$59:$B$168,0),MATCH(U$15&amp;U$10,Analytica!$F$58:$AY$58&amp;Analytica!$F$51:'Analytica'!$AY$51,0)),"")</f>
        <v>387.39622422821134</v>
      </c>
      <c r="V70" s="620">
        <f t="array" ref="V70">IFERROR(INDEX(Analytica!$F$59:$AY$138,MATCH($B70,Analytica!$B$59:$B$168,0),MATCH(V$15&amp;V$10,Analytica!$F$58:$AY$58&amp;Analytica!$F$51:'Analytica'!$AY$51,0)),"")</f>
        <v>16.624500756718163</v>
      </c>
      <c r="W70" s="620">
        <f t="array" ref="W70">IFERROR(INDEX(Analytica!$F$59:$AY$138,MATCH($B70,Analytica!$B$59:$B$168,0),MATCH(W$15&amp;W$10,Analytica!$F$58:$AY$58&amp;Analytica!$F$51:'Analytica'!$AY$51,0)),"")</f>
        <v>13.966513840784096</v>
      </c>
      <c r="X70" s="620">
        <f t="array" ref="X70">IFERROR(INDEX(Analytica!$F$59:$AY$138,MATCH($B70,Analytica!$B$59:$B$168,0),MATCH(X$15&amp;X$10,Analytica!$F$58:$AY$58&amp;Analytica!$F$51:'Analytica'!$AY$51,0)),"")</f>
        <v>7.683667073221069</v>
      </c>
      <c r="Y70" s="620">
        <f t="array" ref="Y70">IFERROR(INDEX(Analytica!$F$59:$AY$138,MATCH($B70,Analytica!$B$59:$B$168,0),MATCH(Y$15&amp;Y$10,Analytica!$F$58:$AY$58&amp;Analytica!$F$51:'Analytica'!$AY$51,0)),"")</f>
        <v>7.8447735406212802</v>
      </c>
      <c r="Z70" s="694">
        <f>Z69</f>
        <v>20</v>
      </c>
      <c r="AA70" s="694">
        <f t="shared" si="69"/>
        <v>20</v>
      </c>
      <c r="AB70" s="694">
        <f t="shared" si="80"/>
        <v>2025</v>
      </c>
      <c r="AC70" s="1">
        <f t="shared" ca="1" si="70"/>
        <v>53</v>
      </c>
      <c r="AD70" s="1">
        <v>1</v>
      </c>
      <c r="AE70" s="1" t="str">
        <f t="shared" si="71"/>
        <v>S_TFLCV</v>
      </c>
      <c r="AF70" s="1" t="str">
        <f t="shared" si="81"/>
        <v>S_TFLCVELC</v>
      </c>
      <c r="AG70" s="1" t="str">
        <f t="shared" si="82"/>
        <v>TFLCVELC-N_L</v>
      </c>
      <c r="AH70" s="1" t="str">
        <f t="shared" si="83"/>
        <v>TFLCVELC-N_U</v>
      </c>
      <c r="AI70" s="194">
        <v>0</v>
      </c>
      <c r="AJ70" s="699">
        <f>SUMIF(Analytica!$B$59:$B$137,B70,Analytica!$BA$59:$BA$192)</f>
        <v>0</v>
      </c>
      <c r="AK70" s="697" t="e">
        <f>IF($AP$10,BK70,#REF!)</f>
        <v>#REF!</v>
      </c>
      <c r="AL70" s="697" t="e">
        <f t="shared" si="84"/>
        <v>#REF!</v>
      </c>
      <c r="AM70" s="697" t="e">
        <f t="shared" si="84"/>
        <v>#REF!</v>
      </c>
      <c r="AN70" s="697">
        <f t="shared" si="84"/>
        <v>1</v>
      </c>
      <c r="AO70" s="697">
        <f t="shared" si="84"/>
        <v>1</v>
      </c>
      <c r="AP70" s="194">
        <v>1</v>
      </c>
      <c r="AQ70" s="650">
        <f t="shared" si="85"/>
        <v>0</v>
      </c>
      <c r="AR70" s="697" t="e">
        <f>IF($AP$10,BR70,#REF!)</f>
        <v>#REF!</v>
      </c>
      <c r="AS70" s="697" t="e">
        <f t="shared" si="86"/>
        <v>#REF!</v>
      </c>
      <c r="AT70" s="697">
        <f t="shared" si="86"/>
        <v>0</v>
      </c>
      <c r="AU70" s="697">
        <f t="shared" si="86"/>
        <v>0</v>
      </c>
      <c r="AV70" s="697">
        <f t="shared" si="86"/>
        <v>0</v>
      </c>
      <c r="AX70" s="698">
        <f t="shared" si="87"/>
        <v>0</v>
      </c>
      <c r="AY70" s="697" t="e">
        <f>IF(#REF!&lt;&gt;"",(AY$11-#REF!)/(BA$11-#REF!)*(BA70-#REF!)+#REF!,"")</f>
        <v>#REF!</v>
      </c>
      <c r="AZ70" s="697" t="e">
        <f t="shared" si="72"/>
        <v>#REF!</v>
      </c>
      <c r="BA70" s="697">
        <f t="shared" si="77"/>
        <v>1</v>
      </c>
      <c r="BB70" s="697">
        <f t="shared" si="77"/>
        <v>1</v>
      </c>
      <c r="BC70" s="711"/>
      <c r="BD70" s="697">
        <f t="shared" si="73"/>
        <v>0</v>
      </c>
      <c r="BE70" s="697" t="e">
        <f>IF(#REF!&lt;&gt;"",(BE$11-#REF!)/(BG$11-#REF!)*(BG70-#REF!)+#REF!,"")</f>
        <v>#REF!</v>
      </c>
      <c r="BF70" s="697">
        <f t="shared" si="78"/>
        <v>0</v>
      </c>
      <c r="BG70" s="697">
        <f t="shared" si="78"/>
        <v>0</v>
      </c>
      <c r="BH70" s="697">
        <f t="shared" si="78"/>
        <v>0</v>
      </c>
      <c r="BI70" s="692"/>
      <c r="BJ70" s="693">
        <f t="shared" si="88"/>
        <v>0</v>
      </c>
      <c r="BK70" s="697">
        <v>1</v>
      </c>
      <c r="BL70" s="697" t="e">
        <f t="shared" si="79"/>
        <v>#REF!</v>
      </c>
      <c r="BM70" s="697" t="e">
        <f t="shared" si="89"/>
        <v>#REF!</v>
      </c>
      <c r="BN70" s="697">
        <v>1</v>
      </c>
      <c r="BO70" s="697">
        <v>1</v>
      </c>
      <c r="BP70" s="194"/>
      <c r="BQ70" s="650">
        <f t="shared" si="91"/>
        <v>0</v>
      </c>
      <c r="BR70" s="697">
        <f t="shared" si="92"/>
        <v>0</v>
      </c>
      <c r="BS70" s="697" t="e">
        <f t="shared" si="74"/>
        <v>#REF!</v>
      </c>
      <c r="BT70" s="697" t="e">
        <f t="shared" si="93"/>
        <v>#REF!</v>
      </c>
      <c r="BU70" s="697">
        <f t="shared" si="101"/>
        <v>0</v>
      </c>
      <c r="BV70" s="697">
        <f t="shared" si="101"/>
        <v>0</v>
      </c>
      <c r="BW70" s="692"/>
      <c r="BX70" s="1" t="str">
        <f t="shared" si="94"/>
        <v>TFLCVELC-N</v>
      </c>
      <c r="BY70" s="1" t="str">
        <f t="shared" ca="1" si="95"/>
        <v>-	S_TFLCVELC	1	TFLCVELC-N Set	1	10/03/2023 17:53:59	null	((tblITEMS.Item Like "TFLCVELC-N*"))	null	null	null	null	null	null	null</v>
      </c>
      <c r="BZ70" s="1" t="str">
        <f t="shared" si="96"/>
        <v>-	S_TFLCVELC	1	1	True	Like "TFLCVELC-N*"</v>
      </c>
      <c r="CI70" s="1">
        <f t="shared" si="97"/>
        <v>0</v>
      </c>
      <c r="CJ70" s="1">
        <v>37</v>
      </c>
      <c r="CK70" s="625" t="e">
        <f t="shared" si="98"/>
        <v>#DIV/0!</v>
      </c>
      <c r="CL70" s="625" t="e">
        <f>#REF!</f>
        <v>#REF!</v>
      </c>
      <c r="CM70" s="625" t="e">
        <f>CK70/#REF!</f>
        <v>#DIV/0!</v>
      </c>
      <c r="CN70" s="2" t="e">
        <f>#REF!*1000</f>
        <v>#REF!</v>
      </c>
      <c r="CO70" s="2">
        <f t="shared" si="99"/>
        <v>35000</v>
      </c>
      <c r="CP70" s="9" t="e">
        <f t="shared" si="100"/>
        <v>#REF!</v>
      </c>
    </row>
    <row r="71" spans="1:94" x14ac:dyDescent="0.2">
      <c r="A71" s="191" t="s">
        <v>1124</v>
      </c>
      <c r="B71" s="191"/>
      <c r="C71" s="612"/>
      <c r="D71" s="612"/>
      <c r="E71" s="702" t="str">
        <f t="array" ref="E71">IFERROR(INDEX(Analytica!$F$59:$AY$138,MATCH($B71,Analytica!$B$59:$B$168,0),MATCH(E$15&amp;E$10,Analytica!$F$58:$AY$58&amp;Analytica!$F$51:'Analytica'!$AY$51,0)),"")</f>
        <v/>
      </c>
      <c r="F71" s="702" t="str">
        <f t="array" ref="F71">IFERROR(INDEX(Analytica!$F$59:$AY$138,MATCH($B71,Analytica!$B$59:$B$168,0),MATCH(F$15&amp;F$10,Analytica!$F$58:$AY$58&amp;Analytica!$F$51:'Analytica'!$AY$51,0)),"")</f>
        <v/>
      </c>
      <c r="G71" s="702" t="str">
        <f t="array" ref="G71">IFERROR(INDEX(Analytica!$F$59:$AY$138,MATCH($B71,Analytica!$B$59:$B$168,0),MATCH(G$15&amp;G$10,Analytica!$F$58:$AY$58&amp;Analytica!$F$51:'Analytica'!$AY$51,0)),"")</f>
        <v/>
      </c>
      <c r="H71" s="702" t="str">
        <f t="array" ref="H71">IFERROR(INDEX(Analytica!$F$59:$AY$138,MATCH($B71,Analytica!$B$59:$B$168,0),MATCH(H$15&amp;H$10,Analytica!$F$58:$AY$58&amp;Analytica!$F$51:'Analytica'!$AY$51,0)),"")</f>
        <v/>
      </c>
      <c r="I71" s="701">
        <v>1</v>
      </c>
      <c r="J71" s="701">
        <v>1</v>
      </c>
      <c r="K71" s="701">
        <v>1</v>
      </c>
      <c r="L71" s="701">
        <v>1</v>
      </c>
      <c r="M71" s="701">
        <v>1</v>
      </c>
      <c r="N71" s="696" t="str">
        <f>IF(B71="","",MAX(N$18:N70)+1)</f>
        <v/>
      </c>
      <c r="O71" s="702" t="str">
        <f t="array" ref="O71">IFERROR(INDEX(Analytica!$F$59:$AY$138,MATCH($B71,Analytica!$B$59:$B$168,0),MATCH(O$15&amp;O$10,Analytica!$F$58:$AY$58&amp;Analytica!$F$51:'Analytica'!$AY$51,0)),"")</f>
        <v/>
      </c>
      <c r="P71" s="620" t="str">
        <f t="array" ref="P71">IFERROR(INDEX(Analytica!$F$59:$AY$138,MATCH($B71,Analytica!$B$59:$B$168,0),MATCH(P$15&amp;P$10,Analytica!$F$58:$AY$58&amp;Analytica!$F$51:'Analytica'!$AY$51,0)),"")</f>
        <v/>
      </c>
      <c r="Q71" s="620" t="str">
        <f t="array" ref="Q71">IFERROR(INDEX(Analytica!$F$59:$AY$138,MATCH($B71,Analytica!$B$59:$B$168,0),MATCH(Q$15&amp;Q$10,Analytica!$F$58:$AY$58&amp;Analytica!$F$51:'Analytica'!$AY$51,0)),"")</f>
        <v/>
      </c>
      <c r="R71" s="620" t="str">
        <f t="array" ref="R71">IFERROR(INDEX(Analytica!$F$59:$AY$138,MATCH($B71,Analytica!$B$59:$B$168,0),MATCH(R$15&amp;R$10,Analytica!$F$58:$AY$58&amp;Analytica!$F$51:'Analytica'!$AY$51,0)),"")</f>
        <v/>
      </c>
      <c r="S71" s="620" t="str">
        <f t="array" ref="S71">IFERROR(INDEX(Analytica!$F$59:$AY$138,MATCH($B71,Analytica!$B$59:$B$168,0),MATCH(S$15&amp;S$10,Analytica!$F$58:$AY$58&amp;Analytica!$F$51:'Analytica'!$AY$51,0)),"")</f>
        <v/>
      </c>
      <c r="T71" s="620" t="str">
        <f t="array" ref="T71">IFERROR(INDEX(Analytica!$F$59:$AY$138,MATCH($B71,Analytica!$B$59:$B$168,0),MATCH(T$15&amp;T$10,Analytica!$F$58:$AY$58&amp;Analytica!$F$51:'Analytica'!$AY$51,0)),"")</f>
        <v/>
      </c>
      <c r="U71" s="620" t="str">
        <f t="array" ref="U71">IFERROR(INDEX(Analytica!$F$59:$AY$138,MATCH($B71,Analytica!$B$59:$B$168,0),MATCH(U$15&amp;U$10,Analytica!$F$58:$AY$58&amp;Analytica!$F$51:'Analytica'!$AY$51,0)),"")</f>
        <v/>
      </c>
      <c r="V71" s="620" t="str">
        <f>IFERROR(INDEX(Analytica!$F$59:$AY$138,MATCH($B71,Analytica!$B$59:$B$168,0),MATCH(V$15&amp;V$10,Analytica!$F$58:$AY$58&amp;Analytica!$F$51:'Analytica'!$AY$51,0)),"")</f>
        <v/>
      </c>
      <c r="W71" s="620" t="str">
        <f t="array" ref="W71">IFERROR(INDEX(Analytica!$F$59:$AY$138,MATCH($B71,Analytica!$B$59:$B$168,0),MATCH(W$15&amp;W$10,Analytica!$F$58:$AY$58&amp;Analytica!$F$51:'Analytica'!$AY$51,0)),"")</f>
        <v/>
      </c>
      <c r="X71" s="620" t="str">
        <f t="array" ref="X71">IFERROR(INDEX(Analytica!$F$59:$AY$138,MATCH($B71,Analytica!$B$59:$B$168,0),MATCH(X$15&amp;X$10,Analytica!$F$58:$AY$58&amp;Analytica!$F$51:'Analytica'!$AY$51,0)),"")</f>
        <v/>
      </c>
      <c r="Y71" s="620" t="str">
        <f t="array" ref="Y71">IFERROR(INDEX(Analytica!$F$59:$AY$138,MATCH($B71,Analytica!$B$59:$B$168,0),MATCH(Y$15&amp;Y$10,Analytica!$F$58:$AY$58&amp;Analytica!$F$51:'Analytica'!$AY$51,0)),"")</f>
        <v/>
      </c>
      <c r="Z71" s="694"/>
      <c r="AA71" s="694">
        <f t="shared" si="69"/>
        <v>0</v>
      </c>
      <c r="AB71" s="694">
        <f t="shared" si="80"/>
        <v>2018</v>
      </c>
      <c r="AC71" s="1">
        <f t="shared" ca="1" si="70"/>
        <v>54</v>
      </c>
      <c r="AE71" s="1" t="str">
        <f t="shared" si="71"/>
        <v>S_</v>
      </c>
      <c r="AF71" s="1" t="str">
        <f>AE67</f>
        <v>S_TFLCV</v>
      </c>
      <c r="AG71" s="1"/>
      <c r="AI71" s="194">
        <v>0</v>
      </c>
      <c r="AJ71" s="699"/>
      <c r="AM71" s="1"/>
      <c r="AP71" s="194">
        <v>1</v>
      </c>
      <c r="AT71" s="1"/>
      <c r="AX71" s="698"/>
      <c r="AY71" s="697" t="e">
        <f>IF(#REF!&lt;&gt;"",(AY$11-#REF!)/(BA$11-#REF!)*(BA71-#REF!)+#REF!,"")</f>
        <v>#REF!</v>
      </c>
      <c r="AZ71" s="697" t="e">
        <f t="shared" si="72"/>
        <v>#REF!</v>
      </c>
      <c r="BA71" s="697">
        <f t="shared" si="77"/>
        <v>1</v>
      </c>
      <c r="BB71" s="697">
        <f t="shared" si="77"/>
        <v>1</v>
      </c>
      <c r="BC71" s="711"/>
      <c r="BD71" s="697">
        <f t="shared" si="73"/>
        <v>0</v>
      </c>
      <c r="BE71" s="697" t="e">
        <f>IF(#REF!&lt;&gt;"",(BE$11-#REF!)/(BG$11-#REF!)*(BG71-#REF!)+#REF!,"")</f>
        <v>#REF!</v>
      </c>
      <c r="BF71" s="697">
        <f t="shared" si="78"/>
        <v>0</v>
      </c>
      <c r="BG71" s="697">
        <f t="shared" si="78"/>
        <v>0</v>
      </c>
      <c r="BH71" s="697">
        <f t="shared" si="78"/>
        <v>0</v>
      </c>
      <c r="BI71" s="692"/>
      <c r="BJ71" s="693"/>
      <c r="BL71" s="1" t="str">
        <f t="shared" si="79"/>
        <v/>
      </c>
      <c r="BP71" s="194"/>
      <c r="BS71" s="1" t="str">
        <f t="shared" si="74"/>
        <v/>
      </c>
      <c r="BT71" s="1"/>
      <c r="BW71" s="692"/>
      <c r="BX71" s="1" t="str">
        <f>D67</f>
        <v>TFLCV</v>
      </c>
      <c r="BY71" s="1" t="str">
        <f t="shared" ca="1" si="95"/>
        <v>-	S_TFLCV	1	TFLCV Set	1	10/03/2023 17:53:59	null	((tblITEMS.Item Like "TFLCV*"))	null	null	null	null	null	null	null</v>
      </c>
      <c r="BZ71" s="1" t="str">
        <f t="shared" si="96"/>
        <v>-	S_TFLCV	1	1	True	Like "TFLCV*"</v>
      </c>
      <c r="CK71" s="625"/>
      <c r="CL71" s="625"/>
      <c r="CM71" s="625"/>
      <c r="CN71" s="2"/>
      <c r="CO71" s="2"/>
      <c r="CP71" s="9"/>
    </row>
    <row r="72" spans="1:94" x14ac:dyDescent="0.2">
      <c r="A72" s="191" t="str">
        <f>ITEMS_nTech!C63</f>
        <v>Transport Freight - HCV1 Oil Diesel-N</v>
      </c>
      <c r="B72" s="191" t="str">
        <f t="shared" ref="B72:B107" si="102">D72&amp;RIGHT(C72,3)&amp;"-N"</f>
        <v>TFHCV1ODS-N</v>
      </c>
      <c r="C72" s="612" t="str">
        <f>D6</f>
        <v>TRAODS</v>
      </c>
      <c r="D72" s="612" t="str">
        <f>TRP!$B$32</f>
        <v>TFHCV1</v>
      </c>
      <c r="E72" s="702">
        <f t="array" ref="E72">IFERROR(INDEX(Analytica!$F$59:$AY$138,MATCH($B72,Analytica!$B$59:$B$168,0),MATCH(E$15&amp;E$10,Analytica!$F$58:$AY$58&amp;Analytica!$F$51:'Analytica'!$AY$51,0)),"")</f>
        <v>0.17083617224509673</v>
      </c>
      <c r="F72" s="702">
        <f t="array" ref="F72">IFERROR(INDEX(Analytica!$F$59:$AY$138,MATCH($B72,Analytica!$B$59:$B$168,0),MATCH(F$15&amp;F$10,Analytica!$F$58:$AY$58&amp;Analytica!$F$51:'Analytica'!$AY$51,0)),"")</f>
        <v>0.18052275694934541</v>
      </c>
      <c r="G72" s="702">
        <f t="array" ref="G72">IFERROR(INDEX(Analytica!$F$59:$AY$138,MATCH($B72,Analytica!$B$59:$B$168,0),MATCH(G$15&amp;G$10,Analytica!$F$58:$AY$58&amp;Analytica!$F$51:'Analytica'!$AY$51,0)),"")</f>
        <v>0.19960895061701436</v>
      </c>
      <c r="H72" s="702">
        <f t="array" ref="H72">IFERROR(INDEX(Analytica!$F$59:$AY$138,MATCH($B72,Analytica!$B$59:$B$168,0),MATCH(H$15&amp;H$10,Analytica!$F$58:$AY$58&amp;Analytica!$F$51:'Analytica'!$AY$51,0)),"")</f>
        <v>0.22071307706432722</v>
      </c>
      <c r="I72" s="701">
        <v>1</v>
      </c>
      <c r="J72" s="701">
        <v>1</v>
      </c>
      <c r="K72" s="701">
        <v>1</v>
      </c>
      <c r="L72" s="701">
        <v>1</v>
      </c>
      <c r="M72" s="701">
        <v>1</v>
      </c>
      <c r="N72" s="696">
        <f>IF(B72="","",MAX(N$18:N71)+1)</f>
        <v>44</v>
      </c>
      <c r="O72" s="702">
        <f t="array" ref="O72">IFERROR(INDEX(Analytica!$F$59:$AY$138,MATCH($B72,Analytica!$B$59:$B$168,0),MATCH(O$15&amp;O$10,Analytica!$F$58:$AY$58&amp;Analytica!$F$51:'Analytica'!$AY$51,0)),"")</f>
        <v>5.5E-2</v>
      </c>
      <c r="P72" s="620">
        <f t="array" ref="P72">IFERROR(INDEX(Analytica!$F$59:$AY$138,MATCH($B72,Analytica!$B$59:$B$168,0),MATCH(P$15&amp;P$10,Analytica!$F$58:$AY$58&amp;Analytica!$F$51:'Analytica'!$AY$51,0)),"")</f>
        <v>402.00166891362699</v>
      </c>
      <c r="Q72" s="620">
        <f t="array" ref="Q72">IFERROR(INDEX(Analytica!$F$59:$AY$138,MATCH($B72,Analytica!$B$59:$B$168,0),MATCH(Q$15&amp;Q$10,Analytica!$F$58:$AY$58&amp;Analytica!$F$51:'Analytica'!$AY$51,0)),"")</f>
        <v>387.50790448205998</v>
      </c>
      <c r="R72" s="620">
        <f t="array" ref="R72">IFERROR(INDEX(Analytica!$F$59:$AY$138,MATCH($B72,Analytica!$B$59:$B$168,0),MATCH(R$15&amp;R$10,Analytica!$F$58:$AY$58&amp;Analytica!$F$51:'Analytica'!$AY$51,0)),"")</f>
        <v>399.39253951289021</v>
      </c>
      <c r="S72" s="620">
        <f t="array" ref="S72">IFERROR(INDEX(Analytica!$F$59:$AY$138,MATCH($B72,Analytica!$B$59:$B$168,0),MATCH(S$15&amp;S$10,Analytica!$F$58:$AY$58&amp;Analytica!$F$51:'Analytica'!$AY$51,0)),"")</f>
        <v>410.03542818395528</v>
      </c>
      <c r="T72" s="620">
        <f t="array" ref="T72">IFERROR(INDEX(Analytica!$F$59:$AY$138,MATCH($B72,Analytica!$B$59:$B$168,0),MATCH(T$15&amp;T$10,Analytica!$F$58:$AY$58&amp;Analytica!$F$51:'Analytica'!$AY$51,0)),"")</f>
        <v>420.67831685502017</v>
      </c>
      <c r="U72" s="620">
        <f t="array" ref="U72">IFERROR(INDEX(Analytica!$F$59:$AY$138,MATCH($B72,Analytica!$B$59:$B$168,0),MATCH(U$15&amp;U$10,Analytica!$F$58:$AY$58&amp;Analytica!$F$51:'Analytica'!$AY$51,0)),"")</f>
        <v>434.65442291837672</v>
      </c>
      <c r="V72" s="620">
        <f t="array" ref="V72">IFERROR(INDEX(Analytica!$F$59:$AY$138,MATCH($B72,Analytica!$B$59:$B$168,0),MATCH(V$15&amp;V$10,Analytica!$F$58:$AY$58&amp;Analytica!$F$51:'Analytica'!$AY$51,0)),"")</f>
        <v>10.854045060667929</v>
      </c>
      <c r="W72" s="620">
        <f t="array" ref="W72">IFERROR(INDEX(Analytica!$F$59:$AY$138,MATCH($B72,Analytica!$B$59:$B$168,0),MATCH(W$15&amp;W$10,Analytica!$F$58:$AY$58&amp;Analytica!$F$51:'Analytica'!$AY$51,0)),"")</f>
        <v>10.783598566848035</v>
      </c>
      <c r="X72" s="620">
        <f t="array" ref="X72">IFERROR(INDEX(Analytica!$F$59:$AY$138,MATCH($B72,Analytica!$B$59:$B$168,0),MATCH(X$15&amp;X$10,Analytica!$F$58:$AY$58&amp;Analytica!$F$51:'Analytica'!$AY$51,0)),"")</f>
        <v>11.358314555085544</v>
      </c>
      <c r="Y72" s="620">
        <f t="array" ref="Y72">IFERROR(INDEX(Analytica!$F$59:$AY$138,MATCH($B72,Analytica!$B$59:$B$168,0),MATCH(Y$15&amp;Y$10,Analytica!$F$58:$AY$58&amp;Analytica!$F$51:'Analytica'!$AY$51,0)),"")</f>
        <v>11.735669418796171</v>
      </c>
      <c r="Z72" s="694">
        <v>20</v>
      </c>
      <c r="AA72" s="694">
        <f t="shared" si="69"/>
        <v>20</v>
      </c>
      <c r="AB72" s="694">
        <f t="shared" si="80"/>
        <v>2018</v>
      </c>
      <c r="AC72" s="1">
        <f t="shared" ca="1" si="70"/>
        <v>55</v>
      </c>
      <c r="AE72" s="1" t="str">
        <f t="shared" si="71"/>
        <v>S_TFHCV1</v>
      </c>
      <c r="AF72" s="1" t="str">
        <f t="shared" ref="AF72:AF107" si="103">IF(B72="","","S_"&amp;LEFT(B72,LEN(B72)-2))</f>
        <v>S_TFHCV1ODS</v>
      </c>
      <c r="AG72" s="1" t="str">
        <f t="shared" ref="AG72:AG107" si="104">B72&amp;"_L"</f>
        <v>TFHCV1ODS-N_L</v>
      </c>
      <c r="AH72" s="1" t="str">
        <f t="shared" ref="AH72:AH107" si="105">B72&amp;"_U"</f>
        <v>TFHCV1ODS-N_U</v>
      </c>
      <c r="AI72" s="194">
        <v>0</v>
      </c>
      <c r="AJ72" s="699">
        <f>SUMIF(Analytica!$B$59:$B$137,B72,Analytica!$BA$59:$BA$192)</f>
        <v>1</v>
      </c>
      <c r="AK72" s="697" t="e">
        <f>IF($AP$10,BK72,#REF!)</f>
        <v>#REF!</v>
      </c>
      <c r="AL72" s="697" t="e">
        <f t="shared" ref="AL72:AL107" si="106">IF($AP$10,BL72,AY72)</f>
        <v>#REF!</v>
      </c>
      <c r="AM72" s="697" t="e">
        <f t="shared" ref="AM72:AM107" si="107">IF($AP$10,BM72,AZ72)</f>
        <v>#REF!</v>
      </c>
      <c r="AN72" s="697">
        <f t="shared" ref="AN72:AN107" si="108">IF($AP$10,BN72,BA72)</f>
        <v>1</v>
      </c>
      <c r="AO72" s="697">
        <f t="shared" ref="AO72:AO107" si="109">IF($AP$10,BO72,BB72)</f>
        <v>1</v>
      </c>
      <c r="AP72" s="194">
        <v>1</v>
      </c>
      <c r="AQ72" s="697">
        <f t="shared" ref="AQ72:AQ107" si="110">AJ72</f>
        <v>1</v>
      </c>
      <c r="AR72" s="697" t="e">
        <f>IF($AP$10,BR72,#REF!)</f>
        <v>#REF!</v>
      </c>
      <c r="AS72" s="697" t="e">
        <f t="shared" ref="AS72:AS107" si="111">IF($AP$10,BS72,BE72)</f>
        <v>#REF!</v>
      </c>
      <c r="AT72" s="697">
        <f t="shared" ref="AT72:AT107" si="112">IF($AP$10,BT72,BF72)</f>
        <v>0.5</v>
      </c>
      <c r="AU72" s="697">
        <f t="shared" ref="AU72:AU107" si="113">IF($AP$10,BU72,BG72)</f>
        <v>0</v>
      </c>
      <c r="AV72" s="697">
        <f t="shared" ref="AV72:AV107" si="114">IF($AP$10,BV72,BH72)</f>
        <v>0</v>
      </c>
      <c r="AX72" s="698">
        <f t="shared" ref="AX72:AX107" si="115">$AJ72</f>
        <v>1</v>
      </c>
      <c r="AY72" s="697" t="e">
        <f>IF(#REF!&lt;&gt;"",(AY$11-#REF!)/(BA$11-#REF!)*(BA72-#REF!)+#REF!,"")</f>
        <v>#REF!</v>
      </c>
      <c r="AZ72" s="697" t="e">
        <f t="shared" si="72"/>
        <v>#REF!</v>
      </c>
      <c r="BA72" s="697">
        <f t="shared" si="77"/>
        <v>1</v>
      </c>
      <c r="BB72" s="697">
        <f t="shared" si="77"/>
        <v>1</v>
      </c>
      <c r="BC72" s="711"/>
      <c r="BD72" s="697">
        <f t="shared" si="73"/>
        <v>1</v>
      </c>
      <c r="BE72" s="697" t="e">
        <f>IF(#REF!&lt;&gt;"",(BE$11-#REF!)/(BG$11-#REF!)*(BG72-#REF!)+#REF!,"")</f>
        <v>#REF!</v>
      </c>
      <c r="BF72" s="697">
        <f t="shared" si="78"/>
        <v>0.5</v>
      </c>
      <c r="BG72" s="697">
        <f t="shared" si="78"/>
        <v>0</v>
      </c>
      <c r="BH72" s="697">
        <f t="shared" si="78"/>
        <v>0</v>
      </c>
      <c r="BI72" s="692"/>
      <c r="BJ72" s="693">
        <f t="shared" ref="BJ72:BJ107" si="116">$AJ72</f>
        <v>1</v>
      </c>
      <c r="BK72" s="697">
        <f t="shared" ref="BK72:BK81" si="117">MIN(1,$AJ72+BK$12)</f>
        <v>1</v>
      </c>
      <c r="BL72" s="697" t="e">
        <f t="shared" si="79"/>
        <v>#REF!</v>
      </c>
      <c r="BM72" s="697" t="e">
        <f t="shared" ref="BM72:BM107" si="118">BL72+(BM$11-BL$11)/(BN$11-BL$11)*(BN72-BL72)</f>
        <v>#REF!</v>
      </c>
      <c r="BN72" s="697">
        <f t="shared" ref="BN72:BO81" si="119">MIN(1,$AJ72+BN$12)</f>
        <v>1</v>
      </c>
      <c r="BO72" s="697">
        <f t="shared" si="119"/>
        <v>1</v>
      </c>
      <c r="BP72" s="194"/>
      <c r="BQ72" s="650">
        <f t="shared" ref="BQ72:BQ107" si="120">AJ72</f>
        <v>1</v>
      </c>
      <c r="BR72" s="697">
        <f t="shared" ref="BR72:BR107" si="121">$AQ72*BR$12</f>
        <v>1</v>
      </c>
      <c r="BS72" s="697" t="e">
        <f t="shared" si="74"/>
        <v>#REF!</v>
      </c>
      <c r="BT72" s="697" t="e">
        <f t="shared" ref="BT72:BT107" si="122">BS72+(BT$11-BS$11)/(BU$11-BS$11)*(BU72-BS72)</f>
        <v>#REF!</v>
      </c>
      <c r="BU72" s="697">
        <f t="shared" ref="BU72:BV107" si="123">$AQ72*BU$12</f>
        <v>0.25</v>
      </c>
      <c r="BV72" s="697">
        <f t="shared" si="123"/>
        <v>0.1</v>
      </c>
      <c r="BW72" s="692"/>
      <c r="BX72" s="1" t="str">
        <f t="shared" ref="BX72:BX93" si="124">B72</f>
        <v>TFHCV1ODS-N</v>
      </c>
      <c r="BY72" s="1" t="str">
        <f t="shared" ca="1" si="95"/>
        <v>-	S_TFHCV1ODS	1	TFHCV1ODS-N Set	1	10/03/2023 17:53:59	null	((tblITEMS.Item Like "TFHCV1ODS-N*"))	null	null	null	null	null	null	null</v>
      </c>
      <c r="BZ72" s="1" t="str">
        <f t="shared" si="96"/>
        <v>-	S_TFHCV1ODS	1	1	True	Like "TFHCV1ODS-N*"</v>
      </c>
      <c r="CI72" s="1">
        <f t="shared" ref="CI72:CI91" si="125">SUMIF($CI$10:$CI$11,RIGHT(C72,3),$CJ$10:$CJ$11)</f>
        <v>38.1</v>
      </c>
      <c r="CJ72" s="1">
        <v>38</v>
      </c>
      <c r="CK72" s="625">
        <f t="shared" ref="CK72:CK90" si="126">CJ72/CI72</f>
        <v>0.99737532808398943</v>
      </c>
      <c r="CL72" s="625" t="e">
        <f>#REF!</f>
        <v>#REF!</v>
      </c>
      <c r="CM72" s="625" t="e">
        <f>CK72/#REF!</f>
        <v>#REF!</v>
      </c>
      <c r="CN72" s="2" t="e">
        <f>#REF!*1000</f>
        <v>#REF!</v>
      </c>
      <c r="CO72" s="2">
        <f t="shared" ref="CO72:CO90" si="127">O72*1000000</f>
        <v>55000</v>
      </c>
      <c r="CP72" s="9" t="e">
        <f t="shared" ref="CP72:CP90" si="128">-PMT($CL$14,Z72,CN72)/CO72</f>
        <v>#REF!</v>
      </c>
    </row>
    <row r="73" spans="1:94" x14ac:dyDescent="0.2">
      <c r="A73" s="191" t="str">
        <f>ITEMS_nTech!C64</f>
        <v>Transport Freight - HCV1 Oil Gasoline-N</v>
      </c>
      <c r="B73" s="191" t="str">
        <f t="shared" si="102"/>
        <v>TFHCV1OGS-N</v>
      </c>
      <c r="C73" s="612" t="str">
        <f>G6</f>
        <v>TRAOGS</v>
      </c>
      <c r="D73" s="612" t="str">
        <f>TRP!B32</f>
        <v>TFHCV1</v>
      </c>
      <c r="E73" s="702">
        <f>1.08 * E72</f>
        <v>0.18450306602470448</v>
      </c>
      <c r="F73" s="702">
        <f>1.08 * F72</f>
        <v>0.19496457750529306</v>
      </c>
      <c r="G73" s="702">
        <f>1.08 * G72</f>
        <v>0.21557766666637554</v>
      </c>
      <c r="H73" s="702">
        <f>1.08 * H72</f>
        <v>0.2383701232294734</v>
      </c>
      <c r="I73" s="701">
        <v>1</v>
      </c>
      <c r="J73" s="701">
        <v>1</v>
      </c>
      <c r="K73" s="701">
        <v>1</v>
      </c>
      <c r="L73" s="701">
        <v>1</v>
      </c>
      <c r="M73" s="701">
        <v>1</v>
      </c>
      <c r="N73" s="696">
        <f>IF(B73="","",MAX(N$18:N72)+1)</f>
        <v>45</v>
      </c>
      <c r="O73" s="702">
        <f t="array" ref="O73">IFERROR(INDEX(Analytica!$F$59:$AY$138,MATCH($B73,Analytica!$B$59:$B$168,0),MATCH(O$15&amp;O$10,Analytica!$F$58:$AY$58&amp;Analytica!$F$51:'Analytica'!$AY$51,0)),"")</f>
        <v>4.8000000000000001E-2</v>
      </c>
      <c r="P73" s="620">
        <f t="array" ref="P73">IFERROR(INDEX(Analytica!$F$59:$AY$138,MATCH($B73,Analytica!$B$59:$B$168,0),MATCH(P$15&amp;P$10,Analytica!$F$58:$AY$58&amp;Analytica!$F$51:'Analytica'!$AY$51,0)),"")</f>
        <v>375.62326945122987</v>
      </c>
      <c r="Q73" s="620">
        <f t="array" ref="Q73">IFERROR(INDEX(Analytica!$F$59:$AY$138,MATCH($B73,Analytica!$B$59:$B$168,0),MATCH(Q$15&amp;Q$10,Analytica!$F$58:$AY$58&amp;Analytica!$F$51:'Analytica'!$AY$51,0)),"")</f>
        <v>387.50790448205998</v>
      </c>
      <c r="R73" s="620">
        <f t="array" ref="R73">IFERROR(INDEX(Analytica!$F$59:$AY$138,MATCH($B73,Analytica!$B$59:$B$168,0),MATCH(R$15&amp;R$10,Analytica!$F$58:$AY$58&amp;Analytica!$F$51:'Analytica'!$AY$51,0)),"")</f>
        <v>399.39253951289021</v>
      </c>
      <c r="S73" s="620">
        <f t="array" ref="S73">IFERROR(INDEX(Analytica!$F$59:$AY$138,MATCH($B73,Analytica!$B$59:$B$168,0),MATCH(S$15&amp;S$10,Analytica!$F$58:$AY$58&amp;Analytica!$F$51:'Analytica'!$AY$51,0)),"")</f>
        <v>410.03542818395528</v>
      </c>
      <c r="T73" s="620">
        <f t="array" ref="T73">IFERROR(INDEX(Analytica!$F$59:$AY$138,MATCH($B73,Analytica!$B$59:$B$168,0),MATCH(T$15&amp;T$10,Analytica!$F$58:$AY$58&amp;Analytica!$F$51:'Analytica'!$AY$51,0)),"")</f>
        <v>420.67831685502017</v>
      </c>
      <c r="U73" s="620">
        <f t="array" ref="U73">IFERROR(INDEX(Analytica!$F$59:$AY$138,MATCH($B73,Analytica!$B$59:$B$168,0),MATCH(U$15&amp;U$10,Analytica!$F$58:$AY$58&amp;Analytica!$F$51:'Analytica'!$AY$51,0)),"")</f>
        <v>434.65442291837672</v>
      </c>
      <c r="V73" s="620">
        <f t="array" ref="V73">IFERROR(INDEX(Analytica!$F$59:$AY$138,MATCH($B73,Analytica!$B$59:$B$168,0),MATCH(V$15&amp;V$10,Analytica!$F$58:$AY$58&amp;Analytica!$F$51:'Analytica'!$AY$51,0)),"")</f>
        <v>10.141828275183206</v>
      </c>
      <c r="W73" s="620">
        <f t="array" ref="W73">IFERROR(INDEX(Analytica!$F$59:$AY$138,MATCH($B73,Analytica!$B$59:$B$168,0),MATCH(W$15&amp;W$10,Analytica!$F$58:$AY$58&amp;Analytica!$F$51:'Analytica'!$AY$51,0)),"")</f>
        <v>10.783598566848035</v>
      </c>
      <c r="X73" s="620">
        <f t="array" ref="X73">IFERROR(INDEX(Analytica!$F$59:$AY$138,MATCH($B73,Analytica!$B$59:$B$168,0),MATCH(X$15&amp;X$10,Analytica!$F$58:$AY$58&amp;Analytica!$F$51:'Analytica'!$AY$51,0)),"")</f>
        <v>11.358314555085544</v>
      </c>
      <c r="Y73" s="620">
        <f t="array" ref="Y73">IFERROR(INDEX(Analytica!$F$59:$AY$138,MATCH($B73,Analytica!$B$59:$B$168,0),MATCH(Y$15&amp;Y$10,Analytica!$F$58:$AY$58&amp;Analytica!$F$51:'Analytica'!$AY$51,0)),"")</f>
        <v>11.735669418796171</v>
      </c>
      <c r="Z73" s="694">
        <f t="shared" ref="Z73:Z107" si="129">Z72</f>
        <v>20</v>
      </c>
      <c r="AA73" s="694">
        <f t="shared" si="69"/>
        <v>20</v>
      </c>
      <c r="AB73" s="694">
        <f t="shared" si="80"/>
        <v>2018</v>
      </c>
      <c r="AC73" s="1">
        <f t="shared" ca="1" si="70"/>
        <v>56</v>
      </c>
      <c r="AE73" s="1" t="str">
        <f t="shared" si="71"/>
        <v>S_TFHCV1</v>
      </c>
      <c r="AF73" s="1" t="str">
        <f t="shared" si="103"/>
        <v>S_TFHCV1OGS</v>
      </c>
      <c r="AG73" s="1" t="str">
        <f t="shared" si="104"/>
        <v>TFHCV1OGS-N_L</v>
      </c>
      <c r="AH73" s="1" t="str">
        <f t="shared" si="105"/>
        <v>TFHCV1OGS-N_U</v>
      </c>
      <c r="AI73" s="194">
        <v>0</v>
      </c>
      <c r="AJ73" s="713">
        <f>SUMIF(Analytica!$B$59:$B$137,B73,Analytica!$BA$59:$BA$192)</f>
        <v>0</v>
      </c>
      <c r="AK73" s="712" t="e">
        <f>IF($AP$10,BK73,#REF!)</f>
        <v>#REF!</v>
      </c>
      <c r="AL73" s="697" t="e">
        <f t="shared" si="106"/>
        <v>#REF!</v>
      </c>
      <c r="AM73" s="697" t="e">
        <f t="shared" si="107"/>
        <v>#REF!</v>
      </c>
      <c r="AN73" s="697">
        <f t="shared" si="108"/>
        <v>1</v>
      </c>
      <c r="AO73" s="697">
        <f t="shared" si="109"/>
        <v>1</v>
      </c>
      <c r="AP73" s="194">
        <v>1</v>
      </c>
      <c r="AQ73" s="697">
        <f t="shared" si="110"/>
        <v>0</v>
      </c>
      <c r="AR73" s="697" t="e">
        <f>IF($AP$10,BR73,#REF!)</f>
        <v>#REF!</v>
      </c>
      <c r="AS73" s="697" t="e">
        <f t="shared" si="111"/>
        <v>#REF!</v>
      </c>
      <c r="AT73" s="697">
        <f t="shared" si="112"/>
        <v>0</v>
      </c>
      <c r="AU73" s="697">
        <f t="shared" si="113"/>
        <v>0</v>
      </c>
      <c r="AV73" s="697">
        <f t="shared" si="114"/>
        <v>0</v>
      </c>
      <c r="AX73" s="698">
        <f t="shared" si="115"/>
        <v>0</v>
      </c>
      <c r="AY73" s="697" t="e">
        <f>IF(#REF!&lt;&gt;"",(AY$11-#REF!)/(BA$11-#REF!)*(BA73-#REF!)+#REF!,"")</f>
        <v>#REF!</v>
      </c>
      <c r="AZ73" s="697" t="e">
        <f t="shared" si="72"/>
        <v>#REF!</v>
      </c>
      <c r="BA73" s="697">
        <f t="shared" si="77"/>
        <v>1</v>
      </c>
      <c r="BB73" s="697">
        <f t="shared" si="77"/>
        <v>1</v>
      </c>
      <c r="BC73" s="711"/>
      <c r="BD73" s="697">
        <f t="shared" si="73"/>
        <v>0</v>
      </c>
      <c r="BE73" s="697" t="e">
        <f>IF(#REF!&lt;&gt;"",(BE$11-#REF!)/(BG$11-#REF!)*(BG73-#REF!)+#REF!,"")</f>
        <v>#REF!</v>
      </c>
      <c r="BF73" s="697">
        <f t="shared" si="78"/>
        <v>0</v>
      </c>
      <c r="BG73" s="697">
        <f t="shared" si="78"/>
        <v>0</v>
      </c>
      <c r="BH73" s="697">
        <f t="shared" si="78"/>
        <v>0</v>
      </c>
      <c r="BI73" s="692"/>
      <c r="BJ73" s="693">
        <f t="shared" si="116"/>
        <v>0</v>
      </c>
      <c r="BK73" s="697">
        <f t="shared" si="117"/>
        <v>0.02</v>
      </c>
      <c r="BL73" s="697" t="e">
        <f t="shared" si="79"/>
        <v>#REF!</v>
      </c>
      <c r="BM73" s="697" t="e">
        <f t="shared" si="118"/>
        <v>#REF!</v>
      </c>
      <c r="BN73" s="697">
        <f t="shared" si="119"/>
        <v>0.25</v>
      </c>
      <c r="BO73" s="697">
        <f t="shared" si="119"/>
        <v>0.5</v>
      </c>
      <c r="BP73" s="194"/>
      <c r="BQ73" s="650">
        <f t="shared" si="120"/>
        <v>0</v>
      </c>
      <c r="BR73" s="697">
        <f t="shared" si="121"/>
        <v>0</v>
      </c>
      <c r="BS73" s="697" t="e">
        <f t="shared" si="74"/>
        <v>#REF!</v>
      </c>
      <c r="BT73" s="697" t="e">
        <f t="shared" si="122"/>
        <v>#REF!</v>
      </c>
      <c r="BU73" s="697">
        <f t="shared" si="123"/>
        <v>0</v>
      </c>
      <c r="BV73" s="697">
        <f t="shared" si="123"/>
        <v>0</v>
      </c>
      <c r="BW73" s="692"/>
      <c r="BX73" s="1" t="str">
        <f t="shared" si="124"/>
        <v>TFHCV1OGS-N</v>
      </c>
      <c r="BY73" s="1" t="str">
        <f t="shared" ca="1" si="95"/>
        <v>-	S_TFHCV1OGS	1	TFHCV1OGS-N Set	1	10/03/2023 17:53:59	null	((tblITEMS.Item Like "TFHCV1OGS-N*"))	null	null	null	null	null	null	null</v>
      </c>
      <c r="BZ73" s="1" t="str">
        <f t="shared" si="96"/>
        <v>-	S_TFHCV1OGS	1	1	True	Like "TFHCV1OGS-N*"</v>
      </c>
      <c r="CI73" s="1">
        <f t="shared" si="125"/>
        <v>34.200000000000003</v>
      </c>
      <c r="CJ73" s="1">
        <v>39</v>
      </c>
      <c r="CK73" s="625">
        <f t="shared" si="126"/>
        <v>1.1403508771929824</v>
      </c>
      <c r="CL73" s="625" t="e">
        <f>#REF!</f>
        <v>#REF!</v>
      </c>
      <c r="CM73" s="625" t="e">
        <f>CK73/#REF!</f>
        <v>#REF!</v>
      </c>
      <c r="CN73" s="2" t="e">
        <f>#REF!*1000</f>
        <v>#REF!</v>
      </c>
      <c r="CO73" s="2">
        <f t="shared" si="127"/>
        <v>48000</v>
      </c>
      <c r="CP73" s="9" t="e">
        <f t="shared" si="128"/>
        <v>#REF!</v>
      </c>
    </row>
    <row r="74" spans="1:94" x14ac:dyDescent="0.2">
      <c r="A74" s="191" t="str">
        <f>ITEMS_nTech!C65</f>
        <v>Transport Freight - HCV2 Oil Diesel-N</v>
      </c>
      <c r="B74" s="191" t="str">
        <f t="shared" si="102"/>
        <v>TFHCV2ODS-N</v>
      </c>
      <c r="C74" s="612" t="str">
        <f t="shared" ref="C74:C81" si="130">$D$6</f>
        <v>TRAODS</v>
      </c>
      <c r="D74" s="612" t="str">
        <f>TRP!B33</f>
        <v>TFHCV2</v>
      </c>
      <c r="E74" s="702">
        <f t="array" ref="E74">IFERROR(INDEX(Analytica!$F$59:$AY$138,MATCH($B74,Analytica!$B$59:$B$168,0),MATCH(E$15&amp;E$10,Analytica!$F$58:$AY$58&amp;Analytica!$F$51:'Analytica'!$AY$51,0)),"")</f>
        <v>0.13684194378774683</v>
      </c>
      <c r="F74" s="702">
        <f t="array" ref="F74">IFERROR(INDEX(Analytica!$F$59:$AY$138,MATCH($B74,Analytica!$B$59:$B$168,0),MATCH(F$15&amp;F$10,Analytica!$F$58:$AY$58&amp;Analytica!$F$51:'Analytica'!$AY$51,0)),"")</f>
        <v>0.14460102116681806</v>
      </c>
      <c r="G74" s="702">
        <f t="array" ref="G74">IFERROR(INDEX(Analytica!$F$59:$AY$138,MATCH($B74,Analytica!$B$59:$B$168,0),MATCH(G$15&amp;G$10,Analytica!$F$58:$AY$58&amp;Analytica!$F$51:'Analytica'!$AY$51,0)),"")</f>
        <v>0.15988930471162904</v>
      </c>
      <c r="H74" s="702">
        <f t="array" ref="H74">IFERROR(INDEX(Analytica!$F$59:$AY$138,MATCH($B74,Analytica!$B$59:$B$168,0),MATCH(H$15&amp;H$10,Analytica!$F$58:$AY$58&amp;Analytica!$F$51:'Analytica'!$AY$51,0)),"")</f>
        <v>0.17679397804304392</v>
      </c>
      <c r="I74" s="701">
        <v>1</v>
      </c>
      <c r="J74" s="701">
        <v>1</v>
      </c>
      <c r="K74" s="701">
        <v>1</v>
      </c>
      <c r="L74" s="701">
        <v>1</v>
      </c>
      <c r="M74" s="701">
        <v>1</v>
      </c>
      <c r="N74" s="696">
        <f>IF(B74="","",MAX(N$18:N73)+1)</f>
        <v>46</v>
      </c>
      <c r="O74" s="702">
        <f t="array" ref="O74">IFERROR(INDEX(Analytica!$F$59:$AY$138,MATCH($B74,Analytica!$B$59:$B$168,0),MATCH(O$15&amp;O$10,Analytica!$F$58:$AY$58&amp;Analytica!$F$51:'Analytica'!$AY$51,0)),"")</f>
        <v>4.8000000000000001E-2</v>
      </c>
      <c r="P74" s="620">
        <f t="array" ref="P74">IFERROR(INDEX(Analytica!$F$59:$AY$138,MATCH($B74,Analytica!$B$59:$B$168,0),MATCH(P$15&amp;P$10,Analytica!$F$58:$AY$58&amp;Analytica!$F$51:'Analytica'!$AY$51,0)),"")</f>
        <v>476.74778352540619</v>
      </c>
      <c r="Q74" s="620">
        <f t="array" ref="Q74">IFERROR(INDEX(Analytica!$F$59:$AY$138,MATCH($B74,Analytica!$B$59:$B$168,0),MATCH(Q$15&amp;Q$10,Analytica!$F$58:$AY$58&amp;Analytica!$F$51:'Analytica'!$AY$51,0)),"")</f>
        <v>491.83197524024433</v>
      </c>
      <c r="R74" s="620">
        <f t="array" ref="R74">IFERROR(INDEX(Analytica!$F$59:$AY$138,MATCH($B74,Analytica!$B$59:$B$168,0),MATCH(R$15&amp;R$10,Analytica!$F$58:$AY$58&amp;Analytica!$F$51:'Analytica'!$AY$51,0)),"")</f>
        <v>506.91616695508259</v>
      </c>
      <c r="S74" s="620">
        <f t="array" ref="S74">IFERROR(INDEX(Analytica!$F$59:$AY$138,MATCH($B74,Analytica!$B$59:$B$168,0),MATCH(S$15&amp;S$10,Analytica!$F$58:$AY$58&amp;Analytica!$F$51:'Analytica'!$AY$51,0)),"")</f>
        <v>520.42431194208189</v>
      </c>
      <c r="T74" s="620">
        <f t="array" ref="T74">IFERROR(INDEX(Analytica!$F$59:$AY$138,MATCH($B74,Analytica!$B$59:$B$168,0),MATCH(T$15&amp;T$10,Analytica!$F$58:$AY$58&amp;Analytica!$F$51:'Analytica'!$AY$51,0)),"")</f>
        <v>533.93245692908113</v>
      </c>
      <c r="U74" s="620">
        <f t="array" ref="U74">IFERROR(INDEX(Analytica!$F$59:$AY$138,MATCH($B74,Analytica!$B$59:$B$168,0),MATCH(U$15&amp;U$10,Analytica!$F$58:$AY$58&amp;Analytica!$F$51:'Analytica'!$AY$51,0)),"")</f>
        <v>551.67118115070787</v>
      </c>
      <c r="V74" s="620">
        <f t="array" ref="V74">IFERROR(INDEX(Analytica!$F$59:$AY$138,MATCH($B74,Analytica!$B$59:$B$168,0),MATCH(V$15&amp;V$10,Analytica!$F$58:$AY$58&amp;Analytica!$F$51:'Analytica'!$AY$51,0)),"")</f>
        <v>12.872190155185967</v>
      </c>
      <c r="W74" s="620">
        <f t="array" ref="W74">IFERROR(INDEX(Analytica!$F$59:$AY$138,MATCH($B74,Analytica!$B$59:$B$168,0),MATCH(W$15&amp;W$10,Analytica!$F$58:$AY$58&amp;Analytica!$F$51:'Analytica'!$AY$51,0)),"")</f>
        <v>13.686736507787229</v>
      </c>
      <c r="X74" s="620">
        <f t="array" ref="X74">IFERROR(INDEX(Analytica!$F$59:$AY$138,MATCH($B74,Analytica!$B$59:$B$168,0),MATCH(X$15&amp;X$10,Analytica!$F$58:$AY$58&amp;Analytica!$F$51:'Analytica'!$AY$51,0)),"")</f>
        <v>14.41617633708519</v>
      </c>
      <c r="Y74" s="620">
        <f t="array" ref="Y74">IFERROR(INDEX(Analytica!$F$59:$AY$138,MATCH($B74,Analytica!$B$59:$B$168,0),MATCH(Y$15&amp;Y$10,Analytica!$F$58:$AY$58&amp;Analytica!$F$51:'Analytica'!$AY$51,0)),"")</f>
        <v>14.895121891069111</v>
      </c>
      <c r="Z74" s="694">
        <f t="shared" si="129"/>
        <v>20</v>
      </c>
      <c r="AA74" s="694">
        <f t="shared" si="69"/>
        <v>20</v>
      </c>
      <c r="AB74" s="694">
        <f t="shared" si="80"/>
        <v>2018</v>
      </c>
      <c r="AC74" s="1">
        <f t="shared" ca="1" si="70"/>
        <v>57</v>
      </c>
      <c r="AE74" s="1" t="str">
        <f t="shared" si="71"/>
        <v>S_TFHCV2</v>
      </c>
      <c r="AF74" s="1" t="str">
        <f t="shared" si="103"/>
        <v>S_TFHCV2ODS</v>
      </c>
      <c r="AG74" s="1" t="str">
        <f t="shared" si="104"/>
        <v>TFHCV2ODS-N_L</v>
      </c>
      <c r="AH74" s="1" t="str">
        <f t="shared" si="105"/>
        <v>TFHCV2ODS-N_U</v>
      </c>
      <c r="AI74" s="194">
        <v>0</v>
      </c>
      <c r="AJ74" s="699">
        <f>SUMIF(Analytica!$B$59:$B$137,B74,Analytica!$BA$59:$BA$192)</f>
        <v>1</v>
      </c>
      <c r="AK74" s="697" t="e">
        <f>IF($AP$10,BK74,#REF!)</f>
        <v>#REF!</v>
      </c>
      <c r="AL74" s="697" t="e">
        <f t="shared" si="106"/>
        <v>#REF!</v>
      </c>
      <c r="AM74" s="697" t="e">
        <f t="shared" si="107"/>
        <v>#REF!</v>
      </c>
      <c r="AN74" s="697">
        <f t="shared" si="108"/>
        <v>1</v>
      </c>
      <c r="AO74" s="697">
        <f t="shared" si="109"/>
        <v>1</v>
      </c>
      <c r="AP74" s="194">
        <v>1</v>
      </c>
      <c r="AQ74" s="697">
        <f t="shared" si="110"/>
        <v>1</v>
      </c>
      <c r="AR74" s="697" t="e">
        <f>IF($AP$10,BR74,#REF!)</f>
        <v>#REF!</v>
      </c>
      <c r="AS74" s="697" t="e">
        <f t="shared" si="111"/>
        <v>#REF!</v>
      </c>
      <c r="AT74" s="697">
        <f t="shared" si="112"/>
        <v>0.5</v>
      </c>
      <c r="AU74" s="697">
        <f t="shared" si="113"/>
        <v>0</v>
      </c>
      <c r="AV74" s="697">
        <f t="shared" si="114"/>
        <v>0</v>
      </c>
      <c r="AX74" s="698">
        <f t="shared" si="115"/>
        <v>1</v>
      </c>
      <c r="AY74" s="697" t="e">
        <f>IF(#REF!&lt;&gt;"",(AY$11-#REF!)/(BA$11-#REF!)*(BA74-#REF!)+#REF!,"")</f>
        <v>#REF!</v>
      </c>
      <c r="AZ74" s="697" t="e">
        <f t="shared" si="72"/>
        <v>#REF!</v>
      </c>
      <c r="BA74" s="697">
        <f t="shared" si="77"/>
        <v>1</v>
      </c>
      <c r="BB74" s="697">
        <f t="shared" si="77"/>
        <v>1</v>
      </c>
      <c r="BC74" s="711"/>
      <c r="BD74" s="697">
        <f t="shared" si="73"/>
        <v>1</v>
      </c>
      <c r="BE74" s="697" t="e">
        <f>IF(#REF!&lt;&gt;"",(BE$11-#REF!)/(BG$11-#REF!)*(BG74-#REF!)+#REF!,"")</f>
        <v>#REF!</v>
      </c>
      <c r="BF74" s="697">
        <f t="shared" si="78"/>
        <v>0.5</v>
      </c>
      <c r="BG74" s="697">
        <f t="shared" si="78"/>
        <v>0</v>
      </c>
      <c r="BH74" s="697">
        <f t="shared" si="78"/>
        <v>0</v>
      </c>
      <c r="BI74" s="692"/>
      <c r="BJ74" s="693">
        <f t="shared" si="116"/>
        <v>1</v>
      </c>
      <c r="BK74" s="697">
        <f t="shared" si="117"/>
        <v>1</v>
      </c>
      <c r="BL74" s="697" t="e">
        <f t="shared" si="79"/>
        <v>#REF!</v>
      </c>
      <c r="BM74" s="697" t="e">
        <f t="shared" si="118"/>
        <v>#REF!</v>
      </c>
      <c r="BN74" s="697">
        <f t="shared" si="119"/>
        <v>1</v>
      </c>
      <c r="BO74" s="697">
        <f t="shared" si="119"/>
        <v>1</v>
      </c>
      <c r="BP74" s="194"/>
      <c r="BQ74" s="650">
        <f t="shared" si="120"/>
        <v>1</v>
      </c>
      <c r="BR74" s="697">
        <f t="shared" si="121"/>
        <v>1</v>
      </c>
      <c r="BS74" s="697" t="e">
        <f t="shared" si="74"/>
        <v>#REF!</v>
      </c>
      <c r="BT74" s="697" t="e">
        <f t="shared" si="122"/>
        <v>#REF!</v>
      </c>
      <c r="BU74" s="697">
        <f t="shared" si="123"/>
        <v>0.25</v>
      </c>
      <c r="BV74" s="697">
        <f t="shared" si="123"/>
        <v>0.1</v>
      </c>
      <c r="BW74" s="692"/>
      <c r="BX74" s="1" t="str">
        <f t="shared" si="124"/>
        <v>TFHCV2ODS-N</v>
      </c>
      <c r="BY74" s="1" t="str">
        <f t="shared" ca="1" si="95"/>
        <v>-	S_TFHCV2ODS	1	TFHCV2ODS-N Set	1	10/03/2023 17:53:59	null	((tblITEMS.Item Like "TFHCV2ODS-N*"))	null	null	null	null	null	null	null</v>
      </c>
      <c r="BZ74" s="1" t="str">
        <f t="shared" si="96"/>
        <v>-	S_TFHCV2ODS	1	1	True	Like "TFHCV2ODS-N*"</v>
      </c>
      <c r="CI74" s="1">
        <f t="shared" si="125"/>
        <v>38.1</v>
      </c>
      <c r="CJ74" s="1">
        <v>41</v>
      </c>
      <c r="CK74" s="625">
        <f t="shared" si="126"/>
        <v>1.0761154855643045</v>
      </c>
      <c r="CL74" s="625" t="e">
        <f>#REF!</f>
        <v>#REF!</v>
      </c>
      <c r="CM74" s="625" t="e">
        <f>CK74/#REF!</f>
        <v>#REF!</v>
      </c>
      <c r="CN74" s="2" t="e">
        <f>#REF!*1000</f>
        <v>#REF!</v>
      </c>
      <c r="CO74" s="2">
        <f t="shared" si="127"/>
        <v>48000</v>
      </c>
      <c r="CP74" s="9" t="e">
        <f t="shared" si="128"/>
        <v>#REF!</v>
      </c>
    </row>
    <row r="75" spans="1:94" x14ac:dyDescent="0.2">
      <c r="A75" s="191" t="str">
        <f>ITEMS_nTech!C66</f>
        <v>Transport Freight - HCV3 Oil Diesel-N</v>
      </c>
      <c r="B75" s="191" t="str">
        <f t="shared" si="102"/>
        <v>TFHCV3ODS-N</v>
      </c>
      <c r="C75" s="612" t="str">
        <f t="shared" si="130"/>
        <v>TRAODS</v>
      </c>
      <c r="D75" s="612" t="str">
        <f>TRP!B34</f>
        <v>TFHCV3</v>
      </c>
      <c r="E75" s="702">
        <f t="array" ref="E75">IFERROR(INDEX(Analytica!$F$59:$AY$138,MATCH($B75,Analytica!$B$59:$B$168,0),MATCH(E$15&amp;E$10,Analytica!$F$58:$AY$58&amp;Analytica!$F$51:'Analytica'!$AY$51,0)),"")</f>
        <v>0.11964033060753712</v>
      </c>
      <c r="F75" s="702">
        <f t="array" ref="F75">IFERROR(INDEX(Analytica!$F$59:$AY$138,MATCH($B75,Analytica!$B$59:$B$168,0),MATCH(F$15&amp;F$10,Analytica!$F$58:$AY$58&amp;Analytica!$F$51:'Analytica'!$AY$51,0)),"")</f>
        <v>0.12642405902549511</v>
      </c>
      <c r="G75" s="702">
        <f t="array" ref="G75">IFERROR(INDEX(Analytica!$F$59:$AY$138,MATCH($B75,Analytica!$B$59:$B$168,0),MATCH(G$15&amp;G$10,Analytica!$F$58:$AY$58&amp;Analytica!$F$51:'Analytica'!$AY$51,0)),"")</f>
        <v>0.13979054043531805</v>
      </c>
      <c r="H75" s="702">
        <f t="array" ref="H75">IFERROR(INDEX(Analytica!$F$59:$AY$138,MATCH($B75,Analytica!$B$59:$B$168,0),MATCH(H$15&amp;H$10,Analytica!$F$58:$AY$58&amp;Analytica!$F$51:'Analytica'!$AY$51,0)),"")</f>
        <v>0.15457022457456068</v>
      </c>
      <c r="I75" s="701">
        <v>1</v>
      </c>
      <c r="J75" s="701">
        <v>1</v>
      </c>
      <c r="K75" s="701">
        <v>1</v>
      </c>
      <c r="L75" s="701">
        <v>1</v>
      </c>
      <c r="M75" s="701">
        <v>1</v>
      </c>
      <c r="N75" s="696">
        <f>IF(B75="","",MAX(N$18:N74)+1)</f>
        <v>47</v>
      </c>
      <c r="O75" s="702">
        <f t="array" ref="O75">IFERROR(INDEX(Analytica!$F$59:$AY$138,MATCH($B75,Analytica!$B$59:$B$168,0),MATCH(O$15&amp;O$10,Analytica!$F$58:$AY$58&amp;Analytica!$F$51:'Analytica'!$AY$51,0)),"")</f>
        <v>8.4999999999999992E-2</v>
      </c>
      <c r="P75" s="620">
        <f t="array" ref="P75">IFERROR(INDEX(Analytica!$F$59:$AY$138,MATCH($B75,Analytica!$B$59:$B$168,0),MATCH(P$15&amp;P$10,Analytica!$F$58:$AY$58&amp;Analytica!$F$51:'Analytica'!$AY$51,0)),"")</f>
        <v>476.74778352540619</v>
      </c>
      <c r="Q75" s="620">
        <f t="array" ref="Q75">IFERROR(INDEX(Analytica!$F$59:$AY$138,MATCH($B75,Analytica!$B$59:$B$168,0),MATCH(Q$15&amp;Q$10,Analytica!$F$58:$AY$58&amp;Analytica!$F$51:'Analytica'!$AY$51,0)),"")</f>
        <v>491.83197524024433</v>
      </c>
      <c r="R75" s="620">
        <f t="array" ref="R75">IFERROR(INDEX(Analytica!$F$59:$AY$138,MATCH($B75,Analytica!$B$59:$B$168,0),MATCH(R$15&amp;R$10,Analytica!$F$58:$AY$58&amp;Analytica!$F$51:'Analytica'!$AY$51,0)),"")</f>
        <v>506.91616695508259</v>
      </c>
      <c r="S75" s="620">
        <f t="array" ref="S75">IFERROR(INDEX(Analytica!$F$59:$AY$138,MATCH($B75,Analytica!$B$59:$B$168,0),MATCH(S$15&amp;S$10,Analytica!$F$58:$AY$58&amp;Analytica!$F$51:'Analytica'!$AY$51,0)),"")</f>
        <v>520.42431194208189</v>
      </c>
      <c r="T75" s="620">
        <f t="array" ref="T75">IFERROR(INDEX(Analytica!$F$59:$AY$138,MATCH($B75,Analytica!$B$59:$B$168,0),MATCH(T$15&amp;T$10,Analytica!$F$58:$AY$58&amp;Analytica!$F$51:'Analytica'!$AY$51,0)),"")</f>
        <v>533.93245692908113</v>
      </c>
      <c r="U75" s="620">
        <f t="array" ref="U75">IFERROR(INDEX(Analytica!$F$59:$AY$138,MATCH($B75,Analytica!$B$59:$B$168,0),MATCH(U$15&amp;U$10,Analytica!$F$58:$AY$58&amp;Analytica!$F$51:'Analytica'!$AY$51,0)),"")</f>
        <v>551.67118115070787</v>
      </c>
      <c r="V75" s="620">
        <f t="array" ref="V75">IFERROR(INDEX(Analytica!$F$59:$AY$138,MATCH($B75,Analytica!$B$59:$B$168,0),MATCH(V$15&amp;V$10,Analytica!$F$58:$AY$58&amp;Analytica!$F$51:'Analytica'!$AY$51,0)),"")</f>
        <v>12.872190155185967</v>
      </c>
      <c r="W75" s="620">
        <f t="array" ref="W75">IFERROR(INDEX(Analytica!$F$59:$AY$138,MATCH($B75,Analytica!$B$59:$B$168,0),MATCH(W$15&amp;W$10,Analytica!$F$58:$AY$58&amp;Analytica!$F$51:'Analytica'!$AY$51,0)),"")</f>
        <v>13.686736507787229</v>
      </c>
      <c r="X75" s="620">
        <f t="array" ref="X75">IFERROR(INDEX(Analytica!$F$59:$AY$138,MATCH($B75,Analytica!$B$59:$B$168,0),MATCH(X$15&amp;X$10,Analytica!$F$58:$AY$58&amp;Analytica!$F$51:'Analytica'!$AY$51,0)),"")</f>
        <v>14.41617633708519</v>
      </c>
      <c r="Y75" s="620">
        <f t="array" ref="Y75">IFERROR(INDEX(Analytica!$F$59:$AY$138,MATCH($B75,Analytica!$B$59:$B$168,0),MATCH(Y$15&amp;Y$10,Analytica!$F$58:$AY$58&amp;Analytica!$F$51:'Analytica'!$AY$51,0)),"")</f>
        <v>14.895121891069111</v>
      </c>
      <c r="Z75" s="694">
        <f t="shared" si="129"/>
        <v>20</v>
      </c>
      <c r="AA75" s="694">
        <f t="shared" si="69"/>
        <v>20</v>
      </c>
      <c r="AB75" s="694">
        <f t="shared" si="80"/>
        <v>2018</v>
      </c>
      <c r="AC75" s="1">
        <f t="shared" ca="1" si="70"/>
        <v>58</v>
      </c>
      <c r="AE75" s="1" t="str">
        <f t="shared" si="71"/>
        <v>S_TFHCV3</v>
      </c>
      <c r="AF75" s="1" t="str">
        <f t="shared" si="103"/>
        <v>S_TFHCV3ODS</v>
      </c>
      <c r="AG75" s="1" t="str">
        <f t="shared" si="104"/>
        <v>TFHCV3ODS-N_L</v>
      </c>
      <c r="AH75" s="1" t="str">
        <f t="shared" si="105"/>
        <v>TFHCV3ODS-N_U</v>
      </c>
      <c r="AI75" s="194">
        <v>0</v>
      </c>
      <c r="AJ75" s="699">
        <f>SUMIF(Analytica!$B$59:$B$137,B75,Analytica!$BA$59:$BA$192)</f>
        <v>1</v>
      </c>
      <c r="AK75" s="697" t="e">
        <f>IF($AP$10,BK75,#REF!)</f>
        <v>#REF!</v>
      </c>
      <c r="AL75" s="697" t="e">
        <f t="shared" si="106"/>
        <v>#REF!</v>
      </c>
      <c r="AM75" s="697" t="e">
        <f t="shared" si="107"/>
        <v>#REF!</v>
      </c>
      <c r="AN75" s="697">
        <f t="shared" si="108"/>
        <v>1</v>
      </c>
      <c r="AO75" s="697">
        <f t="shared" si="109"/>
        <v>1</v>
      </c>
      <c r="AP75" s="194">
        <v>1</v>
      </c>
      <c r="AQ75" s="697">
        <f t="shared" si="110"/>
        <v>1</v>
      </c>
      <c r="AR75" s="697" t="e">
        <f>IF($AP$10,BR75,#REF!)</f>
        <v>#REF!</v>
      </c>
      <c r="AS75" s="697" t="e">
        <f t="shared" si="111"/>
        <v>#REF!</v>
      </c>
      <c r="AT75" s="697">
        <f t="shared" si="112"/>
        <v>0.5</v>
      </c>
      <c r="AU75" s="697">
        <f t="shared" si="113"/>
        <v>0</v>
      </c>
      <c r="AV75" s="697">
        <f t="shared" si="114"/>
        <v>0</v>
      </c>
      <c r="AX75" s="698">
        <f t="shared" si="115"/>
        <v>1</v>
      </c>
      <c r="AY75" s="697" t="e">
        <f>IF(#REF!&lt;&gt;"",(AY$11-#REF!)/(BA$11-#REF!)*(BA75-#REF!)+#REF!,"")</f>
        <v>#REF!</v>
      </c>
      <c r="AZ75" s="697" t="e">
        <f t="shared" si="72"/>
        <v>#REF!</v>
      </c>
      <c r="BA75" s="697">
        <f t="shared" si="77"/>
        <v>1</v>
      </c>
      <c r="BB75" s="697">
        <f t="shared" si="77"/>
        <v>1</v>
      </c>
      <c r="BC75" s="711"/>
      <c r="BD75" s="697">
        <f t="shared" si="73"/>
        <v>1</v>
      </c>
      <c r="BE75" s="697" t="e">
        <f>IF(#REF!&lt;&gt;"",(BE$11-#REF!)/(BG$11-#REF!)*(BG75-#REF!)+#REF!,"")</f>
        <v>#REF!</v>
      </c>
      <c r="BF75" s="697">
        <f t="shared" si="78"/>
        <v>0.5</v>
      </c>
      <c r="BG75" s="697">
        <f t="shared" si="78"/>
        <v>0</v>
      </c>
      <c r="BH75" s="697">
        <f t="shared" si="78"/>
        <v>0</v>
      </c>
      <c r="BI75" s="692"/>
      <c r="BJ75" s="693">
        <f t="shared" si="116"/>
        <v>1</v>
      </c>
      <c r="BK75" s="697">
        <f t="shared" si="117"/>
        <v>1</v>
      </c>
      <c r="BL75" s="697" t="e">
        <f t="shared" si="79"/>
        <v>#REF!</v>
      </c>
      <c r="BM75" s="697" t="e">
        <f t="shared" si="118"/>
        <v>#REF!</v>
      </c>
      <c r="BN75" s="697">
        <f t="shared" si="119"/>
        <v>1</v>
      </c>
      <c r="BO75" s="697">
        <f t="shared" si="119"/>
        <v>1</v>
      </c>
      <c r="BP75" s="194"/>
      <c r="BQ75" s="650">
        <f t="shared" si="120"/>
        <v>1</v>
      </c>
      <c r="BR75" s="697">
        <f t="shared" si="121"/>
        <v>1</v>
      </c>
      <c r="BS75" s="697" t="e">
        <f t="shared" si="74"/>
        <v>#REF!</v>
      </c>
      <c r="BT75" s="697" t="e">
        <f t="shared" si="122"/>
        <v>#REF!</v>
      </c>
      <c r="BU75" s="697">
        <f t="shared" si="123"/>
        <v>0.25</v>
      </c>
      <c r="BV75" s="697">
        <f t="shared" si="123"/>
        <v>0.1</v>
      </c>
      <c r="BW75" s="692"/>
      <c r="BX75" s="1" t="str">
        <f t="shared" si="124"/>
        <v>TFHCV3ODS-N</v>
      </c>
      <c r="BY75" s="1" t="str">
        <f t="shared" ca="1" si="95"/>
        <v>-	S_TFHCV3ODS	1	TFHCV3ODS-N Set	1	10/03/2023 17:53:59	null	((tblITEMS.Item Like "TFHCV3ODS-N*"))	null	null	null	null	null	null	null</v>
      </c>
      <c r="BZ75" s="1" t="str">
        <f t="shared" si="96"/>
        <v>-	S_TFHCV3ODS	1	1	True	Like "TFHCV3ODS-N*"</v>
      </c>
      <c r="CI75" s="1">
        <f t="shared" si="125"/>
        <v>38.1</v>
      </c>
      <c r="CJ75" s="1">
        <v>41</v>
      </c>
      <c r="CK75" s="625">
        <f t="shared" si="126"/>
        <v>1.0761154855643045</v>
      </c>
      <c r="CL75" s="625" t="e">
        <f>#REF!</f>
        <v>#REF!</v>
      </c>
      <c r="CM75" s="625" t="e">
        <f>CK75/#REF!</f>
        <v>#REF!</v>
      </c>
      <c r="CN75" s="2" t="e">
        <f>#REF!*1000</f>
        <v>#REF!</v>
      </c>
      <c r="CO75" s="2">
        <f t="shared" si="127"/>
        <v>84999.999999999985</v>
      </c>
      <c r="CP75" s="9" t="e">
        <f t="shared" si="128"/>
        <v>#REF!</v>
      </c>
    </row>
    <row r="76" spans="1:94" x14ac:dyDescent="0.2">
      <c r="A76" s="191" t="str">
        <f>ITEMS_nTech!C67</f>
        <v>Transport Freight - HCV4 Oil Diesel-N</v>
      </c>
      <c r="B76" s="191" t="str">
        <f t="shared" si="102"/>
        <v>TFHCV4ODS-N</v>
      </c>
      <c r="C76" s="612" t="str">
        <f t="shared" si="130"/>
        <v>TRAODS</v>
      </c>
      <c r="D76" s="612" t="str">
        <f>TRP!B35</f>
        <v>TFHCV4</v>
      </c>
      <c r="E76" s="702">
        <f t="array" ref="E76">IFERROR(INDEX(Analytica!$F$59:$AY$138,MATCH($B76,Analytica!$B$59:$B$168,0),MATCH(E$15&amp;E$10,Analytica!$F$58:$AY$58&amp;Analytica!$F$51:'Analytica'!$AY$51,0)),"")</f>
        <v>0.10281963637464944</v>
      </c>
      <c r="F76" s="702">
        <f t="array" ref="F76">IFERROR(INDEX(Analytica!$F$59:$AY$138,MATCH($B76,Analytica!$B$59:$B$168,0),MATCH(F$15&amp;F$10,Analytica!$F$58:$AY$58&amp;Analytica!$F$51:'Analytica'!$AY$51,0)),"")</f>
        <v>0.10864961432319646</v>
      </c>
      <c r="G76" s="702">
        <f t="array" ref="G76">IFERROR(INDEX(Analytica!$F$59:$AY$138,MATCH($B76,Analytica!$B$59:$B$168,0),MATCH(G$15&amp;G$10,Analytica!$F$58:$AY$58&amp;Analytica!$F$51:'Analytica'!$AY$51,0)),"")</f>
        <v>0.12013685070233035</v>
      </c>
      <c r="H76" s="702">
        <f t="array" ref="H76">IFERROR(INDEX(Analytica!$F$59:$AY$138,MATCH($B76,Analytica!$B$59:$B$168,0),MATCH(H$15&amp;H$10,Analytica!$F$58:$AY$58&amp;Analytica!$F$51:'Analytica'!$AY$51,0)),"")</f>
        <v>0.13283860220378738</v>
      </c>
      <c r="I76" s="701">
        <v>1</v>
      </c>
      <c r="J76" s="701">
        <v>1</v>
      </c>
      <c r="K76" s="701">
        <v>1</v>
      </c>
      <c r="L76" s="701">
        <v>1</v>
      </c>
      <c r="M76" s="701">
        <v>1</v>
      </c>
      <c r="N76" s="696">
        <f>IF(B76="","",MAX(N$18:N75)+1)</f>
        <v>48</v>
      </c>
      <c r="O76" s="702">
        <f t="array" ref="O76">IFERROR(INDEX(Analytica!$F$59:$AY$138,MATCH($B76,Analytica!$B$59:$B$168,0),MATCH(O$15&amp;O$10,Analytica!$F$58:$AY$58&amp;Analytica!$F$51:'Analytica'!$AY$51,0)),"")</f>
        <v>8.4999999999999992E-2</v>
      </c>
      <c r="P76" s="620">
        <f t="array" ref="P76">IFERROR(INDEX(Analytica!$F$59:$AY$138,MATCH($B76,Analytica!$B$59:$B$168,0),MATCH(P$15&amp;P$10,Analytica!$F$58:$AY$58&amp;Analytica!$F$51:'Analytica'!$AY$51,0)),"")</f>
        <v>870.65784692986369</v>
      </c>
      <c r="Q76" s="620">
        <f t="array" ref="Q76">IFERROR(INDEX(Analytica!$F$59:$AY$138,MATCH($B76,Analytica!$B$59:$B$168,0),MATCH(Q$15&amp;Q$10,Analytica!$F$58:$AY$58&amp;Analytica!$F$51:'Analytica'!$AY$51,0)),"")</f>
        <v>894.65234635689478</v>
      </c>
      <c r="R76" s="620">
        <f t="array" ref="R76">IFERROR(INDEX(Analytica!$F$59:$AY$138,MATCH($B76,Analytica!$B$59:$B$168,0),MATCH(R$15&amp;R$10,Analytica!$F$58:$AY$58&amp;Analytica!$F$51:'Analytica'!$AY$51,0)),"")</f>
        <v>918.6468457839261</v>
      </c>
      <c r="S76" s="620">
        <f t="array" ref="S76">IFERROR(INDEX(Analytica!$F$59:$AY$138,MATCH($B76,Analytica!$B$59:$B$168,0),MATCH(S$15&amp;S$10,Analytica!$F$58:$AY$58&amp;Analytica!$F$51:'Analytica'!$AY$51,0)),"")</f>
        <v>938.12495950684297</v>
      </c>
      <c r="T76" s="620">
        <f t="array" ref="T76">IFERROR(INDEX(Analytica!$F$59:$AY$138,MATCH($B76,Analytica!$B$59:$B$168,0),MATCH(T$15&amp;T$10,Analytica!$F$58:$AY$58&amp;Analytica!$F$51:'Analytica'!$AY$51,0)),"")</f>
        <v>957.60307322975984</v>
      </c>
      <c r="U76" s="620">
        <f t="array" ref="U76">IFERROR(INDEX(Analytica!$F$59:$AY$138,MATCH($B76,Analytica!$B$59:$B$168,0),MATCH(U$15&amp;U$10,Analytica!$F$58:$AY$58&amp;Analytica!$F$51:'Analytica'!$AY$51,0)),"")</f>
        <v>993.48523967858819</v>
      </c>
      <c r="V76" s="620">
        <f t="array" ref="V76">IFERROR(INDEX(Analytica!$F$59:$AY$138,MATCH($B76,Analytica!$B$59:$B$168,0),MATCH(V$15&amp;V$10,Analytica!$F$58:$AY$58&amp;Analytica!$F$51:'Analytica'!$AY$51,0)),"")</f>
        <v>23.507761867106318</v>
      </c>
      <c r="W76" s="620">
        <f t="array" ref="W76">IFERROR(INDEX(Analytica!$F$59:$AY$138,MATCH($B76,Analytica!$B$59:$B$168,0),MATCH(W$15&amp;W$10,Analytica!$F$58:$AY$58&amp;Analytica!$F$51:'Analytica'!$AY$51,0)),"")</f>
        <v>24.803464836166004</v>
      </c>
      <c r="X76" s="620">
        <f t="array" ref="X76">IFERROR(INDEX(Analytica!$F$59:$AY$138,MATCH($B76,Analytica!$B$59:$B$168,0),MATCH(X$15&amp;X$10,Analytica!$F$58:$AY$58&amp;Analytica!$F$51:'Analytica'!$AY$51,0)),"")</f>
        <v>25.855282977203515</v>
      </c>
      <c r="Y76" s="620">
        <f t="array" ref="Y76">IFERROR(INDEX(Analytica!$F$59:$AY$138,MATCH($B76,Analytica!$B$59:$B$168,0),MATCH(Y$15&amp;Y$10,Analytica!$F$58:$AY$58&amp;Analytica!$F$51:'Analytica'!$AY$51,0)),"")</f>
        <v>26.824101471321882</v>
      </c>
      <c r="Z76" s="694">
        <f t="shared" si="129"/>
        <v>20</v>
      </c>
      <c r="AA76" s="694">
        <f t="shared" si="69"/>
        <v>20</v>
      </c>
      <c r="AB76" s="694">
        <f t="shared" si="80"/>
        <v>2018</v>
      </c>
      <c r="AC76" s="1">
        <f t="shared" ca="1" si="70"/>
        <v>59</v>
      </c>
      <c r="AE76" s="1" t="str">
        <f t="shared" si="71"/>
        <v>S_TFHCV4</v>
      </c>
      <c r="AF76" s="1" t="str">
        <f t="shared" si="103"/>
        <v>S_TFHCV4ODS</v>
      </c>
      <c r="AG76" s="1" t="str">
        <f t="shared" si="104"/>
        <v>TFHCV4ODS-N_L</v>
      </c>
      <c r="AH76" s="1" t="str">
        <f t="shared" si="105"/>
        <v>TFHCV4ODS-N_U</v>
      </c>
      <c r="AI76" s="194">
        <v>0</v>
      </c>
      <c r="AJ76" s="699">
        <f>SUMIF(Analytica!$B$59:$B$137,B76,Analytica!$BA$59:$BA$192)</f>
        <v>1</v>
      </c>
      <c r="AK76" s="697" t="e">
        <f>IF($AP$10,BK76,#REF!)</f>
        <v>#REF!</v>
      </c>
      <c r="AL76" s="697" t="e">
        <f t="shared" si="106"/>
        <v>#REF!</v>
      </c>
      <c r="AM76" s="697" t="e">
        <f t="shared" si="107"/>
        <v>#REF!</v>
      </c>
      <c r="AN76" s="697">
        <f t="shared" si="108"/>
        <v>1</v>
      </c>
      <c r="AO76" s="697">
        <f t="shared" si="109"/>
        <v>1</v>
      </c>
      <c r="AP76" s="194">
        <v>1</v>
      </c>
      <c r="AQ76" s="697">
        <f t="shared" si="110"/>
        <v>1</v>
      </c>
      <c r="AR76" s="697" t="e">
        <f>IF($AP$10,BR76,#REF!)</f>
        <v>#REF!</v>
      </c>
      <c r="AS76" s="697" t="e">
        <f t="shared" si="111"/>
        <v>#REF!</v>
      </c>
      <c r="AT76" s="697">
        <f t="shared" si="112"/>
        <v>0.5</v>
      </c>
      <c r="AU76" s="697">
        <f t="shared" si="113"/>
        <v>0</v>
      </c>
      <c r="AV76" s="697">
        <f t="shared" si="114"/>
        <v>0</v>
      </c>
      <c r="AX76" s="698">
        <f t="shared" si="115"/>
        <v>1</v>
      </c>
      <c r="AY76" s="697" t="e">
        <f>IF(#REF!&lt;&gt;"",(AY$11-#REF!)/(BA$11-#REF!)*(BA76-#REF!)+#REF!,"")</f>
        <v>#REF!</v>
      </c>
      <c r="AZ76" s="697" t="e">
        <f t="shared" si="72"/>
        <v>#REF!</v>
      </c>
      <c r="BA76" s="697">
        <f t="shared" si="77"/>
        <v>1</v>
      </c>
      <c r="BB76" s="697">
        <f t="shared" si="77"/>
        <v>1</v>
      </c>
      <c r="BC76" s="711"/>
      <c r="BD76" s="697">
        <f t="shared" si="73"/>
        <v>1</v>
      </c>
      <c r="BE76" s="697" t="e">
        <f>IF(#REF!&lt;&gt;"",(BE$11-#REF!)/(BG$11-#REF!)*(BG76-#REF!)+#REF!,"")</f>
        <v>#REF!</v>
      </c>
      <c r="BF76" s="697">
        <f t="shared" si="78"/>
        <v>0.5</v>
      </c>
      <c r="BG76" s="697">
        <f t="shared" si="78"/>
        <v>0</v>
      </c>
      <c r="BH76" s="697">
        <f t="shared" si="78"/>
        <v>0</v>
      </c>
      <c r="BI76" s="692"/>
      <c r="BJ76" s="693">
        <f t="shared" si="116"/>
        <v>1</v>
      </c>
      <c r="BK76" s="697">
        <f t="shared" si="117"/>
        <v>1</v>
      </c>
      <c r="BL76" s="697" t="e">
        <f t="shared" si="79"/>
        <v>#REF!</v>
      </c>
      <c r="BM76" s="697" t="e">
        <f t="shared" si="118"/>
        <v>#REF!</v>
      </c>
      <c r="BN76" s="697">
        <f t="shared" si="119"/>
        <v>1</v>
      </c>
      <c r="BO76" s="697">
        <f t="shared" si="119"/>
        <v>1</v>
      </c>
      <c r="BP76" s="194"/>
      <c r="BQ76" s="650">
        <f t="shared" si="120"/>
        <v>1</v>
      </c>
      <c r="BR76" s="697">
        <f t="shared" si="121"/>
        <v>1</v>
      </c>
      <c r="BS76" s="697" t="e">
        <f t="shared" si="74"/>
        <v>#REF!</v>
      </c>
      <c r="BT76" s="697" t="e">
        <f t="shared" si="122"/>
        <v>#REF!</v>
      </c>
      <c r="BU76" s="697">
        <f t="shared" si="123"/>
        <v>0.25</v>
      </c>
      <c r="BV76" s="697">
        <f t="shared" si="123"/>
        <v>0.1</v>
      </c>
      <c r="BW76" s="692"/>
      <c r="BX76" s="1" t="str">
        <f t="shared" si="124"/>
        <v>TFHCV4ODS-N</v>
      </c>
      <c r="BY76" s="1" t="str">
        <f t="shared" ca="1" si="95"/>
        <v>-	S_TFHCV4ODS	1	TFHCV4ODS-N Set	1	10/03/2023 17:53:59	null	((tblITEMS.Item Like "TFHCV4ODS-N*"))	null	null	null	null	null	null	null</v>
      </c>
      <c r="BZ76" s="1" t="str">
        <f t="shared" si="96"/>
        <v>-	S_TFHCV4ODS	1	1	True	Like "TFHCV4ODS-N*"</v>
      </c>
      <c r="CI76" s="1">
        <f t="shared" si="125"/>
        <v>38.1</v>
      </c>
      <c r="CJ76" s="1">
        <v>41</v>
      </c>
      <c r="CK76" s="625">
        <f t="shared" si="126"/>
        <v>1.0761154855643045</v>
      </c>
      <c r="CL76" s="625" t="e">
        <f>#REF!</f>
        <v>#REF!</v>
      </c>
      <c r="CM76" s="625" t="e">
        <f>CK76/#REF!</f>
        <v>#REF!</v>
      </c>
      <c r="CN76" s="2" t="e">
        <f>#REF!*1000</f>
        <v>#REF!</v>
      </c>
      <c r="CO76" s="2">
        <f t="shared" si="127"/>
        <v>84999.999999999985</v>
      </c>
      <c r="CP76" s="9" t="e">
        <f t="shared" si="128"/>
        <v>#REF!</v>
      </c>
    </row>
    <row r="77" spans="1:94" x14ac:dyDescent="0.2">
      <c r="A77" s="191" t="str">
        <f>ITEMS_nTech!C68</f>
        <v>Transport Freight - HCV5 Oil Diesel-N</v>
      </c>
      <c r="B77" s="191" t="str">
        <f t="shared" si="102"/>
        <v>TFHCV5ODS-N</v>
      </c>
      <c r="C77" s="612" t="str">
        <f t="shared" si="130"/>
        <v>TRAODS</v>
      </c>
      <c r="D77" s="612" t="str">
        <f>TRP!B36</f>
        <v>TFHCV5</v>
      </c>
      <c r="E77" s="702">
        <f t="array" ref="E77">IFERROR(INDEX(Analytica!$F$59:$AY$138,MATCH($B77,Analytica!$B$59:$B$168,0),MATCH(E$15&amp;E$10,Analytica!$F$58:$AY$58&amp;Analytica!$F$51:'Analytica'!$AY$51,0)),"")</f>
        <v>9.4723463153705931E-2</v>
      </c>
      <c r="F77" s="702">
        <f t="array" ref="F77">IFERROR(INDEX(Analytica!$F$59:$AY$138,MATCH($B77,Analytica!$B$59:$B$168,0),MATCH(F$15&amp;F$10,Analytica!$F$58:$AY$58&amp;Analytica!$F$51:'Analytica'!$AY$51,0)),"")</f>
        <v>0.1000943798469327</v>
      </c>
      <c r="G77" s="702">
        <f t="array" ref="G77">IFERROR(INDEX(Analytica!$F$59:$AY$138,MATCH($B77,Analytica!$B$59:$B$168,0),MATCH(G$15&amp;G$10,Analytica!$F$58:$AY$58&amp;Analytica!$F$51:'Analytica'!$AY$51,0)),"")</f>
        <v>0.11067709391073265</v>
      </c>
      <c r="H77" s="702">
        <f t="array" ref="H77">IFERROR(INDEX(Analytica!$F$59:$AY$138,MATCH($B77,Analytica!$B$59:$B$168,0),MATCH(H$15&amp;H$10,Analytica!$F$58:$AY$58&amp;Analytica!$F$51:'Analytica'!$AY$51,0)),"")</f>
        <v>0.12237869034462585</v>
      </c>
      <c r="I77" s="701">
        <v>1</v>
      </c>
      <c r="J77" s="701">
        <v>1</v>
      </c>
      <c r="K77" s="701">
        <v>1</v>
      </c>
      <c r="L77" s="701">
        <v>1</v>
      </c>
      <c r="M77" s="701">
        <v>1</v>
      </c>
      <c r="N77" s="696">
        <f>IF(B77="","",MAX(N$18:N76)+1)</f>
        <v>49</v>
      </c>
      <c r="O77" s="702">
        <f t="array" ref="O77">IFERROR(INDEX(Analytica!$F$59:$AY$138,MATCH($B77,Analytica!$B$59:$B$168,0),MATCH(O$15&amp;O$10,Analytica!$F$58:$AY$58&amp;Analytica!$F$51:'Analytica'!$AY$51,0)),"")</f>
        <v>0.11</v>
      </c>
      <c r="P77" s="620">
        <f t="array" ref="P77">IFERROR(INDEX(Analytica!$F$59:$AY$138,MATCH($B77,Analytica!$B$59:$B$168,0),MATCH(P$15&amp;P$10,Analytica!$F$58:$AY$58&amp;Analytica!$F$51:'Analytica'!$AY$51,0)),"")</f>
        <v>827.72774685699324</v>
      </c>
      <c r="Q77" s="620">
        <f t="array" ref="Q77">IFERROR(INDEX(Analytica!$F$59:$AY$138,MATCH($B77,Analytica!$B$59:$B$168,0),MATCH(Q$15&amp;Q$10,Analytica!$F$58:$AY$58&amp;Analytica!$F$51:'Analytica'!$AY$51,0)),"")</f>
        <v>854.49709320833597</v>
      </c>
      <c r="R77" s="620">
        <f t="array" ref="R77">IFERROR(INDEX(Analytica!$F$59:$AY$138,MATCH($B77,Analytica!$B$59:$B$168,0),MATCH(R$15&amp;R$10,Analytica!$F$58:$AY$58&amp;Analytica!$F$51:'Analytica'!$AY$51,0)),"")</f>
        <v>881.26643955967904</v>
      </c>
      <c r="S77" s="620">
        <f t="array" ref="S77">IFERROR(INDEX(Analytica!$F$59:$AY$138,MATCH($B77,Analytica!$B$59:$B$168,0),MATCH(S$15&amp;S$10,Analytica!$F$58:$AY$58&amp;Analytica!$F$51:'Analytica'!$AY$51,0)),"")</f>
        <v>898.44787511458867</v>
      </c>
      <c r="T77" s="620">
        <f t="array" ref="T77">IFERROR(INDEX(Analytica!$F$59:$AY$138,MATCH($B77,Analytica!$B$59:$B$168,0),MATCH(T$15&amp;T$10,Analytica!$F$58:$AY$58&amp;Analytica!$F$51:'Analytica'!$AY$51,0)),"")</f>
        <v>915.62931066949807</v>
      </c>
      <c r="U77" s="620">
        <f t="array" ref="U77">IFERROR(INDEX(Analytica!$F$59:$AY$138,MATCH($B77,Analytica!$B$59:$B$168,0),MATCH(U$15&amp;U$10,Analytica!$F$58:$AY$58&amp;Analytica!$F$51:'Analytica'!$AY$51,0)),"")</f>
        <v>945.21587798179326</v>
      </c>
      <c r="V77" s="620">
        <f t="array" ref="V77">IFERROR(INDEX(Analytica!$F$59:$AY$138,MATCH($B77,Analytica!$B$59:$B$168,0),MATCH(V$15&amp;V$10,Analytica!$F$58:$AY$58&amp;Analytica!$F$51:'Analytica'!$AY$51,0)),"")</f>
        <v>22.348649165138816</v>
      </c>
      <c r="W77" s="620">
        <f t="array" ref="W77">IFERROR(INDEX(Analytica!$F$59:$AY$138,MATCH($B77,Analytica!$B$59:$B$168,0),MATCH(W$15&amp;W$10,Analytica!$F$58:$AY$58&amp;Analytica!$F$51:'Analytica'!$AY$51,0)),"")</f>
        <v>23.794193868111336</v>
      </c>
      <c r="X77" s="620">
        <f t="array" ref="X77">IFERROR(INDEX(Analytica!$F$59:$AY$138,MATCH($B77,Analytica!$B$59:$B$168,0),MATCH(X$15&amp;X$10,Analytica!$F$58:$AY$58&amp;Analytica!$F$51:'Analytica'!$AY$51,0)),"")</f>
        <v>24.721991388076447</v>
      </c>
      <c r="Y77" s="620">
        <f t="array" ref="Y77">IFERROR(INDEX(Analytica!$F$59:$AY$138,MATCH($B77,Analytica!$B$59:$B$168,0),MATCH(Y$15&amp;Y$10,Analytica!$F$58:$AY$58&amp;Analytica!$F$51:'Analytica'!$AY$51,0)),"")</f>
        <v>25.520828705508418</v>
      </c>
      <c r="Z77" s="694">
        <f t="shared" si="129"/>
        <v>20</v>
      </c>
      <c r="AA77" s="694">
        <f t="shared" si="69"/>
        <v>20</v>
      </c>
      <c r="AB77" s="694">
        <f t="shared" si="80"/>
        <v>2018</v>
      </c>
      <c r="AC77" s="1">
        <f t="shared" ca="1" si="70"/>
        <v>60</v>
      </c>
      <c r="AE77" s="1" t="str">
        <f t="shared" si="71"/>
        <v>S_TFHCV5</v>
      </c>
      <c r="AF77" s="1" t="str">
        <f t="shared" si="103"/>
        <v>S_TFHCV5ODS</v>
      </c>
      <c r="AG77" s="1" t="str">
        <f t="shared" si="104"/>
        <v>TFHCV5ODS-N_L</v>
      </c>
      <c r="AH77" s="1" t="str">
        <f t="shared" si="105"/>
        <v>TFHCV5ODS-N_U</v>
      </c>
      <c r="AI77" s="194">
        <v>0</v>
      </c>
      <c r="AJ77" s="699">
        <f>SUMIF(Analytica!$B$59:$B$137,B77,Analytica!$BA$59:$BA$192)</f>
        <v>1</v>
      </c>
      <c r="AK77" s="697" t="e">
        <f>IF($AP$10,BK77,#REF!)</f>
        <v>#REF!</v>
      </c>
      <c r="AL77" s="697" t="e">
        <f t="shared" si="106"/>
        <v>#REF!</v>
      </c>
      <c r="AM77" s="697" t="e">
        <f t="shared" si="107"/>
        <v>#REF!</v>
      </c>
      <c r="AN77" s="697">
        <f t="shared" si="108"/>
        <v>1</v>
      </c>
      <c r="AO77" s="697">
        <f t="shared" si="109"/>
        <v>1</v>
      </c>
      <c r="AP77" s="194">
        <v>1</v>
      </c>
      <c r="AQ77" s="697">
        <f t="shared" si="110"/>
        <v>1</v>
      </c>
      <c r="AR77" s="697" t="e">
        <f>IF($AP$10,BR77,#REF!)</f>
        <v>#REF!</v>
      </c>
      <c r="AS77" s="697" t="e">
        <f t="shared" si="111"/>
        <v>#REF!</v>
      </c>
      <c r="AT77" s="697">
        <f t="shared" si="112"/>
        <v>0.5</v>
      </c>
      <c r="AU77" s="697">
        <f t="shared" si="113"/>
        <v>0</v>
      </c>
      <c r="AV77" s="697">
        <f t="shared" si="114"/>
        <v>0</v>
      </c>
      <c r="AX77" s="698">
        <f t="shared" si="115"/>
        <v>1</v>
      </c>
      <c r="AY77" s="697" t="e">
        <f>IF(#REF!&lt;&gt;"",(AY$11-#REF!)/(BA$11-#REF!)*(BA77-#REF!)+#REF!,"")</f>
        <v>#REF!</v>
      </c>
      <c r="AZ77" s="697" t="e">
        <f t="shared" si="72"/>
        <v>#REF!</v>
      </c>
      <c r="BA77" s="697">
        <f t="shared" si="77"/>
        <v>1</v>
      </c>
      <c r="BB77" s="697">
        <f t="shared" si="77"/>
        <v>1</v>
      </c>
      <c r="BC77" s="711"/>
      <c r="BD77" s="697">
        <f t="shared" si="73"/>
        <v>1</v>
      </c>
      <c r="BE77" s="697" t="e">
        <f>IF(#REF!&lt;&gt;"",(BE$11-#REF!)/(BG$11-#REF!)*(BG77-#REF!)+#REF!,"")</f>
        <v>#REF!</v>
      </c>
      <c r="BF77" s="697">
        <f t="shared" si="78"/>
        <v>0.5</v>
      </c>
      <c r="BG77" s="697">
        <f t="shared" si="78"/>
        <v>0</v>
      </c>
      <c r="BH77" s="697">
        <f t="shared" si="78"/>
        <v>0</v>
      </c>
      <c r="BI77" s="692"/>
      <c r="BJ77" s="693">
        <f t="shared" si="116"/>
        <v>1</v>
      </c>
      <c r="BK77" s="697">
        <f t="shared" si="117"/>
        <v>1</v>
      </c>
      <c r="BL77" s="697" t="e">
        <f t="shared" si="79"/>
        <v>#REF!</v>
      </c>
      <c r="BM77" s="697" t="e">
        <f t="shared" si="118"/>
        <v>#REF!</v>
      </c>
      <c r="BN77" s="697">
        <f t="shared" si="119"/>
        <v>1</v>
      </c>
      <c r="BO77" s="697">
        <f t="shared" si="119"/>
        <v>1</v>
      </c>
      <c r="BP77" s="194"/>
      <c r="BQ77" s="650">
        <f t="shared" si="120"/>
        <v>1</v>
      </c>
      <c r="BR77" s="697">
        <f t="shared" si="121"/>
        <v>1</v>
      </c>
      <c r="BS77" s="697" t="e">
        <f t="shared" si="74"/>
        <v>#REF!</v>
      </c>
      <c r="BT77" s="697" t="e">
        <f t="shared" si="122"/>
        <v>#REF!</v>
      </c>
      <c r="BU77" s="697">
        <f t="shared" si="123"/>
        <v>0.25</v>
      </c>
      <c r="BV77" s="697">
        <f t="shared" si="123"/>
        <v>0.1</v>
      </c>
      <c r="BW77" s="692"/>
      <c r="BX77" s="1" t="str">
        <f t="shared" si="124"/>
        <v>TFHCV5ODS-N</v>
      </c>
      <c r="BY77" s="1" t="str">
        <f t="shared" ca="1" si="95"/>
        <v>-	S_TFHCV5ODS	1	TFHCV5ODS-N Set	1	10/03/2023 17:53:59	null	((tblITEMS.Item Like "TFHCV5ODS-N*"))	null	null	null	null	null	null	null</v>
      </c>
      <c r="BZ77" s="1" t="str">
        <f t="shared" si="96"/>
        <v>-	S_TFHCV5ODS	1	1	True	Like "TFHCV5ODS-N*"</v>
      </c>
      <c r="CI77" s="1">
        <f t="shared" si="125"/>
        <v>38.1</v>
      </c>
      <c r="CJ77" s="1">
        <v>41</v>
      </c>
      <c r="CK77" s="625">
        <f t="shared" si="126"/>
        <v>1.0761154855643045</v>
      </c>
      <c r="CL77" s="625" t="e">
        <f>#REF!</f>
        <v>#REF!</v>
      </c>
      <c r="CM77" s="625" t="e">
        <f>CK77/#REF!</f>
        <v>#REF!</v>
      </c>
      <c r="CN77" s="2" t="e">
        <f>#REF!*1000</f>
        <v>#REF!</v>
      </c>
      <c r="CO77" s="2">
        <f t="shared" si="127"/>
        <v>110000</v>
      </c>
      <c r="CP77" s="9" t="e">
        <f t="shared" si="128"/>
        <v>#REF!</v>
      </c>
    </row>
    <row r="78" spans="1:94" x14ac:dyDescent="0.2">
      <c r="A78" s="191" t="str">
        <f>ITEMS_nTech!C69</f>
        <v>Transport Freight - HCV6 Oil Diesel-N</v>
      </c>
      <c r="B78" s="191" t="str">
        <f t="shared" si="102"/>
        <v>TFHCV6ODS-N</v>
      </c>
      <c r="C78" s="612" t="str">
        <f t="shared" si="130"/>
        <v>TRAODS</v>
      </c>
      <c r="D78" s="612" t="str">
        <f>TRP!B37</f>
        <v>TFHCV6</v>
      </c>
      <c r="E78" s="702">
        <f t="array" ref="E78">IFERROR(INDEX(Analytica!$F$59:$AY$138,MATCH($B78,Analytica!$B$59:$B$168,0),MATCH(E$15&amp;E$10,Analytica!$F$58:$AY$58&amp;Analytica!$F$51:'Analytica'!$AY$51,0)),"")</f>
        <v>6.5335885867528767E-2</v>
      </c>
      <c r="F78" s="702">
        <f t="array" ref="F78">IFERROR(INDEX(Analytica!$F$59:$AY$138,MATCH($B78,Analytica!$B$59:$B$168,0),MATCH(F$15&amp;F$10,Analytica!$F$58:$AY$58&amp;Analytica!$F$51:'Analytica'!$AY$51,0)),"")</f>
        <v>6.9040497041882143E-2</v>
      </c>
      <c r="G78" s="702">
        <f t="array" ref="G78">IFERROR(INDEX(Analytica!$F$59:$AY$138,MATCH($B78,Analytica!$B$59:$B$168,0),MATCH(G$15&amp;G$10,Analytica!$F$58:$AY$58&amp;Analytica!$F$51:'Analytica'!$AY$51,0)),"")</f>
        <v>7.6339966204228477E-2</v>
      </c>
      <c r="H78" s="702">
        <f t="array" ref="H78">IFERROR(INDEX(Analytica!$F$59:$AY$138,MATCH($B78,Analytica!$B$59:$B$168,0),MATCH(H$15&amp;H$10,Analytica!$F$58:$AY$58&amp;Analytica!$F$51:'Analytica'!$AY$51,0)),"")</f>
        <v>8.4411188936363318E-2</v>
      </c>
      <c r="I78" s="701">
        <v>1</v>
      </c>
      <c r="J78" s="701">
        <v>1</v>
      </c>
      <c r="K78" s="701">
        <v>1</v>
      </c>
      <c r="L78" s="701">
        <v>1</v>
      </c>
      <c r="M78" s="701">
        <v>1</v>
      </c>
      <c r="N78" s="696">
        <f>IF(B78="","",MAX(N$18:N77)+1)</f>
        <v>50</v>
      </c>
      <c r="O78" s="702">
        <f t="array" ref="O78">IFERROR(INDEX(Analytica!$F$59:$AY$138,MATCH($B78,Analytica!$B$59:$B$168,0),MATCH(O$15&amp;O$10,Analytica!$F$58:$AY$58&amp;Analytica!$F$51:'Analytica'!$AY$51,0)),"")</f>
        <v>0.11</v>
      </c>
      <c r="P78" s="620">
        <f t="array" ref="P78">IFERROR(INDEX(Analytica!$F$59:$AY$138,MATCH($B78,Analytica!$B$59:$B$168,0),MATCH(P$15&amp;P$10,Analytica!$F$58:$AY$58&amp;Analytica!$F$51:'Analytica'!$AY$51,0)),"")</f>
        <v>827.72774685699324</v>
      </c>
      <c r="Q78" s="620">
        <f t="array" ref="Q78">IFERROR(INDEX(Analytica!$F$59:$AY$138,MATCH($B78,Analytica!$B$59:$B$168,0),MATCH(Q$15&amp;Q$10,Analytica!$F$58:$AY$58&amp;Analytica!$F$51:'Analytica'!$AY$51,0)),"")</f>
        <v>854.49709320833597</v>
      </c>
      <c r="R78" s="620">
        <f t="array" ref="R78">IFERROR(INDEX(Analytica!$F$59:$AY$138,MATCH($B78,Analytica!$B$59:$B$168,0),MATCH(R$15&amp;R$10,Analytica!$F$58:$AY$58&amp;Analytica!$F$51:'Analytica'!$AY$51,0)),"")</f>
        <v>881.26643955967904</v>
      </c>
      <c r="S78" s="620">
        <f t="array" ref="S78">IFERROR(INDEX(Analytica!$F$59:$AY$138,MATCH($B78,Analytica!$B$59:$B$168,0),MATCH(S$15&amp;S$10,Analytica!$F$58:$AY$58&amp;Analytica!$F$51:'Analytica'!$AY$51,0)),"")</f>
        <v>898.44787511458867</v>
      </c>
      <c r="T78" s="620">
        <f t="array" ref="T78">IFERROR(INDEX(Analytica!$F$59:$AY$138,MATCH($B78,Analytica!$B$59:$B$168,0),MATCH(T$15&amp;T$10,Analytica!$F$58:$AY$58&amp;Analytica!$F$51:'Analytica'!$AY$51,0)),"")</f>
        <v>915.62931066949807</v>
      </c>
      <c r="U78" s="620">
        <f t="array" ref="U78">IFERROR(INDEX(Analytica!$F$59:$AY$138,MATCH($B78,Analytica!$B$59:$B$168,0),MATCH(U$15&amp;U$10,Analytica!$F$58:$AY$58&amp;Analytica!$F$51:'Analytica'!$AY$51,0)),"")</f>
        <v>945.21587798179326</v>
      </c>
      <c r="V78" s="620">
        <f t="array" ref="V78">IFERROR(INDEX(Analytica!$F$59:$AY$138,MATCH($B78,Analytica!$B$59:$B$168,0),MATCH(V$15&amp;V$10,Analytica!$F$58:$AY$58&amp;Analytica!$F$51:'Analytica'!$AY$51,0)),"")</f>
        <v>22.348649165138816</v>
      </c>
      <c r="W78" s="620">
        <f t="array" ref="W78">IFERROR(INDEX(Analytica!$F$59:$AY$138,MATCH($B78,Analytica!$B$59:$B$168,0),MATCH(W$15&amp;W$10,Analytica!$F$58:$AY$58&amp;Analytica!$F$51:'Analytica'!$AY$51,0)),"")</f>
        <v>23.794193868111336</v>
      </c>
      <c r="X78" s="620">
        <f t="array" ref="X78">IFERROR(INDEX(Analytica!$F$59:$AY$138,MATCH($B78,Analytica!$B$59:$B$168,0),MATCH(X$15&amp;X$10,Analytica!$F$58:$AY$58&amp;Analytica!$F$51:'Analytica'!$AY$51,0)),"")</f>
        <v>24.721991388076447</v>
      </c>
      <c r="Y78" s="620">
        <f t="array" ref="Y78">IFERROR(INDEX(Analytica!$F$59:$AY$138,MATCH($B78,Analytica!$B$59:$B$168,0),MATCH(Y$15&amp;Y$10,Analytica!$F$58:$AY$58&amp;Analytica!$F$51:'Analytica'!$AY$51,0)),"")</f>
        <v>25.520828705508418</v>
      </c>
      <c r="Z78" s="694">
        <f t="shared" si="129"/>
        <v>20</v>
      </c>
      <c r="AA78" s="694">
        <f t="shared" si="69"/>
        <v>20</v>
      </c>
      <c r="AB78" s="694">
        <f t="shared" si="80"/>
        <v>2018</v>
      </c>
      <c r="AC78" s="1">
        <f t="shared" ca="1" si="70"/>
        <v>61</v>
      </c>
      <c r="AE78" s="1" t="str">
        <f t="shared" si="71"/>
        <v>S_TFHCV6</v>
      </c>
      <c r="AF78" s="1" t="str">
        <f t="shared" si="103"/>
        <v>S_TFHCV6ODS</v>
      </c>
      <c r="AG78" s="1" t="str">
        <f t="shared" si="104"/>
        <v>TFHCV6ODS-N_L</v>
      </c>
      <c r="AH78" s="1" t="str">
        <f t="shared" si="105"/>
        <v>TFHCV6ODS-N_U</v>
      </c>
      <c r="AI78" s="194">
        <v>0</v>
      </c>
      <c r="AJ78" s="699">
        <f>SUMIF(Analytica!$B$59:$B$137,B78,Analytica!$BA$59:$BA$192)</f>
        <v>1</v>
      </c>
      <c r="AK78" s="697" t="e">
        <f>IF($AP$10,BK78,#REF!)</f>
        <v>#REF!</v>
      </c>
      <c r="AL78" s="697" t="e">
        <f t="shared" si="106"/>
        <v>#REF!</v>
      </c>
      <c r="AM78" s="697" t="e">
        <f t="shared" si="107"/>
        <v>#REF!</v>
      </c>
      <c r="AN78" s="697">
        <f t="shared" si="108"/>
        <v>1</v>
      </c>
      <c r="AO78" s="697">
        <f t="shared" si="109"/>
        <v>1</v>
      </c>
      <c r="AP78" s="194">
        <v>1</v>
      </c>
      <c r="AQ78" s="697">
        <f t="shared" si="110"/>
        <v>1</v>
      </c>
      <c r="AR78" s="697" t="e">
        <f>IF($AP$10,BR78,#REF!)</f>
        <v>#REF!</v>
      </c>
      <c r="AS78" s="697" t="e">
        <f t="shared" si="111"/>
        <v>#REF!</v>
      </c>
      <c r="AT78" s="697">
        <f t="shared" si="112"/>
        <v>0.5</v>
      </c>
      <c r="AU78" s="697">
        <f t="shared" si="113"/>
        <v>0</v>
      </c>
      <c r="AV78" s="697">
        <f t="shared" si="114"/>
        <v>0</v>
      </c>
      <c r="AX78" s="698">
        <f t="shared" si="115"/>
        <v>1</v>
      </c>
      <c r="AY78" s="697" t="e">
        <f>IF(#REF!&lt;&gt;"",(AY$11-#REF!)/(BA$11-#REF!)*(BA78-#REF!)+#REF!,"")</f>
        <v>#REF!</v>
      </c>
      <c r="AZ78" s="697" t="e">
        <f t="shared" si="72"/>
        <v>#REF!</v>
      </c>
      <c r="BA78" s="697">
        <f t="shared" ref="BA78:BB107" si="131">MIN(1,$AJ78+BA$12)</f>
        <v>1</v>
      </c>
      <c r="BB78" s="697">
        <f t="shared" si="131"/>
        <v>1</v>
      </c>
      <c r="BC78" s="711"/>
      <c r="BD78" s="697">
        <f t="shared" si="73"/>
        <v>1</v>
      </c>
      <c r="BE78" s="697" t="e">
        <f>IF(#REF!&lt;&gt;"",(BE$11-#REF!)/(BG$11-#REF!)*(BG78-#REF!)+#REF!,"")</f>
        <v>#REF!</v>
      </c>
      <c r="BF78" s="697">
        <f t="shared" ref="BF78:BH107" si="132">$AQ78*BF$12</f>
        <v>0.5</v>
      </c>
      <c r="BG78" s="697">
        <f t="shared" si="132"/>
        <v>0</v>
      </c>
      <c r="BH78" s="697">
        <f t="shared" si="132"/>
        <v>0</v>
      </c>
      <c r="BI78" s="692"/>
      <c r="BJ78" s="693">
        <f t="shared" si="116"/>
        <v>1</v>
      </c>
      <c r="BK78" s="697">
        <f t="shared" si="117"/>
        <v>1</v>
      </c>
      <c r="BL78" s="697" t="e">
        <f t="shared" si="79"/>
        <v>#REF!</v>
      </c>
      <c r="BM78" s="697" t="e">
        <f t="shared" si="118"/>
        <v>#REF!</v>
      </c>
      <c r="BN78" s="697">
        <f t="shared" si="119"/>
        <v>1</v>
      </c>
      <c r="BO78" s="697">
        <f t="shared" si="119"/>
        <v>1</v>
      </c>
      <c r="BP78" s="194"/>
      <c r="BQ78" s="650">
        <f t="shared" si="120"/>
        <v>1</v>
      </c>
      <c r="BR78" s="697">
        <f t="shared" si="121"/>
        <v>1</v>
      </c>
      <c r="BS78" s="697" t="e">
        <f t="shared" si="74"/>
        <v>#REF!</v>
      </c>
      <c r="BT78" s="697" t="e">
        <f t="shared" si="122"/>
        <v>#REF!</v>
      </c>
      <c r="BU78" s="697">
        <f t="shared" si="123"/>
        <v>0.25</v>
      </c>
      <c r="BV78" s="697">
        <f t="shared" si="123"/>
        <v>0.1</v>
      </c>
      <c r="BW78" s="692"/>
      <c r="BX78" s="1" t="str">
        <f t="shared" si="124"/>
        <v>TFHCV6ODS-N</v>
      </c>
      <c r="BY78" s="1" t="str">
        <f t="shared" ca="1" si="95"/>
        <v>-	S_TFHCV6ODS	1	TFHCV6ODS-N Set	1	10/03/2023 17:53:59	null	((tblITEMS.Item Like "TFHCV6ODS-N*"))	null	null	null	null	null	null	null</v>
      </c>
      <c r="BZ78" s="1" t="str">
        <f t="shared" si="96"/>
        <v>-	S_TFHCV6ODS	1	1	True	Like "TFHCV6ODS-N*"</v>
      </c>
      <c r="CI78" s="1">
        <f t="shared" si="125"/>
        <v>38.1</v>
      </c>
      <c r="CJ78" s="1">
        <v>41</v>
      </c>
      <c r="CK78" s="625">
        <f t="shared" si="126"/>
        <v>1.0761154855643045</v>
      </c>
      <c r="CL78" s="625" t="e">
        <f>#REF!</f>
        <v>#REF!</v>
      </c>
      <c r="CM78" s="625" t="e">
        <f>CK78/#REF!</f>
        <v>#REF!</v>
      </c>
      <c r="CN78" s="2" t="e">
        <f>#REF!*1000</f>
        <v>#REF!</v>
      </c>
      <c r="CO78" s="2">
        <f t="shared" si="127"/>
        <v>110000</v>
      </c>
      <c r="CP78" s="9" t="e">
        <f t="shared" si="128"/>
        <v>#REF!</v>
      </c>
    </row>
    <row r="79" spans="1:94" x14ac:dyDescent="0.2">
      <c r="A79" s="191" t="str">
        <f>ITEMS_nTech!C70</f>
        <v>Transport Freight - HCV7 Oil Diesel-N</v>
      </c>
      <c r="B79" s="191" t="str">
        <f t="shared" si="102"/>
        <v>TFHCV7ODS-N</v>
      </c>
      <c r="C79" s="612" t="str">
        <f t="shared" si="130"/>
        <v>TRAODS</v>
      </c>
      <c r="D79" s="612" t="str">
        <f>TRP!B38</f>
        <v>TFHCV7</v>
      </c>
      <c r="E79" s="702">
        <f t="array" ref="E79">IFERROR(INDEX(Analytica!$F$59:$AY$138,MATCH($B79,Analytica!$B$59:$B$168,0),MATCH(E$15&amp;E$10,Analytica!$F$58:$AY$58&amp;Analytica!$F$51:'Analytica'!$AY$51,0)),"")</f>
        <v>7.0529217664861518E-2</v>
      </c>
      <c r="F79" s="702">
        <f t="array" ref="F79">IFERROR(INDEX(Analytica!$F$59:$AY$138,MATCH($B79,Analytica!$B$59:$B$168,0),MATCH(F$15&amp;F$10,Analytica!$F$58:$AY$58&amp;Analytica!$F$51:'Analytica'!$AY$51,0)),"")</f>
        <v>7.4528296033668062E-2</v>
      </c>
      <c r="G79" s="702">
        <f t="array" ref="G79">IFERROR(INDEX(Analytica!$F$59:$AY$138,MATCH($B79,Analytica!$B$59:$B$168,0),MATCH(G$15&amp;G$10,Analytica!$F$58:$AY$58&amp;Analytica!$F$51:'Analytica'!$AY$51,0)),"")</f>
        <v>8.2407975669954003E-2</v>
      </c>
      <c r="H79" s="702">
        <f t="array" ref="H79">IFERROR(INDEX(Analytica!$F$59:$AY$138,MATCH($B79,Analytica!$B$59:$B$168,0),MATCH(H$15&amp;H$10,Analytica!$F$58:$AY$58&amp;Analytica!$F$51:'Analytica'!$AY$51,0)),"")</f>
        <v>9.1120752994968135E-2</v>
      </c>
      <c r="I79" s="701">
        <v>1</v>
      </c>
      <c r="J79" s="701">
        <v>1</v>
      </c>
      <c r="K79" s="701">
        <v>1</v>
      </c>
      <c r="L79" s="701">
        <v>1</v>
      </c>
      <c r="M79" s="701">
        <v>1</v>
      </c>
      <c r="N79" s="696">
        <f>IF(B79="","",MAX(N$18:N78)+1)</f>
        <v>51</v>
      </c>
      <c r="O79" s="702">
        <f t="array" ref="O79">IFERROR(INDEX(Analytica!$F$59:$AY$138,MATCH($B79,Analytica!$B$59:$B$168,0),MATCH(O$15&amp;O$10,Analytica!$F$58:$AY$58&amp;Analytica!$F$51:'Analytica'!$AY$51,0)),"")</f>
        <v>0.16</v>
      </c>
      <c r="P79" s="620">
        <f t="array" ref="P79">IFERROR(INDEX(Analytica!$F$59:$AY$138,MATCH($B79,Analytica!$B$59:$B$168,0),MATCH(P$15&amp;P$10,Analytica!$F$58:$AY$58&amp;Analytica!$F$51:'Analytica'!$AY$51,0)),"")</f>
        <v>1088.4286604757042</v>
      </c>
      <c r="Q79" s="620">
        <f t="array" ref="Q79">IFERROR(INDEX(Analytica!$F$59:$AY$138,MATCH($B79,Analytica!$B$59:$B$168,0),MATCH(Q$15&amp;Q$10,Analytica!$F$58:$AY$58&amp;Analytica!$F$51:'Analytica'!$AY$51,0)),"")</f>
        <v>1116.5616285591618</v>
      </c>
      <c r="R79" s="620">
        <f t="array" ref="R79">IFERROR(INDEX(Analytica!$F$59:$AY$138,MATCH($B79,Analytica!$B$59:$B$168,0),MATCH(R$15&amp;R$10,Analytica!$F$58:$AY$58&amp;Analytica!$F$51:'Analytica'!$AY$51,0)),"")</f>
        <v>1144.6945966426194</v>
      </c>
      <c r="S79" s="620">
        <f t="array" ref="S79">IFERROR(INDEX(Analytica!$F$59:$AY$138,MATCH($B79,Analytica!$B$59:$B$168,0),MATCH(S$15&amp;S$10,Analytica!$F$58:$AY$58&amp;Analytica!$F$51:'Analytica'!$AY$51,0)),"")</f>
        <v>1166.6518949681349</v>
      </c>
      <c r="T79" s="620">
        <f t="array" ref="T79">IFERROR(INDEX(Analytica!$F$59:$AY$138,MATCH($B79,Analytica!$B$59:$B$168,0),MATCH(T$15&amp;T$10,Analytica!$F$58:$AY$58&amp;Analytica!$F$51:'Analytica'!$AY$51,0)),"")</f>
        <v>1188.6091932936499</v>
      </c>
      <c r="U79" s="620">
        <f t="array" ref="U79">IFERROR(INDEX(Analytica!$F$59:$AY$138,MATCH($B79,Analytica!$B$59:$B$168,0),MATCH(U$15&amp;U$10,Analytica!$F$58:$AY$58&amp;Analytica!$F$51:'Analytica'!$AY$51,0)),"")</f>
        <v>1215.8917526997081</v>
      </c>
      <c r="V79" s="620">
        <f t="array" ref="V79">IFERROR(INDEX(Analytica!$F$59:$AY$138,MATCH($B79,Analytica!$B$59:$B$168,0),MATCH(V$15&amp;V$10,Analytica!$F$58:$AY$58&amp;Analytica!$F$51:'Analytica'!$AY$51,0)),"")</f>
        <v>29.387573832844012</v>
      </c>
      <c r="W79" s="620">
        <f t="array" ref="W79">IFERROR(INDEX(Analytica!$F$59:$AY$138,MATCH($B79,Analytica!$B$59:$B$168,0),MATCH(W$15&amp;W$10,Analytica!$F$58:$AY$58&amp;Analytica!$F$51:'Analytica'!$AY$51,0)),"")</f>
        <v>30.906754109350725</v>
      </c>
      <c r="X79" s="620">
        <f t="array" ref="X79">IFERROR(INDEX(Analytica!$F$59:$AY$138,MATCH($B79,Analytica!$B$59:$B$168,0),MATCH(X$15&amp;X$10,Analytica!$F$58:$AY$58&amp;Analytica!$F$51:'Analytica'!$AY$51,0)),"")</f>
        <v>32.092448218928546</v>
      </c>
      <c r="Y79" s="620">
        <f t="array" ref="Y79">IFERROR(INDEX(Analytica!$F$59:$AY$138,MATCH($B79,Analytica!$B$59:$B$168,0),MATCH(Y$15&amp;Y$10,Analytica!$F$58:$AY$58&amp;Analytica!$F$51:'Analytica'!$AY$51,0)),"")</f>
        <v>32.829077322892118</v>
      </c>
      <c r="Z79" s="694">
        <f t="shared" si="129"/>
        <v>20</v>
      </c>
      <c r="AA79" s="694">
        <f t="shared" si="69"/>
        <v>20</v>
      </c>
      <c r="AB79" s="694">
        <f t="shared" si="80"/>
        <v>2018</v>
      </c>
      <c r="AC79" s="1">
        <f t="shared" ca="1" si="70"/>
        <v>62</v>
      </c>
      <c r="AE79" s="1" t="str">
        <f t="shared" si="71"/>
        <v>S_TFHCV7</v>
      </c>
      <c r="AF79" s="1" t="str">
        <f t="shared" si="103"/>
        <v>S_TFHCV7ODS</v>
      </c>
      <c r="AG79" s="1" t="str">
        <f t="shared" si="104"/>
        <v>TFHCV7ODS-N_L</v>
      </c>
      <c r="AH79" s="1" t="str">
        <f t="shared" si="105"/>
        <v>TFHCV7ODS-N_U</v>
      </c>
      <c r="AI79" s="194">
        <v>0</v>
      </c>
      <c r="AJ79" s="699">
        <f>SUMIF(Analytica!$B$59:$B$137,B79,Analytica!$BA$59:$BA$192)</f>
        <v>1</v>
      </c>
      <c r="AK79" s="697" t="e">
        <f>IF($AP$10,BK79,#REF!)</f>
        <v>#REF!</v>
      </c>
      <c r="AL79" s="697" t="e">
        <f t="shared" si="106"/>
        <v>#REF!</v>
      </c>
      <c r="AM79" s="697" t="e">
        <f t="shared" si="107"/>
        <v>#REF!</v>
      </c>
      <c r="AN79" s="697">
        <f t="shared" si="108"/>
        <v>1</v>
      </c>
      <c r="AO79" s="697">
        <f t="shared" si="109"/>
        <v>1</v>
      </c>
      <c r="AP79" s="194">
        <v>1</v>
      </c>
      <c r="AQ79" s="697">
        <f t="shared" si="110"/>
        <v>1</v>
      </c>
      <c r="AR79" s="697" t="e">
        <f>IF($AP$10,BR79,#REF!)</f>
        <v>#REF!</v>
      </c>
      <c r="AS79" s="697" t="e">
        <f t="shared" si="111"/>
        <v>#REF!</v>
      </c>
      <c r="AT79" s="697">
        <f t="shared" si="112"/>
        <v>0.5</v>
      </c>
      <c r="AU79" s="697">
        <f t="shared" si="113"/>
        <v>0</v>
      </c>
      <c r="AV79" s="697">
        <f t="shared" si="114"/>
        <v>0</v>
      </c>
      <c r="AX79" s="698">
        <f t="shared" si="115"/>
        <v>1</v>
      </c>
      <c r="AY79" s="697" t="e">
        <f>IF(#REF!&lt;&gt;"",(AY$11-#REF!)/(BA$11-#REF!)*(BA79-#REF!)+#REF!,"")</f>
        <v>#REF!</v>
      </c>
      <c r="AZ79" s="697" t="e">
        <f t="shared" si="72"/>
        <v>#REF!</v>
      </c>
      <c r="BA79" s="697">
        <f t="shared" si="131"/>
        <v>1</v>
      </c>
      <c r="BB79" s="697">
        <f t="shared" si="131"/>
        <v>1</v>
      </c>
      <c r="BC79" s="711"/>
      <c r="BD79" s="697">
        <f t="shared" si="73"/>
        <v>1</v>
      </c>
      <c r="BE79" s="697" t="e">
        <f>IF(#REF!&lt;&gt;"",(BE$11-#REF!)/(BG$11-#REF!)*(BG79-#REF!)+#REF!,"")</f>
        <v>#REF!</v>
      </c>
      <c r="BF79" s="697">
        <f t="shared" si="132"/>
        <v>0.5</v>
      </c>
      <c r="BG79" s="697">
        <f t="shared" si="132"/>
        <v>0</v>
      </c>
      <c r="BH79" s="697">
        <f t="shared" si="132"/>
        <v>0</v>
      </c>
      <c r="BI79" s="692"/>
      <c r="BJ79" s="693">
        <f t="shared" si="116"/>
        <v>1</v>
      </c>
      <c r="BK79" s="697">
        <f t="shared" si="117"/>
        <v>1</v>
      </c>
      <c r="BL79" s="697" t="e">
        <f t="shared" si="79"/>
        <v>#REF!</v>
      </c>
      <c r="BM79" s="697" t="e">
        <f t="shared" si="118"/>
        <v>#REF!</v>
      </c>
      <c r="BN79" s="697">
        <f t="shared" si="119"/>
        <v>1</v>
      </c>
      <c r="BO79" s="697">
        <f t="shared" si="119"/>
        <v>1</v>
      </c>
      <c r="BP79" s="194"/>
      <c r="BQ79" s="650">
        <f t="shared" si="120"/>
        <v>1</v>
      </c>
      <c r="BR79" s="697">
        <f t="shared" si="121"/>
        <v>1</v>
      </c>
      <c r="BS79" s="697" t="e">
        <f t="shared" si="74"/>
        <v>#REF!</v>
      </c>
      <c r="BT79" s="697" t="e">
        <f t="shared" si="122"/>
        <v>#REF!</v>
      </c>
      <c r="BU79" s="697">
        <f t="shared" si="123"/>
        <v>0.25</v>
      </c>
      <c r="BV79" s="697">
        <f t="shared" si="123"/>
        <v>0.1</v>
      </c>
      <c r="BW79" s="692"/>
      <c r="BX79" s="1" t="str">
        <f t="shared" si="124"/>
        <v>TFHCV7ODS-N</v>
      </c>
      <c r="BY79" s="1" t="str">
        <f t="shared" ca="1" si="95"/>
        <v>-	S_TFHCV7ODS	1	TFHCV7ODS-N Set	1	10/03/2023 17:53:59	null	((tblITEMS.Item Like "TFHCV7ODS-N*"))	null	null	null	null	null	null	null</v>
      </c>
      <c r="BZ79" s="1" t="str">
        <f t="shared" si="96"/>
        <v>-	S_TFHCV7ODS	1	1	True	Like "TFHCV7ODS-N*"</v>
      </c>
      <c r="CI79" s="1">
        <f t="shared" si="125"/>
        <v>38.1</v>
      </c>
      <c r="CJ79" s="1">
        <v>41</v>
      </c>
      <c r="CK79" s="625">
        <f t="shared" si="126"/>
        <v>1.0761154855643045</v>
      </c>
      <c r="CL79" s="625" t="e">
        <f>#REF!</f>
        <v>#REF!</v>
      </c>
      <c r="CM79" s="625" t="e">
        <f>CK79/#REF!</f>
        <v>#REF!</v>
      </c>
      <c r="CN79" s="2" t="e">
        <f>#REF!*1000</f>
        <v>#REF!</v>
      </c>
      <c r="CO79" s="2">
        <f t="shared" si="127"/>
        <v>160000</v>
      </c>
      <c r="CP79" s="9" t="e">
        <f t="shared" si="128"/>
        <v>#REF!</v>
      </c>
    </row>
    <row r="80" spans="1:94" x14ac:dyDescent="0.2">
      <c r="A80" s="191" t="str">
        <f>ITEMS_nTech!C71</f>
        <v>Transport Freight - HCV8 Oil Diesel-N</v>
      </c>
      <c r="B80" s="191" t="str">
        <f t="shared" si="102"/>
        <v>TFHCV8ODS-N</v>
      </c>
      <c r="C80" s="612" t="str">
        <f t="shared" si="130"/>
        <v>TRAODS</v>
      </c>
      <c r="D80" s="612" t="str">
        <f>TRP!B39</f>
        <v>TFHCV8</v>
      </c>
      <c r="E80" s="702">
        <f t="array" ref="E80">IFERROR(INDEX(Analytica!$F$59:$AY$138,MATCH($B80,Analytica!$B$59:$B$168,0),MATCH(E$15&amp;E$10,Analytica!$F$58:$AY$58&amp;Analytica!$F$51:'Analytica'!$AY$51,0)),"")</f>
        <v>6.9401604619788601E-2</v>
      </c>
      <c r="F80" s="702">
        <f t="array" ref="F80">IFERROR(INDEX(Analytica!$F$59:$AY$138,MATCH($B80,Analytica!$B$59:$B$168,0),MATCH(F$15&amp;F$10,Analytica!$F$58:$AY$58&amp;Analytica!$F$51:'Analytica'!$AY$51,0)),"")</f>
        <v>7.3336746182173118E-2</v>
      </c>
      <c r="G80" s="702">
        <f t="array" ref="G80">IFERROR(INDEX(Analytica!$F$59:$AY$138,MATCH($B80,Analytica!$B$59:$B$168,0),MATCH(G$15&amp;G$10,Analytica!$F$58:$AY$58&amp;Analytica!$F$51:'Analytica'!$AY$51,0)),"")</f>
        <v>8.109044640392632E-2</v>
      </c>
      <c r="H80" s="702">
        <f t="array" ref="H80">IFERROR(INDEX(Analytica!$F$59:$AY$138,MATCH($B80,Analytica!$B$59:$B$168,0),MATCH(H$15&amp;H$10,Analytica!$F$58:$AY$58&amp;Analytica!$F$51:'Analytica'!$AY$51,0)),"")</f>
        <v>8.966392484408417E-2</v>
      </c>
      <c r="I80" s="701">
        <v>1</v>
      </c>
      <c r="J80" s="701">
        <v>1</v>
      </c>
      <c r="K80" s="701">
        <v>1</v>
      </c>
      <c r="L80" s="701">
        <v>1</v>
      </c>
      <c r="M80" s="701">
        <v>1</v>
      </c>
      <c r="N80" s="696">
        <f>IF(B80="","",MAX(N$18:N79)+1)</f>
        <v>52</v>
      </c>
      <c r="O80" s="702">
        <f t="array" ref="O80">IFERROR(INDEX(Analytica!$F$59:$AY$138,MATCH($B80,Analytica!$B$59:$B$168,0),MATCH(O$15&amp;O$10,Analytica!$F$58:$AY$58&amp;Analytica!$F$51:'Analytica'!$AY$51,0)),"")</f>
        <v>0.16</v>
      </c>
      <c r="P80" s="620">
        <f t="array" ref="P80">IFERROR(INDEX(Analytica!$F$59:$AY$138,MATCH($B80,Analytica!$B$59:$B$168,0),MATCH(P$15&amp;P$10,Analytica!$F$58:$AY$58&amp;Analytica!$F$51:'Analytica'!$AY$51,0)),"")</f>
        <v>1088.4286604757042</v>
      </c>
      <c r="Q80" s="620">
        <f t="array" ref="Q80">IFERROR(INDEX(Analytica!$F$59:$AY$138,MATCH($B80,Analytica!$B$59:$B$168,0),MATCH(Q$15&amp;Q$10,Analytica!$F$58:$AY$58&amp;Analytica!$F$51:'Analytica'!$AY$51,0)),"")</f>
        <v>1116.5616285591618</v>
      </c>
      <c r="R80" s="620">
        <f t="array" ref="R80">IFERROR(INDEX(Analytica!$F$59:$AY$138,MATCH($B80,Analytica!$B$59:$B$168,0),MATCH(R$15&amp;R$10,Analytica!$F$58:$AY$58&amp;Analytica!$F$51:'Analytica'!$AY$51,0)),"")</f>
        <v>1144.6945966426194</v>
      </c>
      <c r="S80" s="620">
        <f t="array" ref="S80">IFERROR(INDEX(Analytica!$F$59:$AY$138,MATCH($B80,Analytica!$B$59:$B$168,0),MATCH(S$15&amp;S$10,Analytica!$F$58:$AY$58&amp;Analytica!$F$51:'Analytica'!$AY$51,0)),"")</f>
        <v>1166.6518949681349</v>
      </c>
      <c r="T80" s="620">
        <f t="array" ref="T80">IFERROR(INDEX(Analytica!$F$59:$AY$138,MATCH($B80,Analytica!$B$59:$B$168,0),MATCH(T$15&amp;T$10,Analytica!$F$58:$AY$58&amp;Analytica!$F$51:'Analytica'!$AY$51,0)),"")</f>
        <v>1188.6091932936499</v>
      </c>
      <c r="U80" s="620">
        <f t="array" ref="U80">IFERROR(INDEX(Analytica!$F$59:$AY$138,MATCH($B80,Analytica!$B$59:$B$168,0),MATCH(U$15&amp;U$10,Analytica!$F$58:$AY$58&amp;Analytica!$F$51:'Analytica'!$AY$51,0)),"")</f>
        <v>1215.8917526997081</v>
      </c>
      <c r="V80" s="620">
        <f t="array" ref="V80">IFERROR(INDEX(Analytica!$F$59:$AY$138,MATCH($B80,Analytica!$B$59:$B$168,0),MATCH(V$15&amp;V$10,Analytica!$F$58:$AY$58&amp;Analytica!$F$51:'Analytica'!$AY$51,0)),"")</f>
        <v>29.387573832844012</v>
      </c>
      <c r="W80" s="620">
        <f t="array" ref="W80">IFERROR(INDEX(Analytica!$F$59:$AY$138,MATCH($B80,Analytica!$B$59:$B$168,0),MATCH(W$15&amp;W$10,Analytica!$F$58:$AY$58&amp;Analytica!$F$51:'Analytica'!$AY$51,0)),"")</f>
        <v>30.906754109350725</v>
      </c>
      <c r="X80" s="620">
        <f t="array" ref="X80">IFERROR(INDEX(Analytica!$F$59:$AY$138,MATCH($B80,Analytica!$B$59:$B$168,0),MATCH(X$15&amp;X$10,Analytica!$F$58:$AY$58&amp;Analytica!$F$51:'Analytica'!$AY$51,0)),"")</f>
        <v>32.092448218928546</v>
      </c>
      <c r="Y80" s="620">
        <f t="array" ref="Y80">IFERROR(INDEX(Analytica!$F$59:$AY$138,MATCH($B80,Analytica!$B$59:$B$168,0),MATCH(Y$15&amp;Y$10,Analytica!$F$58:$AY$58&amp;Analytica!$F$51:'Analytica'!$AY$51,0)),"")</f>
        <v>32.829077322892118</v>
      </c>
      <c r="Z80" s="694">
        <f t="shared" si="129"/>
        <v>20</v>
      </c>
      <c r="AA80" s="694">
        <f t="shared" si="69"/>
        <v>20</v>
      </c>
      <c r="AB80" s="694">
        <f t="shared" si="80"/>
        <v>2018</v>
      </c>
      <c r="AC80" s="1">
        <f t="shared" ca="1" si="70"/>
        <v>63</v>
      </c>
      <c r="AE80" s="1" t="str">
        <f t="shared" si="71"/>
        <v>S_TFHCV8</v>
      </c>
      <c r="AF80" s="1" t="str">
        <f t="shared" si="103"/>
        <v>S_TFHCV8ODS</v>
      </c>
      <c r="AG80" s="1" t="str">
        <f t="shared" si="104"/>
        <v>TFHCV8ODS-N_L</v>
      </c>
      <c r="AH80" s="1" t="str">
        <f t="shared" si="105"/>
        <v>TFHCV8ODS-N_U</v>
      </c>
      <c r="AI80" s="194">
        <v>0</v>
      </c>
      <c r="AJ80" s="699">
        <f>SUMIF(Analytica!$B$59:$B$137,B80,Analytica!$BA$59:$BA$192)</f>
        <v>1</v>
      </c>
      <c r="AK80" s="697" t="e">
        <f>IF($AP$10,BK80,#REF!)</f>
        <v>#REF!</v>
      </c>
      <c r="AL80" s="697" t="e">
        <f t="shared" si="106"/>
        <v>#REF!</v>
      </c>
      <c r="AM80" s="697" t="e">
        <f t="shared" si="107"/>
        <v>#REF!</v>
      </c>
      <c r="AN80" s="697">
        <f t="shared" si="108"/>
        <v>1</v>
      </c>
      <c r="AO80" s="697">
        <f t="shared" si="109"/>
        <v>1</v>
      </c>
      <c r="AP80" s="194">
        <v>1</v>
      </c>
      <c r="AQ80" s="697">
        <f t="shared" si="110"/>
        <v>1</v>
      </c>
      <c r="AR80" s="697" t="e">
        <f>IF($AP$10,BR80,#REF!)</f>
        <v>#REF!</v>
      </c>
      <c r="AS80" s="697" t="e">
        <f t="shared" si="111"/>
        <v>#REF!</v>
      </c>
      <c r="AT80" s="697">
        <f t="shared" si="112"/>
        <v>0.5</v>
      </c>
      <c r="AU80" s="697">
        <f t="shared" si="113"/>
        <v>0</v>
      </c>
      <c r="AV80" s="697">
        <f t="shared" si="114"/>
        <v>0</v>
      </c>
      <c r="AX80" s="698">
        <f t="shared" si="115"/>
        <v>1</v>
      </c>
      <c r="AY80" s="697" t="e">
        <f>IF(#REF!&lt;&gt;"",(AY$11-#REF!)/(BA$11-#REF!)*(BA80-#REF!)+#REF!,"")</f>
        <v>#REF!</v>
      </c>
      <c r="AZ80" s="697" t="e">
        <f t="shared" si="72"/>
        <v>#REF!</v>
      </c>
      <c r="BA80" s="697">
        <f t="shared" si="131"/>
        <v>1</v>
      </c>
      <c r="BB80" s="697">
        <f t="shared" si="131"/>
        <v>1</v>
      </c>
      <c r="BC80" s="711"/>
      <c r="BD80" s="697">
        <f t="shared" si="73"/>
        <v>1</v>
      </c>
      <c r="BE80" s="697" t="e">
        <f>IF(#REF!&lt;&gt;"",(BE$11-#REF!)/(BG$11-#REF!)*(BG80-#REF!)+#REF!,"")</f>
        <v>#REF!</v>
      </c>
      <c r="BF80" s="697">
        <f t="shared" si="132"/>
        <v>0.5</v>
      </c>
      <c r="BG80" s="697">
        <f t="shared" si="132"/>
        <v>0</v>
      </c>
      <c r="BH80" s="697">
        <f t="shared" si="132"/>
        <v>0</v>
      </c>
      <c r="BI80" s="692"/>
      <c r="BJ80" s="693">
        <f t="shared" si="116"/>
        <v>1</v>
      </c>
      <c r="BK80" s="697">
        <f t="shared" si="117"/>
        <v>1</v>
      </c>
      <c r="BL80" s="697" t="e">
        <f t="shared" si="79"/>
        <v>#REF!</v>
      </c>
      <c r="BM80" s="697" t="e">
        <f t="shared" si="118"/>
        <v>#REF!</v>
      </c>
      <c r="BN80" s="697">
        <f t="shared" si="119"/>
        <v>1</v>
      </c>
      <c r="BO80" s="697">
        <f t="shared" si="119"/>
        <v>1</v>
      </c>
      <c r="BP80" s="194"/>
      <c r="BQ80" s="650">
        <f t="shared" si="120"/>
        <v>1</v>
      </c>
      <c r="BR80" s="697">
        <f t="shared" si="121"/>
        <v>1</v>
      </c>
      <c r="BS80" s="697" t="e">
        <f t="shared" si="74"/>
        <v>#REF!</v>
      </c>
      <c r="BT80" s="697" t="e">
        <f t="shared" si="122"/>
        <v>#REF!</v>
      </c>
      <c r="BU80" s="697">
        <f t="shared" si="123"/>
        <v>0.25</v>
      </c>
      <c r="BV80" s="697">
        <f t="shared" si="123"/>
        <v>0.1</v>
      </c>
      <c r="BW80" s="692"/>
      <c r="BX80" s="1" t="str">
        <f t="shared" si="124"/>
        <v>TFHCV8ODS-N</v>
      </c>
      <c r="BY80" s="1" t="str">
        <f t="shared" ca="1" si="95"/>
        <v>-	S_TFHCV8ODS	1	TFHCV8ODS-N Set	1	10/03/2023 17:53:59	null	((tblITEMS.Item Like "TFHCV8ODS-N*"))	null	null	null	null	null	null	null</v>
      </c>
      <c r="BZ80" s="1" t="str">
        <f t="shared" si="96"/>
        <v>-	S_TFHCV8ODS	1	1	True	Like "TFHCV8ODS-N*"</v>
      </c>
      <c r="CI80" s="1">
        <f t="shared" si="125"/>
        <v>38.1</v>
      </c>
      <c r="CJ80" s="1">
        <v>41</v>
      </c>
      <c r="CK80" s="625">
        <f t="shared" si="126"/>
        <v>1.0761154855643045</v>
      </c>
      <c r="CL80" s="625" t="e">
        <f>#REF!</f>
        <v>#REF!</v>
      </c>
      <c r="CM80" s="625" t="e">
        <f>CK80/#REF!</f>
        <v>#REF!</v>
      </c>
      <c r="CN80" s="2" t="e">
        <f>#REF!*1000</f>
        <v>#REF!</v>
      </c>
      <c r="CO80" s="2">
        <f t="shared" si="127"/>
        <v>160000</v>
      </c>
      <c r="CP80" s="9" t="e">
        <f t="shared" si="128"/>
        <v>#REF!</v>
      </c>
    </row>
    <row r="81" spans="1:94" x14ac:dyDescent="0.2">
      <c r="A81" s="191" t="str">
        <f>ITEMS_nTech!C72</f>
        <v>Transport Freight - HCV9 Oil Diesel-N</v>
      </c>
      <c r="B81" s="191" t="str">
        <f t="shared" si="102"/>
        <v>TFHCV9ODS-N</v>
      </c>
      <c r="C81" s="612" t="str">
        <f t="shared" si="130"/>
        <v>TRAODS</v>
      </c>
      <c r="D81" s="612" t="str">
        <f>TRP!B40</f>
        <v>TFHCV9</v>
      </c>
      <c r="E81" s="702">
        <f t="array" ref="E81">IFERROR(INDEX(Analytica!$F$59:$AY$138,MATCH($B81,Analytica!$B$59:$B$168,0),MATCH(E$15&amp;E$10,Analytica!$F$58:$AY$58&amp;Analytica!$F$51:'Analytica'!$AY$51,0)),"")</f>
        <v>5.4534804966928384E-2</v>
      </c>
      <c r="F81" s="702">
        <f t="array" ref="F81">IFERROR(INDEX(Analytica!$F$59:$AY$138,MATCH($B81,Analytica!$B$59:$B$168,0),MATCH(F$15&amp;F$10,Analytica!$F$58:$AY$58&amp;Analytica!$F$51:'Analytica'!$AY$51,0)),"")</f>
        <v>5.7626983869672431E-2</v>
      </c>
      <c r="G81" s="702">
        <f t="array" ref="G81">IFERROR(INDEX(Analytica!$F$59:$AY$138,MATCH($B81,Analytica!$B$59:$B$168,0),MATCH(G$15&amp;G$10,Analytica!$F$58:$AY$58&amp;Analytica!$F$51:'Analytica'!$AY$51,0)),"")</f>
        <v>6.3719732469389584E-2</v>
      </c>
      <c r="H81" s="702">
        <f t="array" ref="H81">IFERROR(INDEX(Analytica!$F$59:$AY$138,MATCH($B81,Analytica!$B$59:$B$168,0),MATCH(H$15&amp;H$10,Analytica!$F$58:$AY$58&amp;Analytica!$F$51:'Analytica'!$AY$51,0)),"")</f>
        <v>7.0456651265195916E-2</v>
      </c>
      <c r="I81" s="701">
        <v>1</v>
      </c>
      <c r="J81" s="701">
        <v>1</v>
      </c>
      <c r="K81" s="701">
        <v>1</v>
      </c>
      <c r="L81" s="701">
        <v>1</v>
      </c>
      <c r="M81" s="701">
        <v>1</v>
      </c>
      <c r="N81" s="696">
        <f>IF(B81="","",MAX(N$18:N80)+1)</f>
        <v>53</v>
      </c>
      <c r="O81" s="702">
        <f t="array" ref="O81">IFERROR(INDEX(Analytica!$F$59:$AY$138,MATCH($B81,Analytica!$B$59:$B$168,0),MATCH(O$15&amp;O$10,Analytica!$F$58:$AY$58&amp;Analytica!$F$51:'Analytica'!$AY$51,0)),"")</f>
        <v>0.18</v>
      </c>
      <c r="P81" s="620">
        <f t="array" ref="P81">IFERROR(INDEX(Analytica!$F$59:$AY$138,MATCH($B81,Analytica!$B$59:$B$168,0),MATCH(P$15&amp;P$10,Analytica!$F$58:$AY$58&amp;Analytica!$F$51:'Analytica'!$AY$51,0)),"")</f>
        <v>1088.4286604757042</v>
      </c>
      <c r="Q81" s="620">
        <f t="array" ref="Q81">IFERROR(INDEX(Analytica!$F$59:$AY$138,MATCH($B81,Analytica!$B$59:$B$168,0),MATCH(Q$15&amp;Q$10,Analytica!$F$58:$AY$58&amp;Analytica!$F$51:'Analytica'!$AY$51,0)),"")</f>
        <v>1116.5616285591618</v>
      </c>
      <c r="R81" s="620">
        <f t="array" ref="R81">IFERROR(INDEX(Analytica!$F$59:$AY$138,MATCH($B81,Analytica!$B$59:$B$168,0),MATCH(R$15&amp;R$10,Analytica!$F$58:$AY$58&amp;Analytica!$F$51:'Analytica'!$AY$51,0)),"")</f>
        <v>1144.6945966426194</v>
      </c>
      <c r="S81" s="620">
        <f t="array" ref="S81">IFERROR(INDEX(Analytica!$F$59:$AY$138,MATCH($B81,Analytica!$B$59:$B$168,0),MATCH(S$15&amp;S$10,Analytica!$F$58:$AY$58&amp;Analytica!$F$51:'Analytica'!$AY$51,0)),"")</f>
        <v>1166.6518949681349</v>
      </c>
      <c r="T81" s="620">
        <f t="array" ref="T81">IFERROR(INDEX(Analytica!$F$59:$AY$138,MATCH($B81,Analytica!$B$59:$B$168,0),MATCH(T$15&amp;T$10,Analytica!$F$58:$AY$58&amp;Analytica!$F$51:'Analytica'!$AY$51,0)),"")</f>
        <v>1188.6091932936499</v>
      </c>
      <c r="U81" s="620">
        <f t="array" ref="U81">IFERROR(INDEX(Analytica!$F$59:$AY$138,MATCH($B81,Analytica!$B$59:$B$168,0),MATCH(U$15&amp;U$10,Analytica!$F$58:$AY$58&amp;Analytica!$F$51:'Analytica'!$AY$51,0)),"")</f>
        <v>1215.8917526997081</v>
      </c>
      <c r="V81" s="620">
        <f t="array" ref="V81">IFERROR(INDEX(Analytica!$F$59:$AY$138,MATCH($B81,Analytica!$B$59:$B$168,0),MATCH(V$15&amp;V$10,Analytica!$F$58:$AY$58&amp;Analytica!$F$51:'Analytica'!$AY$51,0)),"")</f>
        <v>29.387573832844012</v>
      </c>
      <c r="W81" s="620">
        <f t="array" ref="W81">IFERROR(INDEX(Analytica!$F$59:$AY$138,MATCH($B81,Analytica!$B$59:$B$168,0),MATCH(W$15&amp;W$10,Analytica!$F$58:$AY$58&amp;Analytica!$F$51:'Analytica'!$AY$51,0)),"")</f>
        <v>30.906754109350725</v>
      </c>
      <c r="X81" s="620">
        <f t="array" ref="X81">IFERROR(INDEX(Analytica!$F$59:$AY$138,MATCH($B81,Analytica!$B$59:$B$168,0),MATCH(X$15&amp;X$10,Analytica!$F$58:$AY$58&amp;Analytica!$F$51:'Analytica'!$AY$51,0)),"")</f>
        <v>32.092448218928546</v>
      </c>
      <c r="Y81" s="620">
        <f t="array" ref="Y81">IFERROR(INDEX(Analytica!$F$59:$AY$138,MATCH($B81,Analytica!$B$59:$B$168,0),MATCH(Y$15&amp;Y$10,Analytica!$F$58:$AY$58&amp;Analytica!$F$51:'Analytica'!$AY$51,0)),"")</f>
        <v>32.829077322892118</v>
      </c>
      <c r="Z81" s="694">
        <f t="shared" si="129"/>
        <v>20</v>
      </c>
      <c r="AA81" s="694">
        <f t="shared" si="69"/>
        <v>20</v>
      </c>
      <c r="AB81" s="694">
        <f t="shared" si="80"/>
        <v>2018</v>
      </c>
      <c r="AC81" s="1">
        <f t="shared" ca="1" si="70"/>
        <v>64</v>
      </c>
      <c r="AE81" s="1" t="str">
        <f t="shared" si="71"/>
        <v>S_TFHCV9</v>
      </c>
      <c r="AF81" s="1" t="str">
        <f t="shared" si="103"/>
        <v>S_TFHCV9ODS</v>
      </c>
      <c r="AG81" s="1" t="str">
        <f t="shared" si="104"/>
        <v>TFHCV9ODS-N_L</v>
      </c>
      <c r="AH81" s="1" t="str">
        <f t="shared" si="105"/>
        <v>TFHCV9ODS-N_U</v>
      </c>
      <c r="AI81" s="194">
        <v>0</v>
      </c>
      <c r="AJ81" s="699">
        <f>SUMIF(Analytica!$B$59:$B$137,B81,Analytica!$BA$59:$BA$192)</f>
        <v>1</v>
      </c>
      <c r="AK81" s="697" t="e">
        <f>IF($AP$10,BK81,#REF!)</f>
        <v>#REF!</v>
      </c>
      <c r="AL81" s="697" t="e">
        <f t="shared" si="106"/>
        <v>#REF!</v>
      </c>
      <c r="AM81" s="697" t="e">
        <f t="shared" si="107"/>
        <v>#REF!</v>
      </c>
      <c r="AN81" s="697">
        <f t="shared" si="108"/>
        <v>1</v>
      </c>
      <c r="AO81" s="697">
        <f t="shared" si="109"/>
        <v>1</v>
      </c>
      <c r="AP81" s="194">
        <v>1</v>
      </c>
      <c r="AQ81" s="697">
        <f t="shared" si="110"/>
        <v>1</v>
      </c>
      <c r="AR81" s="697" t="e">
        <f>IF($AP$10,BR81,#REF!)</f>
        <v>#REF!</v>
      </c>
      <c r="AS81" s="697" t="e">
        <f t="shared" si="111"/>
        <v>#REF!</v>
      </c>
      <c r="AT81" s="697">
        <f t="shared" si="112"/>
        <v>0.5</v>
      </c>
      <c r="AU81" s="697">
        <f t="shared" si="113"/>
        <v>0</v>
      </c>
      <c r="AV81" s="697">
        <f t="shared" si="114"/>
        <v>0</v>
      </c>
      <c r="AX81" s="698">
        <f t="shared" si="115"/>
        <v>1</v>
      </c>
      <c r="AY81" s="697" t="e">
        <f>IF(#REF!&lt;&gt;"",(AY$11-#REF!)/(BA$11-#REF!)*(BA81-#REF!)+#REF!,"")</f>
        <v>#REF!</v>
      </c>
      <c r="AZ81" s="697" t="e">
        <f t="shared" si="72"/>
        <v>#REF!</v>
      </c>
      <c r="BA81" s="697">
        <f t="shared" si="131"/>
        <v>1</v>
      </c>
      <c r="BB81" s="697">
        <f t="shared" si="131"/>
        <v>1</v>
      </c>
      <c r="BC81" s="711"/>
      <c r="BD81" s="697">
        <f t="shared" si="73"/>
        <v>1</v>
      </c>
      <c r="BE81" s="697" t="e">
        <f>IF(#REF!&lt;&gt;"",(BE$11-#REF!)/(BG$11-#REF!)*(BG81-#REF!)+#REF!,"")</f>
        <v>#REF!</v>
      </c>
      <c r="BF81" s="697">
        <f t="shared" si="132"/>
        <v>0.5</v>
      </c>
      <c r="BG81" s="697">
        <f t="shared" si="132"/>
        <v>0</v>
      </c>
      <c r="BH81" s="697">
        <f t="shared" si="132"/>
        <v>0</v>
      </c>
      <c r="BI81" s="692"/>
      <c r="BJ81" s="693">
        <f t="shared" si="116"/>
        <v>1</v>
      </c>
      <c r="BK81" s="697">
        <f t="shared" si="117"/>
        <v>1</v>
      </c>
      <c r="BL81" s="697" t="e">
        <f t="shared" si="79"/>
        <v>#REF!</v>
      </c>
      <c r="BM81" s="697" t="e">
        <f t="shared" si="118"/>
        <v>#REF!</v>
      </c>
      <c r="BN81" s="697">
        <f t="shared" si="119"/>
        <v>1</v>
      </c>
      <c r="BO81" s="697">
        <f t="shared" si="119"/>
        <v>1</v>
      </c>
      <c r="BP81" s="194"/>
      <c r="BQ81" s="650">
        <f t="shared" si="120"/>
        <v>1</v>
      </c>
      <c r="BR81" s="697">
        <f t="shared" si="121"/>
        <v>1</v>
      </c>
      <c r="BS81" s="697" t="e">
        <f t="shared" si="74"/>
        <v>#REF!</v>
      </c>
      <c r="BT81" s="697" t="e">
        <f t="shared" si="122"/>
        <v>#REF!</v>
      </c>
      <c r="BU81" s="697">
        <f t="shared" si="123"/>
        <v>0.25</v>
      </c>
      <c r="BV81" s="697">
        <f t="shared" si="123"/>
        <v>0.1</v>
      </c>
      <c r="BW81" s="692"/>
      <c r="BX81" s="1" t="str">
        <f t="shared" si="124"/>
        <v>TFHCV9ODS-N</v>
      </c>
      <c r="BY81" s="1" t="str">
        <f t="shared" ca="1" si="95"/>
        <v>-	S_TFHCV9ODS	1	TFHCV9ODS-N Set	1	10/03/2023 17:53:59	null	((tblITEMS.Item Like "TFHCV9ODS-N*"))	null	null	null	null	null	null	null</v>
      </c>
      <c r="BZ81" s="1" t="str">
        <f t="shared" si="96"/>
        <v>-	S_TFHCV9ODS	1	1	True	Like "TFHCV9ODS-N*"</v>
      </c>
      <c r="CI81" s="1">
        <f t="shared" si="125"/>
        <v>38.1</v>
      </c>
      <c r="CJ81" s="1">
        <v>41</v>
      </c>
      <c r="CK81" s="625">
        <f t="shared" si="126"/>
        <v>1.0761154855643045</v>
      </c>
      <c r="CL81" s="625" t="e">
        <f>#REF!</f>
        <v>#REF!</v>
      </c>
      <c r="CM81" s="625" t="e">
        <f>CK81/#REF!</f>
        <v>#REF!</v>
      </c>
      <c r="CN81" s="2" t="e">
        <f>#REF!*1000</f>
        <v>#REF!</v>
      </c>
      <c r="CO81" s="2">
        <f t="shared" si="127"/>
        <v>180000</v>
      </c>
      <c r="CP81" s="9" t="e">
        <f t="shared" si="128"/>
        <v>#REF!</v>
      </c>
    </row>
    <row r="82" spans="1:94" x14ac:dyDescent="0.2">
      <c r="A82" s="191" t="str">
        <f>ITEMS_nTech!C73</f>
        <v>Transport Freight - HCV1 Gas-N</v>
      </c>
      <c r="B82" s="191" t="str">
        <f t="shared" si="102"/>
        <v>TFHCV1GAS-N</v>
      </c>
      <c r="C82" s="612" t="str">
        <f t="shared" ref="C82:C90" si="133">$F$6</f>
        <v>TRAGAS</v>
      </c>
      <c r="D82" s="612" t="str">
        <f>TRP!B32</f>
        <v>TFHCV1</v>
      </c>
      <c r="E82" s="702">
        <f t="array" ref="E82">IFERROR(INDEX(Analytica!$F$59:$AY$138,MATCH($B82,Analytica!$B$59:$B$168,0),MATCH(E$15&amp;E$10,Analytica!$F$58:$AY$58&amp;Analytica!$F$51:'Analytica'!$AY$51,0)),"")</f>
        <v>0.14855319325660585</v>
      </c>
      <c r="F82" s="702">
        <f t="array" ref="F82">IFERROR(INDEX(Analytica!$F$59:$AY$138,MATCH($B82,Analytica!$B$59:$B$168,0),MATCH(F$15&amp;F$10,Analytica!$F$58:$AY$58&amp;Analytica!$F$51:'Analytica'!$AY$51,0)),"")</f>
        <v>0.15697631039073517</v>
      </c>
      <c r="G82" s="702">
        <f t="array" ref="G82">IFERROR(INDEX(Analytica!$F$59:$AY$138,MATCH($B82,Analytica!$B$59:$B$168,0),MATCH(G$15&amp;G$10,Analytica!$F$58:$AY$58&amp;Analytica!$F$51:'Analytica'!$AY$51,0)),"")</f>
        <v>0.17357300053653429</v>
      </c>
      <c r="H82" s="702">
        <f t="array" ref="H82">IFERROR(INDEX(Analytica!$F$59:$AY$138,MATCH($B82,Analytica!$B$59:$B$168,0),MATCH(H$15&amp;H$10,Analytica!$F$58:$AY$58&amp;Analytica!$F$51:'Analytica'!$AY$51,0)),"")</f>
        <v>0.19192441483854544</v>
      </c>
      <c r="I82" s="701">
        <v>1</v>
      </c>
      <c r="J82" s="701">
        <v>1</v>
      </c>
      <c r="K82" s="701">
        <v>1</v>
      </c>
      <c r="L82" s="701">
        <v>1</v>
      </c>
      <c r="M82" s="701">
        <v>1</v>
      </c>
      <c r="N82" s="696">
        <f>IF(B82="","",MAX(N$18:N81)+1)</f>
        <v>54</v>
      </c>
      <c r="O82" s="702">
        <f t="array" ref="O82">IFERROR(INDEX(Analytica!$F$59:$AY$138,MATCH($B82,Analytica!$B$59:$B$168,0),MATCH(O$15&amp;O$10,Analytica!$F$58:$AY$58&amp;Analytica!$F$51:'Analytica'!$AY$51,0)),"")</f>
        <v>4.8000000000000001E-2</v>
      </c>
      <c r="P82" s="620">
        <f t="array" ref="P82">IFERROR(INDEX(Analytica!$F$59:$AY$138,MATCH($B82,Analytica!$B$59:$B$168,0),MATCH(P$15&amp;P$10,Analytica!$F$58:$AY$58&amp;Analytica!$F$51:'Analytica'!$AY$51,0)),"")</f>
        <v>588.99088834881991</v>
      </c>
      <c r="Q82" s="620">
        <f t="array" ref="Q82">IFERROR(INDEX(Analytica!$F$59:$AY$138,MATCH($B82,Analytica!$B$59:$B$168,0),MATCH(Q$15&amp;Q$10,Analytica!$F$58:$AY$58&amp;Analytica!$F$51:'Analytica'!$AY$51,0)),"")</f>
        <v>591.03513773094801</v>
      </c>
      <c r="R82" s="620">
        <f t="array" ref="R82">IFERROR(INDEX(Analytica!$F$59:$AY$138,MATCH($B82,Analytica!$B$59:$B$168,0),MATCH(R$15&amp;R$10,Analytica!$F$58:$AY$58&amp;Analytica!$F$51:'Analytica'!$AY$51,0)),"")</f>
        <v>593.07938711307622</v>
      </c>
      <c r="S82" s="620">
        <f t="array" ref="S82">IFERROR(INDEX(Analytica!$F$59:$AY$138,MATCH($B82,Analytica!$B$59:$B$168,0),MATCH(S$15&amp;S$10,Analytica!$F$58:$AY$58&amp;Analytica!$F$51:'Analytica'!$AY$51,0)),"")</f>
        <v>599.60308321858258</v>
      </c>
      <c r="T82" s="620">
        <f t="array" ref="T82">IFERROR(INDEX(Analytica!$F$59:$AY$138,MATCH($B82,Analytica!$B$59:$B$168,0),MATCH(T$15&amp;T$10,Analytica!$F$58:$AY$58&amp;Analytica!$F$51:'Analytica'!$AY$51,0)),"")</f>
        <v>606.12677932408883</v>
      </c>
      <c r="U82" s="620">
        <f t="array" ref="U82">IFERROR(INDEX(Analytica!$F$59:$AY$138,MATCH($B82,Analytica!$B$59:$B$168,0),MATCH(U$15&amp;U$10,Analytica!$F$58:$AY$58&amp;Analytica!$F$51:'Analytica'!$AY$51,0)),"")</f>
        <v>615.22177787460362</v>
      </c>
      <c r="V82" s="620">
        <f t="array" ref="V82">IFERROR(INDEX(Analytica!$F$59:$AY$138,MATCH($B82,Analytica!$B$59:$B$168,0),MATCH(V$15&amp;V$10,Analytica!$F$58:$AY$58&amp;Analytica!$F$51:'Analytica'!$AY$51,0)),"")</f>
        <v>15.902753985418137</v>
      </c>
      <c r="W82" s="620">
        <f t="array" ref="W82">IFERROR(INDEX(Analytica!$F$59:$AY$138,MATCH($B82,Analytica!$B$59:$B$168,0),MATCH(W$15&amp;W$10,Analytica!$F$58:$AY$58&amp;Analytica!$F$51:'Analytica'!$AY$51,0)),"")</f>
        <v>16.013143452053058</v>
      </c>
      <c r="X82" s="620">
        <f t="array" ref="X82">IFERROR(INDEX(Analytica!$F$59:$AY$138,MATCH($B82,Analytica!$B$59:$B$168,0),MATCH(X$15&amp;X$10,Analytica!$F$58:$AY$58&amp;Analytica!$F$51:'Analytica'!$AY$51,0)),"")</f>
        <v>16.365423041750397</v>
      </c>
      <c r="Y82" s="620">
        <f t="array" ref="Y82">IFERROR(INDEX(Analytica!$F$59:$AY$138,MATCH($B82,Analytica!$B$59:$B$168,0),MATCH(Y$15&amp;Y$10,Analytica!$F$58:$AY$58&amp;Analytica!$F$51:'Analytica'!$AY$51,0)),"")</f>
        <v>16.610988002614299</v>
      </c>
      <c r="Z82" s="694">
        <f t="shared" si="129"/>
        <v>20</v>
      </c>
      <c r="AA82" s="694">
        <f t="shared" ref="AA82:AA107" si="134">Z82</f>
        <v>20</v>
      </c>
      <c r="AB82" s="694">
        <f t="shared" si="80"/>
        <v>2025</v>
      </c>
      <c r="AC82" s="1">
        <f t="shared" ref="AC82:AC124" ca="1" si="135">OFFSET(AC82,-1,0)+1</f>
        <v>65</v>
      </c>
      <c r="AD82" s="1">
        <v>1</v>
      </c>
      <c r="AE82" s="1" t="str">
        <f t="shared" ref="AE82:AE107" si="136">"S_"&amp;D82</f>
        <v>S_TFHCV1</v>
      </c>
      <c r="AF82" s="1" t="str">
        <f t="shared" si="103"/>
        <v>S_TFHCV1GAS</v>
      </c>
      <c r="AG82" s="1" t="str">
        <f t="shared" si="104"/>
        <v>TFHCV1GAS-N_L</v>
      </c>
      <c r="AH82" s="1" t="str">
        <f t="shared" si="105"/>
        <v>TFHCV1GAS-N_U</v>
      </c>
      <c r="AI82" s="194">
        <v>0</v>
      </c>
      <c r="AJ82" s="699">
        <f>SUMIF(Analytica!$B$59:$B$137,B82,Analytica!$BA$59:$BA$192)</f>
        <v>0</v>
      </c>
      <c r="AK82" s="697" t="e">
        <f>IF($AP$10,BK82,#REF!)</f>
        <v>#REF!</v>
      </c>
      <c r="AL82" s="697" t="e">
        <f t="shared" si="106"/>
        <v>#REF!</v>
      </c>
      <c r="AM82" s="697" t="e">
        <f t="shared" si="107"/>
        <v>#REF!</v>
      </c>
      <c r="AN82" s="697">
        <f t="shared" si="108"/>
        <v>1</v>
      </c>
      <c r="AO82" s="697">
        <f t="shared" si="109"/>
        <v>1</v>
      </c>
      <c r="AP82" s="194">
        <v>1</v>
      </c>
      <c r="AQ82" s="650">
        <f t="shared" si="110"/>
        <v>0</v>
      </c>
      <c r="AR82" s="697" t="e">
        <f>IF($AP$10,BR82,#REF!)</f>
        <v>#REF!</v>
      </c>
      <c r="AS82" s="697" t="e">
        <f t="shared" si="111"/>
        <v>#REF!</v>
      </c>
      <c r="AT82" s="697">
        <f t="shared" si="112"/>
        <v>0</v>
      </c>
      <c r="AU82" s="697">
        <f t="shared" si="113"/>
        <v>0</v>
      </c>
      <c r="AV82" s="697">
        <f t="shared" si="114"/>
        <v>0</v>
      </c>
      <c r="AX82" s="698">
        <f t="shared" si="115"/>
        <v>0</v>
      </c>
      <c r="AY82" s="697" t="e">
        <f>IF(#REF!&lt;&gt;"",(AY$11-#REF!)/(BA$11-#REF!)*(BA82-#REF!)+#REF!,"")</f>
        <v>#REF!</v>
      </c>
      <c r="AZ82" s="697" t="e">
        <f t="shared" ref="AZ82:AZ107" si="137">AY82+(AZ$11-AY$11)/(BA$11-AY$11)*(BA82-AY82)</f>
        <v>#REF!</v>
      </c>
      <c r="BA82" s="697">
        <f t="shared" si="131"/>
        <v>1</v>
      </c>
      <c r="BB82" s="697">
        <f t="shared" si="131"/>
        <v>1</v>
      </c>
      <c r="BC82" s="711"/>
      <c r="BD82" s="697">
        <f t="shared" ref="BD82:BD107" si="138">AJ82</f>
        <v>0</v>
      </c>
      <c r="BE82" s="697" t="e">
        <f>IF(#REF!&lt;&gt;"",(BE$11-#REF!)/(BG$11-#REF!)*(BG82-#REF!)+#REF!,"")</f>
        <v>#REF!</v>
      </c>
      <c r="BF82" s="697">
        <f t="shared" si="132"/>
        <v>0</v>
      </c>
      <c r="BG82" s="697">
        <f t="shared" si="132"/>
        <v>0</v>
      </c>
      <c r="BH82" s="697">
        <f t="shared" si="132"/>
        <v>0</v>
      </c>
      <c r="BI82" s="692"/>
      <c r="BJ82" s="693">
        <f t="shared" si="116"/>
        <v>0</v>
      </c>
      <c r="BK82" s="697">
        <v>0</v>
      </c>
      <c r="BL82" s="697" t="e">
        <f t="shared" si="79"/>
        <v>#REF!</v>
      </c>
      <c r="BM82" s="697" t="e">
        <f t="shared" si="118"/>
        <v>#REF!</v>
      </c>
      <c r="BN82" s="697">
        <v>0</v>
      </c>
      <c r="BO82" s="697">
        <v>0</v>
      </c>
      <c r="BP82" s="194"/>
      <c r="BQ82" s="650">
        <f t="shared" si="120"/>
        <v>0</v>
      </c>
      <c r="BR82" s="697">
        <f t="shared" si="121"/>
        <v>0</v>
      </c>
      <c r="BS82" s="697" t="e">
        <f t="shared" ref="BS82:BS107" si="139">IF(BR82&lt;&gt;"",(BS$11-BR$11)/(BU$11-BR$11)*(BU82-BR82)+BR82,"")</f>
        <v>#REF!</v>
      </c>
      <c r="BT82" s="697" t="e">
        <f t="shared" si="122"/>
        <v>#REF!</v>
      </c>
      <c r="BU82" s="697">
        <f t="shared" si="123"/>
        <v>0</v>
      </c>
      <c r="BV82" s="697">
        <f t="shared" si="123"/>
        <v>0</v>
      </c>
      <c r="BW82" s="692"/>
      <c r="BX82" s="1" t="str">
        <f t="shared" si="124"/>
        <v>TFHCV1GAS-N</v>
      </c>
      <c r="BY82" s="1" t="str">
        <f t="shared" ca="1" si="95"/>
        <v>-	S_TFHCV1GAS	1	TFHCV1GAS-N Set	1	10/03/2023 17:53:59	null	((tblITEMS.Item Like "TFHCV1GAS-N*"))	null	null	null	null	null	null	null</v>
      </c>
      <c r="BZ82" s="1" t="str">
        <f t="shared" si="96"/>
        <v>-	S_TFHCV1GAS	1	1	True	Like "TFHCV1GAS-N*"</v>
      </c>
      <c r="CI82" s="1">
        <f t="shared" si="125"/>
        <v>0</v>
      </c>
      <c r="CJ82" s="1">
        <v>39</v>
      </c>
      <c r="CK82" s="625" t="e">
        <f t="shared" si="126"/>
        <v>#DIV/0!</v>
      </c>
      <c r="CL82" s="625" t="e">
        <f>#REF!</f>
        <v>#REF!</v>
      </c>
      <c r="CM82" s="625" t="e">
        <f>CK82/#REF!</f>
        <v>#DIV/0!</v>
      </c>
      <c r="CN82" s="2" t="e">
        <f>#REF!*1000</f>
        <v>#REF!</v>
      </c>
      <c r="CO82" s="2">
        <f t="shared" si="127"/>
        <v>48000</v>
      </c>
      <c r="CP82" s="9" t="e">
        <f t="shared" si="128"/>
        <v>#REF!</v>
      </c>
    </row>
    <row r="83" spans="1:94" x14ac:dyDescent="0.2">
      <c r="A83" s="191" t="str">
        <f>ITEMS_nTech!C74</f>
        <v>Transport Freight - HCV2 Gas-N</v>
      </c>
      <c r="B83" s="191" t="str">
        <f t="shared" si="102"/>
        <v>TFHCV2GAS-N</v>
      </c>
      <c r="C83" s="612" t="str">
        <f t="shared" si="133"/>
        <v>TRAGAS</v>
      </c>
      <c r="D83" s="612" t="str">
        <f>TRP!B33</f>
        <v>TFHCV2</v>
      </c>
      <c r="E83" s="702">
        <f t="array" ref="E83">IFERROR(INDEX(Analytica!$F$59:$AY$138,MATCH($B83,Analytica!$B$59:$B$168,0),MATCH(E$15&amp;E$10,Analytica!$F$58:$AY$58&amp;Analytica!$F$51:'Analytica'!$AY$51,0)),"")</f>
        <v>0.11899299459804072</v>
      </c>
      <c r="F83" s="702">
        <f t="array" ref="F83">IFERROR(INDEX(Analytica!$F$59:$AY$138,MATCH($B83,Analytica!$B$59:$B$168,0),MATCH(F$15&amp;F$10,Analytica!$F$58:$AY$58&amp;Analytica!$F$51:'Analytica'!$AY$51,0)),"")</f>
        <v>0.12574001840592877</v>
      </c>
      <c r="G83" s="702">
        <f t="array" ref="G83">IFERROR(INDEX(Analytica!$F$59:$AY$138,MATCH($B83,Analytica!$B$59:$B$168,0),MATCH(G$15&amp;G$10,Analytica!$F$58:$AY$58&amp;Analytica!$F$51:'Analytica'!$AY$51,0)),"")</f>
        <v>0.13903417801011222</v>
      </c>
      <c r="H83" s="702">
        <f t="array" ref="H83">IFERROR(INDEX(Analytica!$F$59:$AY$138,MATCH($B83,Analytica!$B$59:$B$168,0),MATCH(H$15&amp;H$10,Analytica!$F$58:$AY$58&amp;Analytica!$F$51:'Analytica'!$AY$51,0)),"")</f>
        <v>0.15373389395047296</v>
      </c>
      <c r="I83" s="701">
        <v>1</v>
      </c>
      <c r="J83" s="701">
        <v>1</v>
      </c>
      <c r="K83" s="701">
        <v>1</v>
      </c>
      <c r="L83" s="701">
        <v>1</v>
      </c>
      <c r="M83" s="701">
        <v>1</v>
      </c>
      <c r="N83" s="696">
        <f>IF(B83="","",MAX(N$18:N82)+1)</f>
        <v>55</v>
      </c>
      <c r="O83" s="702">
        <f t="array" ref="O83">IFERROR(INDEX(Analytica!$F$59:$AY$138,MATCH($B83,Analytica!$B$59:$B$168,0),MATCH(O$15&amp;O$10,Analytica!$F$58:$AY$58&amp;Analytica!$F$51:'Analytica'!$AY$51,0)),"")</f>
        <v>4.8000000000000001E-2</v>
      </c>
      <c r="P83" s="620">
        <f t="array" ref="P83">IFERROR(INDEX(Analytica!$F$59:$AY$138,MATCH($B83,Analytica!$B$59:$B$168,0),MATCH(P$15&amp;P$10,Analytica!$F$58:$AY$58&amp;Analytica!$F$51:'Analytica'!$AY$51,0)),"")</f>
        <v>588.99088834881991</v>
      </c>
      <c r="Q83" s="620">
        <f t="array" ref="Q83">IFERROR(INDEX(Analytica!$F$59:$AY$138,MATCH($B83,Analytica!$B$59:$B$168,0),MATCH(Q$15&amp;Q$10,Analytica!$F$58:$AY$58&amp;Analytica!$F$51:'Analytica'!$AY$51,0)),"")</f>
        <v>591.03513773094801</v>
      </c>
      <c r="R83" s="620">
        <f t="array" ref="R83">IFERROR(INDEX(Analytica!$F$59:$AY$138,MATCH($B83,Analytica!$B$59:$B$168,0),MATCH(R$15&amp;R$10,Analytica!$F$58:$AY$58&amp;Analytica!$F$51:'Analytica'!$AY$51,0)),"")</f>
        <v>593.07938711307622</v>
      </c>
      <c r="S83" s="620">
        <f t="array" ref="S83">IFERROR(INDEX(Analytica!$F$59:$AY$138,MATCH($B83,Analytica!$B$59:$B$168,0),MATCH(S$15&amp;S$10,Analytica!$F$58:$AY$58&amp;Analytica!$F$51:'Analytica'!$AY$51,0)),"")</f>
        <v>599.60308321858258</v>
      </c>
      <c r="T83" s="620">
        <f t="array" ref="T83">IFERROR(INDEX(Analytica!$F$59:$AY$138,MATCH($B83,Analytica!$B$59:$B$168,0),MATCH(T$15&amp;T$10,Analytica!$F$58:$AY$58&amp;Analytica!$F$51:'Analytica'!$AY$51,0)),"")</f>
        <v>606.12677932408883</v>
      </c>
      <c r="U83" s="620">
        <f t="array" ref="U83">IFERROR(INDEX(Analytica!$F$59:$AY$138,MATCH($B83,Analytica!$B$59:$B$168,0),MATCH(U$15&amp;U$10,Analytica!$F$58:$AY$58&amp;Analytica!$F$51:'Analytica'!$AY$51,0)),"")</f>
        <v>615.22177787460362</v>
      </c>
      <c r="V83" s="620">
        <f t="array" ref="V83">IFERROR(INDEX(Analytica!$F$59:$AY$138,MATCH($B83,Analytica!$B$59:$B$168,0),MATCH(V$15&amp;V$10,Analytica!$F$58:$AY$58&amp;Analytica!$F$51:'Analytica'!$AY$51,0)),"")</f>
        <v>15.902753985418137</v>
      </c>
      <c r="W83" s="620">
        <f t="array" ref="W83">IFERROR(INDEX(Analytica!$F$59:$AY$138,MATCH($B83,Analytica!$B$59:$B$168,0),MATCH(W$15&amp;W$10,Analytica!$F$58:$AY$58&amp;Analytica!$F$51:'Analytica'!$AY$51,0)),"")</f>
        <v>16.013143452053058</v>
      </c>
      <c r="X83" s="620">
        <f t="array" ref="X83">IFERROR(INDEX(Analytica!$F$59:$AY$138,MATCH($B83,Analytica!$B$59:$B$168,0),MATCH(X$15&amp;X$10,Analytica!$F$58:$AY$58&amp;Analytica!$F$51:'Analytica'!$AY$51,0)),"")</f>
        <v>16.365423041750397</v>
      </c>
      <c r="Y83" s="620">
        <f t="array" ref="Y83">IFERROR(INDEX(Analytica!$F$59:$AY$138,MATCH($B83,Analytica!$B$59:$B$168,0),MATCH(Y$15&amp;Y$10,Analytica!$F$58:$AY$58&amp;Analytica!$F$51:'Analytica'!$AY$51,0)),"")</f>
        <v>16.610988002614299</v>
      </c>
      <c r="Z83" s="694">
        <f t="shared" si="129"/>
        <v>20</v>
      </c>
      <c r="AA83" s="694">
        <f t="shared" si="134"/>
        <v>20</v>
      </c>
      <c r="AB83" s="694">
        <f t="shared" si="80"/>
        <v>2025</v>
      </c>
      <c r="AC83" s="1">
        <f t="shared" ca="1" si="135"/>
        <v>66</v>
      </c>
      <c r="AD83" s="1">
        <v>1</v>
      </c>
      <c r="AE83" s="1" t="str">
        <f t="shared" si="136"/>
        <v>S_TFHCV2</v>
      </c>
      <c r="AF83" s="1" t="str">
        <f t="shared" si="103"/>
        <v>S_TFHCV2GAS</v>
      </c>
      <c r="AG83" s="1" t="str">
        <f t="shared" si="104"/>
        <v>TFHCV2GAS-N_L</v>
      </c>
      <c r="AH83" s="1" t="str">
        <f t="shared" si="105"/>
        <v>TFHCV2GAS-N_U</v>
      </c>
      <c r="AI83" s="194">
        <v>0</v>
      </c>
      <c r="AJ83" s="699">
        <f>SUMIF(Analytica!$B$59:$B$137,B83,Analytica!$BA$59:$BA$192)</f>
        <v>0</v>
      </c>
      <c r="AK83" s="697" t="e">
        <f>IF($AP$10,BK83,#REF!)</f>
        <v>#REF!</v>
      </c>
      <c r="AL83" s="697" t="e">
        <f t="shared" si="106"/>
        <v>#REF!</v>
      </c>
      <c r="AM83" s="697" t="e">
        <f t="shared" si="107"/>
        <v>#REF!</v>
      </c>
      <c r="AN83" s="697">
        <f t="shared" si="108"/>
        <v>1</v>
      </c>
      <c r="AO83" s="697">
        <f t="shared" si="109"/>
        <v>1</v>
      </c>
      <c r="AP83" s="194">
        <v>1</v>
      </c>
      <c r="AQ83" s="650">
        <f t="shared" si="110"/>
        <v>0</v>
      </c>
      <c r="AR83" s="697" t="e">
        <f>IF($AP$10,BR83,#REF!)</f>
        <v>#REF!</v>
      </c>
      <c r="AS83" s="697" t="e">
        <f t="shared" si="111"/>
        <v>#REF!</v>
      </c>
      <c r="AT83" s="697">
        <f t="shared" si="112"/>
        <v>0</v>
      </c>
      <c r="AU83" s="697">
        <f t="shared" si="113"/>
        <v>0</v>
      </c>
      <c r="AV83" s="697">
        <f t="shared" si="114"/>
        <v>0</v>
      </c>
      <c r="AX83" s="698">
        <f t="shared" si="115"/>
        <v>0</v>
      </c>
      <c r="AY83" s="697" t="e">
        <f>IF(#REF!&lt;&gt;"",(AY$11-#REF!)/(BA$11-#REF!)*(BA83-#REF!)+#REF!,"")</f>
        <v>#REF!</v>
      </c>
      <c r="AZ83" s="697" t="e">
        <f t="shared" si="137"/>
        <v>#REF!</v>
      </c>
      <c r="BA83" s="697">
        <f t="shared" si="131"/>
        <v>1</v>
      </c>
      <c r="BB83" s="697">
        <f t="shared" si="131"/>
        <v>1</v>
      </c>
      <c r="BC83" s="711"/>
      <c r="BD83" s="697">
        <f t="shared" si="138"/>
        <v>0</v>
      </c>
      <c r="BE83" s="697" t="e">
        <f>IF(#REF!&lt;&gt;"",(BE$11-#REF!)/(BG$11-#REF!)*(BG83-#REF!)+#REF!,"")</f>
        <v>#REF!</v>
      </c>
      <c r="BF83" s="697">
        <f t="shared" si="132"/>
        <v>0</v>
      </c>
      <c r="BG83" s="697">
        <f t="shared" si="132"/>
        <v>0</v>
      </c>
      <c r="BH83" s="697">
        <f t="shared" si="132"/>
        <v>0</v>
      </c>
      <c r="BI83" s="692"/>
      <c r="BJ83" s="693">
        <f t="shared" si="116"/>
        <v>0</v>
      </c>
      <c r="BK83" s="697">
        <v>0</v>
      </c>
      <c r="BL83" s="697" t="e">
        <f t="shared" si="79"/>
        <v>#REF!</v>
      </c>
      <c r="BM83" s="697" t="e">
        <f t="shared" si="118"/>
        <v>#REF!</v>
      </c>
      <c r="BN83" s="697">
        <v>0</v>
      </c>
      <c r="BO83" s="697">
        <v>0</v>
      </c>
      <c r="BP83" s="194"/>
      <c r="BQ83" s="650">
        <f t="shared" si="120"/>
        <v>0</v>
      </c>
      <c r="BR83" s="697">
        <f t="shared" si="121"/>
        <v>0</v>
      </c>
      <c r="BS83" s="697" t="e">
        <f t="shared" si="139"/>
        <v>#REF!</v>
      </c>
      <c r="BT83" s="697" t="e">
        <f t="shared" si="122"/>
        <v>#REF!</v>
      </c>
      <c r="BU83" s="697">
        <f t="shared" si="123"/>
        <v>0</v>
      </c>
      <c r="BV83" s="697">
        <f t="shared" si="123"/>
        <v>0</v>
      </c>
      <c r="BW83" s="692"/>
      <c r="BX83" s="1" t="str">
        <f t="shared" si="124"/>
        <v>TFHCV2GAS-N</v>
      </c>
      <c r="BY83" s="1" t="str">
        <f t="shared" ca="1" si="95"/>
        <v>-	S_TFHCV2GAS	1	TFHCV2GAS-N Set	1	10/03/2023 17:53:59	null	((tblITEMS.Item Like "TFHCV2GAS-N*"))	null	null	null	null	null	null	null</v>
      </c>
      <c r="BZ83" s="1" t="str">
        <f t="shared" si="96"/>
        <v>-	S_TFHCV2GAS	1	1	True	Like "TFHCV2GAS-N*"</v>
      </c>
      <c r="CI83" s="1">
        <f t="shared" si="125"/>
        <v>0</v>
      </c>
      <c r="CJ83" s="1">
        <v>39</v>
      </c>
      <c r="CK83" s="625" t="e">
        <f t="shared" si="126"/>
        <v>#DIV/0!</v>
      </c>
      <c r="CL83" s="625" t="e">
        <f>#REF!</f>
        <v>#REF!</v>
      </c>
      <c r="CM83" s="625" t="e">
        <f>CK83/#REF!</f>
        <v>#DIV/0!</v>
      </c>
      <c r="CN83" s="2" t="e">
        <f>#REF!*1000</f>
        <v>#REF!</v>
      </c>
      <c r="CO83" s="2">
        <f t="shared" si="127"/>
        <v>48000</v>
      </c>
      <c r="CP83" s="9" t="e">
        <f t="shared" si="128"/>
        <v>#REF!</v>
      </c>
    </row>
    <row r="84" spans="1:94" x14ac:dyDescent="0.2">
      <c r="A84" s="191" t="str">
        <f>ITEMS_nTech!C75</f>
        <v>Transport Freight - HCV3 Gas-N</v>
      </c>
      <c r="B84" s="191" t="str">
        <f t="shared" si="102"/>
        <v>TFHCV3GAS-N</v>
      </c>
      <c r="C84" s="612" t="str">
        <f t="shared" si="133"/>
        <v>TRAGAS</v>
      </c>
      <c r="D84" s="612" t="str">
        <f>TRP!B34</f>
        <v>TFHCV3</v>
      </c>
      <c r="E84" s="702">
        <f t="array" ref="E84">IFERROR(INDEX(Analytica!$F$59:$AY$138,MATCH($B84,Analytica!$B$59:$B$168,0),MATCH(E$15&amp;E$10,Analytica!$F$58:$AY$58&amp;Analytica!$F$51:'Analytica'!$AY$51,0)),"")</f>
        <v>0.10403507009351054</v>
      </c>
      <c r="F84" s="702">
        <f t="array" ref="F84">IFERROR(INDEX(Analytica!$F$59:$AY$138,MATCH($B84,Analytica!$B$59:$B$168,0),MATCH(F$15&amp;F$10,Analytica!$F$58:$AY$58&amp;Analytica!$F$51:'Analytica'!$AY$51,0)),"")</f>
        <v>0.10993396436999574</v>
      </c>
      <c r="G84" s="702">
        <f t="array" ref="G84">IFERROR(INDEX(Analytica!$F$59:$AY$138,MATCH($B84,Analytica!$B$59:$B$168,0),MATCH(G$15&amp;G$10,Analytica!$F$58:$AY$58&amp;Analytica!$F$51:'Analytica'!$AY$51,0)),"")</f>
        <v>0.12155699168288527</v>
      </c>
      <c r="H84" s="702">
        <f t="array" ref="H84">IFERROR(INDEX(Analytica!$F$59:$AY$138,MATCH($B84,Analytica!$B$59:$B$168,0),MATCH(H$15&amp;H$10,Analytica!$F$58:$AY$58&amp;Analytica!$F$51:'Analytica'!$AY$51,0)),"")</f>
        <v>0.13440889093440059</v>
      </c>
      <c r="I84" s="701">
        <v>1</v>
      </c>
      <c r="J84" s="701">
        <v>1</v>
      </c>
      <c r="K84" s="701">
        <v>1</v>
      </c>
      <c r="L84" s="701">
        <v>1</v>
      </c>
      <c r="M84" s="701">
        <v>1</v>
      </c>
      <c r="N84" s="696">
        <f>IF(B84="","",MAX(N$18:N83)+1)</f>
        <v>56</v>
      </c>
      <c r="O84" s="702">
        <f t="array" ref="O84">IFERROR(INDEX(Analytica!$F$59:$AY$138,MATCH($B84,Analytica!$B$59:$B$168,0),MATCH(O$15&amp;O$10,Analytica!$F$58:$AY$58&amp;Analytica!$F$51:'Analytica'!$AY$51,0)),"")</f>
        <v>8.4999999999999992E-2</v>
      </c>
      <c r="P84" s="620">
        <f t="array" ref="P84">IFERROR(INDEX(Analytica!$F$59:$AY$138,MATCH($B84,Analytica!$B$59:$B$168,0),MATCH(P$15&amp;P$10,Analytica!$F$58:$AY$58&amp;Analytica!$F$51:'Analytica'!$AY$51,0)),"")</f>
        <v>588.99088834881991</v>
      </c>
      <c r="Q84" s="620">
        <f t="array" ref="Q84">IFERROR(INDEX(Analytica!$F$59:$AY$138,MATCH($B84,Analytica!$B$59:$B$168,0),MATCH(Q$15&amp;Q$10,Analytica!$F$58:$AY$58&amp;Analytica!$F$51:'Analytica'!$AY$51,0)),"")</f>
        <v>591.03513773094801</v>
      </c>
      <c r="R84" s="620">
        <f t="array" ref="R84">IFERROR(INDEX(Analytica!$F$59:$AY$138,MATCH($B84,Analytica!$B$59:$B$168,0),MATCH(R$15&amp;R$10,Analytica!$F$58:$AY$58&amp;Analytica!$F$51:'Analytica'!$AY$51,0)),"")</f>
        <v>593.07938711307622</v>
      </c>
      <c r="S84" s="620">
        <f t="array" ref="S84">IFERROR(INDEX(Analytica!$F$59:$AY$138,MATCH($B84,Analytica!$B$59:$B$168,0),MATCH(S$15&amp;S$10,Analytica!$F$58:$AY$58&amp;Analytica!$F$51:'Analytica'!$AY$51,0)),"")</f>
        <v>599.60308321858258</v>
      </c>
      <c r="T84" s="620">
        <f t="array" ref="T84">IFERROR(INDEX(Analytica!$F$59:$AY$138,MATCH($B84,Analytica!$B$59:$B$168,0),MATCH(T$15&amp;T$10,Analytica!$F$58:$AY$58&amp;Analytica!$F$51:'Analytica'!$AY$51,0)),"")</f>
        <v>606.12677932408883</v>
      </c>
      <c r="U84" s="620">
        <f t="array" ref="U84">IFERROR(INDEX(Analytica!$F$59:$AY$138,MATCH($B84,Analytica!$B$59:$B$168,0),MATCH(U$15&amp;U$10,Analytica!$F$58:$AY$58&amp;Analytica!$F$51:'Analytica'!$AY$51,0)),"")</f>
        <v>615.22177787460362</v>
      </c>
      <c r="V84" s="620">
        <f t="array" ref="V84">IFERROR(INDEX(Analytica!$F$59:$AY$138,MATCH($B84,Analytica!$B$59:$B$168,0),MATCH(V$15&amp;V$10,Analytica!$F$58:$AY$58&amp;Analytica!$F$51:'Analytica'!$AY$51,0)),"")</f>
        <v>15.902753985418137</v>
      </c>
      <c r="W84" s="620">
        <f t="array" ref="W84">IFERROR(INDEX(Analytica!$F$59:$AY$138,MATCH($B84,Analytica!$B$59:$B$168,0),MATCH(W$15&amp;W$10,Analytica!$F$58:$AY$58&amp;Analytica!$F$51:'Analytica'!$AY$51,0)),"")</f>
        <v>16.013143452053058</v>
      </c>
      <c r="X84" s="620">
        <f t="array" ref="X84">IFERROR(INDEX(Analytica!$F$59:$AY$138,MATCH($B84,Analytica!$B$59:$B$168,0),MATCH(X$15&amp;X$10,Analytica!$F$58:$AY$58&amp;Analytica!$F$51:'Analytica'!$AY$51,0)),"")</f>
        <v>16.365423041750397</v>
      </c>
      <c r="Y84" s="620">
        <f t="array" ref="Y84">IFERROR(INDEX(Analytica!$F$59:$AY$138,MATCH($B84,Analytica!$B$59:$B$168,0),MATCH(Y$15&amp;Y$10,Analytica!$F$58:$AY$58&amp;Analytica!$F$51:'Analytica'!$AY$51,0)),"")</f>
        <v>16.610988002614299</v>
      </c>
      <c r="Z84" s="694">
        <f t="shared" si="129"/>
        <v>20</v>
      </c>
      <c r="AA84" s="694">
        <f t="shared" si="134"/>
        <v>20</v>
      </c>
      <c r="AB84" s="694">
        <f t="shared" si="80"/>
        <v>2025</v>
      </c>
      <c r="AC84" s="1">
        <f t="shared" ca="1" si="135"/>
        <v>67</v>
      </c>
      <c r="AD84" s="1">
        <v>1</v>
      </c>
      <c r="AE84" s="1" t="str">
        <f t="shared" si="136"/>
        <v>S_TFHCV3</v>
      </c>
      <c r="AF84" s="1" t="str">
        <f t="shared" si="103"/>
        <v>S_TFHCV3GAS</v>
      </c>
      <c r="AG84" s="1" t="str">
        <f t="shared" si="104"/>
        <v>TFHCV3GAS-N_L</v>
      </c>
      <c r="AH84" s="1" t="str">
        <f t="shared" si="105"/>
        <v>TFHCV3GAS-N_U</v>
      </c>
      <c r="AI84" s="194">
        <v>0</v>
      </c>
      <c r="AJ84" s="699">
        <f>SUMIF(Analytica!$B$59:$B$137,B84,Analytica!$BA$59:$BA$192)</f>
        <v>0</v>
      </c>
      <c r="AK84" s="697" t="e">
        <f>IF($AP$10,BK84,#REF!)</f>
        <v>#REF!</v>
      </c>
      <c r="AL84" s="697" t="e">
        <f t="shared" si="106"/>
        <v>#REF!</v>
      </c>
      <c r="AM84" s="697" t="e">
        <f t="shared" si="107"/>
        <v>#REF!</v>
      </c>
      <c r="AN84" s="697">
        <f t="shared" si="108"/>
        <v>1</v>
      </c>
      <c r="AO84" s="697">
        <f t="shared" si="109"/>
        <v>1</v>
      </c>
      <c r="AP84" s="194">
        <v>1</v>
      </c>
      <c r="AQ84" s="650">
        <f t="shared" si="110"/>
        <v>0</v>
      </c>
      <c r="AR84" s="697" t="e">
        <f>IF($AP$10,BR84,#REF!)</f>
        <v>#REF!</v>
      </c>
      <c r="AS84" s="697" t="e">
        <f t="shared" si="111"/>
        <v>#REF!</v>
      </c>
      <c r="AT84" s="697">
        <f t="shared" si="112"/>
        <v>0</v>
      </c>
      <c r="AU84" s="697">
        <f t="shared" si="113"/>
        <v>0</v>
      </c>
      <c r="AV84" s="697">
        <f t="shared" si="114"/>
        <v>0</v>
      </c>
      <c r="AX84" s="698">
        <f t="shared" si="115"/>
        <v>0</v>
      </c>
      <c r="AY84" s="697" t="e">
        <f>IF(#REF!&lt;&gt;"",(AY$11-#REF!)/(BA$11-#REF!)*(BA84-#REF!)+#REF!,"")</f>
        <v>#REF!</v>
      </c>
      <c r="AZ84" s="697" t="e">
        <f t="shared" si="137"/>
        <v>#REF!</v>
      </c>
      <c r="BA84" s="697">
        <f t="shared" si="131"/>
        <v>1</v>
      </c>
      <c r="BB84" s="697">
        <f t="shared" si="131"/>
        <v>1</v>
      </c>
      <c r="BC84" s="711"/>
      <c r="BD84" s="697">
        <f t="shared" si="138"/>
        <v>0</v>
      </c>
      <c r="BE84" s="697" t="e">
        <f>IF(#REF!&lt;&gt;"",(BE$11-#REF!)/(BG$11-#REF!)*(BG84-#REF!)+#REF!,"")</f>
        <v>#REF!</v>
      </c>
      <c r="BF84" s="697">
        <f t="shared" si="132"/>
        <v>0</v>
      </c>
      <c r="BG84" s="697">
        <f t="shared" si="132"/>
        <v>0</v>
      </c>
      <c r="BH84" s="697">
        <f t="shared" si="132"/>
        <v>0</v>
      </c>
      <c r="BI84" s="692"/>
      <c r="BJ84" s="693">
        <f t="shared" si="116"/>
        <v>0</v>
      </c>
      <c r="BK84" s="697">
        <v>0</v>
      </c>
      <c r="BL84" s="697" t="e">
        <f t="shared" si="79"/>
        <v>#REF!</v>
      </c>
      <c r="BM84" s="697" t="e">
        <f t="shared" si="118"/>
        <v>#REF!</v>
      </c>
      <c r="BN84" s="697">
        <v>0</v>
      </c>
      <c r="BO84" s="697">
        <v>0</v>
      </c>
      <c r="BP84" s="194"/>
      <c r="BQ84" s="650">
        <f t="shared" si="120"/>
        <v>0</v>
      </c>
      <c r="BR84" s="697">
        <f t="shared" si="121"/>
        <v>0</v>
      </c>
      <c r="BS84" s="697" t="e">
        <f t="shared" si="139"/>
        <v>#REF!</v>
      </c>
      <c r="BT84" s="697" t="e">
        <f t="shared" si="122"/>
        <v>#REF!</v>
      </c>
      <c r="BU84" s="697">
        <f t="shared" si="123"/>
        <v>0</v>
      </c>
      <c r="BV84" s="697">
        <f t="shared" si="123"/>
        <v>0</v>
      </c>
      <c r="BW84" s="692"/>
      <c r="BX84" s="1" t="str">
        <f t="shared" si="124"/>
        <v>TFHCV3GAS-N</v>
      </c>
      <c r="BY84" s="1" t="str">
        <f t="shared" ca="1" si="95"/>
        <v>-	S_TFHCV3GAS	1	TFHCV3GAS-N Set	1	10/03/2023 17:53:59	null	((tblITEMS.Item Like "TFHCV3GAS-N*"))	null	null	null	null	null	null	null</v>
      </c>
      <c r="BZ84" s="1" t="str">
        <f t="shared" si="96"/>
        <v>-	S_TFHCV3GAS	1	1	True	Like "TFHCV3GAS-N*"</v>
      </c>
      <c r="CI84" s="1">
        <f t="shared" si="125"/>
        <v>0</v>
      </c>
      <c r="CJ84" s="1">
        <v>39</v>
      </c>
      <c r="CK84" s="625" t="e">
        <f t="shared" si="126"/>
        <v>#DIV/0!</v>
      </c>
      <c r="CL84" s="625" t="e">
        <f>#REF!</f>
        <v>#REF!</v>
      </c>
      <c r="CM84" s="625" t="e">
        <f>CK84/#REF!</f>
        <v>#DIV/0!</v>
      </c>
      <c r="CN84" s="2" t="e">
        <f>#REF!*1000</f>
        <v>#REF!</v>
      </c>
      <c r="CO84" s="2">
        <f t="shared" si="127"/>
        <v>84999.999999999985</v>
      </c>
      <c r="CP84" s="9" t="e">
        <f t="shared" si="128"/>
        <v>#REF!</v>
      </c>
    </row>
    <row r="85" spans="1:94" x14ac:dyDescent="0.2">
      <c r="A85" s="191" t="str">
        <f>ITEMS_nTech!C76</f>
        <v>Transport Freight - HCV4 Gas-N</v>
      </c>
      <c r="B85" s="191" t="str">
        <f t="shared" si="102"/>
        <v>TFHCV4GAS-N</v>
      </c>
      <c r="C85" s="612" t="str">
        <f t="shared" si="133"/>
        <v>TRAGAS</v>
      </c>
      <c r="D85" s="612" t="str">
        <f>TRP!B35</f>
        <v>TFHCV4</v>
      </c>
      <c r="E85" s="702">
        <f t="array" ref="E85">IFERROR(INDEX(Analytica!$F$59:$AY$138,MATCH($B85,Analytica!$B$59:$B$168,0),MATCH(E$15&amp;E$10,Analytica!$F$58:$AY$58&amp;Analytica!$F$51:'Analytica'!$AY$51,0)),"")</f>
        <v>8.9408379456216935E-2</v>
      </c>
      <c r="F85" s="702">
        <f t="array" ref="F85">IFERROR(INDEX(Analytica!$F$59:$AY$138,MATCH($B85,Analytica!$B$59:$B$168,0),MATCH(F$15&amp;F$10,Analytica!$F$58:$AY$58&amp;Analytica!$F$51:'Analytica'!$AY$51,0)),"")</f>
        <v>9.4477925498431731E-2</v>
      </c>
      <c r="G85" s="702">
        <f t="array" ref="G85">IFERROR(INDEX(Analytica!$F$59:$AY$138,MATCH($B85,Analytica!$B$59:$B$168,0),MATCH(G$15&amp;G$10,Analytica!$F$58:$AY$58&amp;Analytica!$F$51:'Analytica'!$AY$51,0)),"")</f>
        <v>0.10446682669767859</v>
      </c>
      <c r="H85" s="702">
        <f t="array" ref="H85">IFERROR(INDEX(Analytica!$F$59:$AY$138,MATCH($B85,Analytica!$B$59:$B$168,0),MATCH(H$15&amp;H$10,Analytica!$F$58:$AY$58&amp;Analytica!$F$51:'Analytica'!$AY$51,0)),"")</f>
        <v>0.11551182800329342</v>
      </c>
      <c r="I85" s="701">
        <v>1</v>
      </c>
      <c r="J85" s="701">
        <v>1</v>
      </c>
      <c r="K85" s="701">
        <v>1</v>
      </c>
      <c r="L85" s="701">
        <v>1</v>
      </c>
      <c r="M85" s="701">
        <v>1</v>
      </c>
      <c r="N85" s="696">
        <f>IF(B85="","",MAX(N$18:N84)+1)</f>
        <v>57</v>
      </c>
      <c r="O85" s="702">
        <f t="array" ref="O85">IFERROR(INDEX(Analytica!$F$59:$AY$138,MATCH($B85,Analytica!$B$59:$B$168,0),MATCH(O$15&amp;O$10,Analytica!$F$58:$AY$58&amp;Analytica!$F$51:'Analytica'!$AY$51,0)),"")</f>
        <v>8.4999999999999992E-2</v>
      </c>
      <c r="P85" s="620">
        <f t="array" ref="P85">IFERROR(INDEX(Analytica!$F$59:$AY$138,MATCH($B85,Analytica!$B$59:$B$168,0),MATCH(P$15&amp;P$10,Analytica!$F$58:$AY$58&amp;Analytica!$F$51:'Analytica'!$AY$51,0)),"")</f>
        <v>1047.6378756772529</v>
      </c>
      <c r="Q85" s="620">
        <f t="array" ref="Q85">IFERROR(INDEX(Analytica!$F$59:$AY$138,MATCH($B85,Analytica!$B$59:$B$168,0),MATCH(Q$15&amp;Q$10,Analytica!$F$58:$AY$58&amp;Analytica!$F$51:'Analytica'!$AY$51,0)),"")</f>
        <v>1050.0097772323459</v>
      </c>
      <c r="R85" s="620">
        <f t="array" ref="R85">IFERROR(INDEX(Analytica!$F$59:$AY$138,MATCH($B85,Analytica!$B$59:$B$168,0),MATCH(R$15&amp;R$10,Analytica!$F$58:$AY$58&amp;Analytica!$F$51:'Analytica'!$AY$51,0)),"")</f>
        <v>1052.3816787874387</v>
      </c>
      <c r="S85" s="620">
        <f t="array" ref="S85">IFERROR(INDEX(Analytica!$F$59:$AY$138,MATCH($B85,Analytica!$B$59:$B$168,0),MATCH(S$15&amp;S$10,Analytica!$F$58:$AY$58&amp;Analytica!$F$51:'Analytica'!$AY$51,0)),"")</f>
        <v>1060.4720565879959</v>
      </c>
      <c r="T85" s="620">
        <f t="array" ref="T85">IFERROR(INDEX(Analytica!$F$59:$AY$138,MATCH($B85,Analytica!$B$59:$B$168,0),MATCH(T$15&amp;T$10,Analytica!$F$58:$AY$58&amp;Analytica!$F$51:'Analytica'!$AY$51,0)),"")</f>
        <v>1068.5624343885534</v>
      </c>
      <c r="U85" s="620">
        <f t="array" ref="U85">IFERROR(INDEX(Analytica!$F$59:$AY$138,MATCH($B85,Analytica!$B$59:$B$168,0),MATCH(U$15&amp;U$10,Analytica!$F$58:$AY$58&amp;Analytica!$F$51:'Analytica'!$AY$51,0)),"")</f>
        <v>1089.4420268777396</v>
      </c>
      <c r="V85" s="620">
        <f t="array" ref="V85">IFERROR(INDEX(Analytica!$F$59:$AY$138,MATCH($B85,Analytica!$B$59:$B$168,0),MATCH(V$15&amp;V$10,Analytica!$F$58:$AY$58&amp;Analytica!$F$51:'Analytica'!$AY$51,0)),"")</f>
        <v>28.286222643285825</v>
      </c>
      <c r="W85" s="620">
        <f t="array" ref="W85">IFERROR(INDEX(Analytica!$F$59:$AY$138,MATCH($B85,Analytica!$B$59:$B$168,0),MATCH(W$15&amp;W$10,Analytica!$F$58:$AY$58&amp;Analytica!$F$51:'Analytica'!$AY$51,0)),"")</f>
        <v>28.414305327260845</v>
      </c>
      <c r="X85" s="620">
        <f t="array" ref="X85">IFERROR(INDEX(Analytica!$F$59:$AY$138,MATCH($B85,Analytica!$B$59:$B$168,0),MATCH(X$15&amp;X$10,Analytica!$F$58:$AY$58&amp;Analytica!$F$51:'Analytica'!$AY$51,0)),"")</f>
        <v>28.85118572849094</v>
      </c>
      <c r="Y85" s="620">
        <f t="array" ref="Y85">IFERROR(INDEX(Analytica!$F$59:$AY$138,MATCH($B85,Analytica!$B$59:$B$168,0),MATCH(Y$15&amp;Y$10,Analytica!$F$58:$AY$58&amp;Analytica!$F$51:'Analytica'!$AY$51,0)),"")</f>
        <v>29.41493472569897</v>
      </c>
      <c r="Z85" s="694">
        <f t="shared" si="129"/>
        <v>20</v>
      </c>
      <c r="AA85" s="694">
        <f t="shared" si="134"/>
        <v>20</v>
      </c>
      <c r="AB85" s="694">
        <f t="shared" si="80"/>
        <v>2025</v>
      </c>
      <c r="AC85" s="1">
        <f t="shared" ca="1" si="135"/>
        <v>68</v>
      </c>
      <c r="AD85" s="1">
        <v>1</v>
      </c>
      <c r="AE85" s="1" t="str">
        <f t="shared" si="136"/>
        <v>S_TFHCV4</v>
      </c>
      <c r="AF85" s="1" t="str">
        <f t="shared" si="103"/>
        <v>S_TFHCV4GAS</v>
      </c>
      <c r="AG85" s="1" t="str">
        <f t="shared" si="104"/>
        <v>TFHCV4GAS-N_L</v>
      </c>
      <c r="AH85" s="1" t="str">
        <f t="shared" si="105"/>
        <v>TFHCV4GAS-N_U</v>
      </c>
      <c r="AI85" s="194">
        <v>0</v>
      </c>
      <c r="AJ85" s="699">
        <f>SUMIF(Analytica!$B$59:$B$137,B85,Analytica!$BA$59:$BA$192)</f>
        <v>0</v>
      </c>
      <c r="AK85" s="697" t="e">
        <f>IF($AP$10,BK85,#REF!)</f>
        <v>#REF!</v>
      </c>
      <c r="AL85" s="697" t="e">
        <f t="shared" si="106"/>
        <v>#REF!</v>
      </c>
      <c r="AM85" s="697" t="e">
        <f t="shared" si="107"/>
        <v>#REF!</v>
      </c>
      <c r="AN85" s="697">
        <f t="shared" si="108"/>
        <v>1</v>
      </c>
      <c r="AO85" s="697">
        <f t="shared" si="109"/>
        <v>1</v>
      </c>
      <c r="AP85" s="194">
        <v>1</v>
      </c>
      <c r="AQ85" s="650">
        <f t="shared" si="110"/>
        <v>0</v>
      </c>
      <c r="AR85" s="697" t="e">
        <f>IF($AP$10,BR85,#REF!)</f>
        <v>#REF!</v>
      </c>
      <c r="AS85" s="697" t="e">
        <f t="shared" si="111"/>
        <v>#REF!</v>
      </c>
      <c r="AT85" s="697">
        <f t="shared" si="112"/>
        <v>0</v>
      </c>
      <c r="AU85" s="697">
        <f t="shared" si="113"/>
        <v>0</v>
      </c>
      <c r="AV85" s="697">
        <f t="shared" si="114"/>
        <v>0</v>
      </c>
      <c r="AX85" s="698">
        <f t="shared" si="115"/>
        <v>0</v>
      </c>
      <c r="AY85" s="697" t="e">
        <f>IF(#REF!&lt;&gt;"",(AY$11-#REF!)/(BA$11-#REF!)*(BA85-#REF!)+#REF!,"")</f>
        <v>#REF!</v>
      </c>
      <c r="AZ85" s="697" t="e">
        <f t="shared" si="137"/>
        <v>#REF!</v>
      </c>
      <c r="BA85" s="697">
        <f t="shared" si="131"/>
        <v>1</v>
      </c>
      <c r="BB85" s="697">
        <f t="shared" si="131"/>
        <v>1</v>
      </c>
      <c r="BC85" s="711"/>
      <c r="BD85" s="697">
        <f t="shared" si="138"/>
        <v>0</v>
      </c>
      <c r="BE85" s="697" t="e">
        <f>IF(#REF!&lt;&gt;"",(BE$11-#REF!)/(BG$11-#REF!)*(BG85-#REF!)+#REF!,"")</f>
        <v>#REF!</v>
      </c>
      <c r="BF85" s="697">
        <f t="shared" si="132"/>
        <v>0</v>
      </c>
      <c r="BG85" s="697">
        <f t="shared" si="132"/>
        <v>0</v>
      </c>
      <c r="BH85" s="697">
        <f t="shared" si="132"/>
        <v>0</v>
      </c>
      <c r="BI85" s="692"/>
      <c r="BJ85" s="693">
        <f t="shared" si="116"/>
        <v>0</v>
      </c>
      <c r="BK85" s="697">
        <v>0</v>
      </c>
      <c r="BL85" s="697" t="e">
        <f t="shared" si="79"/>
        <v>#REF!</v>
      </c>
      <c r="BM85" s="697" t="e">
        <f t="shared" si="118"/>
        <v>#REF!</v>
      </c>
      <c r="BN85" s="697">
        <v>0</v>
      </c>
      <c r="BO85" s="697">
        <v>0</v>
      </c>
      <c r="BP85" s="194"/>
      <c r="BQ85" s="650">
        <f t="shared" si="120"/>
        <v>0</v>
      </c>
      <c r="BR85" s="697">
        <f t="shared" si="121"/>
        <v>0</v>
      </c>
      <c r="BS85" s="697" t="e">
        <f t="shared" si="139"/>
        <v>#REF!</v>
      </c>
      <c r="BT85" s="697" t="e">
        <f t="shared" si="122"/>
        <v>#REF!</v>
      </c>
      <c r="BU85" s="697">
        <f t="shared" si="123"/>
        <v>0</v>
      </c>
      <c r="BV85" s="697">
        <f t="shared" si="123"/>
        <v>0</v>
      </c>
      <c r="BW85" s="692"/>
      <c r="BX85" s="1" t="str">
        <f t="shared" si="124"/>
        <v>TFHCV4GAS-N</v>
      </c>
      <c r="BY85" s="1" t="str">
        <f t="shared" ca="1" si="95"/>
        <v>-	S_TFHCV4GAS	1	TFHCV4GAS-N Set	1	10/03/2023 17:53:59	null	((tblITEMS.Item Like "TFHCV4GAS-N*"))	null	null	null	null	null	null	null</v>
      </c>
      <c r="BZ85" s="1" t="str">
        <f t="shared" si="96"/>
        <v>-	S_TFHCV4GAS	1	1	True	Like "TFHCV4GAS-N*"</v>
      </c>
      <c r="CI85" s="1">
        <f t="shared" si="125"/>
        <v>0</v>
      </c>
      <c r="CJ85" s="1">
        <v>39</v>
      </c>
      <c r="CK85" s="625" t="e">
        <f t="shared" si="126"/>
        <v>#DIV/0!</v>
      </c>
      <c r="CL85" s="625" t="e">
        <f>#REF!</f>
        <v>#REF!</v>
      </c>
      <c r="CM85" s="625" t="e">
        <f>CK85/#REF!</f>
        <v>#DIV/0!</v>
      </c>
      <c r="CN85" s="2" t="e">
        <f>#REF!*1000</f>
        <v>#REF!</v>
      </c>
      <c r="CO85" s="2">
        <f t="shared" si="127"/>
        <v>84999.999999999985</v>
      </c>
      <c r="CP85" s="9" t="e">
        <f t="shared" si="128"/>
        <v>#REF!</v>
      </c>
    </row>
    <row r="86" spans="1:94" x14ac:dyDescent="0.2">
      <c r="A86" s="191" t="str">
        <f>ITEMS_nTech!C77</f>
        <v>Transport Freight - HCV5 Gas-N</v>
      </c>
      <c r="B86" s="191" t="str">
        <f t="shared" si="102"/>
        <v>TFHCV5GAS-N</v>
      </c>
      <c r="C86" s="612" t="str">
        <f t="shared" si="133"/>
        <v>TRAGAS</v>
      </c>
      <c r="D86" s="612" t="str">
        <f>TRP!B36</f>
        <v>TFHCV5</v>
      </c>
      <c r="E86" s="702">
        <f t="array" ref="E86">IFERROR(INDEX(Analytica!$F$59:$AY$138,MATCH($B86,Analytica!$B$59:$B$168,0),MATCH(E$15&amp;E$10,Analytica!$F$58:$AY$58&amp;Analytica!$F$51:'Analytica'!$AY$51,0)),"")</f>
        <v>8.2368228829309525E-2</v>
      </c>
      <c r="F86" s="702">
        <f t="array" ref="F86">IFERROR(INDEX(Analytica!$F$59:$AY$138,MATCH($B86,Analytica!$B$59:$B$168,0),MATCH(F$15&amp;F$10,Analytica!$F$58:$AY$58&amp;Analytica!$F$51:'Analytica'!$AY$51,0)),"")</f>
        <v>8.7038591171245835E-2</v>
      </c>
      <c r="G86" s="702">
        <f t="array" ref="G86">IFERROR(INDEX(Analytica!$F$59:$AY$138,MATCH($B86,Analytica!$B$59:$B$168,0),MATCH(G$15&amp;G$10,Analytica!$F$58:$AY$58&amp;Analytica!$F$51:'Analytica'!$AY$51,0)),"")</f>
        <v>9.6240951226724075E-2</v>
      </c>
      <c r="H86" s="702">
        <f t="array" ref="H86">IFERROR(INDEX(Analytica!$F$59:$AY$138,MATCH($B86,Analytica!$B$59:$B$168,0),MATCH(H$15&amp;H$10,Analytica!$F$58:$AY$58&amp;Analytica!$F$51:'Analytica'!$AY$51,0)),"")</f>
        <v>0.10641625247358774</v>
      </c>
      <c r="I86" s="701">
        <v>1</v>
      </c>
      <c r="J86" s="701">
        <v>1</v>
      </c>
      <c r="K86" s="701">
        <v>1</v>
      </c>
      <c r="L86" s="701">
        <v>1</v>
      </c>
      <c r="M86" s="701">
        <v>1</v>
      </c>
      <c r="N86" s="696">
        <f>IF(B86="","",MAX(N$18:N85)+1)</f>
        <v>58</v>
      </c>
      <c r="O86" s="702">
        <f t="array" ref="O86">IFERROR(INDEX(Analytica!$F$59:$AY$138,MATCH($B86,Analytica!$B$59:$B$168,0),MATCH(O$15&amp;O$10,Analytica!$F$58:$AY$58&amp;Analytica!$F$51:'Analytica'!$AY$51,0)),"")</f>
        <v>0.11</v>
      </c>
      <c r="P86" s="620">
        <f t="array" ref="P86">IFERROR(INDEX(Analytica!$F$59:$AY$138,MATCH($B86,Analytica!$B$59:$B$168,0),MATCH(P$15&amp;P$10,Analytica!$F$58:$AY$58&amp;Analytica!$F$51:'Analytica'!$AY$51,0)),"")</f>
        <v>955.91020610261251</v>
      </c>
      <c r="Q86" s="620">
        <f t="array" ref="Q86">IFERROR(INDEX(Analytica!$F$59:$AY$138,MATCH($B86,Analytica!$B$59:$B$168,0),MATCH(Q$15&amp;Q$10,Analytica!$F$58:$AY$58&amp;Analytica!$F$51:'Analytica'!$AY$51,0)),"")</f>
        <v>961.41375584437571</v>
      </c>
      <c r="R86" s="620">
        <f t="array" ref="R86">IFERROR(INDEX(Analytica!$F$59:$AY$138,MATCH($B86,Analytica!$B$59:$B$168,0),MATCH(R$15&amp;R$10,Analytica!$F$58:$AY$58&amp;Analytica!$F$51:'Analytica'!$AY$51,0)),"")</f>
        <v>966.91730558613915</v>
      </c>
      <c r="S86" s="620">
        <f t="array" ref="S86">IFERROR(INDEX(Analytica!$F$59:$AY$138,MATCH($B86,Analytica!$B$59:$B$168,0),MATCH(S$15&amp;S$10,Analytica!$F$58:$AY$58&amp;Analytica!$F$51:'Analytica'!$AY$51,0)),"")</f>
        <v>974.63568364717787</v>
      </c>
      <c r="T86" s="620">
        <f t="array" ref="T86">IFERROR(INDEX(Analytica!$F$59:$AY$138,MATCH($B86,Analytica!$B$59:$B$168,0),MATCH(T$15&amp;T$10,Analytica!$F$58:$AY$58&amp;Analytica!$F$51:'Analytica'!$AY$51,0)),"")</f>
        <v>982.35406170821636</v>
      </c>
      <c r="U86" s="620">
        <f t="array" ref="U86">IFERROR(INDEX(Analytica!$F$59:$AY$138,MATCH($B86,Analytica!$B$59:$B$168,0),MATCH(U$15&amp;U$10,Analytica!$F$58:$AY$58&amp;Analytica!$F$51:'Analytica'!$AY$51,0)),"")</f>
        <v>999.53622293291085</v>
      </c>
      <c r="V86" s="620">
        <f t="array" ref="V86">IFERROR(INDEX(Analytica!$F$59:$AY$138,MATCH($B86,Analytica!$B$59:$B$168,0),MATCH(V$15&amp;V$10,Analytica!$F$58:$AY$58&amp;Analytica!$F$51:'Analytica'!$AY$51,0)),"")</f>
        <v>25.809575564770537</v>
      </c>
      <c r="W86" s="620">
        <f t="array" ref="W86">IFERROR(INDEX(Analytica!$F$59:$AY$138,MATCH($B86,Analytica!$B$59:$B$168,0),MATCH(W$15&amp;W$10,Analytica!$F$58:$AY$58&amp;Analytica!$F$51:'Analytica'!$AY$51,0)),"")</f>
        <v>26.106767250825758</v>
      </c>
      <c r="X86" s="620">
        <f t="array" ref="X86">IFERROR(INDEX(Analytica!$F$59:$AY$138,MATCH($B86,Analytica!$B$59:$B$168,0),MATCH(X$15&amp;X$10,Analytica!$F$58:$AY$58&amp;Analytica!$F$51:'Analytica'!$AY$51,0)),"")</f>
        <v>26.523559666121841</v>
      </c>
      <c r="Y86" s="620">
        <f t="array" ref="Y86">IFERROR(INDEX(Analytica!$F$59:$AY$138,MATCH($B86,Analytica!$B$59:$B$168,0),MATCH(Y$15&amp;Y$10,Analytica!$F$58:$AY$58&amp;Analytica!$F$51:'Analytica'!$AY$51,0)),"")</f>
        <v>26.987478019188593</v>
      </c>
      <c r="Z86" s="694">
        <f t="shared" si="129"/>
        <v>20</v>
      </c>
      <c r="AA86" s="694">
        <f t="shared" si="134"/>
        <v>20</v>
      </c>
      <c r="AB86" s="694">
        <f t="shared" si="80"/>
        <v>2025</v>
      </c>
      <c r="AC86" s="1">
        <f t="shared" ca="1" si="135"/>
        <v>69</v>
      </c>
      <c r="AD86" s="1">
        <v>1</v>
      </c>
      <c r="AE86" s="1" t="str">
        <f t="shared" si="136"/>
        <v>S_TFHCV5</v>
      </c>
      <c r="AF86" s="1" t="str">
        <f t="shared" si="103"/>
        <v>S_TFHCV5GAS</v>
      </c>
      <c r="AG86" s="1" t="str">
        <f t="shared" si="104"/>
        <v>TFHCV5GAS-N_L</v>
      </c>
      <c r="AH86" s="1" t="str">
        <f t="shared" si="105"/>
        <v>TFHCV5GAS-N_U</v>
      </c>
      <c r="AI86" s="194">
        <v>0</v>
      </c>
      <c r="AJ86" s="699">
        <f>SUMIF(Analytica!$B$59:$B$137,B86,Analytica!$BA$59:$BA$192)</f>
        <v>0</v>
      </c>
      <c r="AK86" s="697" t="e">
        <f>IF($AP$10,BK86,#REF!)</f>
        <v>#REF!</v>
      </c>
      <c r="AL86" s="697" t="e">
        <f t="shared" si="106"/>
        <v>#REF!</v>
      </c>
      <c r="AM86" s="697" t="e">
        <f t="shared" si="107"/>
        <v>#REF!</v>
      </c>
      <c r="AN86" s="697">
        <f t="shared" si="108"/>
        <v>1</v>
      </c>
      <c r="AO86" s="697">
        <f t="shared" si="109"/>
        <v>1</v>
      </c>
      <c r="AP86" s="194">
        <v>1</v>
      </c>
      <c r="AQ86" s="650">
        <f t="shared" si="110"/>
        <v>0</v>
      </c>
      <c r="AR86" s="697" t="e">
        <f>IF($AP$10,BR86,#REF!)</f>
        <v>#REF!</v>
      </c>
      <c r="AS86" s="697" t="e">
        <f t="shared" si="111"/>
        <v>#REF!</v>
      </c>
      <c r="AT86" s="697">
        <f t="shared" si="112"/>
        <v>0</v>
      </c>
      <c r="AU86" s="697">
        <f t="shared" si="113"/>
        <v>0</v>
      </c>
      <c r="AV86" s="697">
        <f t="shared" si="114"/>
        <v>0</v>
      </c>
      <c r="AX86" s="698">
        <f t="shared" si="115"/>
        <v>0</v>
      </c>
      <c r="AY86" s="697" t="e">
        <f>IF(#REF!&lt;&gt;"",(AY$11-#REF!)/(BA$11-#REF!)*(BA86-#REF!)+#REF!,"")</f>
        <v>#REF!</v>
      </c>
      <c r="AZ86" s="697" t="e">
        <f t="shared" si="137"/>
        <v>#REF!</v>
      </c>
      <c r="BA86" s="697">
        <f t="shared" si="131"/>
        <v>1</v>
      </c>
      <c r="BB86" s="697">
        <f t="shared" si="131"/>
        <v>1</v>
      </c>
      <c r="BC86" s="711"/>
      <c r="BD86" s="697">
        <f t="shared" si="138"/>
        <v>0</v>
      </c>
      <c r="BE86" s="697" t="e">
        <f>IF(#REF!&lt;&gt;"",(BE$11-#REF!)/(BG$11-#REF!)*(BG86-#REF!)+#REF!,"")</f>
        <v>#REF!</v>
      </c>
      <c r="BF86" s="697">
        <f t="shared" si="132"/>
        <v>0</v>
      </c>
      <c r="BG86" s="697">
        <f t="shared" si="132"/>
        <v>0</v>
      </c>
      <c r="BH86" s="697">
        <f t="shared" si="132"/>
        <v>0</v>
      </c>
      <c r="BI86" s="692"/>
      <c r="BJ86" s="693">
        <f t="shared" si="116"/>
        <v>0</v>
      </c>
      <c r="BK86" s="697">
        <v>0</v>
      </c>
      <c r="BL86" s="697" t="e">
        <f t="shared" si="79"/>
        <v>#REF!</v>
      </c>
      <c r="BM86" s="697" t="e">
        <f t="shared" si="118"/>
        <v>#REF!</v>
      </c>
      <c r="BN86" s="697">
        <v>0</v>
      </c>
      <c r="BO86" s="697">
        <v>0</v>
      </c>
      <c r="BP86" s="194"/>
      <c r="BQ86" s="650">
        <f t="shared" si="120"/>
        <v>0</v>
      </c>
      <c r="BR86" s="697">
        <f t="shared" si="121"/>
        <v>0</v>
      </c>
      <c r="BS86" s="697" t="e">
        <f t="shared" si="139"/>
        <v>#REF!</v>
      </c>
      <c r="BT86" s="697" t="e">
        <f t="shared" si="122"/>
        <v>#REF!</v>
      </c>
      <c r="BU86" s="697">
        <f t="shared" si="123"/>
        <v>0</v>
      </c>
      <c r="BV86" s="697">
        <f t="shared" si="123"/>
        <v>0</v>
      </c>
      <c r="BW86" s="692"/>
      <c r="BX86" s="1" t="str">
        <f t="shared" si="124"/>
        <v>TFHCV5GAS-N</v>
      </c>
      <c r="BY86" s="1" t="str">
        <f t="shared" ca="1" si="95"/>
        <v>-	S_TFHCV5GAS	1	TFHCV5GAS-N Set	1	10/03/2023 17:53:59	null	((tblITEMS.Item Like "TFHCV5GAS-N*"))	null	null	null	null	null	null	null</v>
      </c>
      <c r="BZ86" s="1" t="str">
        <f t="shared" si="96"/>
        <v>-	S_TFHCV5GAS	1	1	True	Like "TFHCV5GAS-N*"</v>
      </c>
      <c r="CI86" s="1">
        <f t="shared" si="125"/>
        <v>0</v>
      </c>
      <c r="CJ86" s="1">
        <v>39</v>
      </c>
      <c r="CK86" s="625" t="e">
        <f t="shared" si="126"/>
        <v>#DIV/0!</v>
      </c>
      <c r="CL86" s="625" t="e">
        <f>#REF!</f>
        <v>#REF!</v>
      </c>
      <c r="CM86" s="625" t="e">
        <f>CK86/#REF!</f>
        <v>#DIV/0!</v>
      </c>
      <c r="CN86" s="2" t="e">
        <f>#REF!*1000</f>
        <v>#REF!</v>
      </c>
      <c r="CO86" s="2">
        <f t="shared" si="127"/>
        <v>110000</v>
      </c>
      <c r="CP86" s="9" t="e">
        <f t="shared" si="128"/>
        <v>#REF!</v>
      </c>
    </row>
    <row r="87" spans="1:94" x14ac:dyDescent="0.2">
      <c r="A87" s="191" t="str">
        <f>ITEMS_nTech!C78</f>
        <v>Transport Freight - HCV6 Gas-N</v>
      </c>
      <c r="B87" s="191" t="str">
        <f t="shared" si="102"/>
        <v>TFHCV6GAS-N</v>
      </c>
      <c r="C87" s="612" t="str">
        <f t="shared" si="133"/>
        <v>TRAGAS</v>
      </c>
      <c r="D87" s="612" t="str">
        <f>TRP!B37</f>
        <v>TFHCV6</v>
      </c>
      <c r="E87" s="702">
        <f t="array" ref="E87">IFERROR(INDEX(Analytica!$F$59:$AY$138,MATCH($B87,Analytica!$B$59:$B$168,0),MATCH(E$15&amp;E$10,Analytica!$F$58:$AY$58&amp;Analytica!$F$51:'Analytica'!$AY$51,0)),"")</f>
        <v>5.6813813797851109E-2</v>
      </c>
      <c r="F87" s="702">
        <f t="array" ref="F87">IFERROR(INDEX(Analytica!$F$59:$AY$138,MATCH($B87,Analytica!$B$59:$B$168,0),MATCH(F$15&amp;F$10,Analytica!$F$58:$AY$58&amp;Analytica!$F$51:'Analytica'!$AY$51,0)),"")</f>
        <v>6.0035214819027953E-2</v>
      </c>
      <c r="G87" s="702">
        <f t="array" ref="G87">IFERROR(INDEX(Analytica!$F$59:$AY$138,MATCH($B87,Analytica!$B$59:$B$168,0),MATCH(G$15&amp;G$10,Analytica!$F$58:$AY$58&amp;Analytica!$F$51:'Analytica'!$AY$51,0)),"")</f>
        <v>6.6382579308024769E-2</v>
      </c>
      <c r="H87" s="702">
        <f t="array" ref="H87">IFERROR(INDEX(Analytica!$F$59:$AY$138,MATCH($B87,Analytica!$B$59:$B$168,0),MATCH(H$15&amp;H$10,Analytica!$F$58:$AY$58&amp;Analytica!$F$51:'Analytica'!$AY$51,0)),"")</f>
        <v>7.3401033857707229E-2</v>
      </c>
      <c r="I87" s="701">
        <v>1</v>
      </c>
      <c r="J87" s="701">
        <v>1</v>
      </c>
      <c r="K87" s="701">
        <v>1</v>
      </c>
      <c r="L87" s="701">
        <v>1</v>
      </c>
      <c r="M87" s="701">
        <v>1</v>
      </c>
      <c r="N87" s="696">
        <f>IF(B87="","",MAX(N$18:N86)+1)</f>
        <v>59</v>
      </c>
      <c r="O87" s="702">
        <f t="array" ref="O87">IFERROR(INDEX(Analytica!$F$59:$AY$138,MATCH($B87,Analytica!$B$59:$B$168,0),MATCH(O$15&amp;O$10,Analytica!$F$58:$AY$58&amp;Analytica!$F$51:'Analytica'!$AY$51,0)),"")</f>
        <v>0.11</v>
      </c>
      <c r="P87" s="620">
        <f t="array" ref="P87">IFERROR(INDEX(Analytica!$F$59:$AY$138,MATCH($B87,Analytica!$B$59:$B$168,0),MATCH(P$15&amp;P$10,Analytica!$F$58:$AY$58&amp;Analytica!$F$51:'Analytica'!$AY$51,0)),"")</f>
        <v>955.91020610261251</v>
      </c>
      <c r="Q87" s="620">
        <f t="array" ref="Q87">IFERROR(INDEX(Analytica!$F$59:$AY$138,MATCH($B87,Analytica!$B$59:$B$168,0),MATCH(Q$15&amp;Q$10,Analytica!$F$58:$AY$58&amp;Analytica!$F$51:'Analytica'!$AY$51,0)),"")</f>
        <v>961.41375584437571</v>
      </c>
      <c r="R87" s="620">
        <f t="array" ref="R87">IFERROR(INDEX(Analytica!$F$59:$AY$138,MATCH($B87,Analytica!$B$59:$B$168,0),MATCH(R$15&amp;R$10,Analytica!$F$58:$AY$58&amp;Analytica!$F$51:'Analytica'!$AY$51,0)),"")</f>
        <v>966.91730558613915</v>
      </c>
      <c r="S87" s="620">
        <f t="array" ref="S87">IFERROR(INDEX(Analytica!$F$59:$AY$138,MATCH($B87,Analytica!$B$59:$B$168,0),MATCH(S$15&amp;S$10,Analytica!$F$58:$AY$58&amp;Analytica!$F$51:'Analytica'!$AY$51,0)),"")</f>
        <v>974.63568364717787</v>
      </c>
      <c r="T87" s="620">
        <f t="array" ref="T87">IFERROR(INDEX(Analytica!$F$59:$AY$138,MATCH($B87,Analytica!$B$59:$B$168,0),MATCH(T$15&amp;T$10,Analytica!$F$58:$AY$58&amp;Analytica!$F$51:'Analytica'!$AY$51,0)),"")</f>
        <v>982.35406170821636</v>
      </c>
      <c r="U87" s="620">
        <f t="array" ref="U87">IFERROR(INDEX(Analytica!$F$59:$AY$138,MATCH($B87,Analytica!$B$59:$B$168,0),MATCH(U$15&amp;U$10,Analytica!$F$58:$AY$58&amp;Analytica!$F$51:'Analytica'!$AY$51,0)),"")</f>
        <v>999.53622293291085</v>
      </c>
      <c r="V87" s="620">
        <f t="array" ref="V87">IFERROR(INDEX(Analytica!$F$59:$AY$138,MATCH($B87,Analytica!$B$59:$B$168,0),MATCH(V$15&amp;V$10,Analytica!$F$58:$AY$58&amp;Analytica!$F$51:'Analytica'!$AY$51,0)),"")</f>
        <v>25.809575564770537</v>
      </c>
      <c r="W87" s="620">
        <f t="array" ref="W87">IFERROR(INDEX(Analytica!$F$59:$AY$138,MATCH($B87,Analytica!$B$59:$B$168,0),MATCH(W$15&amp;W$10,Analytica!$F$58:$AY$58&amp;Analytica!$F$51:'Analytica'!$AY$51,0)),"")</f>
        <v>26.106767250825758</v>
      </c>
      <c r="X87" s="620">
        <f t="array" ref="X87">IFERROR(INDEX(Analytica!$F$59:$AY$138,MATCH($B87,Analytica!$B$59:$B$168,0),MATCH(X$15&amp;X$10,Analytica!$F$58:$AY$58&amp;Analytica!$F$51:'Analytica'!$AY$51,0)),"")</f>
        <v>26.523559666121841</v>
      </c>
      <c r="Y87" s="620">
        <f t="array" ref="Y87">IFERROR(INDEX(Analytica!$F$59:$AY$138,MATCH($B87,Analytica!$B$59:$B$168,0),MATCH(Y$15&amp;Y$10,Analytica!$F$58:$AY$58&amp;Analytica!$F$51:'Analytica'!$AY$51,0)),"")</f>
        <v>26.987478019188593</v>
      </c>
      <c r="Z87" s="694">
        <f t="shared" si="129"/>
        <v>20</v>
      </c>
      <c r="AA87" s="694">
        <f t="shared" si="134"/>
        <v>20</v>
      </c>
      <c r="AB87" s="694">
        <f t="shared" si="80"/>
        <v>2025</v>
      </c>
      <c r="AC87" s="1">
        <f t="shared" ca="1" si="135"/>
        <v>70</v>
      </c>
      <c r="AD87" s="1">
        <v>1</v>
      </c>
      <c r="AE87" s="1" t="str">
        <f t="shared" si="136"/>
        <v>S_TFHCV6</v>
      </c>
      <c r="AF87" s="1" t="str">
        <f t="shared" si="103"/>
        <v>S_TFHCV6GAS</v>
      </c>
      <c r="AG87" s="1" t="str">
        <f t="shared" si="104"/>
        <v>TFHCV6GAS-N_L</v>
      </c>
      <c r="AH87" s="1" t="str">
        <f t="shared" si="105"/>
        <v>TFHCV6GAS-N_U</v>
      </c>
      <c r="AI87" s="194">
        <v>0</v>
      </c>
      <c r="AJ87" s="699">
        <f>SUMIF(Analytica!$B$59:$B$137,B87,Analytica!$BA$59:$BA$192)</f>
        <v>0</v>
      </c>
      <c r="AK87" s="697" t="e">
        <f>IF($AP$10,BK87,#REF!)</f>
        <v>#REF!</v>
      </c>
      <c r="AL87" s="697" t="e">
        <f t="shared" si="106"/>
        <v>#REF!</v>
      </c>
      <c r="AM87" s="697" t="e">
        <f t="shared" si="107"/>
        <v>#REF!</v>
      </c>
      <c r="AN87" s="697">
        <f t="shared" si="108"/>
        <v>1</v>
      </c>
      <c r="AO87" s="697">
        <f t="shared" si="109"/>
        <v>1</v>
      </c>
      <c r="AP87" s="194">
        <v>1</v>
      </c>
      <c r="AQ87" s="650">
        <f t="shared" si="110"/>
        <v>0</v>
      </c>
      <c r="AR87" s="697" t="e">
        <f>IF($AP$10,BR87,#REF!)</f>
        <v>#REF!</v>
      </c>
      <c r="AS87" s="697" t="e">
        <f t="shared" si="111"/>
        <v>#REF!</v>
      </c>
      <c r="AT87" s="697">
        <f t="shared" si="112"/>
        <v>0</v>
      </c>
      <c r="AU87" s="697">
        <f t="shared" si="113"/>
        <v>0</v>
      </c>
      <c r="AV87" s="697">
        <f t="shared" si="114"/>
        <v>0</v>
      </c>
      <c r="AX87" s="698">
        <f t="shared" si="115"/>
        <v>0</v>
      </c>
      <c r="AY87" s="697" t="e">
        <f>IF(#REF!&lt;&gt;"",(AY$11-#REF!)/(BA$11-#REF!)*(BA87-#REF!)+#REF!,"")</f>
        <v>#REF!</v>
      </c>
      <c r="AZ87" s="697" t="e">
        <f t="shared" si="137"/>
        <v>#REF!</v>
      </c>
      <c r="BA87" s="697">
        <f t="shared" si="131"/>
        <v>1</v>
      </c>
      <c r="BB87" s="697">
        <f t="shared" si="131"/>
        <v>1</v>
      </c>
      <c r="BC87" s="711"/>
      <c r="BD87" s="697">
        <f t="shared" si="138"/>
        <v>0</v>
      </c>
      <c r="BE87" s="697" t="e">
        <f>IF(#REF!&lt;&gt;"",(BE$11-#REF!)/(BG$11-#REF!)*(BG87-#REF!)+#REF!,"")</f>
        <v>#REF!</v>
      </c>
      <c r="BF87" s="697">
        <f t="shared" si="132"/>
        <v>0</v>
      </c>
      <c r="BG87" s="697">
        <f t="shared" si="132"/>
        <v>0</v>
      </c>
      <c r="BH87" s="697">
        <f t="shared" si="132"/>
        <v>0</v>
      </c>
      <c r="BI87" s="692"/>
      <c r="BJ87" s="693">
        <f t="shared" si="116"/>
        <v>0</v>
      </c>
      <c r="BK87" s="697">
        <v>0</v>
      </c>
      <c r="BL87" s="697" t="e">
        <f t="shared" si="79"/>
        <v>#REF!</v>
      </c>
      <c r="BM87" s="697" t="e">
        <f t="shared" si="118"/>
        <v>#REF!</v>
      </c>
      <c r="BN87" s="697">
        <v>0</v>
      </c>
      <c r="BO87" s="697">
        <v>0</v>
      </c>
      <c r="BP87" s="194"/>
      <c r="BQ87" s="650">
        <f t="shared" si="120"/>
        <v>0</v>
      </c>
      <c r="BR87" s="697">
        <f t="shared" si="121"/>
        <v>0</v>
      </c>
      <c r="BS87" s="697" t="e">
        <f t="shared" si="139"/>
        <v>#REF!</v>
      </c>
      <c r="BT87" s="697" t="e">
        <f t="shared" si="122"/>
        <v>#REF!</v>
      </c>
      <c r="BU87" s="697">
        <f t="shared" si="123"/>
        <v>0</v>
      </c>
      <c r="BV87" s="697">
        <f t="shared" si="123"/>
        <v>0</v>
      </c>
      <c r="BW87" s="692"/>
      <c r="BX87" s="1" t="str">
        <f t="shared" si="124"/>
        <v>TFHCV6GAS-N</v>
      </c>
      <c r="BY87" s="1" t="str">
        <f t="shared" ca="1" si="95"/>
        <v>-	S_TFHCV6GAS	1	TFHCV6GAS-N Set	1	10/03/2023 17:53:59	null	((tblITEMS.Item Like "TFHCV6GAS-N*"))	null	null	null	null	null	null	null</v>
      </c>
      <c r="BZ87" s="1" t="str">
        <f t="shared" si="96"/>
        <v>-	S_TFHCV6GAS	1	1	True	Like "TFHCV6GAS-N*"</v>
      </c>
      <c r="CI87" s="1">
        <f t="shared" si="125"/>
        <v>0</v>
      </c>
      <c r="CJ87" s="1">
        <v>39</v>
      </c>
      <c r="CK87" s="625" t="e">
        <f t="shared" si="126"/>
        <v>#DIV/0!</v>
      </c>
      <c r="CL87" s="625" t="e">
        <f>#REF!</f>
        <v>#REF!</v>
      </c>
      <c r="CM87" s="625" t="e">
        <f>CK87/#REF!</f>
        <v>#DIV/0!</v>
      </c>
      <c r="CN87" s="2" t="e">
        <f>#REF!*1000</f>
        <v>#REF!</v>
      </c>
      <c r="CO87" s="2">
        <f t="shared" si="127"/>
        <v>110000</v>
      </c>
      <c r="CP87" s="9" t="e">
        <f t="shared" si="128"/>
        <v>#REF!</v>
      </c>
    </row>
    <row r="88" spans="1:94" x14ac:dyDescent="0.2">
      <c r="A88" s="191" t="str">
        <f>ITEMS_nTech!C79</f>
        <v>Transport Freight - HCV7 Gas-N</v>
      </c>
      <c r="B88" s="191" t="str">
        <f t="shared" si="102"/>
        <v>TFHCV7GAS-N</v>
      </c>
      <c r="C88" s="612" t="str">
        <f t="shared" si="133"/>
        <v>TRAGAS</v>
      </c>
      <c r="D88" s="612" t="str">
        <f>TRP!B38</f>
        <v>TFHCV7</v>
      </c>
      <c r="E88" s="702">
        <f t="array" ref="E88">IFERROR(INDEX(Analytica!$F$59:$AY$138,MATCH($B88,Analytica!$B$59:$B$168,0),MATCH(E$15&amp;E$10,Analytica!$F$58:$AY$58&amp;Analytica!$F$51:'Analytica'!$AY$51,0)),"")</f>
        <v>6.1329754491183934E-2</v>
      </c>
      <c r="F88" s="702">
        <f t="array" ref="F88">IFERROR(INDEX(Analytica!$F$59:$AY$138,MATCH($B88,Analytica!$B$59:$B$168,0),MATCH(F$15&amp;F$10,Analytica!$F$58:$AY$58&amp;Analytica!$F$51:'Analytica'!$AY$51,0)),"")</f>
        <v>6.4807213942320058E-2</v>
      </c>
      <c r="G88" s="702">
        <f t="array" ref="G88">IFERROR(INDEX(Analytica!$F$59:$AY$138,MATCH($B88,Analytica!$B$59:$B$168,0),MATCH(G$15&amp;G$10,Analytica!$F$58:$AY$58&amp;Analytica!$F$51:'Analytica'!$AY$51,0)),"")</f>
        <v>7.1659109278220876E-2</v>
      </c>
      <c r="H88" s="702">
        <f t="array" ref="H88">IFERROR(INDEX(Analytica!$F$59:$AY$138,MATCH($B88,Analytica!$B$59:$B$168,0),MATCH(H$15&amp;H$10,Analytica!$F$58:$AY$58&amp;Analytica!$F$51:'Analytica'!$AY$51,0)),"")</f>
        <v>7.9235437386928814E-2</v>
      </c>
      <c r="I88" s="701">
        <v>1</v>
      </c>
      <c r="J88" s="701">
        <v>1</v>
      </c>
      <c r="K88" s="701">
        <v>1</v>
      </c>
      <c r="L88" s="701">
        <v>1</v>
      </c>
      <c r="M88" s="701">
        <v>1</v>
      </c>
      <c r="N88" s="696">
        <f>IF(B88="","",MAX(N$18:N87)+1)</f>
        <v>60</v>
      </c>
      <c r="O88" s="702">
        <f t="array" ref="O88">IFERROR(INDEX(Analytica!$F$59:$AY$138,MATCH($B88,Analytica!$B$59:$B$168,0),MATCH(O$15&amp;O$10,Analytica!$F$58:$AY$58&amp;Analytica!$F$51:'Analytica'!$AY$51,0)),"")</f>
        <v>0.16</v>
      </c>
      <c r="P88" s="620">
        <f t="array" ref="P88">IFERROR(INDEX(Analytica!$F$59:$AY$138,MATCH($B88,Analytica!$B$59:$B$168,0),MATCH(P$15&amp;P$10,Analytica!$F$58:$AY$58&amp;Analytica!$F$51:'Analytica'!$AY$51,0)),"")</f>
        <v>1262.2768438934449</v>
      </c>
      <c r="Q88" s="620">
        <f t="array" ref="Q88">IFERROR(INDEX(Analytica!$F$59:$AY$138,MATCH($B88,Analytica!$B$59:$B$168,0),MATCH(Q$15&amp;Q$10,Analytica!$F$58:$AY$58&amp;Analytica!$F$51:'Analytica'!$AY$51,0)),"")</f>
        <v>1258.6342158304008</v>
      </c>
      <c r="R88" s="620">
        <f t="array" ref="R88">IFERROR(INDEX(Analytica!$F$59:$AY$138,MATCH($B88,Analytica!$B$59:$B$168,0),MATCH(R$15&amp;R$10,Analytica!$F$58:$AY$58&amp;Analytica!$F$51:'Analytica'!$AY$51,0)),"")</f>
        <v>1254.991587767357</v>
      </c>
      <c r="S88" s="620">
        <f t="array" ref="S88">IFERROR(INDEX(Analytica!$F$59:$AY$138,MATCH($B88,Analytica!$B$59:$B$168,0),MATCH(S$15&amp;S$10,Analytica!$F$58:$AY$58&amp;Analytica!$F$51:'Analytica'!$AY$51,0)),"")</f>
        <v>1264.4179480459163</v>
      </c>
      <c r="T88" s="620">
        <f t="array" ref="T88">IFERROR(INDEX(Analytica!$F$59:$AY$138,MATCH($B88,Analytica!$B$59:$B$168,0),MATCH(T$15&amp;T$10,Analytica!$F$58:$AY$58&amp;Analytica!$F$51:'Analytica'!$AY$51,0)),"")</f>
        <v>1273.8443083244761</v>
      </c>
      <c r="U88" s="620">
        <f t="array" ref="U88">IFERROR(INDEX(Analytica!$F$59:$AY$138,MATCH($B88,Analytica!$B$59:$B$168,0),MATCH(U$15&amp;U$10,Analytica!$F$58:$AY$58&amp;Analytica!$F$51:'Analytica'!$AY$51,0)),"")</f>
        <v>1284.9334289435517</v>
      </c>
      <c r="V88" s="620">
        <f t="array" ref="V88">IFERROR(INDEX(Analytica!$F$59:$AY$138,MATCH($B88,Analytica!$B$59:$B$168,0),MATCH(V$15&amp;V$10,Analytica!$F$58:$AY$58&amp;Analytica!$F$51:'Analytica'!$AY$51,0)),"")</f>
        <v>34.081474785123014</v>
      </c>
      <c r="W88" s="620">
        <f t="array" ref="W88">IFERROR(INDEX(Analytica!$F$59:$AY$138,MATCH($B88,Analytica!$B$59:$B$168,0),MATCH(W$15&amp;W$10,Analytica!$F$58:$AY$58&amp;Analytica!$F$51:'Analytica'!$AY$51,0)),"")</f>
        <v>33.884772869718638</v>
      </c>
      <c r="X88" s="620">
        <f t="array" ref="X88">IFERROR(INDEX(Analytica!$F$59:$AY$138,MATCH($B88,Analytica!$B$59:$B$168,0),MATCH(X$15&amp;X$10,Analytica!$F$58:$AY$58&amp;Analytica!$F$51:'Analytica'!$AY$51,0)),"")</f>
        <v>34.393796324760856</v>
      </c>
      <c r="Y88" s="620">
        <f t="array" ref="Y88">IFERROR(INDEX(Analytica!$F$59:$AY$138,MATCH($B88,Analytica!$B$59:$B$168,0),MATCH(Y$15&amp;Y$10,Analytica!$F$58:$AY$58&amp;Analytica!$F$51:'Analytica'!$AY$51,0)),"")</f>
        <v>34.693202581475894</v>
      </c>
      <c r="Z88" s="694">
        <f t="shared" si="129"/>
        <v>20</v>
      </c>
      <c r="AA88" s="694">
        <f t="shared" si="134"/>
        <v>20</v>
      </c>
      <c r="AB88" s="694">
        <f t="shared" si="80"/>
        <v>2025</v>
      </c>
      <c r="AC88" s="1">
        <f t="shared" ca="1" si="135"/>
        <v>71</v>
      </c>
      <c r="AD88" s="1">
        <v>1</v>
      </c>
      <c r="AE88" s="1" t="str">
        <f t="shared" si="136"/>
        <v>S_TFHCV7</v>
      </c>
      <c r="AF88" s="1" t="str">
        <f t="shared" si="103"/>
        <v>S_TFHCV7GAS</v>
      </c>
      <c r="AG88" s="1" t="str">
        <f t="shared" si="104"/>
        <v>TFHCV7GAS-N_L</v>
      </c>
      <c r="AH88" s="1" t="str">
        <f t="shared" si="105"/>
        <v>TFHCV7GAS-N_U</v>
      </c>
      <c r="AI88" s="194">
        <v>0</v>
      </c>
      <c r="AJ88" s="699">
        <f>SUMIF(Analytica!$B$59:$B$137,B88,Analytica!$BA$59:$BA$192)</f>
        <v>0</v>
      </c>
      <c r="AK88" s="697" t="e">
        <f>IF($AP$10,BK88,#REF!)</f>
        <v>#REF!</v>
      </c>
      <c r="AL88" s="697" t="e">
        <f t="shared" si="106"/>
        <v>#REF!</v>
      </c>
      <c r="AM88" s="697" t="e">
        <f t="shared" si="107"/>
        <v>#REF!</v>
      </c>
      <c r="AN88" s="697">
        <f t="shared" si="108"/>
        <v>1</v>
      </c>
      <c r="AO88" s="697">
        <f t="shared" si="109"/>
        <v>1</v>
      </c>
      <c r="AP88" s="194">
        <v>1</v>
      </c>
      <c r="AQ88" s="650">
        <f t="shared" si="110"/>
        <v>0</v>
      </c>
      <c r="AR88" s="697" t="e">
        <f>IF($AP$10,BR88,#REF!)</f>
        <v>#REF!</v>
      </c>
      <c r="AS88" s="697" t="e">
        <f t="shared" si="111"/>
        <v>#REF!</v>
      </c>
      <c r="AT88" s="697">
        <f t="shared" si="112"/>
        <v>0</v>
      </c>
      <c r="AU88" s="697">
        <f t="shared" si="113"/>
        <v>0</v>
      </c>
      <c r="AV88" s="697">
        <f t="shared" si="114"/>
        <v>0</v>
      </c>
      <c r="AX88" s="698">
        <f t="shared" si="115"/>
        <v>0</v>
      </c>
      <c r="AY88" s="697" t="e">
        <f>IF(#REF!&lt;&gt;"",(AY$11-#REF!)/(BA$11-#REF!)*(BA88-#REF!)+#REF!,"")</f>
        <v>#REF!</v>
      </c>
      <c r="AZ88" s="697" t="e">
        <f t="shared" si="137"/>
        <v>#REF!</v>
      </c>
      <c r="BA88" s="697">
        <f t="shared" si="131"/>
        <v>1</v>
      </c>
      <c r="BB88" s="697">
        <f t="shared" si="131"/>
        <v>1</v>
      </c>
      <c r="BC88" s="711"/>
      <c r="BD88" s="697">
        <f t="shared" si="138"/>
        <v>0</v>
      </c>
      <c r="BE88" s="697" t="e">
        <f>IF(#REF!&lt;&gt;"",(BE$11-#REF!)/(BG$11-#REF!)*(BG88-#REF!)+#REF!,"")</f>
        <v>#REF!</v>
      </c>
      <c r="BF88" s="697">
        <f t="shared" si="132"/>
        <v>0</v>
      </c>
      <c r="BG88" s="697">
        <f t="shared" si="132"/>
        <v>0</v>
      </c>
      <c r="BH88" s="697">
        <f t="shared" si="132"/>
        <v>0</v>
      </c>
      <c r="BI88" s="692"/>
      <c r="BJ88" s="693">
        <f t="shared" si="116"/>
        <v>0</v>
      </c>
      <c r="BK88" s="697">
        <v>0</v>
      </c>
      <c r="BL88" s="697" t="e">
        <f t="shared" si="79"/>
        <v>#REF!</v>
      </c>
      <c r="BM88" s="697" t="e">
        <f t="shared" si="118"/>
        <v>#REF!</v>
      </c>
      <c r="BN88" s="697">
        <v>0</v>
      </c>
      <c r="BO88" s="697">
        <v>0</v>
      </c>
      <c r="BP88" s="194"/>
      <c r="BQ88" s="650">
        <f t="shared" si="120"/>
        <v>0</v>
      </c>
      <c r="BR88" s="697">
        <f t="shared" si="121"/>
        <v>0</v>
      </c>
      <c r="BS88" s="697" t="e">
        <f t="shared" si="139"/>
        <v>#REF!</v>
      </c>
      <c r="BT88" s="697" t="e">
        <f t="shared" si="122"/>
        <v>#REF!</v>
      </c>
      <c r="BU88" s="697">
        <f t="shared" si="123"/>
        <v>0</v>
      </c>
      <c r="BV88" s="697">
        <f t="shared" si="123"/>
        <v>0</v>
      </c>
      <c r="BW88" s="692"/>
      <c r="BX88" s="1" t="str">
        <f t="shared" si="124"/>
        <v>TFHCV7GAS-N</v>
      </c>
      <c r="BY88" s="1" t="str">
        <f t="shared" ca="1" si="95"/>
        <v>-	S_TFHCV7GAS	1	TFHCV7GAS-N Set	1	10/03/2023 17:53:59	null	((tblITEMS.Item Like "TFHCV7GAS-N*"))	null	null	null	null	null	null	null</v>
      </c>
      <c r="BZ88" s="1" t="str">
        <f t="shared" si="96"/>
        <v>-	S_TFHCV7GAS	1	1	True	Like "TFHCV7GAS-N*"</v>
      </c>
      <c r="CI88" s="1">
        <f t="shared" si="125"/>
        <v>0</v>
      </c>
      <c r="CJ88" s="1">
        <v>39</v>
      </c>
      <c r="CK88" s="625" t="e">
        <f t="shared" si="126"/>
        <v>#DIV/0!</v>
      </c>
      <c r="CL88" s="625" t="e">
        <f>#REF!</f>
        <v>#REF!</v>
      </c>
      <c r="CM88" s="625" t="e">
        <f>CK88/#REF!</f>
        <v>#DIV/0!</v>
      </c>
      <c r="CN88" s="2" t="e">
        <f>#REF!*1000</f>
        <v>#REF!</v>
      </c>
      <c r="CO88" s="2">
        <f t="shared" si="127"/>
        <v>160000</v>
      </c>
      <c r="CP88" s="9" t="e">
        <f t="shared" si="128"/>
        <v>#REF!</v>
      </c>
    </row>
    <row r="89" spans="1:94" x14ac:dyDescent="0.2">
      <c r="A89" s="191" t="str">
        <f>ITEMS_nTech!C80</f>
        <v>Transport Freight - HCV8 Gas-N</v>
      </c>
      <c r="B89" s="191" t="str">
        <f t="shared" si="102"/>
        <v>TFHCV8GAS-N</v>
      </c>
      <c r="C89" s="612" t="str">
        <f t="shared" si="133"/>
        <v>TRAGAS</v>
      </c>
      <c r="D89" s="612" t="str">
        <f>TRP!B39</f>
        <v>TFHCV8</v>
      </c>
      <c r="E89" s="702">
        <f t="array" ref="E89">IFERROR(INDEX(Analytica!$F$59:$AY$138,MATCH($B89,Analytica!$B$59:$B$168,0),MATCH(E$15&amp;E$10,Analytica!$F$58:$AY$58&amp;Analytica!$F$51:'Analytica'!$AY$51,0)),"")</f>
        <v>6.0349221408511837E-2</v>
      </c>
      <c r="F89" s="702">
        <f t="array" ref="F89">IFERROR(INDEX(Analytica!$F$59:$AY$138,MATCH($B89,Analytica!$B$59:$B$168,0),MATCH(F$15&amp;F$10,Analytica!$F$58:$AY$58&amp;Analytica!$F$51:'Analytica'!$AY$51,0)),"")</f>
        <v>6.3771083636672277E-2</v>
      </c>
      <c r="G89" s="702">
        <f t="array" ref="G89">IFERROR(INDEX(Analytica!$F$59:$AY$138,MATCH($B89,Analytica!$B$59:$B$168,0),MATCH(G$15&amp;G$10,Analytica!$F$58:$AY$58&amp;Analytica!$F$51:'Analytica'!$AY$51,0)),"")</f>
        <v>7.0513431655588113E-2</v>
      </c>
      <c r="H89" s="702">
        <f t="array" ref="H89">IFERROR(INDEX(Analytica!$F$59:$AY$138,MATCH($B89,Analytica!$B$59:$B$168,0),MATCH(H$15&amp;H$10,Analytica!$F$58:$AY$58&amp;Analytica!$F$51:'Analytica'!$AY$51,0)),"")</f>
        <v>7.7968630299203631E-2</v>
      </c>
      <c r="I89" s="701">
        <v>1</v>
      </c>
      <c r="J89" s="701">
        <v>1</v>
      </c>
      <c r="K89" s="701">
        <v>1</v>
      </c>
      <c r="L89" s="701">
        <v>1</v>
      </c>
      <c r="M89" s="701">
        <v>1</v>
      </c>
      <c r="N89" s="696">
        <f>IF(B89="","",MAX(N$18:N88)+1)</f>
        <v>61</v>
      </c>
      <c r="O89" s="702">
        <f t="array" ref="O89">IFERROR(INDEX(Analytica!$F$59:$AY$138,MATCH($B89,Analytica!$B$59:$B$168,0),MATCH(O$15&amp;O$10,Analytica!$F$58:$AY$58&amp;Analytica!$F$51:'Analytica'!$AY$51,0)),"")</f>
        <v>0.16</v>
      </c>
      <c r="P89" s="620">
        <f t="array" ref="P89">IFERROR(INDEX(Analytica!$F$59:$AY$138,MATCH($B89,Analytica!$B$59:$B$168,0),MATCH(P$15&amp;P$10,Analytica!$F$58:$AY$58&amp;Analytica!$F$51:'Analytica'!$AY$51,0)),"")</f>
        <v>1262.2768438934449</v>
      </c>
      <c r="Q89" s="620">
        <f t="array" ref="Q89">IFERROR(INDEX(Analytica!$F$59:$AY$138,MATCH($B89,Analytica!$B$59:$B$168,0),MATCH(Q$15&amp;Q$10,Analytica!$F$58:$AY$58&amp;Analytica!$F$51:'Analytica'!$AY$51,0)),"")</f>
        <v>1258.6342158304008</v>
      </c>
      <c r="R89" s="620">
        <f t="array" ref="R89">IFERROR(INDEX(Analytica!$F$59:$AY$138,MATCH($B89,Analytica!$B$59:$B$168,0),MATCH(R$15&amp;R$10,Analytica!$F$58:$AY$58&amp;Analytica!$F$51:'Analytica'!$AY$51,0)),"")</f>
        <v>1254.991587767357</v>
      </c>
      <c r="S89" s="620">
        <f t="array" ref="S89">IFERROR(INDEX(Analytica!$F$59:$AY$138,MATCH($B89,Analytica!$B$59:$B$168,0),MATCH(S$15&amp;S$10,Analytica!$F$58:$AY$58&amp;Analytica!$F$51:'Analytica'!$AY$51,0)),"")</f>
        <v>1264.4179480459163</v>
      </c>
      <c r="T89" s="620">
        <f t="array" ref="T89">IFERROR(INDEX(Analytica!$F$59:$AY$138,MATCH($B89,Analytica!$B$59:$B$168,0),MATCH(T$15&amp;T$10,Analytica!$F$58:$AY$58&amp;Analytica!$F$51:'Analytica'!$AY$51,0)),"")</f>
        <v>1273.8443083244761</v>
      </c>
      <c r="U89" s="620">
        <f t="array" ref="U89">IFERROR(INDEX(Analytica!$F$59:$AY$138,MATCH($B89,Analytica!$B$59:$B$168,0),MATCH(U$15&amp;U$10,Analytica!$F$58:$AY$58&amp;Analytica!$F$51:'Analytica'!$AY$51,0)),"")</f>
        <v>1284.9334289435517</v>
      </c>
      <c r="V89" s="620">
        <f t="array" ref="V89">IFERROR(INDEX(Analytica!$F$59:$AY$138,MATCH($B89,Analytica!$B$59:$B$168,0),MATCH(V$15&amp;V$10,Analytica!$F$58:$AY$58&amp;Analytica!$F$51:'Analytica'!$AY$51,0)),"")</f>
        <v>34.081474785123014</v>
      </c>
      <c r="W89" s="620">
        <f t="array" ref="W89">IFERROR(INDEX(Analytica!$F$59:$AY$138,MATCH($B89,Analytica!$B$59:$B$168,0),MATCH(W$15&amp;W$10,Analytica!$F$58:$AY$58&amp;Analytica!$F$51:'Analytica'!$AY$51,0)),"")</f>
        <v>33.884772869718638</v>
      </c>
      <c r="X89" s="620">
        <f t="array" ref="X89">IFERROR(INDEX(Analytica!$F$59:$AY$138,MATCH($B89,Analytica!$B$59:$B$168,0),MATCH(X$15&amp;X$10,Analytica!$F$58:$AY$58&amp;Analytica!$F$51:'Analytica'!$AY$51,0)),"")</f>
        <v>34.393796324760856</v>
      </c>
      <c r="Y89" s="620">
        <f t="array" ref="Y89">IFERROR(INDEX(Analytica!$F$59:$AY$138,MATCH($B89,Analytica!$B$59:$B$168,0),MATCH(Y$15&amp;Y$10,Analytica!$F$58:$AY$58&amp;Analytica!$F$51:'Analytica'!$AY$51,0)),"")</f>
        <v>34.693202581475894</v>
      </c>
      <c r="Z89" s="694">
        <f t="shared" si="129"/>
        <v>20</v>
      </c>
      <c r="AA89" s="694">
        <f t="shared" si="134"/>
        <v>20</v>
      </c>
      <c r="AB89" s="694">
        <f t="shared" si="80"/>
        <v>2025</v>
      </c>
      <c r="AC89" s="1">
        <f t="shared" ca="1" si="135"/>
        <v>72</v>
      </c>
      <c r="AD89" s="1">
        <v>1</v>
      </c>
      <c r="AE89" s="1" t="str">
        <f t="shared" si="136"/>
        <v>S_TFHCV8</v>
      </c>
      <c r="AF89" s="1" t="str">
        <f t="shared" si="103"/>
        <v>S_TFHCV8GAS</v>
      </c>
      <c r="AG89" s="1" t="str">
        <f t="shared" si="104"/>
        <v>TFHCV8GAS-N_L</v>
      </c>
      <c r="AH89" s="1" t="str">
        <f t="shared" si="105"/>
        <v>TFHCV8GAS-N_U</v>
      </c>
      <c r="AI89" s="194">
        <v>0</v>
      </c>
      <c r="AJ89" s="699">
        <f>SUMIF(Analytica!$B$59:$B$137,B89,Analytica!$BA$59:$BA$192)</f>
        <v>0</v>
      </c>
      <c r="AK89" s="697" t="e">
        <f>IF($AP$10,BK89,#REF!)</f>
        <v>#REF!</v>
      </c>
      <c r="AL89" s="697" t="e">
        <f t="shared" si="106"/>
        <v>#REF!</v>
      </c>
      <c r="AM89" s="697" t="e">
        <f t="shared" si="107"/>
        <v>#REF!</v>
      </c>
      <c r="AN89" s="697">
        <f t="shared" si="108"/>
        <v>1</v>
      </c>
      <c r="AO89" s="697">
        <f t="shared" si="109"/>
        <v>1</v>
      </c>
      <c r="AP89" s="194">
        <v>1</v>
      </c>
      <c r="AQ89" s="650">
        <f t="shared" si="110"/>
        <v>0</v>
      </c>
      <c r="AR89" s="697" t="e">
        <f>IF($AP$10,BR89,#REF!)</f>
        <v>#REF!</v>
      </c>
      <c r="AS89" s="697" t="e">
        <f t="shared" si="111"/>
        <v>#REF!</v>
      </c>
      <c r="AT89" s="697">
        <f t="shared" si="112"/>
        <v>0</v>
      </c>
      <c r="AU89" s="697">
        <f t="shared" si="113"/>
        <v>0</v>
      </c>
      <c r="AV89" s="697">
        <f t="shared" si="114"/>
        <v>0</v>
      </c>
      <c r="AX89" s="698">
        <f t="shared" si="115"/>
        <v>0</v>
      </c>
      <c r="AY89" s="697" t="e">
        <f>IF(#REF!&lt;&gt;"",(AY$11-#REF!)/(BA$11-#REF!)*(BA89-#REF!)+#REF!,"")</f>
        <v>#REF!</v>
      </c>
      <c r="AZ89" s="697" t="e">
        <f t="shared" si="137"/>
        <v>#REF!</v>
      </c>
      <c r="BA89" s="697">
        <f t="shared" si="131"/>
        <v>1</v>
      </c>
      <c r="BB89" s="697">
        <f t="shared" si="131"/>
        <v>1</v>
      </c>
      <c r="BC89" s="711"/>
      <c r="BD89" s="697">
        <f t="shared" si="138"/>
        <v>0</v>
      </c>
      <c r="BE89" s="697" t="e">
        <f>IF(#REF!&lt;&gt;"",(BE$11-#REF!)/(BG$11-#REF!)*(BG89-#REF!)+#REF!,"")</f>
        <v>#REF!</v>
      </c>
      <c r="BF89" s="697">
        <f t="shared" si="132"/>
        <v>0</v>
      </c>
      <c r="BG89" s="697">
        <f t="shared" si="132"/>
        <v>0</v>
      </c>
      <c r="BH89" s="697">
        <f t="shared" si="132"/>
        <v>0</v>
      </c>
      <c r="BI89" s="692"/>
      <c r="BJ89" s="693">
        <f t="shared" si="116"/>
        <v>0</v>
      </c>
      <c r="BK89" s="697">
        <v>0</v>
      </c>
      <c r="BL89" s="697" t="e">
        <f t="shared" si="79"/>
        <v>#REF!</v>
      </c>
      <c r="BM89" s="697" t="e">
        <f t="shared" si="118"/>
        <v>#REF!</v>
      </c>
      <c r="BN89" s="697">
        <v>0</v>
      </c>
      <c r="BO89" s="697">
        <v>0</v>
      </c>
      <c r="BP89" s="194"/>
      <c r="BQ89" s="650">
        <f t="shared" si="120"/>
        <v>0</v>
      </c>
      <c r="BR89" s="697">
        <f t="shared" si="121"/>
        <v>0</v>
      </c>
      <c r="BS89" s="697" t="e">
        <f t="shared" si="139"/>
        <v>#REF!</v>
      </c>
      <c r="BT89" s="697" t="e">
        <f t="shared" si="122"/>
        <v>#REF!</v>
      </c>
      <c r="BU89" s="697">
        <f t="shared" si="123"/>
        <v>0</v>
      </c>
      <c r="BV89" s="697">
        <f t="shared" si="123"/>
        <v>0</v>
      </c>
      <c r="BW89" s="692"/>
      <c r="BX89" s="1" t="str">
        <f t="shared" si="124"/>
        <v>TFHCV8GAS-N</v>
      </c>
      <c r="BY89" s="1" t="str">
        <f t="shared" ca="1" si="95"/>
        <v>-	S_TFHCV8GAS	1	TFHCV8GAS-N Set	1	10/03/2023 17:53:59	null	((tblITEMS.Item Like "TFHCV8GAS-N*"))	null	null	null	null	null	null	null</v>
      </c>
      <c r="BZ89" s="1" t="str">
        <f t="shared" si="96"/>
        <v>-	S_TFHCV8GAS	1	1	True	Like "TFHCV8GAS-N*"</v>
      </c>
      <c r="CI89" s="1">
        <f t="shared" si="125"/>
        <v>0</v>
      </c>
      <c r="CJ89" s="1">
        <v>39</v>
      </c>
      <c r="CK89" s="625" t="e">
        <f t="shared" si="126"/>
        <v>#DIV/0!</v>
      </c>
      <c r="CL89" s="625" t="e">
        <f>#REF!</f>
        <v>#REF!</v>
      </c>
      <c r="CM89" s="625" t="e">
        <f>CK89/#REF!</f>
        <v>#DIV/0!</v>
      </c>
      <c r="CN89" s="2" t="e">
        <f>#REF!*1000</f>
        <v>#REF!</v>
      </c>
      <c r="CO89" s="2">
        <f t="shared" si="127"/>
        <v>160000</v>
      </c>
      <c r="CP89" s="9" t="e">
        <f t="shared" si="128"/>
        <v>#REF!</v>
      </c>
    </row>
    <row r="90" spans="1:94" x14ac:dyDescent="0.2">
      <c r="A90" s="191" t="str">
        <f>ITEMS_nTech!C81</f>
        <v>Transport Freight - HCV9 Gas-N</v>
      </c>
      <c r="B90" s="191" t="str">
        <f t="shared" si="102"/>
        <v>TFHCV9GAS-N</v>
      </c>
      <c r="C90" s="612" t="str">
        <f t="shared" si="133"/>
        <v>TRAGAS</v>
      </c>
      <c r="D90" s="612" t="str">
        <f>TRP!B40</f>
        <v>TFHCV9</v>
      </c>
      <c r="E90" s="702">
        <f t="array" ref="E90">IFERROR(INDEX(Analytica!$F$59:$AY$138,MATCH($B90,Analytica!$B$59:$B$168,0),MATCH(E$15&amp;E$10,Analytica!$F$58:$AY$58&amp;Analytica!$F$51:'Analytica'!$AY$51,0)),"")</f>
        <v>4.7421569536459478E-2</v>
      </c>
      <c r="F90" s="702">
        <f t="array" ref="F90">IFERROR(INDEX(Analytica!$F$59:$AY$138,MATCH($B90,Analytica!$B$59:$B$168,0),MATCH(F$15&amp;F$10,Analytica!$F$58:$AY$58&amp;Analytica!$F$51:'Analytica'!$AY$51,0)),"")</f>
        <v>5.0110420756236902E-2</v>
      </c>
      <c r="G90" s="702">
        <f t="array" ref="G90">IFERROR(INDEX(Analytica!$F$59:$AY$138,MATCH($B90,Analytica!$B$59:$B$168,0),MATCH(G$15&amp;G$10,Analytica!$F$58:$AY$58&amp;Analytica!$F$51:'Analytica'!$AY$51,0)),"")</f>
        <v>5.5408463016860511E-2</v>
      </c>
      <c r="H90" s="702">
        <f t="array" ref="H90">IFERROR(INDEX(Analytica!$F$59:$AY$138,MATCH($B90,Analytica!$B$59:$B$168,0),MATCH(H$15&amp;H$10,Analytica!$F$58:$AY$58&amp;Analytica!$F$51:'Analytica'!$AY$51,0)),"")</f>
        <v>6.1266653274083406E-2</v>
      </c>
      <c r="I90" s="701">
        <v>1</v>
      </c>
      <c r="J90" s="701">
        <v>1</v>
      </c>
      <c r="K90" s="701">
        <v>1</v>
      </c>
      <c r="L90" s="701">
        <v>1</v>
      </c>
      <c r="M90" s="701">
        <v>1</v>
      </c>
      <c r="N90" s="696">
        <f>IF(B90="","",MAX(N$18:N89)+1)</f>
        <v>62</v>
      </c>
      <c r="O90" s="702">
        <f t="array" ref="O90">IFERROR(INDEX(Analytica!$F$59:$AY$138,MATCH($B90,Analytica!$B$59:$B$168,0),MATCH(O$15&amp;O$10,Analytica!$F$58:$AY$58&amp;Analytica!$F$51:'Analytica'!$AY$51,0)),"")</f>
        <v>0.18</v>
      </c>
      <c r="P90" s="620">
        <f t="array" ref="P90">IFERROR(INDEX(Analytica!$F$59:$AY$138,MATCH($B90,Analytica!$B$59:$B$168,0),MATCH(P$15&amp;P$10,Analytica!$F$58:$AY$58&amp;Analytica!$F$51:'Analytica'!$AY$51,0)),"")</f>
        <v>1262.2768438934449</v>
      </c>
      <c r="Q90" s="620">
        <f t="array" ref="Q90">IFERROR(INDEX(Analytica!$F$59:$AY$138,MATCH($B90,Analytica!$B$59:$B$168,0),MATCH(Q$15&amp;Q$10,Analytica!$F$58:$AY$58&amp;Analytica!$F$51:'Analytica'!$AY$51,0)),"")</f>
        <v>1258.6342158304008</v>
      </c>
      <c r="R90" s="620">
        <f t="array" ref="R90">IFERROR(INDEX(Analytica!$F$59:$AY$138,MATCH($B90,Analytica!$B$59:$B$168,0),MATCH(R$15&amp;R$10,Analytica!$F$58:$AY$58&amp;Analytica!$F$51:'Analytica'!$AY$51,0)),"")</f>
        <v>1254.991587767357</v>
      </c>
      <c r="S90" s="620">
        <f t="array" ref="S90">IFERROR(INDEX(Analytica!$F$59:$AY$138,MATCH($B90,Analytica!$B$59:$B$168,0),MATCH(S$15&amp;S$10,Analytica!$F$58:$AY$58&amp;Analytica!$F$51:'Analytica'!$AY$51,0)),"")</f>
        <v>1264.4179480459163</v>
      </c>
      <c r="T90" s="620">
        <f t="array" ref="T90">IFERROR(INDEX(Analytica!$F$59:$AY$138,MATCH($B90,Analytica!$B$59:$B$168,0),MATCH(T$15&amp;T$10,Analytica!$F$58:$AY$58&amp;Analytica!$F$51:'Analytica'!$AY$51,0)),"")</f>
        <v>1273.8443083244761</v>
      </c>
      <c r="U90" s="620">
        <f t="array" ref="U90">IFERROR(INDEX(Analytica!$F$59:$AY$138,MATCH($B90,Analytica!$B$59:$B$168,0),MATCH(U$15&amp;U$10,Analytica!$F$58:$AY$58&amp;Analytica!$F$51:'Analytica'!$AY$51,0)),"")</f>
        <v>1284.9334289435517</v>
      </c>
      <c r="V90" s="620">
        <f t="array" ref="V90">IFERROR(INDEX(Analytica!$F$59:$AY$138,MATCH($B90,Analytica!$B$59:$B$168,0),MATCH(V$15&amp;V$10,Analytica!$F$58:$AY$58&amp;Analytica!$F$51:'Analytica'!$AY$51,0)),"")</f>
        <v>34.081474785123014</v>
      </c>
      <c r="W90" s="620">
        <f t="array" ref="W90">IFERROR(INDEX(Analytica!$F$59:$AY$138,MATCH($B90,Analytica!$B$59:$B$168,0),MATCH(W$15&amp;W$10,Analytica!$F$58:$AY$58&amp;Analytica!$F$51:'Analytica'!$AY$51,0)),"")</f>
        <v>33.884772869718638</v>
      </c>
      <c r="X90" s="620">
        <f t="array" ref="X90">IFERROR(INDEX(Analytica!$F$59:$AY$138,MATCH($B90,Analytica!$B$59:$B$168,0),MATCH(X$15&amp;X$10,Analytica!$F$58:$AY$58&amp;Analytica!$F$51:'Analytica'!$AY$51,0)),"")</f>
        <v>34.393796324760856</v>
      </c>
      <c r="Y90" s="620">
        <f t="array" ref="Y90">IFERROR(INDEX(Analytica!$F$59:$AY$138,MATCH($B90,Analytica!$B$59:$B$168,0),MATCH(Y$15&amp;Y$10,Analytica!$F$58:$AY$58&amp;Analytica!$F$51:'Analytica'!$AY$51,0)),"")</f>
        <v>34.693202581475894</v>
      </c>
      <c r="Z90" s="694">
        <f t="shared" si="129"/>
        <v>20</v>
      </c>
      <c r="AA90" s="694">
        <f t="shared" si="134"/>
        <v>20</v>
      </c>
      <c r="AB90" s="694">
        <f t="shared" si="80"/>
        <v>2025</v>
      </c>
      <c r="AC90" s="1">
        <f t="shared" ca="1" si="135"/>
        <v>73</v>
      </c>
      <c r="AD90" s="1">
        <v>1</v>
      </c>
      <c r="AE90" s="1" t="str">
        <f t="shared" si="136"/>
        <v>S_TFHCV9</v>
      </c>
      <c r="AF90" s="1" t="str">
        <f t="shared" si="103"/>
        <v>S_TFHCV9GAS</v>
      </c>
      <c r="AG90" s="1" t="str">
        <f t="shared" si="104"/>
        <v>TFHCV9GAS-N_L</v>
      </c>
      <c r="AH90" s="1" t="str">
        <f t="shared" si="105"/>
        <v>TFHCV9GAS-N_U</v>
      </c>
      <c r="AI90" s="194">
        <v>0</v>
      </c>
      <c r="AJ90" s="699">
        <f>SUMIF(Analytica!$B$59:$B$137,B90,Analytica!$BA$59:$BA$192)</f>
        <v>0</v>
      </c>
      <c r="AK90" s="697" t="e">
        <f>IF($AP$10,BK90,#REF!)</f>
        <v>#REF!</v>
      </c>
      <c r="AL90" s="697" t="e">
        <f t="shared" si="106"/>
        <v>#REF!</v>
      </c>
      <c r="AM90" s="697" t="e">
        <f t="shared" si="107"/>
        <v>#REF!</v>
      </c>
      <c r="AN90" s="697">
        <f t="shared" si="108"/>
        <v>1</v>
      </c>
      <c r="AO90" s="697">
        <f t="shared" si="109"/>
        <v>1</v>
      </c>
      <c r="AP90" s="194">
        <v>1</v>
      </c>
      <c r="AQ90" s="650">
        <f t="shared" si="110"/>
        <v>0</v>
      </c>
      <c r="AR90" s="697" t="e">
        <f>IF($AP$10,BR90,#REF!)</f>
        <v>#REF!</v>
      </c>
      <c r="AS90" s="697" t="e">
        <f t="shared" si="111"/>
        <v>#REF!</v>
      </c>
      <c r="AT90" s="697">
        <f t="shared" si="112"/>
        <v>0</v>
      </c>
      <c r="AU90" s="697">
        <f t="shared" si="113"/>
        <v>0</v>
      </c>
      <c r="AV90" s="697">
        <f t="shared" si="114"/>
        <v>0</v>
      </c>
      <c r="AX90" s="698">
        <f t="shared" si="115"/>
        <v>0</v>
      </c>
      <c r="AY90" s="697" t="e">
        <f>IF(#REF!&lt;&gt;"",(AY$11-#REF!)/(BA$11-#REF!)*(BA90-#REF!)+#REF!,"")</f>
        <v>#REF!</v>
      </c>
      <c r="AZ90" s="697" t="e">
        <f t="shared" si="137"/>
        <v>#REF!</v>
      </c>
      <c r="BA90" s="697">
        <f t="shared" si="131"/>
        <v>1</v>
      </c>
      <c r="BB90" s="697">
        <f t="shared" si="131"/>
        <v>1</v>
      </c>
      <c r="BC90" s="711"/>
      <c r="BD90" s="697">
        <f t="shared" si="138"/>
        <v>0</v>
      </c>
      <c r="BE90" s="697" t="e">
        <f>IF(#REF!&lt;&gt;"",(BE$11-#REF!)/(BG$11-#REF!)*(BG90-#REF!)+#REF!,"")</f>
        <v>#REF!</v>
      </c>
      <c r="BF90" s="697">
        <f t="shared" si="132"/>
        <v>0</v>
      </c>
      <c r="BG90" s="697">
        <f t="shared" si="132"/>
        <v>0</v>
      </c>
      <c r="BH90" s="697">
        <f t="shared" si="132"/>
        <v>0</v>
      </c>
      <c r="BI90" s="692"/>
      <c r="BJ90" s="693">
        <f t="shared" si="116"/>
        <v>0</v>
      </c>
      <c r="BK90" s="697">
        <v>0</v>
      </c>
      <c r="BL90" s="697" t="e">
        <f t="shared" si="79"/>
        <v>#REF!</v>
      </c>
      <c r="BM90" s="697" t="e">
        <f t="shared" si="118"/>
        <v>#REF!</v>
      </c>
      <c r="BN90" s="697">
        <v>0</v>
      </c>
      <c r="BO90" s="697">
        <v>0</v>
      </c>
      <c r="BP90" s="194"/>
      <c r="BQ90" s="650">
        <f t="shared" si="120"/>
        <v>0</v>
      </c>
      <c r="BR90" s="697">
        <f t="shared" si="121"/>
        <v>0</v>
      </c>
      <c r="BS90" s="697" t="e">
        <f t="shared" si="139"/>
        <v>#REF!</v>
      </c>
      <c r="BT90" s="697" t="e">
        <f t="shared" si="122"/>
        <v>#REF!</v>
      </c>
      <c r="BU90" s="697">
        <f t="shared" si="123"/>
        <v>0</v>
      </c>
      <c r="BV90" s="697">
        <f t="shared" si="123"/>
        <v>0</v>
      </c>
      <c r="BW90" s="692"/>
      <c r="BX90" s="1" t="str">
        <f t="shared" si="124"/>
        <v>TFHCV9GAS-N</v>
      </c>
      <c r="BY90" s="1" t="str">
        <f t="shared" ca="1" si="95"/>
        <v>-	S_TFHCV9GAS	1	TFHCV9GAS-N Set	1	10/03/2023 17:53:59	null	((tblITEMS.Item Like "TFHCV9GAS-N*"))	null	null	null	null	null	null	null</v>
      </c>
      <c r="BZ90" s="1" t="str">
        <f t="shared" si="96"/>
        <v>-	S_TFHCV9GAS	1	1	True	Like "TFHCV9GAS-N*"</v>
      </c>
      <c r="CI90" s="1">
        <f t="shared" si="125"/>
        <v>0</v>
      </c>
      <c r="CJ90" s="1">
        <v>39</v>
      </c>
      <c r="CK90" s="625" t="e">
        <f t="shared" si="126"/>
        <v>#DIV/0!</v>
      </c>
      <c r="CL90" s="625" t="e">
        <f>#REF!</f>
        <v>#REF!</v>
      </c>
      <c r="CM90" s="625" t="e">
        <f>CK90/#REF!</f>
        <v>#DIV/0!</v>
      </c>
      <c r="CN90" s="2" t="e">
        <f>#REF!*1000</f>
        <v>#REF!</v>
      </c>
      <c r="CO90" s="2">
        <f t="shared" si="127"/>
        <v>180000</v>
      </c>
      <c r="CP90" s="9" t="e">
        <f t="shared" si="128"/>
        <v>#REF!</v>
      </c>
    </row>
    <row r="91" spans="1:94" x14ac:dyDescent="0.2">
      <c r="A91" s="191" t="str">
        <f>ITEMS_nTech!C82</f>
        <v>Transport Freight - HCV1 Electricity-N</v>
      </c>
      <c r="B91" s="191" t="str">
        <f t="shared" si="102"/>
        <v>TFHCV1ELC-N</v>
      </c>
      <c r="C91" s="612" t="str">
        <f>C70</f>
        <v>TRAELC</v>
      </c>
      <c r="D91" s="612" t="str">
        <f>TRP!B32</f>
        <v>TFHCV1</v>
      </c>
      <c r="E91" s="702">
        <f t="array" ref="E91">IFERROR(INDEX(Analytica!$F$59:$AY$138,MATCH($B91,Analytica!$B$59:$B$168,0),MATCH(E$15&amp;E$10,Analytica!$F$58:$AY$58&amp;Analytica!$F$51:'Analytica'!$AY$51,0)),"")</f>
        <v>0.55936204398784217</v>
      </c>
      <c r="F91" s="702">
        <f t="array" ref="F91">IFERROR(INDEX(Analytica!$F$59:$AY$138,MATCH($B91,Analytica!$B$59:$B$168,0),MATCH(F$15&amp;F$10,Analytica!$F$58:$AY$58&amp;Analytica!$F$51:'Analytica'!$AY$51,0)),"")</f>
        <v>0.59107844074517712</v>
      </c>
      <c r="G91" s="702">
        <f t="array" ref="G91">IFERROR(INDEX(Analytica!$F$59:$AY$138,MATCH($B91,Analytica!$B$59:$B$168,0),MATCH(G$15&amp;G$10,Analytica!$F$58:$AY$58&amp;Analytica!$F$51:'Analytica'!$AY$51,0)),"")</f>
        <v>0.65357160107294576</v>
      </c>
      <c r="H91" s="702">
        <f t="array" ref="H91">IFERROR(INDEX(Analytica!$F$59:$AY$138,MATCH($B91,Analytica!$B$59:$B$168,0),MATCH(H$15&amp;H$10,Analytica!$F$58:$AY$58&amp;Analytica!$F$51:'Analytica'!$AY$51,0)),"")</f>
        <v>0.72267199796787562</v>
      </c>
      <c r="I91" s="701">
        <v>1</v>
      </c>
      <c r="J91" s="701">
        <v>1</v>
      </c>
      <c r="K91" s="701">
        <v>1</v>
      </c>
      <c r="L91" s="701">
        <v>1</v>
      </c>
      <c r="M91" s="701">
        <v>1</v>
      </c>
      <c r="N91" s="696">
        <f>IF(B91="","",MAX(N$18:N90)+1)</f>
        <v>63</v>
      </c>
      <c r="O91" s="702">
        <f t="array" ref="O91">IFERROR(INDEX(Analytica!$F$59:$AY$138,MATCH($B91,Analytica!$B$59:$B$168,0),MATCH(O$15&amp;O$10,Analytica!$F$58:$AY$58&amp;Analytica!$F$51:'Analytica'!$AY$51,0)),"")</f>
        <v>4.8000000000000001E-2</v>
      </c>
      <c r="P91" s="620">
        <f t="array" ref="P91">IFERROR(INDEX(Analytica!$F$59:$AY$138,MATCH($B91,Analytica!$B$59:$B$168,0),MATCH(P$15&amp;P$10,Analytica!$F$58:$AY$58&amp;Analytica!$F$51:'Analytica'!$AY$51,0)),"")</f>
        <v>871.54447239677188</v>
      </c>
      <c r="Q91" s="620">
        <f t="array" ref="Q91">IFERROR(INDEX(Analytica!$F$59:$AY$138,MATCH($B91,Analytica!$B$59:$B$168,0),MATCH(Q$15&amp;Q$10,Analytica!$F$58:$AY$58&amp;Analytica!$F$51:'Analytica'!$AY$51,0)),"")</f>
        <v>791.40401330598297</v>
      </c>
      <c r="R91" s="620">
        <f t="array" ref="R91">IFERROR(INDEX(Analytica!$F$59:$AY$138,MATCH($B91,Analytica!$B$59:$B$168,0),MATCH(R$15&amp;R$10,Analytica!$F$58:$AY$58&amp;Analytica!$F$51:'Analytica'!$AY$51,0)),"")</f>
        <v>711.26355421519372</v>
      </c>
      <c r="S91" s="620">
        <f t="array" ref="S91">IFERROR(INDEX(Analytica!$F$59:$AY$138,MATCH($B91,Analytica!$B$59:$B$168,0),MATCH(S$15&amp;S$10,Analytica!$F$58:$AY$58&amp;Analytica!$F$51:'Analytica'!$AY$51,0)),"")</f>
        <v>716.96875957082284</v>
      </c>
      <c r="T91" s="620">
        <f t="array" ref="T91">IFERROR(INDEX(Analytica!$F$59:$AY$138,MATCH($B91,Analytica!$B$59:$B$168,0),MATCH(T$15&amp;T$10,Analytica!$F$58:$AY$58&amp;Analytica!$F$51:'Analytica'!$AY$51,0)),"")</f>
        <v>533.93245692908113</v>
      </c>
      <c r="U91" s="620">
        <f t="array" ref="U91">IFERROR(INDEX(Analytica!$F$59:$AY$138,MATCH($B91,Analytica!$B$59:$B$168,0),MATCH(U$15&amp;U$10,Analytica!$F$58:$AY$58&amp;Analytica!$F$51:'Analytica'!$AY$51,0)),"")</f>
        <v>551.67118115070787</v>
      </c>
      <c r="V91" s="620">
        <f t="array" ref="V91">IFERROR(INDEX(Analytica!$F$59:$AY$138,MATCH($B91,Analytica!$B$59:$B$168,0),MATCH(V$15&amp;V$10,Analytica!$F$58:$AY$58&amp;Analytica!$F$51:'Analytica'!$AY$51,0)),"")</f>
        <v>17.648775566034629</v>
      </c>
      <c r="W91" s="620">
        <f t="array" ref="W91">IFERROR(INDEX(Analytica!$F$59:$AY$138,MATCH($B91,Analytica!$B$59:$B$168,0),MATCH(W$15&amp;W$10,Analytica!$F$58:$AY$58&amp;Analytica!$F$51:'Analytica'!$AY$51,0)),"")</f>
        <v>14.403086972857674</v>
      </c>
      <c r="X91" s="620">
        <f t="array" ref="X91">IFERROR(INDEX(Analytica!$F$59:$AY$138,MATCH($B91,Analytica!$B$59:$B$168,0),MATCH(X$15&amp;X$10,Analytica!$F$58:$AY$58&amp;Analytica!$F$51:'Analytica'!$AY$51,0)),"")</f>
        <v>10.812132252813893</v>
      </c>
      <c r="Y91" s="620">
        <f t="array" ref="Y91">IFERROR(INDEX(Analytica!$F$59:$AY$138,MATCH($B91,Analytica!$B$59:$B$168,0),MATCH(Y$15&amp;Y$10,Analytica!$F$58:$AY$58&amp;Analytica!$F$51:'Analytica'!$AY$51,0)),"")</f>
        <v>11.171341418301834</v>
      </c>
      <c r="Z91" s="694">
        <f t="shared" si="129"/>
        <v>20</v>
      </c>
      <c r="AA91" s="694">
        <f t="shared" si="134"/>
        <v>20</v>
      </c>
      <c r="AB91" s="694">
        <f t="shared" si="80"/>
        <v>2025</v>
      </c>
      <c r="AC91" s="1">
        <f t="shared" ca="1" si="135"/>
        <v>74</v>
      </c>
      <c r="AD91" s="1">
        <v>1</v>
      </c>
      <c r="AE91" s="1" t="str">
        <f t="shared" si="136"/>
        <v>S_TFHCV1</v>
      </c>
      <c r="AF91" s="1" t="str">
        <f t="shared" si="103"/>
        <v>S_TFHCV1ELC</v>
      </c>
      <c r="AG91" s="1" t="str">
        <f t="shared" si="104"/>
        <v>TFHCV1ELC-N_L</v>
      </c>
      <c r="AH91" s="1" t="str">
        <f t="shared" si="105"/>
        <v>TFHCV1ELC-N_U</v>
      </c>
      <c r="AI91" s="194">
        <v>0</v>
      </c>
      <c r="AJ91" s="699">
        <f>SUMIF(Analytica!$B$59:$B$137,B91,Analytica!$BA$59:$BA$192)</f>
        <v>0</v>
      </c>
      <c r="AK91" s="697" t="e">
        <f>IF($AP$10,BK91,#REF!)</f>
        <v>#REF!</v>
      </c>
      <c r="AL91" s="697" t="e">
        <f t="shared" si="106"/>
        <v>#REF!</v>
      </c>
      <c r="AM91" s="697" t="e">
        <f t="shared" si="107"/>
        <v>#REF!</v>
      </c>
      <c r="AN91" s="697">
        <f t="shared" si="108"/>
        <v>1</v>
      </c>
      <c r="AO91" s="697">
        <f t="shared" si="109"/>
        <v>1</v>
      </c>
      <c r="AP91" s="194">
        <v>1</v>
      </c>
      <c r="AQ91" s="650">
        <f t="shared" si="110"/>
        <v>0</v>
      </c>
      <c r="AR91" s="697" t="e">
        <f>IF($AP$10,BR91,#REF!)</f>
        <v>#REF!</v>
      </c>
      <c r="AS91" s="697" t="e">
        <f t="shared" si="111"/>
        <v>#REF!</v>
      </c>
      <c r="AT91" s="697">
        <f t="shared" si="112"/>
        <v>0</v>
      </c>
      <c r="AU91" s="697">
        <f t="shared" si="113"/>
        <v>0</v>
      </c>
      <c r="AV91" s="697">
        <f t="shared" si="114"/>
        <v>0</v>
      </c>
      <c r="AX91" s="698">
        <f t="shared" si="115"/>
        <v>0</v>
      </c>
      <c r="AY91" s="697" t="e">
        <f>IF(#REF!&lt;&gt;"",(AY$11-#REF!)/(BA$11-#REF!)*(BA91-#REF!)+#REF!,"")</f>
        <v>#REF!</v>
      </c>
      <c r="AZ91" s="697" t="e">
        <f t="shared" si="137"/>
        <v>#REF!</v>
      </c>
      <c r="BA91" s="697">
        <f t="shared" si="131"/>
        <v>1</v>
      </c>
      <c r="BB91" s="697">
        <f t="shared" si="131"/>
        <v>1</v>
      </c>
      <c r="BC91" s="711"/>
      <c r="BD91" s="697">
        <f t="shared" si="138"/>
        <v>0</v>
      </c>
      <c r="BE91" s="697" t="e">
        <f>IF(#REF!&lt;&gt;"",(BE$11-#REF!)/(BG$11-#REF!)*(BG91-#REF!)+#REF!,"")</f>
        <v>#REF!</v>
      </c>
      <c r="BF91" s="697">
        <f t="shared" si="132"/>
        <v>0</v>
      </c>
      <c r="BG91" s="697">
        <f t="shared" si="132"/>
        <v>0</v>
      </c>
      <c r="BH91" s="697">
        <f t="shared" si="132"/>
        <v>0</v>
      </c>
      <c r="BI91" s="692"/>
      <c r="BJ91" s="693">
        <f t="shared" si="116"/>
        <v>0</v>
      </c>
      <c r="BK91" s="697">
        <v>0</v>
      </c>
      <c r="BL91" s="697" t="e">
        <f t="shared" si="79"/>
        <v>#REF!</v>
      </c>
      <c r="BM91" s="697" t="e">
        <f t="shared" si="118"/>
        <v>#REF!</v>
      </c>
      <c r="BN91" s="697">
        <v>0</v>
      </c>
      <c r="BO91" s="697">
        <v>0</v>
      </c>
      <c r="BP91" s="194"/>
      <c r="BQ91" s="650">
        <f t="shared" si="120"/>
        <v>0</v>
      </c>
      <c r="BR91" s="697">
        <f t="shared" si="121"/>
        <v>0</v>
      </c>
      <c r="BS91" s="697" t="e">
        <f t="shared" si="139"/>
        <v>#REF!</v>
      </c>
      <c r="BT91" s="697" t="e">
        <f t="shared" si="122"/>
        <v>#REF!</v>
      </c>
      <c r="BU91" s="697">
        <f t="shared" si="123"/>
        <v>0</v>
      </c>
      <c r="BV91" s="697">
        <f t="shared" si="123"/>
        <v>0</v>
      </c>
      <c r="BW91" s="692"/>
      <c r="BX91" s="1" t="str">
        <f t="shared" si="124"/>
        <v>TFHCV1ELC-N</v>
      </c>
      <c r="BY91" s="1" t="str">
        <f t="shared" ca="1" si="95"/>
        <v>-	S_TFHCV1ELC	1	TFHCV1ELC-N Set	1	10/03/2023 17:53:59	null	((tblITEMS.Item Like "TFHCV1ELC-N*"))	null	null	null	null	null	null	null</v>
      </c>
      <c r="BZ91" s="1" t="str">
        <f t="shared" si="96"/>
        <v>-	S_TFHCV1ELC	1	1	True	Like "TFHCV1ELC-N*"</v>
      </c>
      <c r="CI91" s="1">
        <f t="shared" si="125"/>
        <v>0</v>
      </c>
      <c r="CK91" s="625"/>
      <c r="CL91" s="625"/>
      <c r="CM91" s="625"/>
      <c r="CN91" s="2"/>
      <c r="CO91" s="2"/>
      <c r="CP91" s="9"/>
    </row>
    <row r="92" spans="1:94" x14ac:dyDescent="0.2">
      <c r="A92" s="191" t="str">
        <f>ITEMS_nTech!C83</f>
        <v>Transport Freight - HCV2 Electricity-N</v>
      </c>
      <c r="B92" s="191" t="str">
        <f t="shared" si="102"/>
        <v>TFHCV2ELC-N</v>
      </c>
      <c r="C92" s="612" t="str">
        <f>C91</f>
        <v>TRAELC</v>
      </c>
      <c r="D92" s="612" t="str">
        <f>D83</f>
        <v>TFHCV2</v>
      </c>
      <c r="E92" s="702">
        <f t="array" ref="E92">IFERROR(INDEX(Analytica!$F$59:$AY$138,MATCH($B92,Analytica!$B$59:$B$168,0),MATCH(E$15&amp;E$10,Analytica!$F$58:$AY$58&amp;Analytica!$F$51:'Analytica'!$AY$51,0)),"")</f>
        <v>0.44805610178719285</v>
      </c>
      <c r="F92" s="702">
        <f t="array" ref="F92">IFERROR(INDEX(Analytica!$F$59:$AY$138,MATCH($B92,Analytica!$B$59:$B$168,0),MATCH(F$15&amp;F$10,Analytica!$F$58:$AY$58&amp;Analytica!$F$51:'Analytica'!$AY$51,0)),"")</f>
        <v>0.47346133842519467</v>
      </c>
      <c r="G92" s="702">
        <f t="array" ref="G92">IFERROR(INDEX(Analytica!$F$59:$AY$138,MATCH($B92,Analytica!$B$59:$B$168,0),MATCH(G$15&amp;G$10,Analytica!$F$58:$AY$58&amp;Analytica!$F$51:'Analytica'!$AY$51,0)),"")</f>
        <v>0.52351915358404844</v>
      </c>
      <c r="H92" s="702">
        <f t="array" ref="H92">IFERROR(INDEX(Analytica!$F$59:$AY$138,MATCH($B92,Analytica!$B$59:$B$168,0),MATCH(H$15&amp;H$10,Analytica!$F$58:$AY$58&amp;Analytica!$F$51:'Analytica'!$AY$51,0)),"")</f>
        <v>0.57886944915283944</v>
      </c>
      <c r="I92" s="701">
        <v>1</v>
      </c>
      <c r="J92" s="701">
        <v>1</v>
      </c>
      <c r="K92" s="701">
        <v>1</v>
      </c>
      <c r="L92" s="701">
        <v>1</v>
      </c>
      <c r="M92" s="701">
        <v>1</v>
      </c>
      <c r="N92" s="696">
        <f>IF(B92="","",MAX(N$18:N91)+1)</f>
        <v>64</v>
      </c>
      <c r="O92" s="702">
        <f t="array" ref="O92">IFERROR(INDEX(Analytica!$F$59:$AY$138,MATCH($B92,Analytica!$B$59:$B$168,0),MATCH(O$15&amp;O$10,Analytica!$F$58:$AY$58&amp;Analytica!$F$51:'Analytica'!$AY$51,0)),"")</f>
        <v>4.8000000000000001E-2</v>
      </c>
      <c r="P92" s="620">
        <f t="array" ref="P92">IFERROR(INDEX(Analytica!$F$59:$AY$138,MATCH($B92,Analytica!$B$59:$B$168,0),MATCH(P$15&amp;P$10,Analytica!$F$58:$AY$58&amp;Analytica!$F$51:'Analytica'!$AY$51,0)),"")</f>
        <v>871.54447239677188</v>
      </c>
      <c r="Q92" s="620">
        <f t="array" ref="Q92">IFERROR(INDEX(Analytica!$F$59:$AY$138,MATCH($B92,Analytica!$B$59:$B$168,0),MATCH(Q$15&amp;Q$10,Analytica!$F$58:$AY$58&amp;Analytica!$F$51:'Analytica'!$AY$51,0)),"")</f>
        <v>791.40401330598297</v>
      </c>
      <c r="R92" s="620">
        <f t="array" ref="R92">IFERROR(INDEX(Analytica!$F$59:$AY$138,MATCH($B92,Analytica!$B$59:$B$168,0),MATCH(R$15&amp;R$10,Analytica!$F$58:$AY$58&amp;Analytica!$F$51:'Analytica'!$AY$51,0)),"")</f>
        <v>711.26355421519372</v>
      </c>
      <c r="S92" s="620">
        <f t="array" ref="S92">IFERROR(INDEX(Analytica!$F$59:$AY$138,MATCH($B92,Analytica!$B$59:$B$168,0),MATCH(S$15&amp;S$10,Analytica!$F$58:$AY$58&amp;Analytica!$F$51:'Analytica'!$AY$51,0)),"")</f>
        <v>716.96875957082284</v>
      </c>
      <c r="T92" s="620">
        <f t="array" ref="T92">IFERROR(INDEX(Analytica!$F$59:$AY$138,MATCH($B92,Analytica!$B$59:$B$168,0),MATCH(T$15&amp;T$10,Analytica!$F$58:$AY$58&amp;Analytica!$F$51:'Analytica'!$AY$51,0)),"")</f>
        <v>533.93245692908113</v>
      </c>
      <c r="U92" s="620">
        <f t="array" ref="U92">IFERROR(INDEX(Analytica!$F$59:$AY$138,MATCH($B92,Analytica!$B$59:$B$168,0),MATCH(U$15&amp;U$10,Analytica!$F$58:$AY$58&amp;Analytica!$F$51:'Analytica'!$AY$51,0)),"")</f>
        <v>551.67118115070787</v>
      </c>
      <c r="V92" s="620">
        <f t="array" ref="V92">IFERROR(INDEX(Analytica!$F$59:$AY$138,MATCH($B92,Analytica!$B$59:$B$168,0),MATCH(V$15&amp;V$10,Analytica!$F$58:$AY$58&amp;Analytica!$F$51:'Analytica'!$AY$51,0)),"")</f>
        <v>17.648775566034629</v>
      </c>
      <c r="W92" s="620">
        <f t="array" ref="W92">IFERROR(INDEX(Analytica!$F$59:$AY$138,MATCH($B92,Analytica!$B$59:$B$168,0),MATCH(W$15&amp;W$10,Analytica!$F$58:$AY$58&amp;Analytica!$F$51:'Analytica'!$AY$51,0)),"")</f>
        <v>14.403086972857674</v>
      </c>
      <c r="X92" s="620">
        <f t="array" ref="X92">IFERROR(INDEX(Analytica!$F$59:$AY$138,MATCH($B92,Analytica!$B$59:$B$168,0),MATCH(X$15&amp;X$10,Analytica!$F$58:$AY$58&amp;Analytica!$F$51:'Analytica'!$AY$51,0)),"")</f>
        <v>10.812132252813893</v>
      </c>
      <c r="Y92" s="620">
        <f t="array" ref="Y92">IFERROR(INDEX(Analytica!$F$59:$AY$138,MATCH($B92,Analytica!$B$59:$B$168,0),MATCH(Y$15&amp;Y$10,Analytica!$F$58:$AY$58&amp;Analytica!$F$51:'Analytica'!$AY$51,0)),"")</f>
        <v>11.171341418301834</v>
      </c>
      <c r="Z92" s="694">
        <f t="shared" si="129"/>
        <v>20</v>
      </c>
      <c r="AA92" s="694">
        <f t="shared" si="134"/>
        <v>20</v>
      </c>
      <c r="AB92" s="694">
        <f t="shared" si="80"/>
        <v>2025</v>
      </c>
      <c r="AC92" s="1">
        <f t="shared" ca="1" si="135"/>
        <v>75</v>
      </c>
      <c r="AD92" s="1">
        <v>1</v>
      </c>
      <c r="AE92" s="1" t="str">
        <f t="shared" si="136"/>
        <v>S_TFHCV2</v>
      </c>
      <c r="AF92" s="1" t="str">
        <f t="shared" si="103"/>
        <v>S_TFHCV2ELC</v>
      </c>
      <c r="AG92" s="1" t="str">
        <f t="shared" si="104"/>
        <v>TFHCV2ELC-N_L</v>
      </c>
      <c r="AH92" s="1" t="str">
        <f t="shared" si="105"/>
        <v>TFHCV2ELC-N_U</v>
      </c>
      <c r="AI92" s="194">
        <v>0</v>
      </c>
      <c r="AJ92" s="699">
        <f>SUMIF(Analytica!$B$59:$B$137,B92,Analytica!$BA$59:$BA$192)</f>
        <v>0</v>
      </c>
      <c r="AK92" s="697" t="e">
        <f>IF($AP$10,BK92,#REF!)</f>
        <v>#REF!</v>
      </c>
      <c r="AL92" s="697" t="e">
        <f t="shared" si="106"/>
        <v>#REF!</v>
      </c>
      <c r="AM92" s="697" t="e">
        <f t="shared" si="107"/>
        <v>#REF!</v>
      </c>
      <c r="AN92" s="697">
        <f t="shared" si="108"/>
        <v>1</v>
      </c>
      <c r="AO92" s="697">
        <f t="shared" si="109"/>
        <v>1</v>
      </c>
      <c r="AP92" s="194">
        <v>1</v>
      </c>
      <c r="AQ92" s="650">
        <f t="shared" si="110"/>
        <v>0</v>
      </c>
      <c r="AR92" s="697" t="e">
        <f>IF($AP$10,BR92,#REF!)</f>
        <v>#REF!</v>
      </c>
      <c r="AS92" s="697" t="e">
        <f t="shared" si="111"/>
        <v>#REF!</v>
      </c>
      <c r="AT92" s="697">
        <f t="shared" si="112"/>
        <v>0</v>
      </c>
      <c r="AU92" s="697">
        <f t="shared" si="113"/>
        <v>0</v>
      </c>
      <c r="AV92" s="697">
        <f t="shared" si="114"/>
        <v>0</v>
      </c>
      <c r="AX92" s="698">
        <f t="shared" si="115"/>
        <v>0</v>
      </c>
      <c r="AY92" s="697" t="e">
        <f>IF(#REF!&lt;&gt;"",(AY$11-#REF!)/(BA$11-#REF!)*(BA92-#REF!)+#REF!,"")</f>
        <v>#REF!</v>
      </c>
      <c r="AZ92" s="697" t="e">
        <f t="shared" si="137"/>
        <v>#REF!</v>
      </c>
      <c r="BA92" s="697">
        <f t="shared" si="131"/>
        <v>1</v>
      </c>
      <c r="BB92" s="697">
        <f t="shared" si="131"/>
        <v>1</v>
      </c>
      <c r="BC92" s="711"/>
      <c r="BD92" s="697">
        <f t="shared" si="138"/>
        <v>0</v>
      </c>
      <c r="BE92" s="697" t="e">
        <f>IF(#REF!&lt;&gt;"",(BE$11-#REF!)/(BG$11-#REF!)*(BG92-#REF!)+#REF!,"")</f>
        <v>#REF!</v>
      </c>
      <c r="BF92" s="697">
        <f t="shared" si="132"/>
        <v>0</v>
      </c>
      <c r="BG92" s="697">
        <f t="shared" si="132"/>
        <v>0</v>
      </c>
      <c r="BH92" s="697">
        <f t="shared" si="132"/>
        <v>0</v>
      </c>
      <c r="BI92" s="692"/>
      <c r="BJ92" s="693">
        <f t="shared" si="116"/>
        <v>0</v>
      </c>
      <c r="BK92" s="697">
        <v>0</v>
      </c>
      <c r="BL92" s="697" t="e">
        <f t="shared" si="79"/>
        <v>#REF!</v>
      </c>
      <c r="BM92" s="697" t="e">
        <f t="shared" si="118"/>
        <v>#REF!</v>
      </c>
      <c r="BN92" s="697">
        <v>0</v>
      </c>
      <c r="BO92" s="697">
        <v>0</v>
      </c>
      <c r="BP92" s="194"/>
      <c r="BQ92" s="650">
        <f t="shared" si="120"/>
        <v>0</v>
      </c>
      <c r="BR92" s="697">
        <f t="shared" si="121"/>
        <v>0</v>
      </c>
      <c r="BS92" s="697" t="e">
        <f t="shared" si="139"/>
        <v>#REF!</v>
      </c>
      <c r="BT92" s="697" t="e">
        <f t="shared" si="122"/>
        <v>#REF!</v>
      </c>
      <c r="BU92" s="697">
        <f t="shared" si="123"/>
        <v>0</v>
      </c>
      <c r="BV92" s="697">
        <f t="shared" si="123"/>
        <v>0</v>
      </c>
      <c r="BW92" s="692"/>
      <c r="BX92" s="1" t="str">
        <f t="shared" si="124"/>
        <v>TFHCV2ELC-N</v>
      </c>
      <c r="BY92" s="1" t="str">
        <f t="shared" ca="1" si="95"/>
        <v>-	S_TFHCV2ELC	1	TFHCV2ELC-N Set	1	10/03/2023 17:53:59	null	((tblITEMS.Item Like "TFHCV2ELC-N*"))	null	null	null	null	null	null	null</v>
      </c>
      <c r="BZ92" s="1" t="str">
        <f t="shared" si="96"/>
        <v>-	S_TFHCV2ELC	1	1	True	Like "TFHCV2ELC-N*"</v>
      </c>
      <c r="CK92" s="625"/>
      <c r="CL92" s="625"/>
      <c r="CM92" s="625"/>
      <c r="CN92" s="2"/>
      <c r="CO92" s="2"/>
      <c r="CP92" s="9"/>
    </row>
    <row r="93" spans="1:94" x14ac:dyDescent="0.2">
      <c r="A93" s="191" t="str">
        <f>ITEMS_nTech!C84</f>
        <v>Transport Freight - HCV3 Electricity-N</v>
      </c>
      <c r="B93" s="191" t="str">
        <f t="shared" si="102"/>
        <v>TFHCV3ELC-N</v>
      </c>
      <c r="C93" s="612" t="str">
        <f>C92</f>
        <v>TRAELC</v>
      </c>
      <c r="D93" s="612" t="str">
        <f>D84</f>
        <v>TFHCV3</v>
      </c>
      <c r="E93" s="702">
        <f t="array" ref="E93">IFERROR(INDEX(Analytica!$F$59:$AY$138,MATCH($B93,Analytica!$B$59:$B$168,0),MATCH(E$15&amp;E$10,Analytica!$F$58:$AY$58&amp;Analytica!$F$51:'Analytica'!$AY$51,0)),"")</f>
        <v>0.39173354795142884</v>
      </c>
      <c r="F93" s="702">
        <f t="array" ref="F93">IFERROR(INDEX(Analytica!$F$59:$AY$138,MATCH($B93,Analytica!$B$59:$B$168,0),MATCH(F$15&amp;F$10,Analytica!$F$58:$AY$58&amp;Analytica!$F$51:'Analytica'!$AY$51,0)),"")</f>
        <v>0.41394523850770848</v>
      </c>
      <c r="G93" s="702">
        <f t="array" ref="G93">IFERROR(INDEX(Analytica!$F$59:$AY$138,MATCH($B93,Analytica!$B$59:$B$168,0),MATCH(G$15&amp;G$10,Analytica!$F$58:$AY$58&amp;Analytica!$F$51:'Analytica'!$AY$51,0)),"")</f>
        <v>0.45771057382321367</v>
      </c>
      <c r="H93" s="702">
        <f t="array" ref="H93">IFERROR(INDEX(Analytica!$F$59:$AY$138,MATCH($B93,Analytica!$B$59:$B$168,0),MATCH(H$15&amp;H$10,Analytica!$F$58:$AY$58&amp;Analytica!$F$51:'Analytica'!$AY$51,0)),"")</f>
        <v>0.50610310229640254</v>
      </c>
      <c r="I93" s="701">
        <v>1</v>
      </c>
      <c r="J93" s="701">
        <v>1</v>
      </c>
      <c r="K93" s="701">
        <v>1</v>
      </c>
      <c r="L93" s="701">
        <v>1</v>
      </c>
      <c r="M93" s="701">
        <v>1</v>
      </c>
      <c r="N93" s="696">
        <f>IF(B93="","",MAX(N$18:N92)+1)</f>
        <v>65</v>
      </c>
      <c r="O93" s="702">
        <f t="array" ref="O93">IFERROR(INDEX(Analytica!$F$59:$AY$138,MATCH($B93,Analytica!$B$59:$B$168,0),MATCH(O$15&amp;O$10,Analytica!$F$58:$AY$58&amp;Analytica!$F$51:'Analytica'!$AY$51,0)),"")</f>
        <v>8.4999999999999992E-2</v>
      </c>
      <c r="P93" s="620">
        <f t="array" ref="P93">IFERROR(INDEX(Analytica!$F$59:$AY$138,MATCH($B93,Analytica!$B$59:$B$168,0),MATCH(P$15&amp;P$10,Analytica!$F$58:$AY$58&amp;Analytica!$F$51:'Analytica'!$AY$51,0)),"")</f>
        <v>871.54447239677188</v>
      </c>
      <c r="Q93" s="620">
        <f t="array" ref="Q93">IFERROR(INDEX(Analytica!$F$59:$AY$138,MATCH($B93,Analytica!$B$59:$B$168,0),MATCH(Q$15&amp;Q$10,Analytica!$F$58:$AY$58&amp;Analytica!$F$51:'Analytica'!$AY$51,0)),"")</f>
        <v>791.40401330598297</v>
      </c>
      <c r="R93" s="620">
        <f t="array" ref="R93">IFERROR(INDEX(Analytica!$F$59:$AY$138,MATCH($B93,Analytica!$B$59:$B$168,0),MATCH(R$15&amp;R$10,Analytica!$F$58:$AY$58&amp;Analytica!$F$51:'Analytica'!$AY$51,0)),"")</f>
        <v>711.26355421519372</v>
      </c>
      <c r="S93" s="620">
        <f t="array" ref="S93">IFERROR(INDEX(Analytica!$F$59:$AY$138,MATCH($B93,Analytica!$B$59:$B$168,0),MATCH(S$15&amp;S$10,Analytica!$F$58:$AY$58&amp;Analytica!$F$51:'Analytica'!$AY$51,0)),"")</f>
        <v>716.96875957082284</v>
      </c>
      <c r="T93" s="620">
        <f t="array" ref="T93">IFERROR(INDEX(Analytica!$F$59:$AY$138,MATCH($B93,Analytica!$B$59:$B$168,0),MATCH(T$15&amp;T$10,Analytica!$F$58:$AY$58&amp;Analytica!$F$51:'Analytica'!$AY$51,0)),"")</f>
        <v>533.93245692908113</v>
      </c>
      <c r="U93" s="620">
        <f t="array" ref="U93">IFERROR(INDEX(Analytica!$F$59:$AY$138,MATCH($B93,Analytica!$B$59:$B$168,0),MATCH(U$15&amp;U$10,Analytica!$F$58:$AY$58&amp;Analytica!$F$51:'Analytica'!$AY$51,0)),"")</f>
        <v>551.67118115070787</v>
      </c>
      <c r="V93" s="620">
        <f t="array" ref="V93">IFERROR(INDEX(Analytica!$F$59:$AY$138,MATCH($B93,Analytica!$B$59:$B$168,0),MATCH(V$15&amp;V$10,Analytica!$F$58:$AY$58&amp;Analytica!$F$51:'Analytica'!$AY$51,0)),"")</f>
        <v>17.648775566034629</v>
      </c>
      <c r="W93" s="620">
        <f t="array" ref="W93">IFERROR(INDEX(Analytica!$F$59:$AY$138,MATCH($B93,Analytica!$B$59:$B$168,0),MATCH(W$15&amp;W$10,Analytica!$F$58:$AY$58&amp;Analytica!$F$51:'Analytica'!$AY$51,0)),"")</f>
        <v>14.403086972857674</v>
      </c>
      <c r="X93" s="620">
        <f t="array" ref="X93">IFERROR(INDEX(Analytica!$F$59:$AY$138,MATCH($B93,Analytica!$B$59:$B$168,0),MATCH(X$15&amp;X$10,Analytica!$F$58:$AY$58&amp;Analytica!$F$51:'Analytica'!$AY$51,0)),"")</f>
        <v>10.812132252813893</v>
      </c>
      <c r="Y93" s="620">
        <f t="array" ref="Y93">IFERROR(INDEX(Analytica!$F$59:$AY$138,MATCH($B93,Analytica!$B$59:$B$168,0),MATCH(Y$15&amp;Y$10,Analytica!$F$58:$AY$58&amp;Analytica!$F$51:'Analytica'!$AY$51,0)),"")</f>
        <v>11.171341418301834</v>
      </c>
      <c r="Z93" s="694">
        <f t="shared" si="129"/>
        <v>20</v>
      </c>
      <c r="AA93" s="694">
        <f t="shared" si="134"/>
        <v>20</v>
      </c>
      <c r="AB93" s="694">
        <f t="shared" si="80"/>
        <v>2025</v>
      </c>
      <c r="AC93" s="1">
        <f t="shared" ca="1" si="135"/>
        <v>76</v>
      </c>
      <c r="AD93" s="1">
        <v>1</v>
      </c>
      <c r="AE93" s="1" t="str">
        <f t="shared" si="136"/>
        <v>S_TFHCV3</v>
      </c>
      <c r="AF93" s="1" t="str">
        <f t="shared" si="103"/>
        <v>S_TFHCV3ELC</v>
      </c>
      <c r="AG93" s="1" t="str">
        <f t="shared" si="104"/>
        <v>TFHCV3ELC-N_L</v>
      </c>
      <c r="AH93" s="1" t="str">
        <f t="shared" si="105"/>
        <v>TFHCV3ELC-N_U</v>
      </c>
      <c r="AI93" s="194">
        <v>0</v>
      </c>
      <c r="AJ93" s="699">
        <f>SUMIF(Analytica!$B$59:$B$137,B93,Analytica!$BA$59:$BA$192)</f>
        <v>0</v>
      </c>
      <c r="AK93" s="697" t="e">
        <f>IF($AP$10,BK93,#REF!)</f>
        <v>#REF!</v>
      </c>
      <c r="AL93" s="697" t="e">
        <f t="shared" si="106"/>
        <v>#REF!</v>
      </c>
      <c r="AM93" s="697" t="e">
        <f t="shared" si="107"/>
        <v>#REF!</v>
      </c>
      <c r="AN93" s="697">
        <f t="shared" si="108"/>
        <v>1</v>
      </c>
      <c r="AO93" s="697">
        <f t="shared" si="109"/>
        <v>1</v>
      </c>
      <c r="AP93" s="194">
        <v>1</v>
      </c>
      <c r="AQ93" s="650">
        <f t="shared" si="110"/>
        <v>0</v>
      </c>
      <c r="AR93" s="697" t="e">
        <f>IF($AP$10,BR93,#REF!)</f>
        <v>#REF!</v>
      </c>
      <c r="AS93" s="697" t="e">
        <f t="shared" si="111"/>
        <v>#REF!</v>
      </c>
      <c r="AT93" s="697">
        <f t="shared" si="112"/>
        <v>0</v>
      </c>
      <c r="AU93" s="697">
        <f t="shared" si="113"/>
        <v>0</v>
      </c>
      <c r="AV93" s="697">
        <f t="shared" si="114"/>
        <v>0</v>
      </c>
      <c r="AX93" s="698">
        <f t="shared" si="115"/>
        <v>0</v>
      </c>
      <c r="AY93" s="697" t="e">
        <f>IF(#REF!&lt;&gt;"",(AY$11-#REF!)/(BA$11-#REF!)*(BA93-#REF!)+#REF!,"")</f>
        <v>#REF!</v>
      </c>
      <c r="AZ93" s="697" t="e">
        <f t="shared" si="137"/>
        <v>#REF!</v>
      </c>
      <c r="BA93" s="697">
        <f t="shared" si="131"/>
        <v>1</v>
      </c>
      <c r="BB93" s="697">
        <f t="shared" si="131"/>
        <v>1</v>
      </c>
      <c r="BC93" s="711"/>
      <c r="BD93" s="697">
        <f t="shared" si="138"/>
        <v>0</v>
      </c>
      <c r="BE93" s="697" t="e">
        <f>IF(#REF!&lt;&gt;"",(BE$11-#REF!)/(BG$11-#REF!)*(BG93-#REF!)+#REF!,"")</f>
        <v>#REF!</v>
      </c>
      <c r="BF93" s="697">
        <f t="shared" si="132"/>
        <v>0</v>
      </c>
      <c r="BG93" s="697">
        <f t="shared" si="132"/>
        <v>0</v>
      </c>
      <c r="BH93" s="697">
        <f t="shared" si="132"/>
        <v>0</v>
      </c>
      <c r="BI93" s="692"/>
      <c r="BJ93" s="693">
        <f t="shared" si="116"/>
        <v>0</v>
      </c>
      <c r="BK93" s="697">
        <v>0</v>
      </c>
      <c r="BL93" s="697" t="e">
        <f t="shared" si="79"/>
        <v>#REF!</v>
      </c>
      <c r="BM93" s="697" t="e">
        <f t="shared" si="118"/>
        <v>#REF!</v>
      </c>
      <c r="BN93" s="697">
        <v>0</v>
      </c>
      <c r="BO93" s="697">
        <v>0</v>
      </c>
      <c r="BP93" s="194"/>
      <c r="BQ93" s="650">
        <f t="shared" si="120"/>
        <v>0</v>
      </c>
      <c r="BR93" s="697">
        <f t="shared" si="121"/>
        <v>0</v>
      </c>
      <c r="BS93" s="697" t="e">
        <f t="shared" si="139"/>
        <v>#REF!</v>
      </c>
      <c r="BT93" s="697" t="e">
        <f t="shared" si="122"/>
        <v>#REF!</v>
      </c>
      <c r="BU93" s="697">
        <f t="shared" si="123"/>
        <v>0</v>
      </c>
      <c r="BV93" s="697">
        <f t="shared" si="123"/>
        <v>0</v>
      </c>
      <c r="BW93" s="692"/>
      <c r="BX93" s="1" t="str">
        <f t="shared" si="124"/>
        <v>TFHCV3ELC-N</v>
      </c>
      <c r="BY93" s="1" t="str">
        <f t="shared" ca="1" si="95"/>
        <v>-	S_TFHCV3ELC	1	TFHCV3ELC-N Set	1	10/03/2023 17:53:59	null	((tblITEMS.Item Like "TFHCV3ELC-N*"))	null	null	null	null	null	null	null</v>
      </c>
      <c r="BZ93" s="1" t="str">
        <f t="shared" si="96"/>
        <v>-	S_TFHCV3ELC	1	1	True	Like "TFHCV3ELC-N*"</v>
      </c>
      <c r="CK93" s="625"/>
      <c r="CL93" s="625"/>
      <c r="CM93" s="625"/>
      <c r="CN93" s="2"/>
      <c r="CO93" s="2"/>
      <c r="CP93" s="9"/>
    </row>
    <row r="94" spans="1:94" x14ac:dyDescent="0.2">
      <c r="A94" s="191" t="str">
        <f>ITEMS_nTech!C85</f>
        <v>Transport Freight - HCV4 Electricity-N</v>
      </c>
      <c r="B94" s="191" t="str">
        <f t="shared" si="102"/>
        <v>TFHCV4ELC-N</v>
      </c>
      <c r="C94" s="612" t="str">
        <f t="shared" ref="C94:C99" si="140">C93</f>
        <v>TRAELC</v>
      </c>
      <c r="D94" s="612" t="str">
        <f t="shared" ref="D94:D99" si="141">D85</f>
        <v>TFHCV4</v>
      </c>
      <c r="E94" s="702" cm="1">
        <f t="array" ref="E94">IFERROR(INDEX(Analytica!$F$59:$AY$138,MATCH($B94,Analytica!$B$59:$B$168,0),MATCH(E$15&amp;E$10,Analytica!$F$58:$AY$58&amp;Analytica!$F$51:'Analytica'!$AY$51,0)),"")</f>
        <v>0.33665822178511923</v>
      </c>
      <c r="F94" s="702" cm="1">
        <f t="array" ref="F94">IFERROR(INDEX(Analytica!$F$59:$AY$138,MATCH($B94,Analytica!$B$59:$B$168,0),MATCH(F$15&amp;F$10,Analytica!$F$58:$AY$58&amp;Analytica!$F$51:'Analytica'!$AY$51,0)),"")</f>
        <v>0.35574708533694765</v>
      </c>
      <c r="G94" s="702" cm="1">
        <f t="array" ref="G94">IFERROR(INDEX(Analytica!$F$59:$AY$138,MATCH($B94,Analytica!$B$59:$B$168,0),MATCH(G$15&amp;G$10,Analytica!$F$58:$AY$58&amp;Analytica!$F$51:'Analytica'!$AY$51,0)),"")</f>
        <v>0.39335928383309055</v>
      </c>
      <c r="H94" s="702" cm="1">
        <f t="array" ref="H94">IFERROR(INDEX(Analytica!$F$59:$AY$138,MATCH($B94,Analytica!$B$59:$B$168,0),MATCH(H$15&amp;H$10,Analytica!$F$58:$AY$58&amp;Analytica!$F$51:'Analytica'!$AY$51,0)),"")</f>
        <v>0.43494812060407229</v>
      </c>
      <c r="I94" s="701">
        <v>1</v>
      </c>
      <c r="J94" s="701">
        <v>1</v>
      </c>
      <c r="K94" s="701">
        <v>1</v>
      </c>
      <c r="L94" s="701">
        <v>1</v>
      </c>
      <c r="M94" s="701">
        <v>1</v>
      </c>
      <c r="N94" s="696">
        <f>IF(B94="","",MAX(N$18:N93)+1)</f>
        <v>66</v>
      </c>
      <c r="O94" s="702">
        <f t="array" ref="O94">IFERROR(INDEX(Analytica!$F$59:$AY$138,MATCH($B94,Analytica!$B$59:$B$168,0),MATCH(O$15&amp;O$10,Analytica!$F$58:$AY$58&amp;Analytica!$F$51:'Analytica'!$AY$51,0)),"")</f>
        <v>8.4999999999999992E-2</v>
      </c>
      <c r="P94" s="620">
        <f t="array" ref="P94">IFERROR(INDEX(Analytica!$F$59:$AY$138,MATCH($B94,Analytica!$B$59:$B$168,0),MATCH(P$15&amp;P$10,Analytica!$F$58:$AY$58&amp;Analytica!$F$51:'Analytica'!$AY$51,0)),"")</f>
        <v>3562.747436944936</v>
      </c>
      <c r="Q94" s="620">
        <f t="array" ref="Q94">IFERROR(INDEX(Analytica!$F$59:$AY$138,MATCH($B94,Analytica!$B$59:$B$168,0),MATCH(Q$15&amp;Q$10,Analytica!$F$58:$AY$58&amp;Analytica!$F$51:'Analytica'!$AY$51,0)),"")</f>
        <v>2493.9232058614548</v>
      </c>
      <c r="R94" s="620">
        <f t="array" ref="R94">IFERROR(INDEX(Analytica!$F$59:$AY$138,MATCH($B94,Analytica!$B$59:$B$168,0),MATCH(R$15&amp;R$10,Analytica!$F$58:$AY$58&amp;Analytica!$F$51:'Analytica'!$AY$51,0)),"")</f>
        <v>2137.6484621669615</v>
      </c>
      <c r="S94" s="620">
        <f t="array" ref="S94">IFERROR(INDEX(Analytica!$F$59:$AY$138,MATCH($B94,Analytica!$B$59:$B$168,0),MATCH(S$15&amp;S$10,Analytica!$F$58:$AY$58&amp;Analytica!$F$51:'Analytica'!$AY$51,0)),"")</f>
        <v>1781.373718472468</v>
      </c>
      <c r="T94" s="620">
        <f t="array" ref="T94">IFERROR(INDEX(Analytica!$F$59:$AY$138,MATCH($B94,Analytica!$B$59:$B$168,0),MATCH(T$15&amp;T$10,Analytica!$F$58:$AY$58&amp;Analytica!$F$51:'Analytica'!$AY$51,0)),"")</f>
        <v>1662.6154705743036</v>
      </c>
      <c r="U94" s="620">
        <f t="array" ref="U94">IFERROR(INDEX(Analytica!$F$59:$AY$138,MATCH($B94,Analytica!$B$59:$B$168,0),MATCH(U$15&amp;U$10,Analytica!$F$58:$AY$58&amp;Analytica!$F$51:'Analytica'!$AY$51,0)),"")</f>
        <v>993.48523967858819</v>
      </c>
      <c r="V94" s="620">
        <f t="array" ref="V94">IFERROR(INDEX(Analytica!$F$59:$AY$138,MATCH($B94,Analytica!$B$59:$B$168,0),MATCH(V$15&amp;V$10,Analytica!$F$58:$AY$58&amp;Analytica!$F$51:'Analytica'!$AY$51,0)),"")</f>
        <v>72.145635598134959</v>
      </c>
      <c r="W94" s="620">
        <f t="array" ref="W94">IFERROR(INDEX(Analytica!$F$59:$AY$138,MATCH($B94,Analytica!$B$59:$B$168,0),MATCH(W$15&amp;W$10,Analytica!$F$58:$AY$58&amp;Analytica!$F$51:'Analytica'!$AY$51,0)),"")</f>
        <v>43.287381358880971</v>
      </c>
      <c r="X94" s="620">
        <f t="array" ref="X94">IFERROR(INDEX(Analytica!$F$59:$AY$138,MATCH($B94,Analytica!$B$59:$B$168,0),MATCH(X$15&amp;X$10,Analytica!$F$58:$AY$58&amp;Analytica!$F$51:'Analytica'!$AY$51,0)),"")</f>
        <v>33.667963279129651</v>
      </c>
      <c r="Y94" s="620">
        <f t="array" ref="Y94">IFERROR(INDEX(Analytica!$F$59:$AY$138,MATCH($B94,Analytica!$B$59:$B$168,0),MATCH(Y$15&amp;Y$10,Analytica!$F$58:$AY$58&amp;Analytica!$F$51:'Analytica'!$AY$51,0)),"")</f>
        <v>20.118076103491411</v>
      </c>
      <c r="Z94" s="694">
        <f t="shared" si="129"/>
        <v>20</v>
      </c>
      <c r="AA94" s="694">
        <f t="shared" ref="AA94:AA99" si="142">Z94</f>
        <v>20</v>
      </c>
      <c r="AB94" s="694">
        <f t="shared" si="80"/>
        <v>2025</v>
      </c>
      <c r="AC94" s="1">
        <f t="shared" ca="1" si="135"/>
        <v>77</v>
      </c>
      <c r="AD94" s="1">
        <v>1</v>
      </c>
      <c r="AE94" s="1" t="str">
        <f t="shared" si="136"/>
        <v>S_TFHCV4</v>
      </c>
      <c r="AF94" s="1" t="str">
        <f t="shared" si="103"/>
        <v>S_TFHCV4ELC</v>
      </c>
      <c r="AG94" s="1" t="str">
        <f t="shared" si="104"/>
        <v>TFHCV4ELC-N_L</v>
      </c>
      <c r="AH94" s="1" t="str">
        <f t="shared" si="105"/>
        <v>TFHCV4ELC-N_U</v>
      </c>
      <c r="AI94" s="194">
        <v>0</v>
      </c>
      <c r="AJ94" s="699">
        <f>SUMIF(Analytica!$B$59:$B$137,B94,Analytica!$BA$59:$BA$192)</f>
        <v>0</v>
      </c>
      <c r="AK94" s="697" t="e">
        <f>IF($AP$10,BK94,#REF!)</f>
        <v>#REF!</v>
      </c>
      <c r="AL94" s="697">
        <f t="shared" ref="AL94:AL99" si="143">IF($AP$10,BL94,AY94)</f>
        <v>0</v>
      </c>
      <c r="AM94" s="697">
        <f t="shared" ref="AM94:AM99" si="144">IF($AP$10,BM94,AZ94)</f>
        <v>0</v>
      </c>
      <c r="AN94" s="697">
        <f t="shared" ref="AN94:AN99" si="145">IF($AP$10,BN94,BA94)</f>
        <v>0</v>
      </c>
      <c r="AO94" s="697">
        <f t="shared" ref="AO94:AO99" si="146">IF($AP$10,BO94,BB94)</f>
        <v>0</v>
      </c>
      <c r="AP94" s="194">
        <v>1</v>
      </c>
      <c r="AQ94" s="650"/>
      <c r="AR94" s="697"/>
      <c r="AS94" s="697"/>
      <c r="AT94" s="697"/>
      <c r="AU94" s="697"/>
      <c r="AV94" s="697"/>
      <c r="AX94" s="614"/>
      <c r="AY94" s="697"/>
      <c r="AZ94" s="697"/>
      <c r="BA94" s="697"/>
      <c r="BB94" s="697"/>
      <c r="BC94" s="711"/>
      <c r="BD94" s="697"/>
      <c r="BE94" s="697"/>
      <c r="BF94" s="697"/>
      <c r="BG94" s="697"/>
      <c r="BH94" s="697"/>
      <c r="BJ94" s="614"/>
      <c r="BK94" s="697"/>
      <c r="BL94" s="697"/>
      <c r="BM94" s="697"/>
      <c r="BN94" s="697"/>
      <c r="BO94" s="697"/>
      <c r="BP94" s="194"/>
      <c r="BQ94" s="650"/>
      <c r="BR94" s="697"/>
      <c r="BS94" s="697"/>
      <c r="BT94" s="697"/>
      <c r="BU94" s="697"/>
      <c r="BV94" s="697"/>
      <c r="CK94" s="625"/>
      <c r="CL94" s="625"/>
      <c r="CM94" s="625"/>
      <c r="CN94" s="2"/>
      <c r="CO94" s="2"/>
      <c r="CP94" s="9"/>
    </row>
    <row r="95" spans="1:94" x14ac:dyDescent="0.2">
      <c r="A95" s="191" t="str">
        <f>ITEMS_nTech!C86</f>
        <v>Transport Freight - HCV5 Electricity-N</v>
      </c>
      <c r="B95" s="191" t="str">
        <f t="shared" si="102"/>
        <v>TFHCV5ELC-N</v>
      </c>
      <c r="C95" s="612" t="str">
        <f t="shared" si="140"/>
        <v>TRAELC</v>
      </c>
      <c r="D95" s="612" t="str">
        <f t="shared" si="141"/>
        <v>TFHCV5</v>
      </c>
      <c r="E95" s="702" cm="1">
        <f t="array" ref="E95">IFERROR(INDEX(Analytica!$F$59:$AY$138,MATCH($B95,Analytica!$B$59:$B$168,0),MATCH(E$15&amp;E$10,Analytica!$F$58:$AY$58&amp;Analytica!$F$51:'Analytica'!$AY$51,0)),"")</f>
        <v>0.31014924571856733</v>
      </c>
      <c r="F95" s="702" cm="1">
        <f t="array" ref="F95">IFERROR(INDEX(Analytica!$F$59:$AY$138,MATCH($B95,Analytica!$B$59:$B$168,0),MATCH(F$15&amp;F$10,Analytica!$F$58:$AY$58&amp;Analytica!$F$51:'Analytica'!$AY$51,0)),"")</f>
        <v>0.32773502336817151</v>
      </c>
      <c r="G95" s="702" cm="1">
        <f t="array" ref="G95">IFERROR(INDEX(Analytica!$F$59:$AY$138,MATCH($B95,Analytica!$B$59:$B$168,0),MATCH(G$15&amp;G$10,Analytica!$F$58:$AY$58&amp;Analytica!$F$51:'Analytica'!$AY$51,0)),"")</f>
        <v>0.36238558063524307</v>
      </c>
      <c r="H95" s="702" cm="1">
        <f t="array" ref="H95">IFERROR(INDEX(Analytica!$F$59:$AY$138,MATCH($B95,Analytica!$B$59:$B$168,0),MATCH(H$15&amp;H$10,Analytica!$F$58:$AY$58&amp;Analytica!$F$51:'Analytica'!$AY$51,0)),"")</f>
        <v>0.40069964968259153</v>
      </c>
      <c r="I95" s="701">
        <v>1</v>
      </c>
      <c r="J95" s="701">
        <v>1</v>
      </c>
      <c r="K95" s="701">
        <v>1</v>
      </c>
      <c r="L95" s="701">
        <v>1</v>
      </c>
      <c r="M95" s="701">
        <v>1</v>
      </c>
      <c r="N95" s="696">
        <f>IF(B95="","",MAX(N$18:N94)+1)</f>
        <v>67</v>
      </c>
      <c r="O95" s="702">
        <f t="array" ref="O95">IFERROR(INDEX(Analytica!$F$59:$AY$138,MATCH($B95,Analytica!$B$59:$B$168,0),MATCH(O$15&amp;O$10,Analytica!$F$58:$AY$58&amp;Analytica!$F$51:'Analytica'!$AY$51,0)),"")</f>
        <v>0.11</v>
      </c>
      <c r="P95" s="620">
        <f t="array" ref="P95">IFERROR(INDEX(Analytica!$F$59:$AY$138,MATCH($B95,Analytica!$B$59:$B$168,0),MATCH(P$15&amp;P$10,Analytica!$F$58:$AY$58&amp;Analytica!$F$51:'Analytica'!$AY$51,0)),"")</f>
        <v>2719.6616032872325</v>
      </c>
      <c r="Q95" s="620">
        <f t="array" ref="Q95">IFERROR(INDEX(Analytica!$F$59:$AY$138,MATCH($B95,Analytica!$B$59:$B$168,0),MATCH(Q$15&amp;Q$10,Analytica!$F$58:$AY$58&amp;Analytica!$F$51:'Analytica'!$AY$51,0)),"")</f>
        <v>1903.7631223010626</v>
      </c>
      <c r="R95" s="620">
        <f t="array" ref="R95">IFERROR(INDEX(Analytica!$F$59:$AY$138,MATCH($B95,Analytica!$B$59:$B$168,0),MATCH(R$15&amp;R$10,Analytica!$F$58:$AY$58&amp;Analytica!$F$51:'Analytica'!$AY$51,0)),"")</f>
        <v>1631.7969619723394</v>
      </c>
      <c r="S95" s="620">
        <f t="array" ref="S95">IFERROR(INDEX(Analytica!$F$59:$AY$138,MATCH($B95,Analytica!$B$59:$B$168,0),MATCH(S$15&amp;S$10,Analytica!$F$58:$AY$58&amp;Analytica!$F$51:'Analytica'!$AY$51,0)),"")</f>
        <v>1359.8308016436163</v>
      </c>
      <c r="T95" s="620">
        <f t="array" ref="T95">IFERROR(INDEX(Analytica!$F$59:$AY$138,MATCH($B95,Analytica!$B$59:$B$168,0),MATCH(T$15&amp;T$10,Analytica!$F$58:$AY$58&amp;Analytica!$F$51:'Analytica'!$AY$51,0)),"")</f>
        <v>1269.1754148673754</v>
      </c>
      <c r="U95" s="620">
        <f t="array" ref="U95">IFERROR(INDEX(Analytica!$F$59:$AY$138,MATCH($B95,Analytica!$B$59:$B$168,0),MATCH(U$15&amp;U$10,Analytica!$F$58:$AY$58&amp;Analytica!$F$51:'Analytica'!$AY$51,0)),"")</f>
        <v>945.21587798179326</v>
      </c>
      <c r="V95" s="620">
        <f t="array" ref="V95">IFERROR(INDEX(Analytica!$F$59:$AY$138,MATCH($B95,Analytica!$B$59:$B$168,0),MATCH(V$15&amp;V$10,Analytica!$F$58:$AY$58&amp;Analytica!$F$51:'Analytica'!$AY$51,0)),"")</f>
        <v>55.073147466566461</v>
      </c>
      <c r="W95" s="620">
        <f t="array" ref="W95">IFERROR(INDEX(Analytica!$F$59:$AY$138,MATCH($B95,Analytica!$B$59:$B$168,0),MATCH(W$15&amp;W$10,Analytica!$F$58:$AY$58&amp;Analytica!$F$51:'Analytica'!$AY$51,0)),"")</f>
        <v>33.043888479939874</v>
      </c>
      <c r="X95" s="620">
        <f t="array" ref="X95">IFERROR(INDEX(Analytica!$F$59:$AY$138,MATCH($B95,Analytica!$B$59:$B$168,0),MATCH(X$15&amp;X$10,Analytica!$F$58:$AY$58&amp;Analytica!$F$51:'Analytica'!$AY$51,0)),"")</f>
        <v>25.700802151064352</v>
      </c>
      <c r="Y95" s="620">
        <f t="array" ref="Y95">IFERROR(INDEX(Analytica!$F$59:$AY$138,MATCH($B95,Analytica!$B$59:$B$168,0),MATCH(Y$15&amp;Y$10,Analytica!$F$58:$AY$58&amp;Analytica!$F$51:'Analytica'!$AY$51,0)),"")</f>
        <v>19.140621529131312</v>
      </c>
      <c r="Z95" s="694">
        <f t="shared" si="129"/>
        <v>20</v>
      </c>
      <c r="AA95" s="694">
        <f t="shared" si="142"/>
        <v>20</v>
      </c>
      <c r="AB95" s="694">
        <f t="shared" si="80"/>
        <v>2025</v>
      </c>
      <c r="AC95" s="1">
        <f t="shared" ca="1" si="135"/>
        <v>78</v>
      </c>
      <c r="AD95" s="1">
        <v>1</v>
      </c>
      <c r="AE95" s="1" t="str">
        <f t="shared" si="136"/>
        <v>S_TFHCV5</v>
      </c>
      <c r="AF95" s="1" t="str">
        <f t="shared" si="103"/>
        <v>S_TFHCV5ELC</v>
      </c>
      <c r="AG95" s="1" t="str">
        <f t="shared" si="104"/>
        <v>TFHCV5ELC-N_L</v>
      </c>
      <c r="AH95" s="1" t="str">
        <f t="shared" si="105"/>
        <v>TFHCV5ELC-N_U</v>
      </c>
      <c r="AI95" s="194">
        <v>0</v>
      </c>
      <c r="AJ95" s="699">
        <f>SUMIF(Analytica!$B$59:$B$137,B95,Analytica!$BA$59:$BA$192)</f>
        <v>0</v>
      </c>
      <c r="AK95" s="697" t="e">
        <f>IF($AP$10,BK95,#REF!)</f>
        <v>#REF!</v>
      </c>
      <c r="AL95" s="697">
        <f t="shared" si="143"/>
        <v>0</v>
      </c>
      <c r="AM95" s="697">
        <f t="shared" si="144"/>
        <v>0</v>
      </c>
      <c r="AN95" s="697">
        <f t="shared" si="145"/>
        <v>0</v>
      </c>
      <c r="AO95" s="697">
        <f t="shared" si="146"/>
        <v>0</v>
      </c>
      <c r="AP95" s="194">
        <v>1</v>
      </c>
      <c r="AQ95" s="650"/>
      <c r="AR95" s="697"/>
      <c r="AS95" s="697"/>
      <c r="AT95" s="697"/>
      <c r="AU95" s="697"/>
      <c r="AV95" s="697"/>
      <c r="AX95" s="614"/>
      <c r="AY95" s="697"/>
      <c r="AZ95" s="697"/>
      <c r="BA95" s="697"/>
      <c r="BB95" s="697"/>
      <c r="BC95" s="711"/>
      <c r="BD95" s="697"/>
      <c r="BE95" s="697"/>
      <c r="BF95" s="697"/>
      <c r="BG95" s="697"/>
      <c r="BH95" s="697"/>
      <c r="BJ95" s="614"/>
      <c r="BK95" s="697"/>
      <c r="BL95" s="697"/>
      <c r="BM95" s="697"/>
      <c r="BN95" s="697"/>
      <c r="BO95" s="697"/>
      <c r="BP95" s="194"/>
      <c r="BQ95" s="650"/>
      <c r="BR95" s="697"/>
      <c r="BS95" s="697"/>
      <c r="BT95" s="697"/>
      <c r="BU95" s="697"/>
      <c r="BV95" s="697"/>
      <c r="CK95" s="625"/>
      <c r="CL95" s="625"/>
      <c r="CM95" s="625"/>
      <c r="CN95" s="2"/>
      <c r="CO95" s="2"/>
      <c r="CP95" s="9"/>
    </row>
    <row r="96" spans="1:94" x14ac:dyDescent="0.2">
      <c r="A96" s="191" t="str">
        <f>ITEMS_nTech!C87</f>
        <v>Transport Freight - HCV6 Electricity-N</v>
      </c>
      <c r="B96" s="191" t="str">
        <f t="shared" si="102"/>
        <v>TFHCV6ELC-N</v>
      </c>
      <c r="C96" s="612" t="str">
        <f t="shared" si="140"/>
        <v>TRAELC</v>
      </c>
      <c r="D96" s="612" t="str">
        <f t="shared" si="141"/>
        <v>TFHCV6</v>
      </c>
      <c r="E96" s="702" cm="1">
        <f t="array" ref="E96">IFERROR(INDEX(Analytica!$F$59:$AY$138,MATCH($B96,Analytica!$B$59:$B$168,0),MATCH(E$15&amp;E$10,Analytica!$F$58:$AY$58&amp;Analytica!$F$51:'Analytica'!$AY$51,0)),"")</f>
        <v>0.21392667714530933</v>
      </c>
      <c r="F96" s="702" cm="1">
        <f t="array" ref="F96">IFERROR(INDEX(Analytica!$F$59:$AY$138,MATCH($B96,Analytica!$B$59:$B$168,0),MATCH(F$15&amp;F$10,Analytica!$F$58:$AY$58&amp;Analytica!$F$51:'Analytica'!$AY$51,0)),"")</f>
        <v>0.22605653729982925</v>
      </c>
      <c r="G96" s="702" cm="1">
        <f t="array" ref="G96">IFERROR(INDEX(Analytica!$F$59:$AY$138,MATCH($B96,Analytica!$B$59:$B$168,0),MATCH(G$15&amp;G$10,Analytica!$F$58:$AY$58&amp;Analytica!$F$51:'Analytica'!$AY$51,0)),"")</f>
        <v>0.24995689714176231</v>
      </c>
      <c r="H96" s="702" cm="1">
        <f t="array" ref="H96">IFERROR(INDEX(Analytica!$F$59:$AY$138,MATCH($B96,Analytica!$B$59:$B$168,0),MATCH(H$15&amp;H$10,Analytica!$F$58:$AY$58&amp;Analytica!$F$51:'Analytica'!$AY$51,0)),"")</f>
        <v>0.27638417882102423</v>
      </c>
      <c r="I96" s="701">
        <v>1</v>
      </c>
      <c r="J96" s="701">
        <v>1</v>
      </c>
      <c r="K96" s="701">
        <v>1</v>
      </c>
      <c r="L96" s="701">
        <v>1</v>
      </c>
      <c r="M96" s="701">
        <v>1</v>
      </c>
      <c r="N96" s="696">
        <f>IF(B96="","",MAX(N$18:N95)+1)</f>
        <v>68</v>
      </c>
      <c r="O96" s="702">
        <f t="array" ref="O96">IFERROR(INDEX(Analytica!$F$59:$AY$138,MATCH($B96,Analytica!$B$59:$B$168,0),MATCH(O$15&amp;O$10,Analytica!$F$58:$AY$58&amp;Analytica!$F$51:'Analytica'!$AY$51,0)),"")</f>
        <v>0.11</v>
      </c>
      <c r="P96" s="620">
        <f t="array" ref="P96">IFERROR(INDEX(Analytica!$F$59:$AY$138,MATCH($B96,Analytica!$B$59:$B$168,0),MATCH(P$15&amp;P$10,Analytica!$F$58:$AY$58&amp;Analytica!$F$51:'Analytica'!$AY$51,0)),"")</f>
        <v>2719.6616032872325</v>
      </c>
      <c r="Q96" s="620">
        <f t="array" ref="Q96">IFERROR(INDEX(Analytica!$F$59:$AY$138,MATCH($B96,Analytica!$B$59:$B$168,0),MATCH(Q$15&amp;Q$10,Analytica!$F$58:$AY$58&amp;Analytica!$F$51:'Analytica'!$AY$51,0)),"")</f>
        <v>1903.7631223010626</v>
      </c>
      <c r="R96" s="620">
        <f t="array" ref="R96">IFERROR(INDEX(Analytica!$F$59:$AY$138,MATCH($B96,Analytica!$B$59:$B$168,0),MATCH(R$15&amp;R$10,Analytica!$F$58:$AY$58&amp;Analytica!$F$51:'Analytica'!$AY$51,0)),"")</f>
        <v>1631.7969619723394</v>
      </c>
      <c r="S96" s="620">
        <f t="array" ref="S96">IFERROR(INDEX(Analytica!$F$59:$AY$138,MATCH($B96,Analytica!$B$59:$B$168,0),MATCH(S$15&amp;S$10,Analytica!$F$58:$AY$58&amp;Analytica!$F$51:'Analytica'!$AY$51,0)),"")</f>
        <v>1359.8308016436163</v>
      </c>
      <c r="T96" s="620">
        <f t="array" ref="T96">IFERROR(INDEX(Analytica!$F$59:$AY$138,MATCH($B96,Analytica!$B$59:$B$168,0),MATCH(T$15&amp;T$10,Analytica!$F$58:$AY$58&amp;Analytica!$F$51:'Analytica'!$AY$51,0)),"")</f>
        <v>1269.1754148673754</v>
      </c>
      <c r="U96" s="620">
        <f t="array" ref="U96">IFERROR(INDEX(Analytica!$F$59:$AY$138,MATCH($B96,Analytica!$B$59:$B$168,0),MATCH(U$15&amp;U$10,Analytica!$F$58:$AY$58&amp;Analytica!$F$51:'Analytica'!$AY$51,0)),"")</f>
        <v>945.21587798179326</v>
      </c>
      <c r="V96" s="620">
        <f t="array" ref="V96">IFERROR(INDEX(Analytica!$F$59:$AY$138,MATCH($B96,Analytica!$B$59:$B$168,0),MATCH(V$15&amp;V$10,Analytica!$F$58:$AY$58&amp;Analytica!$F$51:'Analytica'!$AY$51,0)),"")</f>
        <v>55.073147466566461</v>
      </c>
      <c r="W96" s="620">
        <f t="array" ref="W96">IFERROR(INDEX(Analytica!$F$59:$AY$138,MATCH($B96,Analytica!$B$59:$B$168,0),MATCH(W$15&amp;W$10,Analytica!$F$58:$AY$58&amp;Analytica!$F$51:'Analytica'!$AY$51,0)),"")</f>
        <v>33.043888479939874</v>
      </c>
      <c r="X96" s="620">
        <f t="array" ref="X96">IFERROR(INDEX(Analytica!$F$59:$AY$138,MATCH($B96,Analytica!$B$59:$B$168,0),MATCH(X$15&amp;X$10,Analytica!$F$58:$AY$58&amp;Analytica!$F$51:'Analytica'!$AY$51,0)),"")</f>
        <v>25.700802151064352</v>
      </c>
      <c r="Y96" s="620">
        <f t="array" ref="Y96">IFERROR(INDEX(Analytica!$F$59:$AY$138,MATCH($B96,Analytica!$B$59:$B$168,0),MATCH(Y$15&amp;Y$10,Analytica!$F$58:$AY$58&amp;Analytica!$F$51:'Analytica'!$AY$51,0)),"")</f>
        <v>19.140621529131312</v>
      </c>
      <c r="Z96" s="694">
        <f t="shared" si="129"/>
        <v>20</v>
      </c>
      <c r="AA96" s="694">
        <f t="shared" si="142"/>
        <v>20</v>
      </c>
      <c r="AB96" s="694">
        <f t="shared" si="80"/>
        <v>2025</v>
      </c>
      <c r="AC96" s="1">
        <f t="shared" ca="1" si="135"/>
        <v>79</v>
      </c>
      <c r="AD96" s="1">
        <v>1</v>
      </c>
      <c r="AE96" s="1" t="str">
        <f t="shared" si="136"/>
        <v>S_TFHCV6</v>
      </c>
      <c r="AF96" s="1" t="str">
        <f t="shared" si="103"/>
        <v>S_TFHCV6ELC</v>
      </c>
      <c r="AG96" s="1" t="str">
        <f t="shared" si="104"/>
        <v>TFHCV6ELC-N_L</v>
      </c>
      <c r="AH96" s="1" t="str">
        <f t="shared" si="105"/>
        <v>TFHCV6ELC-N_U</v>
      </c>
      <c r="AI96" s="194">
        <v>0</v>
      </c>
      <c r="AJ96" s="699">
        <f>SUMIF(Analytica!$B$59:$B$137,B96,Analytica!$BA$59:$BA$192)</f>
        <v>0</v>
      </c>
      <c r="AK96" s="697" t="e">
        <f>IF($AP$10,BK96,#REF!)</f>
        <v>#REF!</v>
      </c>
      <c r="AL96" s="697">
        <f t="shared" si="143"/>
        <v>0</v>
      </c>
      <c r="AM96" s="697">
        <f t="shared" si="144"/>
        <v>0</v>
      </c>
      <c r="AN96" s="697">
        <f t="shared" si="145"/>
        <v>0</v>
      </c>
      <c r="AO96" s="697">
        <f t="shared" si="146"/>
        <v>0</v>
      </c>
      <c r="AP96" s="194">
        <v>1</v>
      </c>
      <c r="AQ96" s="650"/>
      <c r="AR96" s="697"/>
      <c r="AS96" s="697"/>
      <c r="AT96" s="697"/>
      <c r="AU96" s="697"/>
      <c r="AV96" s="697"/>
      <c r="AX96" s="614"/>
      <c r="AY96" s="697"/>
      <c r="AZ96" s="697"/>
      <c r="BA96" s="697"/>
      <c r="BB96" s="697"/>
      <c r="BC96" s="711"/>
      <c r="BD96" s="697"/>
      <c r="BE96" s="697"/>
      <c r="BF96" s="697"/>
      <c r="BG96" s="697"/>
      <c r="BH96" s="697"/>
      <c r="BJ96" s="614"/>
      <c r="BK96" s="697"/>
      <c r="BL96" s="697"/>
      <c r="BM96" s="697"/>
      <c r="BN96" s="697"/>
      <c r="BO96" s="697"/>
      <c r="BP96" s="194"/>
      <c r="BQ96" s="650"/>
      <c r="BR96" s="697"/>
      <c r="BS96" s="697"/>
      <c r="BT96" s="697"/>
      <c r="BU96" s="697"/>
      <c r="BV96" s="697"/>
      <c r="CK96" s="625"/>
      <c r="CL96" s="625"/>
      <c r="CM96" s="625"/>
      <c r="CN96" s="2"/>
      <c r="CO96" s="2"/>
      <c r="CP96" s="9"/>
    </row>
    <row r="97" spans="1:94" x14ac:dyDescent="0.2">
      <c r="A97" s="191" t="str">
        <f>ITEMS_nTech!C88</f>
        <v>Transport Freight - HCV7 Electricity-N</v>
      </c>
      <c r="B97" s="191" t="str">
        <f t="shared" si="102"/>
        <v>TFHCV7ELC-N</v>
      </c>
      <c r="C97" s="612" t="str">
        <f t="shared" si="140"/>
        <v>TRAELC</v>
      </c>
      <c r="D97" s="612" t="str">
        <f t="shared" si="141"/>
        <v>TFHCV7</v>
      </c>
      <c r="E97" s="702" cm="1">
        <f t="array" ref="E97">IFERROR(INDEX(Analytica!$F$59:$AY$138,MATCH($B97,Analytica!$B$59:$B$168,0),MATCH(E$15&amp;E$10,Analytica!$F$58:$AY$58&amp;Analytica!$F$51:'Analytica'!$AY$51,0)),"")</f>
        <v>0.23093099567508416</v>
      </c>
      <c r="F97" s="702" cm="1">
        <f t="array" ref="F97">IFERROR(INDEX(Analytica!$F$59:$AY$138,MATCH($B97,Analytica!$B$59:$B$168,0),MATCH(F$15&amp;F$10,Analytica!$F$58:$AY$58&amp;Analytica!$F$51:'Analytica'!$AY$51,0)),"")</f>
        <v>0.24402501798339188</v>
      </c>
      <c r="G97" s="702" cm="1">
        <f t="array" ref="G97">IFERROR(INDEX(Analytica!$F$59:$AY$138,MATCH($B97,Analytica!$B$59:$B$168,0),MATCH(G$15&amp;G$10,Analytica!$F$58:$AY$58&amp;Analytica!$F$51:'Analytica'!$AY$51,0)),"")</f>
        <v>0.26982513776715028</v>
      </c>
      <c r="H97" s="702" cm="1">
        <f t="array" ref="H97">IFERROR(INDEX(Analytica!$F$59:$AY$138,MATCH($B97,Analytica!$B$59:$B$168,0),MATCH(H$15&amp;H$10,Analytica!$F$58:$AY$58&amp;Analytica!$F$51:'Analytica'!$AY$51,0)),"")</f>
        <v>0.29835303598263324</v>
      </c>
      <c r="I97" s="701">
        <v>1</v>
      </c>
      <c r="J97" s="701">
        <v>1</v>
      </c>
      <c r="K97" s="701">
        <v>1</v>
      </c>
      <c r="L97" s="701">
        <v>1</v>
      </c>
      <c r="M97" s="701">
        <v>1</v>
      </c>
      <c r="N97" s="696">
        <f>IF(B97="","",MAX(N$18:N96)+1)</f>
        <v>69</v>
      </c>
      <c r="O97" s="702">
        <f t="array" ref="O97">IFERROR(INDEX(Analytica!$F$59:$AY$138,MATCH($B97,Analytica!$B$59:$B$168,0),MATCH(O$15&amp;O$10,Analytica!$F$58:$AY$58&amp;Analytica!$F$51:'Analytica'!$AY$51,0)),"")</f>
        <v>0.16</v>
      </c>
      <c r="P97" s="620">
        <f t="array" ref="P97">IFERROR(INDEX(Analytica!$F$59:$AY$138,MATCH($B97,Analytica!$B$59:$B$168,0),MATCH(P$15&amp;P$10,Analytica!$F$58:$AY$58&amp;Analytica!$F$51:'Analytica'!$AY$51,0)),"")</f>
        <v>4928.9743080670405</v>
      </c>
      <c r="Q97" s="620">
        <f t="array" ref="Q97">IFERROR(INDEX(Analytica!$F$59:$AY$138,MATCH($B97,Analytica!$B$59:$B$168,0),MATCH(Q$15&amp;Q$10,Analytica!$F$58:$AY$58&amp;Analytica!$F$51:'Analytica'!$AY$51,0)),"")</f>
        <v>3450.2820156469279</v>
      </c>
      <c r="R97" s="620">
        <f t="array" ref="R97">IFERROR(INDEX(Analytica!$F$59:$AY$138,MATCH($B97,Analytica!$B$59:$B$168,0),MATCH(R$15&amp;R$10,Analytica!$F$58:$AY$58&amp;Analytica!$F$51:'Analytica'!$AY$51,0)),"")</f>
        <v>2957.3845848402243</v>
      </c>
      <c r="S97" s="620">
        <f t="array" ref="S97">IFERROR(INDEX(Analytica!$F$59:$AY$138,MATCH($B97,Analytica!$B$59:$B$168,0),MATCH(S$15&amp;S$10,Analytica!$F$58:$AY$58&amp;Analytica!$F$51:'Analytica'!$AY$51,0)),"")</f>
        <v>2464.4871540335203</v>
      </c>
      <c r="T97" s="620">
        <f t="array" ref="T97">IFERROR(INDEX(Analytica!$F$59:$AY$138,MATCH($B97,Analytica!$B$59:$B$168,0),MATCH(T$15&amp;T$10,Analytica!$F$58:$AY$58&amp;Analytica!$F$51:'Analytica'!$AY$51,0)),"")</f>
        <v>2300.1880104312854</v>
      </c>
      <c r="U97" s="620">
        <f t="array" ref="U97">IFERROR(INDEX(Analytica!$F$59:$AY$138,MATCH($B97,Analytica!$B$59:$B$168,0),MATCH(U$15&amp;U$10,Analytica!$F$58:$AY$58&amp;Analytica!$F$51:'Analytica'!$AY$51,0)),"")</f>
        <v>1215.8917526997081</v>
      </c>
      <c r="V97" s="620">
        <f t="array" ref="V97">IFERROR(INDEX(Analytica!$F$59:$AY$138,MATCH($B97,Analytica!$B$59:$B$168,0),MATCH(V$15&amp;V$10,Analytica!$F$58:$AY$58&amp;Analytica!$F$51:'Analytica'!$AY$51,0)),"")</f>
        <v>99.81172973835757</v>
      </c>
      <c r="W97" s="620">
        <f t="array" ref="W97">IFERROR(INDEX(Analytica!$F$59:$AY$138,MATCH($B97,Analytica!$B$59:$B$168,0),MATCH(W$15&amp;W$10,Analytica!$F$58:$AY$58&amp;Analytica!$F$51:'Analytica'!$AY$51,0)),"")</f>
        <v>59.887037843014546</v>
      </c>
      <c r="X97" s="620">
        <f t="array" ref="X97">IFERROR(INDEX(Analytica!$F$59:$AY$138,MATCH($B97,Analytica!$B$59:$B$168,0),MATCH(X$15&amp;X$10,Analytica!$F$58:$AY$58&amp;Analytica!$F$51:'Analytica'!$AY$51,0)),"")</f>
        <v>46.578807211233531</v>
      </c>
      <c r="Y97" s="620">
        <f t="array" ref="Y97">IFERROR(INDEX(Analytica!$F$59:$AY$138,MATCH($B97,Analytica!$B$59:$B$168,0),MATCH(Y$15&amp;Y$10,Analytica!$F$58:$AY$58&amp;Analytica!$F$51:'Analytica'!$AY$51,0)),"")</f>
        <v>24.621807992169092</v>
      </c>
      <c r="Z97" s="694">
        <f t="shared" si="129"/>
        <v>20</v>
      </c>
      <c r="AA97" s="694">
        <f t="shared" si="142"/>
        <v>20</v>
      </c>
      <c r="AB97" s="694">
        <f t="shared" si="80"/>
        <v>2025</v>
      </c>
      <c r="AC97" s="1">
        <f t="shared" ca="1" si="135"/>
        <v>80</v>
      </c>
      <c r="AD97" s="1">
        <v>1</v>
      </c>
      <c r="AE97" s="1" t="str">
        <f t="shared" si="136"/>
        <v>S_TFHCV7</v>
      </c>
      <c r="AF97" s="1" t="str">
        <f t="shared" si="103"/>
        <v>S_TFHCV7ELC</v>
      </c>
      <c r="AG97" s="1" t="str">
        <f t="shared" si="104"/>
        <v>TFHCV7ELC-N_L</v>
      </c>
      <c r="AH97" s="1" t="str">
        <f t="shared" si="105"/>
        <v>TFHCV7ELC-N_U</v>
      </c>
      <c r="AI97" s="194">
        <v>0</v>
      </c>
      <c r="AJ97" s="699">
        <f>SUMIF(Analytica!$B$59:$B$137,B97,Analytica!$BA$59:$BA$192)</f>
        <v>0</v>
      </c>
      <c r="AK97" s="697" t="e">
        <f>IF($AP$10,BK97,#REF!)</f>
        <v>#REF!</v>
      </c>
      <c r="AL97" s="697">
        <f t="shared" si="143"/>
        <v>0</v>
      </c>
      <c r="AM97" s="697">
        <f t="shared" si="144"/>
        <v>0</v>
      </c>
      <c r="AN97" s="697">
        <f t="shared" si="145"/>
        <v>0</v>
      </c>
      <c r="AO97" s="697">
        <f t="shared" si="146"/>
        <v>0</v>
      </c>
      <c r="AP97" s="194">
        <v>1</v>
      </c>
      <c r="AQ97" s="650"/>
      <c r="AR97" s="697"/>
      <c r="AS97" s="697"/>
      <c r="AT97" s="697"/>
      <c r="AU97" s="697"/>
      <c r="AV97" s="697"/>
      <c r="AX97" s="614"/>
      <c r="AY97" s="697"/>
      <c r="AZ97" s="697"/>
      <c r="BA97" s="697"/>
      <c r="BB97" s="697"/>
      <c r="BC97" s="711"/>
      <c r="BD97" s="697"/>
      <c r="BE97" s="697"/>
      <c r="BF97" s="697"/>
      <c r="BG97" s="697"/>
      <c r="BH97" s="697"/>
      <c r="BJ97" s="614"/>
      <c r="BK97" s="697"/>
      <c r="BL97" s="697"/>
      <c r="BM97" s="697"/>
      <c r="BN97" s="697"/>
      <c r="BO97" s="697"/>
      <c r="BP97" s="194"/>
      <c r="BQ97" s="650"/>
      <c r="BR97" s="697"/>
      <c r="BS97" s="697"/>
      <c r="BT97" s="697"/>
      <c r="BU97" s="697"/>
      <c r="BV97" s="697"/>
      <c r="CK97" s="625"/>
      <c r="CL97" s="625"/>
      <c r="CM97" s="625"/>
      <c r="CN97" s="2"/>
      <c r="CO97" s="2"/>
      <c r="CP97" s="9"/>
    </row>
    <row r="98" spans="1:94" x14ac:dyDescent="0.2">
      <c r="A98" s="191" t="str">
        <f>ITEMS_nTech!C89</f>
        <v>Transport Freight - HCV8 Electricity-N</v>
      </c>
      <c r="B98" s="191" t="str">
        <f t="shared" si="102"/>
        <v>TFHCV8ELC-N</v>
      </c>
      <c r="C98" s="612" t="str">
        <f t="shared" si="140"/>
        <v>TRAELC</v>
      </c>
      <c r="D98" s="612" t="str">
        <f t="shared" si="141"/>
        <v>TFHCV8</v>
      </c>
      <c r="E98" s="702" cm="1">
        <f t="array" ref="E98">IFERROR(INDEX(Analytica!$F$59:$AY$138,MATCH($B98,Analytica!$B$59:$B$168,0),MATCH(E$15&amp;E$10,Analytica!$F$58:$AY$58&amp;Analytica!$F$51:'Analytica'!$AY$51,0)),"")</f>
        <v>0.22723889739501718</v>
      </c>
      <c r="F98" s="702" cm="1">
        <f t="array" ref="F98">IFERROR(INDEX(Analytica!$F$59:$AY$138,MATCH($B98,Analytica!$B$59:$B$168,0),MATCH(F$15&amp;F$10,Analytica!$F$58:$AY$58&amp;Analytica!$F$51:'Analytica'!$AY$51,0)),"")</f>
        <v>0.24012357397603376</v>
      </c>
      <c r="G98" s="702" cm="1">
        <f t="array" ref="G98">IFERROR(INDEX(Analytica!$F$59:$AY$138,MATCH($B98,Analytica!$B$59:$B$168,0),MATCH(G$15&amp;G$10,Analytica!$F$58:$AY$58&amp;Analytica!$F$51:'Analytica'!$AY$51,0)),"")</f>
        <v>0.26551120440295778</v>
      </c>
      <c r="H98" s="702" cm="1">
        <f t="array" ref="H98">IFERROR(INDEX(Analytica!$F$59:$AY$138,MATCH($B98,Analytica!$B$59:$B$168,0),MATCH(H$15&amp;H$10,Analytica!$F$58:$AY$58&amp;Analytica!$F$51:'Analytica'!$AY$51,0)),"")</f>
        <v>0.29358300185280983</v>
      </c>
      <c r="I98" s="701">
        <v>1</v>
      </c>
      <c r="J98" s="701">
        <v>1</v>
      </c>
      <c r="K98" s="701">
        <v>1</v>
      </c>
      <c r="L98" s="701">
        <v>1</v>
      </c>
      <c r="M98" s="701">
        <v>1</v>
      </c>
      <c r="N98" s="696">
        <f>IF(B98="","",MAX(N$18:N97)+1)</f>
        <v>70</v>
      </c>
      <c r="O98" s="702">
        <f t="array" ref="O98">IFERROR(INDEX(Analytica!$F$59:$AY$138,MATCH($B98,Analytica!$B$59:$B$168,0),MATCH(O$15&amp;O$10,Analytica!$F$58:$AY$58&amp;Analytica!$F$51:'Analytica'!$AY$51,0)),"")</f>
        <v>0.16</v>
      </c>
      <c r="P98" s="620">
        <f t="array" ref="P98">IFERROR(INDEX(Analytica!$F$59:$AY$138,MATCH($B98,Analytica!$B$59:$B$168,0),MATCH(P$15&amp;P$10,Analytica!$F$58:$AY$58&amp;Analytica!$F$51:'Analytica'!$AY$51,0)),"")</f>
        <v>4928.9743080670405</v>
      </c>
      <c r="Q98" s="620">
        <f t="array" ref="Q98">IFERROR(INDEX(Analytica!$F$59:$AY$138,MATCH($B98,Analytica!$B$59:$B$168,0),MATCH(Q$15&amp;Q$10,Analytica!$F$58:$AY$58&amp;Analytica!$F$51:'Analytica'!$AY$51,0)),"")</f>
        <v>3450.2820156469279</v>
      </c>
      <c r="R98" s="620">
        <f t="array" ref="R98">IFERROR(INDEX(Analytica!$F$59:$AY$138,MATCH($B98,Analytica!$B$59:$B$168,0),MATCH(R$15&amp;R$10,Analytica!$F$58:$AY$58&amp;Analytica!$F$51:'Analytica'!$AY$51,0)),"")</f>
        <v>2957.3845848402243</v>
      </c>
      <c r="S98" s="620">
        <f t="array" ref="S98">IFERROR(INDEX(Analytica!$F$59:$AY$138,MATCH($B98,Analytica!$B$59:$B$168,0),MATCH(S$15&amp;S$10,Analytica!$F$58:$AY$58&amp;Analytica!$F$51:'Analytica'!$AY$51,0)),"")</f>
        <v>2464.4871540335203</v>
      </c>
      <c r="T98" s="620">
        <f t="array" ref="T98">IFERROR(INDEX(Analytica!$F$59:$AY$138,MATCH($B98,Analytica!$B$59:$B$168,0),MATCH(T$15&amp;T$10,Analytica!$F$58:$AY$58&amp;Analytica!$F$51:'Analytica'!$AY$51,0)),"")</f>
        <v>2300.1880104312854</v>
      </c>
      <c r="U98" s="620">
        <f t="array" ref="U98">IFERROR(INDEX(Analytica!$F$59:$AY$138,MATCH($B98,Analytica!$B$59:$B$168,0),MATCH(U$15&amp;U$10,Analytica!$F$58:$AY$58&amp;Analytica!$F$51:'Analytica'!$AY$51,0)),"")</f>
        <v>1215.8917526997081</v>
      </c>
      <c r="V98" s="620">
        <f t="array" ref="V98">IFERROR(INDEX(Analytica!$F$59:$AY$138,MATCH($B98,Analytica!$B$59:$B$168,0),MATCH(V$15&amp;V$10,Analytica!$F$58:$AY$58&amp;Analytica!$F$51:'Analytica'!$AY$51,0)),"")</f>
        <v>99.81172973835757</v>
      </c>
      <c r="W98" s="620">
        <f t="array" ref="W98">IFERROR(INDEX(Analytica!$F$59:$AY$138,MATCH($B98,Analytica!$B$59:$B$168,0),MATCH(W$15&amp;W$10,Analytica!$F$58:$AY$58&amp;Analytica!$F$51:'Analytica'!$AY$51,0)),"")</f>
        <v>59.887037843014546</v>
      </c>
      <c r="X98" s="620">
        <f t="array" ref="X98">IFERROR(INDEX(Analytica!$F$59:$AY$138,MATCH($B98,Analytica!$B$59:$B$168,0),MATCH(X$15&amp;X$10,Analytica!$F$58:$AY$58&amp;Analytica!$F$51:'Analytica'!$AY$51,0)),"")</f>
        <v>46.578807211233531</v>
      </c>
      <c r="Y98" s="620">
        <f t="array" ref="Y98">IFERROR(INDEX(Analytica!$F$59:$AY$138,MATCH($B98,Analytica!$B$59:$B$168,0),MATCH(Y$15&amp;Y$10,Analytica!$F$58:$AY$58&amp;Analytica!$F$51:'Analytica'!$AY$51,0)),"")</f>
        <v>24.621807992169092</v>
      </c>
      <c r="Z98" s="694">
        <f t="shared" si="129"/>
        <v>20</v>
      </c>
      <c r="AA98" s="694">
        <f t="shared" si="142"/>
        <v>20</v>
      </c>
      <c r="AB98" s="694">
        <f t="shared" si="80"/>
        <v>2025</v>
      </c>
      <c r="AC98" s="1">
        <f t="shared" ca="1" si="135"/>
        <v>81</v>
      </c>
      <c r="AD98" s="1">
        <v>1</v>
      </c>
      <c r="AE98" s="1" t="str">
        <f t="shared" si="136"/>
        <v>S_TFHCV8</v>
      </c>
      <c r="AF98" s="1" t="str">
        <f t="shared" si="103"/>
        <v>S_TFHCV8ELC</v>
      </c>
      <c r="AG98" s="1" t="str">
        <f t="shared" si="104"/>
        <v>TFHCV8ELC-N_L</v>
      </c>
      <c r="AH98" s="1" t="str">
        <f t="shared" si="105"/>
        <v>TFHCV8ELC-N_U</v>
      </c>
      <c r="AI98" s="194">
        <v>0</v>
      </c>
      <c r="AJ98" s="699">
        <f>SUMIF(Analytica!$B$59:$B$137,B98,Analytica!$BA$59:$BA$192)</f>
        <v>0</v>
      </c>
      <c r="AK98" s="697" t="e">
        <f>IF($AP$10,BK98,#REF!)</f>
        <v>#REF!</v>
      </c>
      <c r="AL98" s="697">
        <f t="shared" si="143"/>
        <v>0</v>
      </c>
      <c r="AM98" s="697">
        <f t="shared" si="144"/>
        <v>0</v>
      </c>
      <c r="AN98" s="697">
        <f t="shared" si="145"/>
        <v>0</v>
      </c>
      <c r="AO98" s="697">
        <f t="shared" si="146"/>
        <v>0</v>
      </c>
      <c r="AP98" s="194">
        <v>1</v>
      </c>
      <c r="AQ98" s="650"/>
      <c r="AR98" s="697"/>
      <c r="AS98" s="697"/>
      <c r="AT98" s="697"/>
      <c r="AU98" s="697"/>
      <c r="AV98" s="697"/>
      <c r="AX98" s="614"/>
      <c r="AY98" s="697"/>
      <c r="AZ98" s="697"/>
      <c r="BA98" s="697"/>
      <c r="BB98" s="697"/>
      <c r="BC98" s="711"/>
      <c r="BD98" s="697"/>
      <c r="BE98" s="697"/>
      <c r="BF98" s="697"/>
      <c r="BG98" s="697"/>
      <c r="BH98" s="697"/>
      <c r="BJ98" s="614"/>
      <c r="BK98" s="697"/>
      <c r="BL98" s="697"/>
      <c r="BM98" s="697"/>
      <c r="BN98" s="697"/>
      <c r="BO98" s="697"/>
      <c r="BP98" s="194"/>
      <c r="BQ98" s="650"/>
      <c r="BR98" s="697"/>
      <c r="BS98" s="697"/>
      <c r="BT98" s="697"/>
      <c r="BU98" s="697"/>
      <c r="BV98" s="697"/>
      <c r="CK98" s="625"/>
      <c r="CL98" s="625"/>
      <c r="CM98" s="625"/>
      <c r="CN98" s="2"/>
      <c r="CO98" s="2"/>
      <c r="CP98" s="9"/>
    </row>
    <row r="99" spans="1:94" x14ac:dyDescent="0.2">
      <c r="A99" s="191" t="str">
        <f>ITEMS_nTech!C90</f>
        <v>Transport Freight - HCV9 Electricity-N</v>
      </c>
      <c r="B99" s="191" t="str">
        <f t="shared" si="102"/>
        <v>TFHCV9ELC-N</v>
      </c>
      <c r="C99" s="612" t="str">
        <f t="shared" si="140"/>
        <v>TRAELC</v>
      </c>
      <c r="D99" s="612" t="str">
        <f t="shared" si="141"/>
        <v>TFHCV9</v>
      </c>
      <c r="E99" s="702" cm="1">
        <f t="array" ref="E99">IFERROR(INDEX(Analytica!$F$59:$AY$138,MATCH($B99,Analytica!$B$59:$B$168,0),MATCH(E$15&amp;E$10,Analytica!$F$58:$AY$58&amp;Analytica!$F$51:'Analytica'!$AY$51,0)),"")</f>
        <v>0.17856113008089788</v>
      </c>
      <c r="F99" s="702" cm="1">
        <f t="array" ref="F99">IFERROR(INDEX(Analytica!$F$59:$AY$138,MATCH($B99,Analytica!$B$59:$B$168,0),MATCH(F$15&amp;F$10,Analytica!$F$58:$AY$58&amp;Analytica!$F$51:'Analytica'!$AY$51,0)),"")</f>
        <v>0.18868572775060849</v>
      </c>
      <c r="G99" s="702" cm="1">
        <f t="array" ref="G99">IFERROR(INDEX(Analytica!$F$59:$AY$138,MATCH($B99,Analytica!$B$59:$B$168,0),MATCH(G$15&amp;G$10,Analytica!$F$58:$AY$58&amp;Analytica!$F$51:'Analytica'!$AY$51,0)),"")</f>
        <v>0.20863497073266474</v>
      </c>
      <c r="H99" s="702" cm="1">
        <f t="array" ref="H99">IFERROR(INDEX(Analytica!$F$59:$AY$138,MATCH($B99,Analytica!$B$59:$B$168,0),MATCH(H$15&amp;H$10,Analytica!$F$58:$AY$58&amp;Analytica!$F$51:'Analytica'!$AY$51,0)),"")</f>
        <v>0.23069339441588738</v>
      </c>
      <c r="I99" s="701">
        <v>1</v>
      </c>
      <c r="J99" s="701">
        <v>1</v>
      </c>
      <c r="K99" s="701">
        <v>1</v>
      </c>
      <c r="L99" s="701">
        <v>1</v>
      </c>
      <c r="M99" s="701">
        <v>1</v>
      </c>
      <c r="N99" s="696">
        <f>IF(B99="","",MAX(N$18:N98)+1)</f>
        <v>71</v>
      </c>
      <c r="O99" s="702">
        <f t="array" ref="O99">IFERROR(INDEX(Analytica!$F$59:$AY$138,MATCH($B99,Analytica!$B$59:$B$168,0),MATCH(O$15&amp;O$10,Analytica!$F$58:$AY$58&amp;Analytica!$F$51:'Analytica'!$AY$51,0)),"")</f>
        <v>0.18</v>
      </c>
      <c r="P99" s="620">
        <f t="array" ref="P99">IFERROR(INDEX(Analytica!$F$59:$AY$138,MATCH($B99,Analytica!$B$59:$B$168,0),MATCH(P$15&amp;P$10,Analytica!$F$58:$AY$58&amp;Analytica!$F$51:'Analytica'!$AY$51,0)),"")</f>
        <v>4928.9743080670405</v>
      </c>
      <c r="Q99" s="620">
        <f t="array" ref="Q99">IFERROR(INDEX(Analytica!$F$59:$AY$138,MATCH($B99,Analytica!$B$59:$B$168,0),MATCH(Q$15&amp;Q$10,Analytica!$F$58:$AY$58&amp;Analytica!$F$51:'Analytica'!$AY$51,0)),"")</f>
        <v>3450.2820156469279</v>
      </c>
      <c r="R99" s="620">
        <f t="array" ref="R99">IFERROR(INDEX(Analytica!$F$59:$AY$138,MATCH($B99,Analytica!$B$59:$B$168,0),MATCH(R$15&amp;R$10,Analytica!$F$58:$AY$58&amp;Analytica!$F$51:'Analytica'!$AY$51,0)),"")</f>
        <v>2957.3845848402243</v>
      </c>
      <c r="S99" s="620">
        <f t="array" ref="S99">IFERROR(INDEX(Analytica!$F$59:$AY$138,MATCH($B99,Analytica!$B$59:$B$168,0),MATCH(S$15&amp;S$10,Analytica!$F$58:$AY$58&amp;Analytica!$F$51:'Analytica'!$AY$51,0)),"")</f>
        <v>2464.4871540335203</v>
      </c>
      <c r="T99" s="620">
        <f t="array" ref="T99">IFERROR(INDEX(Analytica!$F$59:$AY$138,MATCH($B99,Analytica!$B$59:$B$168,0),MATCH(T$15&amp;T$10,Analytica!$F$58:$AY$58&amp;Analytica!$F$51:'Analytica'!$AY$51,0)),"")</f>
        <v>2300.1880104312854</v>
      </c>
      <c r="U99" s="620">
        <f t="array" ref="U99">IFERROR(INDEX(Analytica!$F$59:$AY$138,MATCH($B99,Analytica!$B$59:$B$168,0),MATCH(U$15&amp;U$10,Analytica!$F$58:$AY$58&amp;Analytica!$F$51:'Analytica'!$AY$51,0)),"")</f>
        <v>1215.8917526997081</v>
      </c>
      <c r="V99" s="620">
        <f t="array" ref="V99">IFERROR(INDEX(Analytica!$F$59:$AY$138,MATCH($B99,Analytica!$B$59:$B$168,0),MATCH(V$15&amp;V$10,Analytica!$F$58:$AY$58&amp;Analytica!$F$51:'Analytica'!$AY$51,0)),"")</f>
        <v>99.81172973835757</v>
      </c>
      <c r="W99" s="620">
        <f t="array" ref="W99">IFERROR(INDEX(Analytica!$F$59:$AY$138,MATCH($B99,Analytica!$B$59:$B$168,0),MATCH(W$15&amp;W$10,Analytica!$F$58:$AY$58&amp;Analytica!$F$51:'Analytica'!$AY$51,0)),"")</f>
        <v>59.887037843014546</v>
      </c>
      <c r="X99" s="620">
        <f t="array" ref="X99">IFERROR(INDEX(Analytica!$F$59:$AY$138,MATCH($B99,Analytica!$B$59:$B$168,0),MATCH(X$15&amp;X$10,Analytica!$F$58:$AY$58&amp;Analytica!$F$51:'Analytica'!$AY$51,0)),"")</f>
        <v>46.578807211233531</v>
      </c>
      <c r="Y99" s="620">
        <f t="array" ref="Y99">IFERROR(INDEX(Analytica!$F$59:$AY$138,MATCH($B99,Analytica!$B$59:$B$168,0),MATCH(Y$15&amp;Y$10,Analytica!$F$58:$AY$58&amp;Analytica!$F$51:'Analytica'!$AY$51,0)),"")</f>
        <v>24.621807992169092</v>
      </c>
      <c r="Z99" s="694">
        <f t="shared" si="129"/>
        <v>20</v>
      </c>
      <c r="AA99" s="694">
        <f t="shared" si="142"/>
        <v>20</v>
      </c>
      <c r="AB99" s="694">
        <f t="shared" si="80"/>
        <v>2025</v>
      </c>
      <c r="AC99" s="1">
        <f t="shared" ca="1" si="135"/>
        <v>82</v>
      </c>
      <c r="AD99" s="1">
        <v>1</v>
      </c>
      <c r="AE99" s="1" t="str">
        <f t="shared" si="136"/>
        <v>S_TFHCV9</v>
      </c>
      <c r="AF99" s="1" t="str">
        <f t="shared" si="103"/>
        <v>S_TFHCV9ELC</v>
      </c>
      <c r="AG99" s="1" t="str">
        <f t="shared" si="104"/>
        <v>TFHCV9ELC-N_L</v>
      </c>
      <c r="AH99" s="1" t="str">
        <f t="shared" si="105"/>
        <v>TFHCV9ELC-N_U</v>
      </c>
      <c r="AI99" s="194">
        <v>0</v>
      </c>
      <c r="AJ99" s="699">
        <f>SUMIF(Analytica!$B$59:$B$137,B99,Analytica!$BA$59:$BA$192)</f>
        <v>0</v>
      </c>
      <c r="AK99" s="697" t="e">
        <f>IF($AP$10,BK99,#REF!)</f>
        <v>#REF!</v>
      </c>
      <c r="AL99" s="697">
        <f t="shared" si="143"/>
        <v>0</v>
      </c>
      <c r="AM99" s="697">
        <f t="shared" si="144"/>
        <v>0</v>
      </c>
      <c r="AN99" s="697">
        <f t="shared" si="145"/>
        <v>0</v>
      </c>
      <c r="AO99" s="697">
        <f t="shared" si="146"/>
        <v>0</v>
      </c>
      <c r="AP99" s="194">
        <v>1</v>
      </c>
      <c r="AQ99" s="650"/>
      <c r="AR99" s="697"/>
      <c r="AS99" s="697"/>
      <c r="AT99" s="697"/>
      <c r="AU99" s="697"/>
      <c r="AV99" s="697"/>
      <c r="AX99" s="614"/>
      <c r="AY99" s="697"/>
      <c r="AZ99" s="697"/>
      <c r="BA99" s="697"/>
      <c r="BB99" s="697"/>
      <c r="BC99" s="711"/>
      <c r="BD99" s="697"/>
      <c r="BE99" s="697"/>
      <c r="BF99" s="697"/>
      <c r="BG99" s="697"/>
      <c r="BH99" s="697"/>
      <c r="BJ99" s="614"/>
      <c r="BK99" s="697"/>
      <c r="BL99" s="697"/>
      <c r="BM99" s="697"/>
      <c r="BN99" s="697"/>
      <c r="BO99" s="697"/>
      <c r="BP99" s="194"/>
      <c r="BQ99" s="650"/>
      <c r="BR99" s="697"/>
      <c r="BS99" s="697"/>
      <c r="BT99" s="697"/>
      <c r="BU99" s="697"/>
      <c r="BV99" s="697"/>
      <c r="CK99" s="625"/>
      <c r="CL99" s="625"/>
      <c r="CM99" s="625"/>
      <c r="CN99" s="2"/>
      <c r="CO99" s="2"/>
      <c r="CP99" s="9"/>
    </row>
    <row r="100" spans="1:94" s="61" customFormat="1" ht="15" x14ac:dyDescent="0.25">
      <c r="A100" s="191" t="str">
        <f>ITEMS_nTech!C91</f>
        <v>Transport Freight - HCV2 Hydrogen-N</v>
      </c>
      <c r="B100" s="191" t="str">
        <f t="shared" si="102"/>
        <v>TFHCV2HGN-N</v>
      </c>
      <c r="C100" s="612" t="s">
        <v>1130</v>
      </c>
      <c r="D100" s="612" t="str">
        <f>TRP!B33</f>
        <v>TFHCV2</v>
      </c>
      <c r="E100" s="702">
        <f t="array" ref="E100">IFERROR(INDEX(Analytica!$F$59:$AY$138,MATCH($B100,Analytica!$B$59:$B$168,0),MATCH(E$15&amp;E$10,Analytica!$F$58:$AY$58&amp;Analytica!$F$51:'Analytica'!$AY$51,0)),"")</f>
        <v>0.29021815683943175</v>
      </c>
      <c r="F100" s="702">
        <f t="array" ref="F100">IFERROR(INDEX(Analytica!$F$59:$AY$138,MATCH($B100,Analytica!$B$59:$B$168,0),MATCH(F$15&amp;F$10,Analytica!$F$58:$AY$58&amp;Analytica!$F$51:'Analytica'!$AY$51,0)),"")</f>
        <v>0.3066738214799557</v>
      </c>
      <c r="G100" s="702">
        <f t="array" ref="G100">IFERROR(INDEX(Analytica!$F$59:$AY$138,MATCH($B100,Analytica!$B$59:$B$168,0),MATCH(G$15&amp;G$10,Analytica!$F$58:$AY$58&amp;Analytica!$F$51:'Analytica'!$AY$51,0)),"")</f>
        <v>0.33909763357148603</v>
      </c>
      <c r="H100" s="702">
        <f t="array" ref="H100">IFERROR(INDEX(Analytica!$F$59:$AY$138,MATCH($B100,Analytica!$B$59:$B$168,0),MATCH(H$15&amp;H$10,Analytica!$F$58:$AY$58&amp;Analytica!$F$51:'Analytica'!$AY$51,0)),"")</f>
        <v>0.37494952956490746</v>
      </c>
      <c r="I100" s="701">
        <v>1</v>
      </c>
      <c r="J100" s="701">
        <v>1</v>
      </c>
      <c r="K100" s="701">
        <v>1</v>
      </c>
      <c r="L100" s="701">
        <v>1</v>
      </c>
      <c r="M100" s="701">
        <v>1</v>
      </c>
      <c r="N100" s="696">
        <f>IF(B100="","",MAX(N$18:N99)+1)</f>
        <v>72</v>
      </c>
      <c r="O100" s="702">
        <f t="array" ref="O100">IFERROR(INDEX(Analytica!$F$59:$AY$138,MATCH($B100,Analytica!$B$59:$B$168,0),MATCH(O$15&amp;O$10,Analytica!$F$58:$AY$58&amp;Analytica!$F$51:'Analytica'!$AY$51,0)),"")</f>
        <v>4.8000000000000001E-2</v>
      </c>
      <c r="P100" s="620">
        <f t="array" ref="P100">IFERROR(INDEX(Analytica!$F$59:$AY$138,MATCH($B100,Analytica!$B$59:$B$168,0),MATCH(P$15&amp;P$10,Analytica!$F$58:$AY$58&amp;Analytica!$F$51:'Analytica'!$AY$51,0)),"")</f>
        <v>1080.9827502171779</v>
      </c>
      <c r="Q100" s="620">
        <f t="array" ref="Q100">IFERROR(INDEX(Analytica!$F$59:$AY$138,MATCH($B100,Analytica!$B$59:$B$168,0),MATCH(Q$15&amp;Q$10,Analytica!$F$58:$AY$58&amp;Analytica!$F$51:'Analytica'!$AY$51,0)),"")</f>
        <v>851.67291194386314</v>
      </c>
      <c r="R100" s="620">
        <f t="array" ref="R100">IFERROR(INDEX(Analytica!$F$59:$AY$138,MATCH($B100,Analytica!$B$59:$B$168,0),MATCH(R$15&amp;R$10,Analytica!$F$58:$AY$58&amp;Analytica!$F$51:'Analytica'!$AY$51,0)),"")</f>
        <v>622.36307367054837</v>
      </c>
      <c r="S100" s="620">
        <f t="array" ref="S100">IFERROR(INDEX(Analytica!$F$59:$AY$138,MATCH($B100,Analytica!$B$59:$B$168,0),MATCH(S$15&amp;S$10,Analytica!$F$58:$AY$58&amp;Analytica!$F$51:'Analytica'!$AY$51,0)),"")</f>
        <v>593.95867654201027</v>
      </c>
      <c r="T100" s="620">
        <f t="array" ref="T100">IFERROR(INDEX(Analytica!$F$59:$AY$138,MATCH($B100,Analytica!$B$59:$B$168,0),MATCH(T$15&amp;T$10,Analytica!$F$58:$AY$58&amp;Analytica!$F$51:'Analytica'!$AY$51,0)),"")</f>
        <v>565.55427941347216</v>
      </c>
      <c r="U100" s="620">
        <f t="array" ref="U100">IFERROR(INDEX(Analytica!$F$59:$AY$138,MATCH($B100,Analytica!$B$59:$B$168,0),MATCH(U$15&amp;U$10,Analytica!$F$58:$AY$58&amp;Analytica!$F$51:'Analytica'!$AY$51,0)),"")</f>
        <v>551.67118115070787</v>
      </c>
      <c r="V100" s="620">
        <f t="array" ref="V100">IFERROR(INDEX(Analytica!$F$59:$AY$138,MATCH($B100,Analytica!$B$59:$B$168,0),MATCH(V$15&amp;V$10,Analytica!$F$58:$AY$58&amp;Analytica!$F$51:'Analytica'!$AY$51,0)),"")</f>
        <v>29.186534255863805</v>
      </c>
      <c r="W100" s="620">
        <f t="array" ref="W100">IFERROR(INDEX(Analytica!$F$59:$AY$138,MATCH($B100,Analytica!$B$59:$B$168,0),MATCH(W$15&amp;W$10,Analytica!$F$58:$AY$58&amp;Analytica!$F$51:'Analytica'!$AY$51,0)),"")</f>
        <v>16.803802989104806</v>
      </c>
      <c r="X100" s="620">
        <f t="array" ref="X100">IFERROR(INDEX(Analytica!$F$59:$AY$138,MATCH($B100,Analytica!$B$59:$B$168,0),MATCH(X$15&amp;X$10,Analytica!$F$58:$AY$58&amp;Analytica!$F$51:'Analytica'!$AY$51,0)),"")</f>
        <v>15.269965544163748</v>
      </c>
      <c r="Y100" s="620">
        <f t="array" ref="Y100">IFERROR(INDEX(Analytica!$F$59:$AY$138,MATCH($B100,Analytica!$B$59:$B$168,0),MATCH(Y$15&amp;Y$10,Analytica!$F$58:$AY$58&amp;Analytica!$F$51:'Analytica'!$AY$51,0)),"")</f>
        <v>14.895121891069111</v>
      </c>
      <c r="Z100" s="694">
        <f>Z93</f>
        <v>20</v>
      </c>
      <c r="AA100" s="694">
        <f t="shared" si="134"/>
        <v>20</v>
      </c>
      <c r="AB100" s="694">
        <f t="shared" si="80"/>
        <v>2025</v>
      </c>
      <c r="AC100" s="61">
        <f t="shared" ca="1" si="135"/>
        <v>83</v>
      </c>
      <c r="AD100" s="1">
        <v>1</v>
      </c>
      <c r="AE100" s="166" t="str">
        <f t="shared" si="136"/>
        <v>S_TFHCV2</v>
      </c>
      <c r="AF100" s="166" t="str">
        <f t="shared" si="103"/>
        <v>S_TFHCV2HGN</v>
      </c>
      <c r="AG100" s="166" t="str">
        <f t="shared" si="104"/>
        <v>TFHCV2HGN-N_L</v>
      </c>
      <c r="AH100" s="166" t="str">
        <f t="shared" si="105"/>
        <v>TFHCV2HGN-N_U</v>
      </c>
      <c r="AI100" s="166">
        <v>0</v>
      </c>
      <c r="AJ100" s="710">
        <f>SUMIF(Analytica!$B$59:$B$137,B100,Analytica!$BA$59:$BA$192)</f>
        <v>0</v>
      </c>
      <c r="AK100" s="61" t="e">
        <f>IF($AP$10,BK100,#REF!)</f>
        <v>#REF!</v>
      </c>
      <c r="AL100" s="61" t="e">
        <f t="shared" si="106"/>
        <v>#REF!</v>
      </c>
      <c r="AM100" s="61" t="e">
        <f t="shared" si="107"/>
        <v>#REF!</v>
      </c>
      <c r="AN100" s="80">
        <f t="shared" si="108"/>
        <v>1</v>
      </c>
      <c r="AO100" s="80">
        <f t="shared" si="109"/>
        <v>1</v>
      </c>
      <c r="AP100" s="80">
        <v>1</v>
      </c>
      <c r="AQ100" s="80">
        <f t="shared" si="110"/>
        <v>0</v>
      </c>
      <c r="AR100" s="80" t="e">
        <f>IF($AP$10,BR100,#REF!)</f>
        <v>#REF!</v>
      </c>
      <c r="AS100" s="61" t="e">
        <f t="shared" si="111"/>
        <v>#REF!</v>
      </c>
      <c r="AT100" s="74">
        <f t="shared" si="112"/>
        <v>0</v>
      </c>
      <c r="AU100" s="61">
        <f t="shared" si="113"/>
        <v>0</v>
      </c>
      <c r="AV100" s="61">
        <f t="shared" si="114"/>
        <v>0</v>
      </c>
      <c r="AX100" s="61">
        <f t="shared" si="115"/>
        <v>0</v>
      </c>
      <c r="AY100" s="171" t="e">
        <f>IF(#REF!&lt;&gt;"",(AY$11-#REF!)/(BA$11-#REF!)*(BA100-#REF!)+#REF!,"")</f>
        <v>#REF!</v>
      </c>
      <c r="AZ100" s="171" t="e">
        <f t="shared" si="137"/>
        <v>#REF!</v>
      </c>
      <c r="BA100" s="171">
        <f t="shared" si="131"/>
        <v>1</v>
      </c>
      <c r="BB100" s="171">
        <f t="shared" si="131"/>
        <v>1</v>
      </c>
      <c r="BC100" s="171"/>
      <c r="BD100" s="171">
        <f t="shared" si="138"/>
        <v>0</v>
      </c>
      <c r="BE100" s="171" t="e">
        <f>IF(#REF!&lt;&gt;"",(BE$11-#REF!)/(BG$11-#REF!)*(BG100-#REF!)+#REF!,"")</f>
        <v>#REF!</v>
      </c>
      <c r="BF100" s="697">
        <f t="shared" si="132"/>
        <v>0</v>
      </c>
      <c r="BG100" s="697">
        <f t="shared" si="132"/>
        <v>0</v>
      </c>
      <c r="BH100" s="697">
        <f t="shared" si="132"/>
        <v>0</v>
      </c>
      <c r="BJ100" s="61">
        <f t="shared" si="116"/>
        <v>0</v>
      </c>
      <c r="BK100" s="61">
        <v>0</v>
      </c>
      <c r="BL100" s="61" t="e">
        <f t="shared" si="79"/>
        <v>#REF!</v>
      </c>
      <c r="BM100" s="61" t="e">
        <f t="shared" si="118"/>
        <v>#REF!</v>
      </c>
      <c r="BN100" s="61">
        <v>0</v>
      </c>
      <c r="BO100" s="61">
        <v>0</v>
      </c>
      <c r="BQ100" s="61">
        <f t="shared" si="120"/>
        <v>0</v>
      </c>
      <c r="BR100" s="61">
        <f t="shared" si="121"/>
        <v>0</v>
      </c>
      <c r="BS100" s="61" t="e">
        <f t="shared" si="139"/>
        <v>#REF!</v>
      </c>
      <c r="BT100" s="61" t="e">
        <f t="shared" si="122"/>
        <v>#REF!</v>
      </c>
      <c r="BU100" s="61">
        <f t="shared" si="123"/>
        <v>0</v>
      </c>
      <c r="BV100" s="61">
        <f t="shared" si="123"/>
        <v>0</v>
      </c>
      <c r="BX100" s="61" t="str">
        <f t="shared" ref="BX100:BX107" si="147">B100</f>
        <v>TFHCV2HGN-N</v>
      </c>
      <c r="BY100" s="61" t="str">
        <f t="shared" ca="1" si="95"/>
        <v>-	S_TFHCV2HGN	1	TFHCV2HGN-N Set	1	10/03/2023 17:53:59	null	((tblITEMS.Item Like "TFHCV2HGN-N*"))	null	null	null	null	null	null	null</v>
      </c>
      <c r="BZ100" s="61" t="str">
        <f t="shared" si="96"/>
        <v>-	S_TFHCV2HGN	1	1	True	Like "TFHCV2HGN-N*"</v>
      </c>
    </row>
    <row r="101" spans="1:94" s="61" customFormat="1" ht="15" x14ac:dyDescent="0.25">
      <c r="A101" s="191" t="str">
        <f>ITEMS_nTech!C92</f>
        <v>Transport Freight - HCV3 Hydrogen-N</v>
      </c>
      <c r="B101" s="191" t="str">
        <f t="shared" si="102"/>
        <v>TFHCV3HGN-N</v>
      </c>
      <c r="C101" s="612" t="s">
        <v>1130</v>
      </c>
      <c r="D101" s="612" t="str">
        <f>TRP!B34</f>
        <v>TFHCV3</v>
      </c>
      <c r="E101" s="702">
        <f t="array" ref="E101">IFERROR(INDEX(Analytica!$F$59:$AY$138,MATCH($B101,Analytica!$B$59:$B$168,0),MATCH(E$15&amp;E$10,Analytica!$F$58:$AY$58&amp;Analytica!$F$51:'Analytica'!$AY$51,0)),"")</f>
        <v>0.25373650265035735</v>
      </c>
      <c r="F101" s="702">
        <f t="array" ref="F101">IFERROR(INDEX(Analytica!$F$59:$AY$138,MATCH($B101,Analytica!$B$59:$B$168,0),MATCH(F$15&amp;F$10,Analytica!$F$58:$AY$58&amp;Analytica!$F$51:'Analytica'!$AY$51,0)),"")</f>
        <v>0.26812362039703852</v>
      </c>
      <c r="G101" s="702">
        <f t="array" ref="G101">IFERROR(INDEX(Analytica!$F$59:$AY$138,MATCH($B101,Analytica!$B$59:$B$168,0),MATCH(G$15&amp;G$10,Analytica!$F$58:$AY$58&amp;Analytica!$F$51:'Analytica'!$AY$51,0)),"")</f>
        <v>0.29647162168094532</v>
      </c>
      <c r="H101" s="702">
        <f t="array" ref="H101">IFERROR(INDEX(Analytica!$F$59:$AY$138,MATCH($B101,Analytica!$B$59:$B$168,0),MATCH(H$15&amp;H$10,Analytica!$F$58:$AY$58&amp;Analytica!$F$51:'Analytica'!$AY$51,0)),"")</f>
        <v>0.32781678216926086</v>
      </c>
      <c r="I101" s="701">
        <v>1</v>
      </c>
      <c r="J101" s="701">
        <v>1</v>
      </c>
      <c r="K101" s="701">
        <v>1</v>
      </c>
      <c r="L101" s="701">
        <v>1</v>
      </c>
      <c r="M101" s="701">
        <v>1</v>
      </c>
      <c r="N101" s="696">
        <f>IF(B101="","",MAX(N$18:N100)+1)</f>
        <v>73</v>
      </c>
      <c r="O101" s="702">
        <f t="array" ref="O101">IFERROR(INDEX(Analytica!$F$59:$AY$138,MATCH($B101,Analytica!$B$59:$B$168,0),MATCH(O$15&amp;O$10,Analytica!$F$58:$AY$58&amp;Analytica!$F$51:'Analytica'!$AY$51,0)),"")</f>
        <v>8.4999999999999992E-2</v>
      </c>
      <c r="P101" s="620">
        <f t="array" ref="P101">IFERROR(INDEX(Analytica!$F$59:$AY$138,MATCH($B101,Analytica!$B$59:$B$168,0),MATCH(P$15&amp;P$10,Analytica!$F$58:$AY$58&amp;Analytica!$F$51:'Analytica'!$AY$51,0)),"")</f>
        <v>1080.9827502171779</v>
      </c>
      <c r="Q101" s="620">
        <f t="array" ref="Q101">IFERROR(INDEX(Analytica!$F$59:$AY$138,MATCH($B101,Analytica!$B$59:$B$168,0),MATCH(Q$15&amp;Q$10,Analytica!$F$58:$AY$58&amp;Analytica!$F$51:'Analytica'!$AY$51,0)),"")</f>
        <v>851.67291194386314</v>
      </c>
      <c r="R101" s="620">
        <f t="array" ref="R101">IFERROR(INDEX(Analytica!$F$59:$AY$138,MATCH($B101,Analytica!$B$59:$B$168,0),MATCH(R$15&amp;R$10,Analytica!$F$58:$AY$58&amp;Analytica!$F$51:'Analytica'!$AY$51,0)),"")</f>
        <v>622.36307367054837</v>
      </c>
      <c r="S101" s="620">
        <f t="array" ref="S101">IFERROR(INDEX(Analytica!$F$59:$AY$138,MATCH($B101,Analytica!$B$59:$B$168,0),MATCH(S$15&amp;S$10,Analytica!$F$58:$AY$58&amp;Analytica!$F$51:'Analytica'!$AY$51,0)),"")</f>
        <v>593.95867654201027</v>
      </c>
      <c r="T101" s="620">
        <f t="array" ref="T101">IFERROR(INDEX(Analytica!$F$59:$AY$138,MATCH($B101,Analytica!$B$59:$B$168,0),MATCH(T$15&amp;T$10,Analytica!$F$58:$AY$58&amp;Analytica!$F$51:'Analytica'!$AY$51,0)),"")</f>
        <v>565.55427941347216</v>
      </c>
      <c r="U101" s="620">
        <f t="array" ref="U101">IFERROR(INDEX(Analytica!$F$59:$AY$138,MATCH($B101,Analytica!$B$59:$B$168,0),MATCH(U$15&amp;U$10,Analytica!$F$58:$AY$58&amp;Analytica!$F$51:'Analytica'!$AY$51,0)),"")</f>
        <v>551.67118115070787</v>
      </c>
      <c r="V101" s="620">
        <f t="array" ref="V101">IFERROR(INDEX(Analytica!$F$59:$AY$138,MATCH($B101,Analytica!$B$59:$B$168,0),MATCH(V$15&amp;V$10,Analytica!$F$58:$AY$58&amp;Analytica!$F$51:'Analytica'!$AY$51,0)),"")</f>
        <v>29.186534255863805</v>
      </c>
      <c r="W101" s="620">
        <f t="array" ref="W101">IFERROR(INDEX(Analytica!$F$59:$AY$138,MATCH($B101,Analytica!$B$59:$B$168,0),MATCH(W$15&amp;W$10,Analytica!$F$58:$AY$58&amp;Analytica!$F$51:'Analytica'!$AY$51,0)),"")</f>
        <v>16.803802989104806</v>
      </c>
      <c r="X101" s="620">
        <f t="array" ref="X101">IFERROR(INDEX(Analytica!$F$59:$AY$138,MATCH($B101,Analytica!$B$59:$B$168,0),MATCH(X$15&amp;X$10,Analytica!$F$58:$AY$58&amp;Analytica!$F$51:'Analytica'!$AY$51,0)),"")</f>
        <v>15.269965544163748</v>
      </c>
      <c r="Y101" s="620">
        <f t="array" ref="Y101">IFERROR(INDEX(Analytica!$F$59:$AY$138,MATCH($B101,Analytica!$B$59:$B$168,0),MATCH(Y$15&amp;Y$10,Analytica!$F$58:$AY$58&amp;Analytica!$F$51:'Analytica'!$AY$51,0)),"")</f>
        <v>14.895121891069111</v>
      </c>
      <c r="Z101" s="694">
        <f t="shared" si="129"/>
        <v>20</v>
      </c>
      <c r="AA101" s="694">
        <f t="shared" si="134"/>
        <v>20</v>
      </c>
      <c r="AB101" s="694">
        <f t="shared" si="80"/>
        <v>2025</v>
      </c>
      <c r="AC101" s="61">
        <f t="shared" ca="1" si="135"/>
        <v>84</v>
      </c>
      <c r="AD101" s="1">
        <v>1</v>
      </c>
      <c r="AE101" s="166" t="str">
        <f t="shared" si="136"/>
        <v>S_TFHCV3</v>
      </c>
      <c r="AF101" s="166" t="str">
        <f t="shared" si="103"/>
        <v>S_TFHCV3HGN</v>
      </c>
      <c r="AG101" s="166" t="str">
        <f t="shared" si="104"/>
        <v>TFHCV3HGN-N_L</v>
      </c>
      <c r="AH101" s="166" t="str">
        <f t="shared" si="105"/>
        <v>TFHCV3HGN-N_U</v>
      </c>
      <c r="AI101" s="166">
        <v>0</v>
      </c>
      <c r="AJ101" s="710">
        <f>SUMIF(Analytica!$B$59:$B$137,B101,Analytica!$BA$59:$BA$192)</f>
        <v>0</v>
      </c>
      <c r="AK101" s="61" t="e">
        <f>IF($AP$10,BK101,#REF!)</f>
        <v>#REF!</v>
      </c>
      <c r="AL101" s="61" t="e">
        <f t="shared" si="106"/>
        <v>#REF!</v>
      </c>
      <c r="AM101" s="61" t="e">
        <f t="shared" si="107"/>
        <v>#REF!</v>
      </c>
      <c r="AN101" s="80">
        <f t="shared" si="108"/>
        <v>1</v>
      </c>
      <c r="AO101" s="80">
        <f t="shared" si="109"/>
        <v>1</v>
      </c>
      <c r="AP101" s="80">
        <v>1</v>
      </c>
      <c r="AQ101" s="80">
        <f t="shared" si="110"/>
        <v>0</v>
      </c>
      <c r="AR101" s="80" t="e">
        <f>IF($AP$10,BR101,#REF!)</f>
        <v>#REF!</v>
      </c>
      <c r="AS101" s="61" t="e">
        <f t="shared" si="111"/>
        <v>#REF!</v>
      </c>
      <c r="AT101" s="74">
        <f t="shared" si="112"/>
        <v>0</v>
      </c>
      <c r="AU101" s="61">
        <f t="shared" si="113"/>
        <v>0</v>
      </c>
      <c r="AV101" s="61">
        <f t="shared" si="114"/>
        <v>0</v>
      </c>
      <c r="AX101" s="61">
        <f t="shared" si="115"/>
        <v>0</v>
      </c>
      <c r="AY101" s="171" t="e">
        <f>IF(#REF!&lt;&gt;"",(AY$11-#REF!)/(BA$11-#REF!)*(BA101-#REF!)+#REF!,"")</f>
        <v>#REF!</v>
      </c>
      <c r="AZ101" s="171" t="e">
        <f t="shared" si="137"/>
        <v>#REF!</v>
      </c>
      <c r="BA101" s="171">
        <f t="shared" si="131"/>
        <v>1</v>
      </c>
      <c r="BB101" s="171">
        <f t="shared" si="131"/>
        <v>1</v>
      </c>
      <c r="BC101" s="171"/>
      <c r="BD101" s="171">
        <f t="shared" si="138"/>
        <v>0</v>
      </c>
      <c r="BE101" s="171" t="e">
        <f>IF(#REF!&lt;&gt;"",(BE$11-#REF!)/(BG$11-#REF!)*(BG101-#REF!)+#REF!,"")</f>
        <v>#REF!</v>
      </c>
      <c r="BF101" s="697">
        <f t="shared" si="132"/>
        <v>0</v>
      </c>
      <c r="BG101" s="697">
        <f t="shared" si="132"/>
        <v>0</v>
      </c>
      <c r="BH101" s="697">
        <f t="shared" si="132"/>
        <v>0</v>
      </c>
      <c r="BJ101" s="61">
        <f t="shared" si="116"/>
        <v>0</v>
      </c>
      <c r="BK101" s="61">
        <v>0</v>
      </c>
      <c r="BL101" s="61" t="e">
        <f t="shared" si="79"/>
        <v>#REF!</v>
      </c>
      <c r="BM101" s="61" t="e">
        <f t="shared" si="118"/>
        <v>#REF!</v>
      </c>
      <c r="BN101" s="61">
        <v>0</v>
      </c>
      <c r="BO101" s="61">
        <v>0</v>
      </c>
      <c r="BQ101" s="61">
        <f t="shared" si="120"/>
        <v>0</v>
      </c>
      <c r="BR101" s="61">
        <f t="shared" si="121"/>
        <v>0</v>
      </c>
      <c r="BS101" s="61" t="e">
        <f t="shared" si="139"/>
        <v>#REF!</v>
      </c>
      <c r="BT101" s="61" t="e">
        <f t="shared" si="122"/>
        <v>#REF!</v>
      </c>
      <c r="BU101" s="61">
        <f t="shared" si="123"/>
        <v>0</v>
      </c>
      <c r="BV101" s="61">
        <f t="shared" si="123"/>
        <v>0</v>
      </c>
      <c r="BX101" s="61" t="str">
        <f t="shared" si="147"/>
        <v>TFHCV3HGN-N</v>
      </c>
      <c r="BY101" s="61" t="str">
        <f t="shared" ca="1" si="95"/>
        <v>-	S_TFHCV3HGN	1	TFHCV3HGN-N Set	1	10/03/2023 17:53:59	null	((tblITEMS.Item Like "TFHCV3HGN-N*"))	null	null	null	null	null	null	null</v>
      </c>
      <c r="BZ101" s="61" t="str">
        <f t="shared" si="96"/>
        <v>-	S_TFHCV3HGN	1	1	True	Like "TFHCV3HGN-N*"</v>
      </c>
    </row>
    <row r="102" spans="1:94" s="61" customFormat="1" ht="15" x14ac:dyDescent="0.25">
      <c r="A102" s="191" t="str">
        <f>ITEMS_nTech!C93</f>
        <v>Transport Freight - HCV4 Hydrogen-N</v>
      </c>
      <c r="B102" s="191" t="str">
        <f t="shared" si="102"/>
        <v>TFHCV4HGN-N</v>
      </c>
      <c r="C102" s="612" t="s">
        <v>1130</v>
      </c>
      <c r="D102" s="612" t="str">
        <f>TRP!B35</f>
        <v>TFHCV4</v>
      </c>
      <c r="E102" s="702">
        <f t="array" ref="E102">IFERROR(INDEX(Analytica!$F$59:$AY$138,MATCH($B102,Analytica!$B$59:$B$168,0),MATCH(E$15&amp;E$10,Analytica!$F$58:$AY$58&amp;Analytica!$F$51:'Analytica'!$AY$51,0)),"")</f>
        <v>0.21692148210446247</v>
      </c>
      <c r="F102" s="702">
        <f t="array" ref="F102">IFERROR(INDEX(Analytica!$F$59:$AY$138,MATCH($B102,Analytica!$B$59:$B$168,0),MATCH(F$15&amp;F$10,Analytica!$F$58:$AY$58&amp;Analytica!$F$51:'Analytica'!$AY$51,0)),"")</f>
        <v>0.22922115074584032</v>
      </c>
      <c r="G102" s="702">
        <f t="array" ref="G102">IFERROR(INDEX(Analytica!$F$59:$AY$138,MATCH($B102,Analytica!$B$59:$B$168,0),MATCH(G$15&amp;G$10,Analytica!$F$58:$AY$58&amp;Analytica!$F$51:'Analytica'!$AY$51,0)),"")</f>
        <v>0.25345609679803616</v>
      </c>
      <c r="H102" s="702">
        <f t="array" ref="H102">IFERROR(INDEX(Analytica!$F$59:$AY$138,MATCH($B102,Analytica!$B$59:$B$168,0),MATCH(H$15&amp;H$10,Analytica!$F$58:$AY$58&amp;Analytica!$F$51:'Analytica'!$AY$51,0)),"")</f>
        <v>0.28025333960269916</v>
      </c>
      <c r="I102" s="701">
        <v>1</v>
      </c>
      <c r="J102" s="701">
        <v>1</v>
      </c>
      <c r="K102" s="701">
        <v>1</v>
      </c>
      <c r="L102" s="701">
        <v>1</v>
      </c>
      <c r="M102" s="701">
        <v>1</v>
      </c>
      <c r="N102" s="696">
        <f>IF(B102="","",MAX(N$18:N101)+1)</f>
        <v>74</v>
      </c>
      <c r="O102" s="702">
        <f t="array" ref="O102">IFERROR(INDEX(Analytica!$F$59:$AY$138,MATCH($B102,Analytica!$B$59:$B$168,0),MATCH(O$15&amp;O$10,Analytica!$F$58:$AY$58&amp;Analytica!$F$51:'Analytica'!$AY$51,0)),"")</f>
        <v>8.4999999999999992E-2</v>
      </c>
      <c r="P102" s="620">
        <f t="array" ref="P102">IFERROR(INDEX(Analytica!$F$59:$AY$138,MATCH($B102,Analytica!$B$59:$B$168,0),MATCH(P$15&amp;P$10,Analytica!$F$58:$AY$58&amp;Analytica!$F$51:'Analytica'!$AY$51,0)),"")</f>
        <v>1781.373718472468</v>
      </c>
      <c r="Q102" s="620">
        <f t="array" ref="Q102">IFERROR(INDEX(Analytica!$F$59:$AY$138,MATCH($B102,Analytica!$B$59:$B$168,0),MATCH(Q$15&amp;Q$10,Analytica!$F$58:$AY$58&amp;Analytica!$F$51:'Analytica'!$AY$51,0)),"")</f>
        <v>1429.9058145549259</v>
      </c>
      <c r="R102" s="620">
        <f t="array" ref="R102">IFERROR(INDEX(Analytica!$F$59:$AY$138,MATCH($B102,Analytica!$B$59:$B$168,0),MATCH(R$15&amp;R$10,Analytica!$F$58:$AY$58&amp;Analytica!$F$51:'Analytica'!$AY$51,0)),"")</f>
        <v>1078.4379106373833</v>
      </c>
      <c r="S102" s="620">
        <f t="array" ref="S102">IFERROR(INDEX(Analytica!$F$59:$AY$138,MATCH($B102,Analytica!$B$59:$B$168,0),MATCH(S$15&amp;S$10,Analytica!$F$58:$AY$58&amp;Analytica!$F$51:'Analytica'!$AY$51,0)),"")</f>
        <v>1048.9240193517257</v>
      </c>
      <c r="T102" s="620">
        <f t="array" ref="T102">IFERROR(INDEX(Analytica!$F$59:$AY$138,MATCH($B102,Analytica!$B$59:$B$168,0),MATCH(T$15&amp;T$10,Analytica!$F$58:$AY$58&amp;Analytica!$F$51:'Analytica'!$AY$51,0)),"")</f>
        <v>1019.4101280660681</v>
      </c>
      <c r="U102" s="620">
        <f t="array" ref="U102">IFERROR(INDEX(Analytica!$F$59:$AY$138,MATCH($B102,Analytica!$B$59:$B$168,0),MATCH(U$15&amp;U$10,Analytica!$F$58:$AY$58&amp;Analytica!$F$51:'Analytica'!$AY$51,0)),"")</f>
        <v>993.48523967858819</v>
      </c>
      <c r="V102" s="620">
        <f t="array" ref="V102">IFERROR(INDEX(Analytica!$F$59:$AY$138,MATCH($B102,Analytica!$B$59:$B$168,0),MATCH(V$15&amp;V$10,Analytica!$F$58:$AY$58&amp;Analytica!$F$51:'Analytica'!$AY$51,0)),"")</f>
        <v>48.097090398756634</v>
      </c>
      <c r="W102" s="620">
        <f t="array" ref="W102">IFERROR(INDEX(Analytica!$F$59:$AY$138,MATCH($B102,Analytica!$B$59:$B$168,0),MATCH(W$15&amp;W$10,Analytica!$F$58:$AY$58&amp;Analytica!$F$51:'Analytica'!$AY$51,0)),"")</f>
        <v>29.117823587209347</v>
      </c>
      <c r="X102" s="620">
        <f t="array" ref="X102">IFERROR(INDEX(Analytica!$F$59:$AY$138,MATCH($B102,Analytica!$B$59:$B$168,0),MATCH(X$15&amp;X$10,Analytica!$F$58:$AY$58&amp;Analytica!$F$51:'Analytica'!$AY$51,0)),"")</f>
        <v>27.524073457783839</v>
      </c>
      <c r="Y102" s="620">
        <f t="array" ref="Y102">IFERROR(INDEX(Analytica!$F$59:$AY$138,MATCH($B102,Analytica!$B$59:$B$168,0),MATCH(Y$15&amp;Y$10,Analytica!$F$58:$AY$58&amp;Analytica!$F$51:'Analytica'!$AY$51,0)),"")</f>
        <v>26.824101471321882</v>
      </c>
      <c r="Z102" s="694">
        <f t="shared" si="129"/>
        <v>20</v>
      </c>
      <c r="AA102" s="694">
        <f t="shared" si="134"/>
        <v>20</v>
      </c>
      <c r="AB102" s="694">
        <f t="shared" si="80"/>
        <v>2025</v>
      </c>
      <c r="AC102" s="61">
        <f t="shared" ca="1" si="135"/>
        <v>85</v>
      </c>
      <c r="AD102" s="1">
        <v>1</v>
      </c>
      <c r="AE102" s="166" t="str">
        <f t="shared" si="136"/>
        <v>S_TFHCV4</v>
      </c>
      <c r="AF102" s="166" t="str">
        <f t="shared" si="103"/>
        <v>S_TFHCV4HGN</v>
      </c>
      <c r="AG102" s="166" t="str">
        <f t="shared" si="104"/>
        <v>TFHCV4HGN-N_L</v>
      </c>
      <c r="AH102" s="166" t="str">
        <f t="shared" si="105"/>
        <v>TFHCV4HGN-N_U</v>
      </c>
      <c r="AI102" s="166">
        <v>0</v>
      </c>
      <c r="AJ102" s="710">
        <f>SUMIF(Analytica!$B$59:$B$137,B102,Analytica!$BA$59:$BA$192)</f>
        <v>0</v>
      </c>
      <c r="AK102" s="61" t="e">
        <f>IF($AP$10,BK102,#REF!)</f>
        <v>#REF!</v>
      </c>
      <c r="AL102" s="61" t="e">
        <f t="shared" si="106"/>
        <v>#REF!</v>
      </c>
      <c r="AM102" s="61" t="e">
        <f t="shared" si="107"/>
        <v>#REF!</v>
      </c>
      <c r="AN102" s="80">
        <f t="shared" si="108"/>
        <v>1</v>
      </c>
      <c r="AO102" s="80">
        <f t="shared" si="109"/>
        <v>1</v>
      </c>
      <c r="AP102" s="80">
        <v>1</v>
      </c>
      <c r="AQ102" s="80">
        <f t="shared" si="110"/>
        <v>0</v>
      </c>
      <c r="AR102" s="80" t="e">
        <f>IF($AP$10,BR102,#REF!)</f>
        <v>#REF!</v>
      </c>
      <c r="AS102" s="61" t="e">
        <f t="shared" si="111"/>
        <v>#REF!</v>
      </c>
      <c r="AT102" s="74">
        <f t="shared" si="112"/>
        <v>0</v>
      </c>
      <c r="AU102" s="61">
        <f t="shared" si="113"/>
        <v>0</v>
      </c>
      <c r="AV102" s="61">
        <f t="shared" si="114"/>
        <v>0</v>
      </c>
      <c r="AX102" s="61">
        <f t="shared" si="115"/>
        <v>0</v>
      </c>
      <c r="AY102" s="171" t="e">
        <f>IF(#REF!&lt;&gt;"",(AY$11-#REF!)/(BA$11-#REF!)*(BA102-#REF!)+#REF!,"")</f>
        <v>#REF!</v>
      </c>
      <c r="AZ102" s="171" t="e">
        <f t="shared" si="137"/>
        <v>#REF!</v>
      </c>
      <c r="BA102" s="171">
        <f t="shared" si="131"/>
        <v>1</v>
      </c>
      <c r="BB102" s="171">
        <f t="shared" si="131"/>
        <v>1</v>
      </c>
      <c r="BC102" s="171"/>
      <c r="BD102" s="171">
        <f t="shared" si="138"/>
        <v>0</v>
      </c>
      <c r="BE102" s="171" t="e">
        <f>IF(#REF!&lt;&gt;"",(BE$11-#REF!)/(BG$11-#REF!)*(BG102-#REF!)+#REF!,"")</f>
        <v>#REF!</v>
      </c>
      <c r="BF102" s="697">
        <f t="shared" si="132"/>
        <v>0</v>
      </c>
      <c r="BG102" s="697">
        <f t="shared" si="132"/>
        <v>0</v>
      </c>
      <c r="BH102" s="697">
        <f t="shared" si="132"/>
        <v>0</v>
      </c>
      <c r="BJ102" s="61">
        <f t="shared" si="116"/>
        <v>0</v>
      </c>
      <c r="BK102" s="61">
        <v>0</v>
      </c>
      <c r="BL102" s="61" t="e">
        <f t="shared" si="79"/>
        <v>#REF!</v>
      </c>
      <c r="BM102" s="61" t="e">
        <f t="shared" si="118"/>
        <v>#REF!</v>
      </c>
      <c r="BN102" s="61">
        <v>0</v>
      </c>
      <c r="BO102" s="61">
        <v>0</v>
      </c>
      <c r="BQ102" s="61">
        <f t="shared" si="120"/>
        <v>0</v>
      </c>
      <c r="BR102" s="61">
        <f t="shared" si="121"/>
        <v>0</v>
      </c>
      <c r="BS102" s="61" t="e">
        <f t="shared" si="139"/>
        <v>#REF!</v>
      </c>
      <c r="BT102" s="61" t="e">
        <f t="shared" si="122"/>
        <v>#REF!</v>
      </c>
      <c r="BU102" s="61">
        <f t="shared" si="123"/>
        <v>0</v>
      </c>
      <c r="BV102" s="61">
        <f t="shared" si="123"/>
        <v>0</v>
      </c>
      <c r="BX102" s="61" t="str">
        <f t="shared" si="147"/>
        <v>TFHCV4HGN-N</v>
      </c>
      <c r="BY102" s="61" t="str">
        <f t="shared" ca="1" si="95"/>
        <v>-	S_TFHCV4HGN	1	TFHCV4HGN-N Set	1	10/03/2023 17:53:59	null	((tblITEMS.Item Like "TFHCV4HGN-N*"))	null	null	null	null	null	null	null</v>
      </c>
      <c r="BZ102" s="61" t="str">
        <f t="shared" si="96"/>
        <v>-	S_TFHCV4HGN	1	1	True	Like "TFHCV4HGN-N*"</v>
      </c>
    </row>
    <row r="103" spans="1:94" s="61" customFormat="1" ht="15" x14ac:dyDescent="0.25">
      <c r="A103" s="191" t="str">
        <f>ITEMS_nTech!C94</f>
        <v>Transport Freight - HCV5 Hydrogen-N</v>
      </c>
      <c r="B103" s="191" t="str">
        <f t="shared" si="102"/>
        <v>TFHCV5HGN-N</v>
      </c>
      <c r="C103" s="612" t="s">
        <v>1130</v>
      </c>
      <c r="D103" s="612" t="str">
        <f>TRP!B36</f>
        <v>TFHCV5</v>
      </c>
      <c r="E103" s="702">
        <f t="array" ref="E103">IFERROR(INDEX(Analytica!$F$59:$AY$138,MATCH($B103,Analytica!$B$59:$B$168,0),MATCH(E$15&amp;E$10,Analytica!$F$58:$AY$58&amp;Analytica!$F$51:'Analytica'!$AY$51,0)),"")</f>
        <v>0.19984075748429125</v>
      </c>
      <c r="F103" s="702">
        <f t="array" ref="F103">IFERROR(INDEX(Analytica!$F$59:$AY$138,MATCH($B103,Analytica!$B$59:$B$168,0),MATCH(F$15&amp;F$10,Analytica!$F$58:$AY$58&amp;Analytica!$F$51:'Analytica'!$AY$51,0)),"")</f>
        <v>0.21117193166885198</v>
      </c>
      <c r="G103" s="702">
        <f t="array" ref="G103">IFERROR(INDEX(Analytica!$F$59:$AY$138,MATCH($B103,Analytica!$B$59:$B$168,0),MATCH(G$15&amp;G$10,Analytica!$F$58:$AY$58&amp;Analytica!$F$51:'Analytica'!$AY$51,0)),"")</f>
        <v>0.23349858152241262</v>
      </c>
      <c r="H103" s="702">
        <f t="array" ref="H103">IFERROR(INDEX(Analytica!$F$59:$AY$138,MATCH($B103,Analytica!$B$59:$B$168,0),MATCH(H$15&amp;H$10,Analytica!$F$58:$AY$58&amp;Analytica!$F$51:'Analytica'!$AY$51,0)),"")</f>
        <v>0.25818576901818791</v>
      </c>
      <c r="I103" s="701">
        <v>1</v>
      </c>
      <c r="J103" s="701">
        <v>1</v>
      </c>
      <c r="K103" s="701">
        <v>1</v>
      </c>
      <c r="L103" s="701">
        <v>1</v>
      </c>
      <c r="M103" s="701">
        <v>1</v>
      </c>
      <c r="N103" s="696">
        <f>IF(B103="","",MAX(N$18:N102)+1)</f>
        <v>75</v>
      </c>
      <c r="O103" s="702">
        <f t="array" ref="O103">IFERROR(INDEX(Analytica!$F$59:$AY$138,MATCH($B103,Analytica!$B$59:$B$168,0),MATCH(O$15&amp;O$10,Analytica!$F$58:$AY$58&amp;Analytica!$F$51:'Analytica'!$AY$51,0)),"")</f>
        <v>0.11</v>
      </c>
      <c r="P103" s="620">
        <f t="array" ref="P103">IFERROR(INDEX(Analytica!$F$59:$AY$138,MATCH($B103,Analytica!$B$59:$B$168,0),MATCH(P$15&amp;P$10,Analytica!$F$58:$AY$58&amp;Analytica!$F$51:'Analytica'!$AY$51,0)),"")</f>
        <v>1813.1077355248217</v>
      </c>
      <c r="Q103" s="620">
        <f t="array" ref="Q103">IFERROR(INDEX(Analytica!$F$59:$AY$138,MATCH($B103,Analytica!$B$59:$B$168,0),MATCH(Q$15&amp;Q$10,Analytica!$F$58:$AY$58&amp;Analytica!$F$51:'Analytica'!$AY$51,0)),"")</f>
        <v>1437.1606416999607</v>
      </c>
      <c r="R103" s="620">
        <f t="array" ref="R103">IFERROR(INDEX(Analytica!$F$59:$AY$138,MATCH($B103,Analytica!$B$59:$B$168,0),MATCH(R$15&amp;R$10,Analytica!$F$58:$AY$58&amp;Analytica!$F$51:'Analytica'!$AY$51,0)),"")</f>
        <v>1061.2135478750995</v>
      </c>
      <c r="S103" s="620">
        <f t="array" ref="S103">IFERROR(INDEX(Analytica!$F$59:$AY$138,MATCH($B103,Analytica!$B$59:$B$168,0),MATCH(S$15&amp;S$10,Analytica!$F$58:$AY$58&amp;Analytica!$F$51:'Analytica'!$AY$51,0)),"")</f>
        <v>1011.9825087271777</v>
      </c>
      <c r="T103" s="620">
        <f t="array" ref="T103">IFERROR(INDEX(Analytica!$F$59:$AY$138,MATCH($B103,Analytica!$B$59:$B$168,0),MATCH(T$15&amp;T$10,Analytica!$F$58:$AY$58&amp;Analytica!$F$51:'Analytica'!$AY$51,0)),"")</f>
        <v>962.7514695792554</v>
      </c>
      <c r="U103" s="620">
        <f t="array" ref="U103">IFERROR(INDEX(Analytica!$F$59:$AY$138,MATCH($B103,Analytica!$B$59:$B$168,0),MATCH(U$15&amp;U$10,Analytica!$F$58:$AY$58&amp;Analytica!$F$51:'Analytica'!$AY$51,0)),"")</f>
        <v>945.21587798179326</v>
      </c>
      <c r="V103" s="620">
        <f t="array" ref="V103">IFERROR(INDEX(Analytica!$F$59:$AY$138,MATCH($B103,Analytica!$B$59:$B$168,0),MATCH(V$15&amp;V$10,Analytica!$F$58:$AY$58&amp;Analytica!$F$51:'Analytica'!$AY$51,0)),"")</f>
        <v>48.953908859170184</v>
      </c>
      <c r="W103" s="620">
        <f t="array" ref="W103">IFERROR(INDEX(Analytica!$F$59:$AY$138,MATCH($B103,Analytica!$B$59:$B$168,0),MATCH(W$15&amp;W$10,Analytica!$F$58:$AY$58&amp;Analytica!$F$51:'Analytica'!$AY$51,0)),"")</f>
        <v>28.652765792627687</v>
      </c>
      <c r="X103" s="620">
        <f t="array" ref="X103">IFERROR(INDEX(Analytica!$F$59:$AY$138,MATCH($B103,Analytica!$B$59:$B$168,0),MATCH(X$15&amp;X$10,Analytica!$F$58:$AY$58&amp;Analytica!$F$51:'Analytica'!$AY$51,0)),"")</f>
        <v>25.994289678639895</v>
      </c>
      <c r="Y103" s="620">
        <f t="array" ref="Y103">IFERROR(INDEX(Analytica!$F$59:$AY$138,MATCH($B103,Analytica!$B$59:$B$168,0),MATCH(Y$15&amp;Y$10,Analytica!$F$58:$AY$58&amp;Analytica!$F$51:'Analytica'!$AY$51,0)),"")</f>
        <v>25.520828705508418</v>
      </c>
      <c r="Z103" s="694">
        <f t="shared" si="129"/>
        <v>20</v>
      </c>
      <c r="AA103" s="694">
        <f t="shared" si="134"/>
        <v>20</v>
      </c>
      <c r="AB103" s="694">
        <f t="shared" si="80"/>
        <v>2025</v>
      </c>
      <c r="AC103" s="61">
        <f t="shared" ca="1" si="135"/>
        <v>86</v>
      </c>
      <c r="AD103" s="1">
        <v>1</v>
      </c>
      <c r="AE103" s="166" t="str">
        <f t="shared" si="136"/>
        <v>S_TFHCV5</v>
      </c>
      <c r="AF103" s="166" t="str">
        <f t="shared" si="103"/>
        <v>S_TFHCV5HGN</v>
      </c>
      <c r="AG103" s="166" t="str">
        <f t="shared" si="104"/>
        <v>TFHCV5HGN-N_L</v>
      </c>
      <c r="AH103" s="166" t="str">
        <f t="shared" si="105"/>
        <v>TFHCV5HGN-N_U</v>
      </c>
      <c r="AI103" s="166">
        <v>0</v>
      </c>
      <c r="AJ103" s="710">
        <f>SUMIF(Analytica!$B$59:$B$137,B103,Analytica!$BA$59:$BA$192)</f>
        <v>0</v>
      </c>
      <c r="AK103" s="61" t="e">
        <f>IF($AP$10,BK103,#REF!)</f>
        <v>#REF!</v>
      </c>
      <c r="AL103" s="61" t="e">
        <f t="shared" si="106"/>
        <v>#REF!</v>
      </c>
      <c r="AM103" s="61" t="e">
        <f t="shared" si="107"/>
        <v>#REF!</v>
      </c>
      <c r="AN103" s="80">
        <f t="shared" si="108"/>
        <v>1</v>
      </c>
      <c r="AO103" s="80">
        <f t="shared" si="109"/>
        <v>1</v>
      </c>
      <c r="AP103" s="80">
        <v>1</v>
      </c>
      <c r="AQ103" s="80">
        <f t="shared" si="110"/>
        <v>0</v>
      </c>
      <c r="AR103" s="80" t="e">
        <f>IF($AP$10,BR103,#REF!)</f>
        <v>#REF!</v>
      </c>
      <c r="AS103" s="61" t="e">
        <f t="shared" si="111"/>
        <v>#REF!</v>
      </c>
      <c r="AT103" s="74">
        <f t="shared" si="112"/>
        <v>0</v>
      </c>
      <c r="AU103" s="61">
        <f t="shared" si="113"/>
        <v>0</v>
      </c>
      <c r="AV103" s="61">
        <f t="shared" si="114"/>
        <v>0</v>
      </c>
      <c r="AX103" s="61">
        <f t="shared" si="115"/>
        <v>0</v>
      </c>
      <c r="AY103" s="171" t="e">
        <f>IF(#REF!&lt;&gt;"",(AY$11-#REF!)/(BA$11-#REF!)*(BA103-#REF!)+#REF!,"")</f>
        <v>#REF!</v>
      </c>
      <c r="AZ103" s="171" t="e">
        <f t="shared" si="137"/>
        <v>#REF!</v>
      </c>
      <c r="BA103" s="171">
        <f t="shared" si="131"/>
        <v>1</v>
      </c>
      <c r="BB103" s="171">
        <f t="shared" si="131"/>
        <v>1</v>
      </c>
      <c r="BC103" s="171"/>
      <c r="BD103" s="171">
        <f t="shared" si="138"/>
        <v>0</v>
      </c>
      <c r="BE103" s="171" t="e">
        <f>IF(#REF!&lt;&gt;"",(BE$11-#REF!)/(BG$11-#REF!)*(BG103-#REF!)+#REF!,"")</f>
        <v>#REF!</v>
      </c>
      <c r="BF103" s="697">
        <f t="shared" si="132"/>
        <v>0</v>
      </c>
      <c r="BG103" s="697">
        <f t="shared" si="132"/>
        <v>0</v>
      </c>
      <c r="BH103" s="697">
        <f t="shared" si="132"/>
        <v>0</v>
      </c>
      <c r="BJ103" s="61">
        <f t="shared" si="116"/>
        <v>0</v>
      </c>
      <c r="BK103" s="61">
        <v>0</v>
      </c>
      <c r="BL103" s="61" t="e">
        <f t="shared" si="79"/>
        <v>#REF!</v>
      </c>
      <c r="BM103" s="61" t="e">
        <f t="shared" si="118"/>
        <v>#REF!</v>
      </c>
      <c r="BN103" s="61">
        <v>0</v>
      </c>
      <c r="BO103" s="61">
        <v>0</v>
      </c>
      <c r="BQ103" s="61">
        <f t="shared" si="120"/>
        <v>0</v>
      </c>
      <c r="BR103" s="61">
        <f t="shared" si="121"/>
        <v>0</v>
      </c>
      <c r="BS103" s="61" t="e">
        <f t="shared" si="139"/>
        <v>#REF!</v>
      </c>
      <c r="BT103" s="61" t="e">
        <f t="shared" si="122"/>
        <v>#REF!</v>
      </c>
      <c r="BU103" s="61">
        <f t="shared" si="123"/>
        <v>0</v>
      </c>
      <c r="BV103" s="61">
        <f t="shared" si="123"/>
        <v>0</v>
      </c>
      <c r="BX103" s="61" t="str">
        <f t="shared" si="147"/>
        <v>TFHCV5HGN-N</v>
      </c>
      <c r="BY103" s="61" t="str">
        <f t="shared" ca="1" si="95"/>
        <v>-	S_TFHCV5HGN	1	TFHCV5HGN-N Set	1	10/03/2023 17:53:59	null	((tblITEMS.Item Like "TFHCV5HGN-N*"))	null	null	null	null	null	null	null</v>
      </c>
      <c r="BZ103" s="61" t="str">
        <f t="shared" si="96"/>
        <v>-	S_TFHCV5HGN	1	1	True	Like "TFHCV5HGN-N*"</v>
      </c>
    </row>
    <row r="104" spans="1:94" s="61" customFormat="1" ht="15" x14ac:dyDescent="0.25">
      <c r="A104" s="191" t="str">
        <f>ITEMS_nTech!C95</f>
        <v>Transport Freight - HCV6 Hydrogen-N</v>
      </c>
      <c r="B104" s="191" t="str">
        <f t="shared" si="102"/>
        <v>TFHCV6HGN-N</v>
      </c>
      <c r="C104" s="612" t="s">
        <v>1130</v>
      </c>
      <c r="D104" s="612" t="str">
        <f>TRP!B37</f>
        <v>TFHCV6</v>
      </c>
      <c r="E104" s="702">
        <f t="array" ref="E104">IFERROR(INDEX(Analytica!$F$59:$AY$138,MATCH($B104,Analytica!$B$59:$B$168,0),MATCH(E$15&amp;E$10,Analytica!$F$58:$AY$58&amp;Analytica!$F$51:'Analytica'!$AY$51,0)),"")</f>
        <v>0.13784095817408171</v>
      </c>
      <c r="F104" s="702">
        <f t="array" ref="F104">IFERROR(INDEX(Analytica!$F$59:$AY$138,MATCH($B104,Analytica!$B$59:$B$168,0),MATCH(F$15&amp;F$10,Analytica!$F$58:$AY$58&amp;Analytica!$F$51:'Analytica'!$AY$51,0)),"")</f>
        <v>0.1456566806848415</v>
      </c>
      <c r="G104" s="702">
        <f t="array" ref="G104">IFERROR(INDEX(Analytica!$F$59:$AY$138,MATCH($B104,Analytica!$B$59:$B$168,0),MATCH(G$15&amp;G$10,Analytica!$F$58:$AY$58&amp;Analytica!$F$51:'Analytica'!$AY$51,0)),"")</f>
        <v>0.16105657631861348</v>
      </c>
      <c r="H104" s="702">
        <f t="array" ref="H104">IFERROR(INDEX(Analytica!$F$59:$AY$138,MATCH($B104,Analytica!$B$59:$B$168,0),MATCH(H$15&amp;H$10,Analytica!$F$58:$AY$58&amp;Analytica!$F$51:'Analytica'!$AY$51,0)),"")</f>
        <v>0.17808466218997712</v>
      </c>
      <c r="I104" s="701">
        <v>1</v>
      </c>
      <c r="J104" s="701">
        <v>1</v>
      </c>
      <c r="K104" s="701">
        <v>1</v>
      </c>
      <c r="L104" s="701">
        <v>1</v>
      </c>
      <c r="M104" s="701">
        <v>1</v>
      </c>
      <c r="N104" s="696">
        <f>IF(B104="","",MAX(N$18:N103)+1)</f>
        <v>76</v>
      </c>
      <c r="O104" s="702">
        <f t="array" ref="O104">IFERROR(INDEX(Analytica!$F$59:$AY$138,MATCH($B104,Analytica!$B$59:$B$168,0),MATCH(O$15&amp;O$10,Analytica!$F$58:$AY$58&amp;Analytica!$F$51:'Analytica'!$AY$51,0)),"")</f>
        <v>0.11</v>
      </c>
      <c r="P104" s="620">
        <f t="array" ref="P104">IFERROR(INDEX(Analytica!$F$59:$AY$138,MATCH($B104,Analytica!$B$59:$B$168,0),MATCH(P$15&amp;P$10,Analytica!$F$58:$AY$58&amp;Analytica!$F$51:'Analytica'!$AY$51,0)),"")</f>
        <v>1813.1077355248217</v>
      </c>
      <c r="Q104" s="620">
        <f t="array" ref="Q104">IFERROR(INDEX(Analytica!$F$59:$AY$138,MATCH($B104,Analytica!$B$59:$B$168,0),MATCH(Q$15&amp;Q$10,Analytica!$F$58:$AY$58&amp;Analytica!$F$51:'Analytica'!$AY$51,0)),"")</f>
        <v>1437.1606416999607</v>
      </c>
      <c r="R104" s="620">
        <f t="array" ref="R104">IFERROR(INDEX(Analytica!$F$59:$AY$138,MATCH($B104,Analytica!$B$59:$B$168,0),MATCH(R$15&amp;R$10,Analytica!$F$58:$AY$58&amp;Analytica!$F$51:'Analytica'!$AY$51,0)),"")</f>
        <v>1061.2135478750995</v>
      </c>
      <c r="S104" s="620">
        <f t="array" ref="S104">IFERROR(INDEX(Analytica!$F$59:$AY$138,MATCH($B104,Analytica!$B$59:$B$168,0),MATCH(S$15&amp;S$10,Analytica!$F$58:$AY$58&amp;Analytica!$F$51:'Analytica'!$AY$51,0)),"")</f>
        <v>1011.9825087271777</v>
      </c>
      <c r="T104" s="620">
        <f t="array" ref="T104">IFERROR(INDEX(Analytica!$F$59:$AY$138,MATCH($B104,Analytica!$B$59:$B$168,0),MATCH(T$15&amp;T$10,Analytica!$F$58:$AY$58&amp;Analytica!$F$51:'Analytica'!$AY$51,0)),"")</f>
        <v>962.7514695792554</v>
      </c>
      <c r="U104" s="620">
        <f t="array" ref="U104">IFERROR(INDEX(Analytica!$F$59:$AY$138,MATCH($B104,Analytica!$B$59:$B$168,0),MATCH(U$15&amp;U$10,Analytica!$F$58:$AY$58&amp;Analytica!$F$51:'Analytica'!$AY$51,0)),"")</f>
        <v>945.21587798179326</v>
      </c>
      <c r="V104" s="620">
        <f t="array" ref="V104">IFERROR(INDEX(Analytica!$F$59:$AY$138,MATCH($B104,Analytica!$B$59:$B$168,0),MATCH(V$15&amp;V$10,Analytica!$F$58:$AY$58&amp;Analytica!$F$51:'Analytica'!$AY$51,0)),"")</f>
        <v>48.953908859170184</v>
      </c>
      <c r="W104" s="620">
        <f t="array" ref="W104">IFERROR(INDEX(Analytica!$F$59:$AY$138,MATCH($B104,Analytica!$B$59:$B$168,0),MATCH(W$15&amp;W$10,Analytica!$F$58:$AY$58&amp;Analytica!$F$51:'Analytica'!$AY$51,0)),"")</f>
        <v>28.652765792627687</v>
      </c>
      <c r="X104" s="620">
        <f t="array" ref="X104">IFERROR(INDEX(Analytica!$F$59:$AY$138,MATCH($B104,Analytica!$B$59:$B$168,0),MATCH(X$15&amp;X$10,Analytica!$F$58:$AY$58&amp;Analytica!$F$51:'Analytica'!$AY$51,0)),"")</f>
        <v>25.994289678639895</v>
      </c>
      <c r="Y104" s="620">
        <f t="array" ref="Y104">IFERROR(INDEX(Analytica!$F$59:$AY$138,MATCH($B104,Analytica!$B$59:$B$168,0),MATCH(Y$15&amp;Y$10,Analytica!$F$58:$AY$58&amp;Analytica!$F$51:'Analytica'!$AY$51,0)),"")</f>
        <v>25.520828705508418</v>
      </c>
      <c r="Z104" s="694">
        <f t="shared" si="129"/>
        <v>20</v>
      </c>
      <c r="AA104" s="694">
        <f t="shared" si="134"/>
        <v>20</v>
      </c>
      <c r="AB104" s="694">
        <f t="shared" si="80"/>
        <v>2025</v>
      </c>
      <c r="AC104" s="61">
        <f t="shared" ca="1" si="135"/>
        <v>87</v>
      </c>
      <c r="AD104" s="1">
        <v>1</v>
      </c>
      <c r="AE104" s="166" t="str">
        <f t="shared" si="136"/>
        <v>S_TFHCV6</v>
      </c>
      <c r="AF104" s="166" t="str">
        <f t="shared" si="103"/>
        <v>S_TFHCV6HGN</v>
      </c>
      <c r="AG104" s="166" t="str">
        <f t="shared" si="104"/>
        <v>TFHCV6HGN-N_L</v>
      </c>
      <c r="AH104" s="166" t="str">
        <f t="shared" si="105"/>
        <v>TFHCV6HGN-N_U</v>
      </c>
      <c r="AI104" s="166">
        <v>0</v>
      </c>
      <c r="AJ104" s="710">
        <f>SUMIF(Analytica!$B$59:$B$137,B104,Analytica!$BA$59:$BA$192)</f>
        <v>0</v>
      </c>
      <c r="AK104" s="61" t="e">
        <f>IF($AP$10,BK104,#REF!)</f>
        <v>#REF!</v>
      </c>
      <c r="AL104" s="61" t="e">
        <f t="shared" si="106"/>
        <v>#REF!</v>
      </c>
      <c r="AM104" s="61" t="e">
        <f t="shared" si="107"/>
        <v>#REF!</v>
      </c>
      <c r="AN104" s="80">
        <f t="shared" si="108"/>
        <v>1</v>
      </c>
      <c r="AO104" s="80">
        <f t="shared" si="109"/>
        <v>1</v>
      </c>
      <c r="AP104" s="80">
        <v>1</v>
      </c>
      <c r="AQ104" s="80">
        <f t="shared" si="110"/>
        <v>0</v>
      </c>
      <c r="AR104" s="80" t="e">
        <f>IF($AP$10,BR104,#REF!)</f>
        <v>#REF!</v>
      </c>
      <c r="AS104" s="61" t="e">
        <f t="shared" si="111"/>
        <v>#REF!</v>
      </c>
      <c r="AT104" s="74">
        <f t="shared" si="112"/>
        <v>0</v>
      </c>
      <c r="AU104" s="61">
        <f t="shared" si="113"/>
        <v>0</v>
      </c>
      <c r="AV104" s="61">
        <f t="shared" si="114"/>
        <v>0</v>
      </c>
      <c r="AX104" s="61">
        <f t="shared" si="115"/>
        <v>0</v>
      </c>
      <c r="AY104" s="171" t="e">
        <f>IF(#REF!&lt;&gt;"",(AY$11-#REF!)/(BA$11-#REF!)*(BA104-#REF!)+#REF!,"")</f>
        <v>#REF!</v>
      </c>
      <c r="AZ104" s="171" t="e">
        <f t="shared" si="137"/>
        <v>#REF!</v>
      </c>
      <c r="BA104" s="171">
        <f t="shared" si="131"/>
        <v>1</v>
      </c>
      <c r="BB104" s="171">
        <f t="shared" si="131"/>
        <v>1</v>
      </c>
      <c r="BC104" s="171"/>
      <c r="BD104" s="171">
        <f t="shared" si="138"/>
        <v>0</v>
      </c>
      <c r="BE104" s="171" t="e">
        <f>IF(#REF!&lt;&gt;"",(BE$11-#REF!)/(BG$11-#REF!)*(BG104-#REF!)+#REF!,"")</f>
        <v>#REF!</v>
      </c>
      <c r="BF104" s="697">
        <f t="shared" si="132"/>
        <v>0</v>
      </c>
      <c r="BG104" s="697">
        <f t="shared" si="132"/>
        <v>0</v>
      </c>
      <c r="BH104" s="697">
        <f t="shared" si="132"/>
        <v>0</v>
      </c>
      <c r="BJ104" s="61">
        <f t="shared" si="116"/>
        <v>0</v>
      </c>
      <c r="BK104" s="61">
        <v>0</v>
      </c>
      <c r="BL104" s="61" t="e">
        <f t="shared" si="79"/>
        <v>#REF!</v>
      </c>
      <c r="BM104" s="61" t="e">
        <f t="shared" si="118"/>
        <v>#REF!</v>
      </c>
      <c r="BN104" s="61">
        <v>0</v>
      </c>
      <c r="BO104" s="61">
        <v>0</v>
      </c>
      <c r="BQ104" s="61">
        <f t="shared" si="120"/>
        <v>0</v>
      </c>
      <c r="BR104" s="61">
        <f t="shared" si="121"/>
        <v>0</v>
      </c>
      <c r="BS104" s="61" t="e">
        <f t="shared" si="139"/>
        <v>#REF!</v>
      </c>
      <c r="BT104" s="61" t="e">
        <f t="shared" si="122"/>
        <v>#REF!</v>
      </c>
      <c r="BU104" s="61">
        <f t="shared" si="123"/>
        <v>0</v>
      </c>
      <c r="BV104" s="61">
        <f t="shared" si="123"/>
        <v>0</v>
      </c>
      <c r="BX104" s="61" t="str">
        <f t="shared" si="147"/>
        <v>TFHCV6HGN-N</v>
      </c>
      <c r="BY104" s="61" t="str">
        <f t="shared" ca="1" si="95"/>
        <v>-	S_TFHCV6HGN	1	TFHCV6HGN-N Set	1	10/03/2023 17:53:59	null	((tblITEMS.Item Like "TFHCV6HGN-N*"))	null	null	null	null	null	null	null</v>
      </c>
      <c r="BZ104" s="61" t="str">
        <f t="shared" si="96"/>
        <v>-	S_TFHCV6HGN	1	1	True	Like "TFHCV6HGN-N*"</v>
      </c>
    </row>
    <row r="105" spans="1:94" s="61" customFormat="1" ht="15" x14ac:dyDescent="0.25">
      <c r="A105" s="191" t="str">
        <f>ITEMS_nTech!C96</f>
        <v>Transport Freight - HCV7 Hydrogen-N</v>
      </c>
      <c r="B105" s="191" t="str">
        <f t="shared" si="102"/>
        <v>TFHCV7HGN-N</v>
      </c>
      <c r="C105" s="612" t="s">
        <v>1130</v>
      </c>
      <c r="D105" s="612" t="str">
        <f>TRP!B38</f>
        <v>TFHCV7</v>
      </c>
      <c r="E105" s="702">
        <f t="array" ref="E105">IFERROR(INDEX(Analytica!$F$59:$AY$138,MATCH($B105,Analytica!$B$59:$B$168,0),MATCH(E$15&amp;E$10,Analytica!$F$58:$AY$58&amp;Analytica!$F$51:'Analytica'!$AY$51,0)),"")</f>
        <v>0.14849243557825104</v>
      </c>
      <c r="F105" s="702">
        <f t="array" ref="F105">IFERROR(INDEX(Analytica!$F$59:$AY$138,MATCH($B105,Analytica!$B$59:$B$168,0),MATCH(F$15&amp;F$10,Analytica!$F$58:$AY$58&amp;Analytica!$F$51:'Analytica'!$AY$51,0)),"")</f>
        <v>0.15691210769022793</v>
      </c>
      <c r="G105" s="702">
        <f t="array" ref="G105">IFERROR(INDEX(Analytica!$F$59:$AY$138,MATCH($B105,Analytica!$B$59:$B$168,0),MATCH(G$15&amp;G$10,Analytica!$F$58:$AY$58&amp;Analytica!$F$51:'Analytica'!$AY$51,0)),"")</f>
        <v>0.17350200985429787</v>
      </c>
      <c r="H105" s="702">
        <f t="array" ref="H105">IFERROR(INDEX(Analytica!$F$59:$AY$138,MATCH($B105,Analytica!$B$59:$B$168,0),MATCH(H$15&amp;H$10,Analytica!$F$58:$AY$58&amp;Analytica!$F$51:'Analytica'!$AY$51,0)),"")</f>
        <v>0.19184591849922369</v>
      </c>
      <c r="I105" s="701">
        <v>1</v>
      </c>
      <c r="J105" s="701">
        <v>1</v>
      </c>
      <c r="K105" s="701">
        <v>1</v>
      </c>
      <c r="L105" s="701">
        <v>1</v>
      </c>
      <c r="M105" s="701">
        <v>1</v>
      </c>
      <c r="N105" s="696">
        <f>IF(B105="","",MAX(N$18:N104)+1)</f>
        <v>77</v>
      </c>
      <c r="O105" s="702">
        <f t="array" ref="O105">IFERROR(INDEX(Analytica!$F$59:$AY$138,MATCH($B105,Analytica!$B$59:$B$168,0),MATCH(O$15&amp;O$10,Analytica!$F$58:$AY$58&amp;Analytica!$F$51:'Analytica'!$AY$51,0)),"")</f>
        <v>0.16</v>
      </c>
      <c r="P105" s="620">
        <f t="array" ref="P105">IFERROR(INDEX(Analytica!$F$59:$AY$138,MATCH($B105,Analytica!$B$59:$B$168,0),MATCH(P$15&amp;P$10,Analytica!$F$58:$AY$58&amp;Analytica!$F$51:'Analytica'!$AY$51,0)),"")</f>
        <v>2464.4871540335203</v>
      </c>
      <c r="Q105" s="620">
        <f t="array" ref="Q105">IFERROR(INDEX(Analytica!$F$59:$AY$138,MATCH($B105,Analytica!$B$59:$B$168,0),MATCH(Q$15&amp;Q$10,Analytica!$F$58:$AY$58&amp;Analytica!$F$51:'Analytica'!$AY$51,0)),"")</f>
        <v>1930.2094138028374</v>
      </c>
      <c r="R105" s="620">
        <f t="array" ref="R105">IFERROR(INDEX(Analytica!$F$59:$AY$138,MATCH($B105,Analytica!$B$59:$B$168,0),MATCH(R$15&amp;R$10,Analytica!$F$58:$AY$58&amp;Analytica!$F$51:'Analytica'!$AY$51,0)),"")</f>
        <v>1395.9316735721545</v>
      </c>
      <c r="S105" s="620">
        <f t="array" ref="S105">IFERROR(INDEX(Analytica!$F$59:$AY$138,MATCH($B105,Analytica!$B$59:$B$168,0),MATCH(S$15&amp;S$10,Analytica!$F$58:$AY$58&amp;Analytica!$F$51:'Analytica'!$AY$51,0)),"")</f>
        <v>1325.6591701213001</v>
      </c>
      <c r="T105" s="620">
        <f t="array" ref="T105">IFERROR(INDEX(Analytica!$F$59:$AY$138,MATCH($B105,Analytica!$B$59:$B$168,0),MATCH(T$15&amp;T$10,Analytica!$F$58:$AY$58&amp;Analytica!$F$51:'Analytica'!$AY$51,0)),"")</f>
        <v>1255.3866666704457</v>
      </c>
      <c r="U105" s="620">
        <f t="array" ref="U105">IFERROR(INDEX(Analytica!$F$59:$AY$138,MATCH($B105,Analytica!$B$59:$B$168,0),MATCH(U$15&amp;U$10,Analytica!$F$58:$AY$58&amp;Analytica!$F$51:'Analytica'!$AY$51,0)),"")</f>
        <v>1215.8917526997081</v>
      </c>
      <c r="V105" s="620">
        <f t="array" ref="V105">IFERROR(INDEX(Analytica!$F$59:$AY$138,MATCH($B105,Analytica!$B$59:$B$168,0),MATCH(V$15&amp;V$10,Analytica!$F$58:$AY$58&amp;Analytica!$F$51:'Analytica'!$AY$51,0)),"")</f>
        <v>66.541153158905047</v>
      </c>
      <c r="W105" s="620">
        <f t="array" ref="W105">IFERROR(INDEX(Analytica!$F$59:$AY$138,MATCH($B105,Analytica!$B$59:$B$168,0),MATCH(W$15&amp;W$10,Analytica!$F$58:$AY$58&amp;Analytica!$F$51:'Analytica'!$AY$51,0)),"")</f>
        <v>37.690155186448173</v>
      </c>
      <c r="X105" s="620">
        <f t="array" ref="X105">IFERROR(INDEX(Analytica!$F$59:$AY$138,MATCH($B105,Analytica!$B$59:$B$168,0),MATCH(X$15&amp;X$10,Analytica!$F$58:$AY$58&amp;Analytica!$F$51:'Analytica'!$AY$51,0)),"")</f>
        <v>33.895440000102035</v>
      </c>
      <c r="Y105" s="620">
        <f t="array" ref="Y105">IFERROR(INDEX(Analytica!$F$59:$AY$138,MATCH($B105,Analytica!$B$59:$B$168,0),MATCH(Y$15&amp;Y$10,Analytica!$F$58:$AY$58&amp;Analytica!$F$51:'Analytica'!$AY$51,0)),"")</f>
        <v>32.829077322892118</v>
      </c>
      <c r="Z105" s="694">
        <f t="shared" si="129"/>
        <v>20</v>
      </c>
      <c r="AA105" s="694">
        <f t="shared" si="134"/>
        <v>20</v>
      </c>
      <c r="AB105" s="694">
        <f t="shared" si="80"/>
        <v>2025</v>
      </c>
      <c r="AC105" s="61">
        <f t="shared" ca="1" si="135"/>
        <v>88</v>
      </c>
      <c r="AD105" s="1">
        <v>1</v>
      </c>
      <c r="AE105" s="166" t="str">
        <f t="shared" si="136"/>
        <v>S_TFHCV7</v>
      </c>
      <c r="AF105" s="166" t="str">
        <f t="shared" si="103"/>
        <v>S_TFHCV7HGN</v>
      </c>
      <c r="AG105" s="166" t="str">
        <f t="shared" si="104"/>
        <v>TFHCV7HGN-N_L</v>
      </c>
      <c r="AH105" s="166" t="str">
        <f t="shared" si="105"/>
        <v>TFHCV7HGN-N_U</v>
      </c>
      <c r="AI105" s="166">
        <v>0</v>
      </c>
      <c r="AJ105" s="710">
        <f>SUMIF(Analytica!$B$59:$B$137,B105,Analytica!$BA$59:$BA$192)</f>
        <v>0</v>
      </c>
      <c r="AK105" s="61" t="e">
        <f>IF($AP$10,BK105,#REF!)</f>
        <v>#REF!</v>
      </c>
      <c r="AL105" s="61" t="e">
        <f t="shared" si="106"/>
        <v>#REF!</v>
      </c>
      <c r="AM105" s="61" t="e">
        <f t="shared" si="107"/>
        <v>#REF!</v>
      </c>
      <c r="AN105" s="80">
        <f t="shared" si="108"/>
        <v>1</v>
      </c>
      <c r="AO105" s="80">
        <f t="shared" si="109"/>
        <v>1</v>
      </c>
      <c r="AP105" s="80">
        <v>1</v>
      </c>
      <c r="AQ105" s="80">
        <f t="shared" si="110"/>
        <v>0</v>
      </c>
      <c r="AR105" s="80" t="e">
        <f>IF($AP$10,BR105,#REF!)</f>
        <v>#REF!</v>
      </c>
      <c r="AS105" s="61" t="e">
        <f t="shared" si="111"/>
        <v>#REF!</v>
      </c>
      <c r="AT105" s="74">
        <f t="shared" si="112"/>
        <v>0</v>
      </c>
      <c r="AU105" s="61">
        <f t="shared" si="113"/>
        <v>0</v>
      </c>
      <c r="AV105" s="61">
        <f t="shared" si="114"/>
        <v>0</v>
      </c>
      <c r="AX105" s="61">
        <f t="shared" si="115"/>
        <v>0</v>
      </c>
      <c r="AY105" s="171" t="e">
        <f>IF(#REF!&lt;&gt;"",(AY$11-#REF!)/(BA$11-#REF!)*(BA105-#REF!)+#REF!,"")</f>
        <v>#REF!</v>
      </c>
      <c r="AZ105" s="171" t="e">
        <f t="shared" si="137"/>
        <v>#REF!</v>
      </c>
      <c r="BA105" s="171">
        <f t="shared" si="131"/>
        <v>1</v>
      </c>
      <c r="BB105" s="171">
        <f t="shared" si="131"/>
        <v>1</v>
      </c>
      <c r="BC105" s="171"/>
      <c r="BD105" s="171">
        <f t="shared" si="138"/>
        <v>0</v>
      </c>
      <c r="BE105" s="171" t="e">
        <f>IF(#REF!&lt;&gt;"",(BE$11-#REF!)/(BG$11-#REF!)*(BG105-#REF!)+#REF!,"")</f>
        <v>#REF!</v>
      </c>
      <c r="BF105" s="697">
        <f t="shared" si="132"/>
        <v>0</v>
      </c>
      <c r="BG105" s="697">
        <f t="shared" si="132"/>
        <v>0</v>
      </c>
      <c r="BH105" s="697">
        <f t="shared" si="132"/>
        <v>0</v>
      </c>
      <c r="BJ105" s="61">
        <f t="shared" si="116"/>
        <v>0</v>
      </c>
      <c r="BK105" s="61">
        <v>0</v>
      </c>
      <c r="BL105" s="61" t="e">
        <f t="shared" si="79"/>
        <v>#REF!</v>
      </c>
      <c r="BM105" s="61" t="e">
        <f t="shared" si="118"/>
        <v>#REF!</v>
      </c>
      <c r="BN105" s="61">
        <v>0</v>
      </c>
      <c r="BO105" s="61">
        <v>0</v>
      </c>
      <c r="BQ105" s="61">
        <f t="shared" si="120"/>
        <v>0</v>
      </c>
      <c r="BR105" s="61">
        <f t="shared" si="121"/>
        <v>0</v>
      </c>
      <c r="BS105" s="61" t="e">
        <f t="shared" si="139"/>
        <v>#REF!</v>
      </c>
      <c r="BT105" s="61" t="e">
        <f t="shared" si="122"/>
        <v>#REF!</v>
      </c>
      <c r="BU105" s="61">
        <f t="shared" si="123"/>
        <v>0</v>
      </c>
      <c r="BV105" s="61">
        <f t="shared" si="123"/>
        <v>0</v>
      </c>
      <c r="BX105" s="61" t="str">
        <f t="shared" si="147"/>
        <v>TFHCV7HGN-N</v>
      </c>
      <c r="BY105" s="61" t="str">
        <f t="shared" ca="1" si="95"/>
        <v>-	S_TFHCV7HGN	1	TFHCV7HGN-N Set	1	10/03/2023 17:53:59	null	((tblITEMS.Item Like "TFHCV7HGN-N*"))	null	null	null	null	null	null	null</v>
      </c>
      <c r="BZ105" s="61" t="str">
        <f t="shared" si="96"/>
        <v>-	S_TFHCV7HGN	1	1	True	Like "TFHCV7HGN-N*"</v>
      </c>
    </row>
    <row r="106" spans="1:94" s="61" customFormat="1" ht="15" x14ac:dyDescent="0.25">
      <c r="A106" s="191" t="str">
        <f>ITEMS_nTech!C97</f>
        <v>Transport Freight - HCV8 Hydrogen-N</v>
      </c>
      <c r="B106" s="191" t="str">
        <f t="shared" si="102"/>
        <v>TFHCV8HGN-N</v>
      </c>
      <c r="C106" s="612" t="s">
        <v>1130</v>
      </c>
      <c r="D106" s="612" t="str">
        <f>TRP!B39</f>
        <v>TFHCV8</v>
      </c>
      <c r="E106" s="702">
        <f t="array" ref="E106">IFERROR(INDEX(Analytica!$F$59:$AY$138,MATCH($B106,Analytica!$B$59:$B$168,0),MATCH(E$15&amp;E$10,Analytica!$F$58:$AY$58&amp;Analytica!$F$51:'Analytica'!$AY$51,0)),"")</f>
        <v>0.14611835554452188</v>
      </c>
      <c r="F106" s="702">
        <f t="array" ref="F106">IFERROR(INDEX(Analytica!$F$59:$AY$138,MATCH($B106,Analytica!$B$59:$B$168,0),MATCH(F$15&amp;F$10,Analytica!$F$58:$AY$58&amp;Analytica!$F$51:'Analytica'!$AY$51,0)),"")</f>
        <v>0.15440341490418077</v>
      </c>
      <c r="G106" s="702">
        <f t="array" ref="G106">IFERROR(INDEX(Analytica!$F$59:$AY$138,MATCH($B106,Analytica!$B$59:$B$168,0),MATCH(G$15&amp;G$10,Analytica!$F$58:$AY$58&amp;Analytica!$F$51:'Analytica'!$AY$51,0)),"")</f>
        <v>0.17072807961466688</v>
      </c>
      <c r="H106" s="702">
        <f t="array" ref="H106">IFERROR(INDEX(Analytica!$F$59:$AY$138,MATCH($B106,Analytica!$B$59:$B$168,0),MATCH(H$15&amp;H$10,Analytica!$F$58:$AY$58&amp;Analytica!$F$51:'Analytica'!$AY$51,0)),"")</f>
        <v>0.18877870795150914</v>
      </c>
      <c r="I106" s="701">
        <v>1</v>
      </c>
      <c r="J106" s="701">
        <v>1</v>
      </c>
      <c r="K106" s="701">
        <v>1</v>
      </c>
      <c r="L106" s="701">
        <v>1</v>
      </c>
      <c r="M106" s="701">
        <v>1</v>
      </c>
      <c r="N106" s="696">
        <f>IF(B106="","",MAX(N$18:N105)+1)</f>
        <v>78</v>
      </c>
      <c r="O106" s="702">
        <f t="array" ref="O106">IFERROR(INDEX(Analytica!$F$59:$AY$138,MATCH($B106,Analytica!$B$59:$B$168,0),MATCH(O$15&amp;O$10,Analytica!$F$58:$AY$58&amp;Analytica!$F$51:'Analytica'!$AY$51,0)),"")</f>
        <v>0.16</v>
      </c>
      <c r="P106" s="620">
        <f t="array" ref="P106">IFERROR(INDEX(Analytica!$F$59:$AY$138,MATCH($B106,Analytica!$B$59:$B$168,0),MATCH(P$15&amp;P$10,Analytica!$F$58:$AY$58&amp;Analytica!$F$51:'Analytica'!$AY$51,0)),"")</f>
        <v>2464.4871540335203</v>
      </c>
      <c r="Q106" s="620">
        <f t="array" ref="Q106">IFERROR(INDEX(Analytica!$F$59:$AY$138,MATCH($B106,Analytica!$B$59:$B$168,0),MATCH(Q$15&amp;Q$10,Analytica!$F$58:$AY$58&amp;Analytica!$F$51:'Analytica'!$AY$51,0)),"")</f>
        <v>1930.2094138028374</v>
      </c>
      <c r="R106" s="620">
        <f t="array" ref="R106">IFERROR(INDEX(Analytica!$F$59:$AY$138,MATCH($B106,Analytica!$B$59:$B$168,0),MATCH(R$15&amp;R$10,Analytica!$F$58:$AY$58&amp;Analytica!$F$51:'Analytica'!$AY$51,0)),"")</f>
        <v>1395.9316735721545</v>
      </c>
      <c r="S106" s="620">
        <f t="array" ref="S106">IFERROR(INDEX(Analytica!$F$59:$AY$138,MATCH($B106,Analytica!$B$59:$B$168,0),MATCH(S$15&amp;S$10,Analytica!$F$58:$AY$58&amp;Analytica!$F$51:'Analytica'!$AY$51,0)),"")</f>
        <v>1325.6591701213001</v>
      </c>
      <c r="T106" s="620">
        <f t="array" ref="T106">IFERROR(INDEX(Analytica!$F$59:$AY$138,MATCH($B106,Analytica!$B$59:$B$168,0),MATCH(T$15&amp;T$10,Analytica!$F$58:$AY$58&amp;Analytica!$F$51:'Analytica'!$AY$51,0)),"")</f>
        <v>1255.3866666704457</v>
      </c>
      <c r="U106" s="620">
        <f t="array" ref="U106">IFERROR(INDEX(Analytica!$F$59:$AY$138,MATCH($B106,Analytica!$B$59:$B$168,0),MATCH(U$15&amp;U$10,Analytica!$F$58:$AY$58&amp;Analytica!$F$51:'Analytica'!$AY$51,0)),"")</f>
        <v>1215.8917526997081</v>
      </c>
      <c r="V106" s="620">
        <f t="array" ref="V106">IFERROR(INDEX(Analytica!$F$59:$AY$138,MATCH($B106,Analytica!$B$59:$B$168,0),MATCH(V$15&amp;V$10,Analytica!$F$58:$AY$58&amp;Analytica!$F$51:'Analytica'!$AY$51,0)),"")</f>
        <v>66.541153158905047</v>
      </c>
      <c r="W106" s="620">
        <f t="array" ref="W106">IFERROR(INDEX(Analytica!$F$59:$AY$138,MATCH($B106,Analytica!$B$59:$B$168,0),MATCH(W$15&amp;W$10,Analytica!$F$58:$AY$58&amp;Analytica!$F$51:'Analytica'!$AY$51,0)),"")</f>
        <v>37.690155186448173</v>
      </c>
      <c r="X106" s="620">
        <f t="array" ref="X106">IFERROR(INDEX(Analytica!$F$59:$AY$138,MATCH($B106,Analytica!$B$59:$B$168,0),MATCH(X$15&amp;X$10,Analytica!$F$58:$AY$58&amp;Analytica!$F$51:'Analytica'!$AY$51,0)),"")</f>
        <v>33.895440000102035</v>
      </c>
      <c r="Y106" s="620">
        <f t="array" ref="Y106">IFERROR(INDEX(Analytica!$F$59:$AY$138,MATCH($B106,Analytica!$B$59:$B$168,0),MATCH(Y$15&amp;Y$10,Analytica!$F$58:$AY$58&amp;Analytica!$F$51:'Analytica'!$AY$51,0)),"")</f>
        <v>32.829077322892118</v>
      </c>
      <c r="Z106" s="694">
        <f t="shared" si="129"/>
        <v>20</v>
      </c>
      <c r="AA106" s="694">
        <f t="shared" si="134"/>
        <v>20</v>
      </c>
      <c r="AB106" s="694">
        <f t="shared" si="80"/>
        <v>2025</v>
      </c>
      <c r="AC106" s="61">
        <f t="shared" ca="1" si="135"/>
        <v>89</v>
      </c>
      <c r="AD106" s="1">
        <v>1</v>
      </c>
      <c r="AE106" s="166" t="str">
        <f t="shared" si="136"/>
        <v>S_TFHCV8</v>
      </c>
      <c r="AF106" s="166" t="str">
        <f t="shared" si="103"/>
        <v>S_TFHCV8HGN</v>
      </c>
      <c r="AG106" s="166" t="str">
        <f t="shared" si="104"/>
        <v>TFHCV8HGN-N_L</v>
      </c>
      <c r="AH106" s="166" t="str">
        <f t="shared" si="105"/>
        <v>TFHCV8HGN-N_U</v>
      </c>
      <c r="AI106" s="166">
        <v>0</v>
      </c>
      <c r="AJ106" s="710">
        <f>SUMIF(Analytica!$B$59:$B$137,B106,Analytica!$BA$59:$BA$192)</f>
        <v>0</v>
      </c>
      <c r="AK106" s="61" t="e">
        <f>IF($AP$10,BK106,#REF!)</f>
        <v>#REF!</v>
      </c>
      <c r="AL106" s="61" t="e">
        <f t="shared" si="106"/>
        <v>#REF!</v>
      </c>
      <c r="AM106" s="61" t="e">
        <f t="shared" si="107"/>
        <v>#REF!</v>
      </c>
      <c r="AN106" s="80">
        <f t="shared" si="108"/>
        <v>1</v>
      </c>
      <c r="AO106" s="80">
        <f t="shared" si="109"/>
        <v>1</v>
      </c>
      <c r="AP106" s="80">
        <v>1</v>
      </c>
      <c r="AQ106" s="80">
        <f t="shared" si="110"/>
        <v>0</v>
      </c>
      <c r="AR106" s="80" t="e">
        <f>IF($AP$10,BR106,#REF!)</f>
        <v>#REF!</v>
      </c>
      <c r="AS106" s="61" t="e">
        <f t="shared" si="111"/>
        <v>#REF!</v>
      </c>
      <c r="AT106" s="74">
        <f t="shared" si="112"/>
        <v>0</v>
      </c>
      <c r="AU106" s="61">
        <f t="shared" si="113"/>
        <v>0</v>
      </c>
      <c r="AV106" s="61">
        <f t="shared" si="114"/>
        <v>0</v>
      </c>
      <c r="AX106" s="61">
        <f t="shared" si="115"/>
        <v>0</v>
      </c>
      <c r="AY106" s="171" t="e">
        <f>IF(#REF!&lt;&gt;"",(AY$11-#REF!)/(BA$11-#REF!)*(BA106-#REF!)+#REF!,"")</f>
        <v>#REF!</v>
      </c>
      <c r="AZ106" s="171" t="e">
        <f t="shared" si="137"/>
        <v>#REF!</v>
      </c>
      <c r="BA106" s="171">
        <f t="shared" si="131"/>
        <v>1</v>
      </c>
      <c r="BB106" s="171">
        <f t="shared" si="131"/>
        <v>1</v>
      </c>
      <c r="BC106" s="171"/>
      <c r="BD106" s="171">
        <f t="shared" si="138"/>
        <v>0</v>
      </c>
      <c r="BE106" s="171" t="e">
        <f>IF(#REF!&lt;&gt;"",(BE$11-#REF!)/(BG$11-#REF!)*(BG106-#REF!)+#REF!,"")</f>
        <v>#REF!</v>
      </c>
      <c r="BF106" s="697">
        <f t="shared" si="132"/>
        <v>0</v>
      </c>
      <c r="BG106" s="697">
        <f t="shared" si="132"/>
        <v>0</v>
      </c>
      <c r="BH106" s="697">
        <f t="shared" si="132"/>
        <v>0</v>
      </c>
      <c r="BJ106" s="61">
        <f t="shared" si="116"/>
        <v>0</v>
      </c>
      <c r="BK106" s="61">
        <v>0</v>
      </c>
      <c r="BL106" s="61" t="e">
        <f t="shared" si="79"/>
        <v>#REF!</v>
      </c>
      <c r="BM106" s="61" t="e">
        <f t="shared" si="118"/>
        <v>#REF!</v>
      </c>
      <c r="BN106" s="61">
        <v>0</v>
      </c>
      <c r="BO106" s="61">
        <v>0</v>
      </c>
      <c r="BQ106" s="61">
        <f t="shared" si="120"/>
        <v>0</v>
      </c>
      <c r="BR106" s="61">
        <f t="shared" si="121"/>
        <v>0</v>
      </c>
      <c r="BS106" s="61" t="e">
        <f t="shared" si="139"/>
        <v>#REF!</v>
      </c>
      <c r="BT106" s="61" t="e">
        <f t="shared" si="122"/>
        <v>#REF!</v>
      </c>
      <c r="BU106" s="61">
        <f t="shared" si="123"/>
        <v>0</v>
      </c>
      <c r="BV106" s="61">
        <f t="shared" si="123"/>
        <v>0</v>
      </c>
      <c r="BX106" s="61" t="str">
        <f t="shared" si="147"/>
        <v>TFHCV8HGN-N</v>
      </c>
      <c r="BY106" s="61" t="str">
        <f t="shared" ca="1" si="95"/>
        <v>-	S_TFHCV8HGN	1	TFHCV8HGN-N Set	1	10/03/2023 17:53:59	null	((tblITEMS.Item Like "TFHCV8HGN-N*"))	null	null	null	null	null	null	null</v>
      </c>
      <c r="BZ106" s="61" t="str">
        <f t="shared" si="96"/>
        <v>-	S_TFHCV8HGN	1	1	True	Like "TFHCV8HGN-N*"</v>
      </c>
    </row>
    <row r="107" spans="1:94" s="61" customFormat="1" ht="15" x14ac:dyDescent="0.25">
      <c r="A107" s="191" t="str">
        <f>ITEMS_nTech!C98</f>
        <v>Transport Freight - HCV9 Hydrogen-N</v>
      </c>
      <c r="B107" s="191" t="str">
        <f t="shared" si="102"/>
        <v>TFHCV9HGN-N</v>
      </c>
      <c r="C107" s="612" t="s">
        <v>1130</v>
      </c>
      <c r="D107" s="612" t="str">
        <f>TRP!B40</f>
        <v>TFHCV9</v>
      </c>
      <c r="E107" s="702">
        <f t="array" ref="E107">IFERROR(INDEX(Analytica!$F$59:$AY$138,MATCH($B107,Analytica!$B$59:$B$168,0),MATCH(E$15&amp;E$10,Analytica!$F$58:$AY$58&amp;Analytica!$F$51:'Analytica'!$AY$51,0)),"")</f>
        <v>0.11481774903280431</v>
      </c>
      <c r="F107" s="702">
        <f t="array" ref="F107">IFERROR(INDEX(Analytica!$F$59:$AY$138,MATCH($B107,Analytica!$B$59:$B$168,0),MATCH(F$15&amp;F$10,Analytica!$F$58:$AY$58&amp;Analytica!$F$51:'Analytica'!$AY$51,0)),"")</f>
        <v>0.12132803217097823</v>
      </c>
      <c r="G107" s="702">
        <f t="array" ref="G107">IFERROR(INDEX(Analytica!$F$59:$AY$138,MATCH($B107,Analytica!$B$59:$B$168,0),MATCH(G$15&amp;G$10,Analytica!$F$58:$AY$58&amp;Analytica!$F$51:'Analytica'!$AY$51,0)),"")</f>
        <v>0.13415572413882385</v>
      </c>
      <c r="H107" s="702">
        <f t="array" ref="H107">IFERROR(INDEX(Analytica!$F$59:$AY$138,MATCH($B107,Analytica!$B$59:$B$168,0),MATCH(H$15&amp;H$10,Analytica!$F$58:$AY$58&amp;Analytica!$F$51:'Analytica'!$AY$51,0)),"")</f>
        <v>0.14833965405331348</v>
      </c>
      <c r="I107" s="701">
        <v>1</v>
      </c>
      <c r="J107" s="701">
        <v>1</v>
      </c>
      <c r="K107" s="701">
        <v>1</v>
      </c>
      <c r="L107" s="701">
        <v>1</v>
      </c>
      <c r="M107" s="701">
        <v>1</v>
      </c>
      <c r="N107" s="696">
        <f>IF(B107="","",MAX(N$18:N106)+1)</f>
        <v>79</v>
      </c>
      <c r="O107" s="702">
        <f t="array" ref="O107">IFERROR(INDEX(Analytica!$F$59:$AY$138,MATCH($B107,Analytica!$B$59:$B$168,0),MATCH(O$15&amp;O$10,Analytica!$F$58:$AY$58&amp;Analytica!$F$51:'Analytica'!$AY$51,0)),"")</f>
        <v>0.18</v>
      </c>
      <c r="P107" s="620">
        <f t="array" ref="P107">IFERROR(INDEX(Analytica!$F$59:$AY$138,MATCH($B107,Analytica!$B$59:$B$168,0),MATCH(P$15&amp;P$10,Analytica!$F$58:$AY$58&amp;Analytica!$F$51:'Analytica'!$AY$51,0)),"")</f>
        <v>2464.4871540335203</v>
      </c>
      <c r="Q107" s="620">
        <f t="array" ref="Q107">IFERROR(INDEX(Analytica!$F$59:$AY$138,MATCH($B107,Analytica!$B$59:$B$168,0),MATCH(Q$15&amp;Q$10,Analytica!$F$58:$AY$58&amp;Analytica!$F$51:'Analytica'!$AY$51,0)),"")</f>
        <v>1930.2094138028374</v>
      </c>
      <c r="R107" s="620">
        <f t="array" ref="R107">IFERROR(INDEX(Analytica!$F$59:$AY$138,MATCH($B107,Analytica!$B$59:$B$168,0),MATCH(R$15&amp;R$10,Analytica!$F$58:$AY$58&amp;Analytica!$F$51:'Analytica'!$AY$51,0)),"")</f>
        <v>1395.9316735721545</v>
      </c>
      <c r="S107" s="620">
        <f t="array" ref="S107">IFERROR(INDEX(Analytica!$F$59:$AY$138,MATCH($B107,Analytica!$B$59:$B$168,0),MATCH(S$15&amp;S$10,Analytica!$F$58:$AY$58&amp;Analytica!$F$51:'Analytica'!$AY$51,0)),"")</f>
        <v>1325.6591701213001</v>
      </c>
      <c r="T107" s="620">
        <f t="array" ref="T107">IFERROR(INDEX(Analytica!$F$59:$AY$138,MATCH($B107,Analytica!$B$59:$B$168,0),MATCH(T$15&amp;T$10,Analytica!$F$58:$AY$58&amp;Analytica!$F$51:'Analytica'!$AY$51,0)),"")</f>
        <v>1255.3866666704457</v>
      </c>
      <c r="U107" s="620">
        <f t="array" ref="U107">IFERROR(INDEX(Analytica!$F$59:$AY$138,MATCH($B107,Analytica!$B$59:$B$168,0),MATCH(U$15&amp;U$10,Analytica!$F$58:$AY$58&amp;Analytica!$F$51:'Analytica'!$AY$51,0)),"")</f>
        <v>1215.8917526997081</v>
      </c>
      <c r="V107" s="620">
        <f t="array" ref="V107">IFERROR(INDEX(Analytica!$F$59:$AY$138,MATCH($B107,Analytica!$B$59:$B$168,0),MATCH(V$15&amp;V$10,Analytica!$F$58:$AY$58&amp;Analytica!$F$51:'Analytica'!$AY$51,0)),"")</f>
        <v>66.541153158905047</v>
      </c>
      <c r="W107" s="620">
        <f t="array" ref="W107">IFERROR(INDEX(Analytica!$F$59:$AY$138,MATCH($B107,Analytica!$B$59:$B$168,0),MATCH(W$15&amp;W$10,Analytica!$F$58:$AY$58&amp;Analytica!$F$51:'Analytica'!$AY$51,0)),"")</f>
        <v>37.690155186448173</v>
      </c>
      <c r="X107" s="620">
        <f t="array" ref="X107">IFERROR(INDEX(Analytica!$F$59:$AY$138,MATCH($B107,Analytica!$B$59:$B$168,0),MATCH(X$15&amp;X$10,Analytica!$F$58:$AY$58&amp;Analytica!$F$51:'Analytica'!$AY$51,0)),"")</f>
        <v>33.895440000102035</v>
      </c>
      <c r="Y107" s="620">
        <f t="array" ref="Y107">IFERROR(INDEX(Analytica!$F$59:$AY$138,MATCH($B107,Analytica!$B$59:$B$168,0),MATCH(Y$15&amp;Y$10,Analytica!$F$58:$AY$58&amp;Analytica!$F$51:'Analytica'!$AY$51,0)),"")</f>
        <v>32.829077322892118</v>
      </c>
      <c r="Z107" s="694">
        <f t="shared" si="129"/>
        <v>20</v>
      </c>
      <c r="AA107" s="694">
        <f t="shared" si="134"/>
        <v>20</v>
      </c>
      <c r="AB107" s="694">
        <f t="shared" si="80"/>
        <v>2025</v>
      </c>
      <c r="AC107" s="61">
        <f t="shared" ca="1" si="135"/>
        <v>90</v>
      </c>
      <c r="AD107" s="1">
        <v>1</v>
      </c>
      <c r="AE107" s="166" t="str">
        <f t="shared" si="136"/>
        <v>S_TFHCV9</v>
      </c>
      <c r="AF107" s="166" t="str">
        <f t="shared" si="103"/>
        <v>S_TFHCV9HGN</v>
      </c>
      <c r="AG107" s="166" t="str">
        <f t="shared" si="104"/>
        <v>TFHCV9HGN-N_L</v>
      </c>
      <c r="AH107" s="166" t="str">
        <f t="shared" si="105"/>
        <v>TFHCV9HGN-N_U</v>
      </c>
      <c r="AI107" s="166">
        <v>0</v>
      </c>
      <c r="AJ107" s="710">
        <f>SUMIF(Analytica!$B$59:$B$137,B107,Analytica!$BA$59:$BA$192)</f>
        <v>0</v>
      </c>
      <c r="AK107" s="61" t="e">
        <f>IF($AP$10,BK107,#REF!)</f>
        <v>#REF!</v>
      </c>
      <c r="AL107" s="61" t="e">
        <f t="shared" si="106"/>
        <v>#REF!</v>
      </c>
      <c r="AM107" s="61" t="e">
        <f t="shared" si="107"/>
        <v>#REF!</v>
      </c>
      <c r="AN107" s="80">
        <f t="shared" si="108"/>
        <v>1</v>
      </c>
      <c r="AO107" s="80">
        <f t="shared" si="109"/>
        <v>1</v>
      </c>
      <c r="AP107" s="80">
        <v>1</v>
      </c>
      <c r="AQ107" s="80">
        <f t="shared" si="110"/>
        <v>0</v>
      </c>
      <c r="AR107" s="80" t="e">
        <f>IF($AP$10,BR107,#REF!)</f>
        <v>#REF!</v>
      </c>
      <c r="AS107" s="61" t="e">
        <f t="shared" si="111"/>
        <v>#REF!</v>
      </c>
      <c r="AT107" s="74">
        <f t="shared" si="112"/>
        <v>0</v>
      </c>
      <c r="AU107" s="61">
        <f t="shared" si="113"/>
        <v>0</v>
      </c>
      <c r="AV107" s="61">
        <f t="shared" si="114"/>
        <v>0</v>
      </c>
      <c r="AX107" s="61">
        <f t="shared" si="115"/>
        <v>0</v>
      </c>
      <c r="AY107" s="171" t="e">
        <f>IF(#REF!&lt;&gt;"",(AY$11-#REF!)/(BA$11-#REF!)*(BA107-#REF!)+#REF!,"")</f>
        <v>#REF!</v>
      </c>
      <c r="AZ107" s="171" t="e">
        <f t="shared" si="137"/>
        <v>#REF!</v>
      </c>
      <c r="BA107" s="171">
        <f t="shared" si="131"/>
        <v>1</v>
      </c>
      <c r="BB107" s="171">
        <f t="shared" si="131"/>
        <v>1</v>
      </c>
      <c r="BC107" s="171"/>
      <c r="BD107" s="171">
        <f t="shared" si="138"/>
        <v>0</v>
      </c>
      <c r="BE107" s="171" t="e">
        <f>IF(#REF!&lt;&gt;"",(BE$11-#REF!)/(BG$11-#REF!)*(BG107-#REF!)+#REF!,"")</f>
        <v>#REF!</v>
      </c>
      <c r="BF107" s="697">
        <f t="shared" si="132"/>
        <v>0</v>
      </c>
      <c r="BG107" s="697">
        <f t="shared" si="132"/>
        <v>0</v>
      </c>
      <c r="BH107" s="697">
        <f t="shared" si="132"/>
        <v>0</v>
      </c>
      <c r="BJ107" s="61">
        <f t="shared" si="116"/>
        <v>0</v>
      </c>
      <c r="BK107" s="61">
        <v>0</v>
      </c>
      <c r="BL107" s="61" t="e">
        <f t="shared" si="79"/>
        <v>#REF!</v>
      </c>
      <c r="BM107" s="61" t="e">
        <f t="shared" si="118"/>
        <v>#REF!</v>
      </c>
      <c r="BN107" s="61">
        <v>0</v>
      </c>
      <c r="BO107" s="61">
        <v>0</v>
      </c>
      <c r="BQ107" s="61">
        <f t="shared" si="120"/>
        <v>0</v>
      </c>
      <c r="BR107" s="61">
        <f t="shared" si="121"/>
        <v>0</v>
      </c>
      <c r="BS107" s="61" t="e">
        <f t="shared" si="139"/>
        <v>#REF!</v>
      </c>
      <c r="BT107" s="61" t="e">
        <f t="shared" si="122"/>
        <v>#REF!</v>
      </c>
      <c r="BU107" s="61">
        <f t="shared" si="123"/>
        <v>0</v>
      </c>
      <c r="BV107" s="61">
        <f t="shared" si="123"/>
        <v>0</v>
      </c>
      <c r="BX107" s="61" t="str">
        <f t="shared" si="147"/>
        <v>TFHCV9HGN-N</v>
      </c>
      <c r="BY107" s="61" t="str">
        <f t="shared" ca="1" si="95"/>
        <v>-	S_TFHCV9HGN	1	TFHCV9HGN-N Set	1	10/03/2023 17:53:59	null	((tblITEMS.Item Like "TFHCV9HGN-N*"))	null	null	null	null	null	null	null</v>
      </c>
      <c r="BZ107" s="61" t="str">
        <f t="shared" si="96"/>
        <v>-	S_TFHCV9HGN	1	1	True	Like "TFHCV9HGN-N*"</v>
      </c>
    </row>
    <row r="108" spans="1:94" s="618" customFormat="1" x14ac:dyDescent="0.2">
      <c r="A108" s="191" t="s">
        <v>1124</v>
      </c>
      <c r="N108" s="696"/>
      <c r="V108" s="620" t="str">
        <f t="array" ref="V108">IFERROR(INDEX(Analytica!$F$59:$AY$138,MATCH($B108,Analytica!$B$59:$B$168,0),MATCH(V$15&amp;V$10,Analytica!$F$58:$AY$58&amp;Analytica!$F$51:'Analytica'!$AY$51,0)),"")</f>
        <v/>
      </c>
      <c r="W108" s="620" t="str">
        <f t="array" ref="W108">IFERROR(INDEX(Analytica!$F$59:$AY$138,MATCH($B108,Analytica!$B$59:$B$168,0),MATCH(W$15&amp;W$10,Analytica!$F$58:$AY$58&amp;Analytica!$F$51:'Analytica'!$AY$51,0)),"")</f>
        <v/>
      </c>
      <c r="X108" s="620" t="str">
        <f t="array" ref="X108">IFERROR(INDEX(Analytica!$F$59:$AY$138,MATCH($B108,Analytica!$B$59:$B$168,0),MATCH(X$15&amp;X$10,Analytica!$F$58:$AY$58&amp;Analytica!$F$51:'Analytica'!$AY$51,0)),"")</f>
        <v/>
      </c>
      <c r="Y108" s="620" t="str">
        <f t="array" ref="Y108">IFERROR(INDEX(Analytica!$F$59:$AY$138,MATCH($B108,Analytica!$B$59:$B$168,0),MATCH(Y$15&amp;Y$10,Analytica!$F$58:$AY$58&amp;Analytica!$F$51:'Analytica'!$AY$51,0)),"")</f>
        <v/>
      </c>
      <c r="AC108" s="709">
        <f t="shared" ca="1" si="135"/>
        <v>91</v>
      </c>
    </row>
    <row r="109" spans="1:94" x14ac:dyDescent="0.2">
      <c r="A109" s="191" t="str">
        <f>ITEMS_nTech!C100</f>
        <v>Transport Freight - Rail Corridor Gas-N</v>
      </c>
      <c r="B109" s="191" t="str">
        <f>D109&amp;RIGHT(C109,3)&amp;"-N"</f>
        <v>TFRCOGAS-N</v>
      </c>
      <c r="C109" s="612" t="str">
        <f>$F$6</f>
        <v>TRAGAS</v>
      </c>
      <c r="D109" s="612" t="str">
        <f>TRP!$B$41</f>
        <v>TFRCO</v>
      </c>
      <c r="E109" s="702">
        <f>SUMIF(Analytica!$B$59:$B$137,$B109,Analytica!AB$59:AB$143)</f>
        <v>0</v>
      </c>
      <c r="F109" s="702">
        <f>SUMIF(Analytica!$B$59:$B$137,$B109,Analytica!AC$59:AC$148)</f>
        <v>0</v>
      </c>
      <c r="G109" s="702">
        <f>SUMIF(Analytica!$B$59:$B$137,$B109,Analytica!AD$59:AD$137)</f>
        <v>0</v>
      </c>
      <c r="H109" s="702">
        <f>SUMIF(Analytica!$B$59:$B$137,$B109,Analytica!AE$59:AE$148)</f>
        <v>0</v>
      </c>
      <c r="I109" s="701">
        <v>1</v>
      </c>
      <c r="J109" s="701">
        <v>1</v>
      </c>
      <c r="K109" s="701">
        <v>1</v>
      </c>
      <c r="L109" s="701">
        <v>1</v>
      </c>
      <c r="M109" s="701">
        <v>1</v>
      </c>
      <c r="N109" s="696"/>
      <c r="O109" s="700">
        <v>1</v>
      </c>
      <c r="P109" s="620">
        <v>1</v>
      </c>
      <c r="Q109" s="620">
        <f t="shared" ref="Q109:U109" si="148">P109</f>
        <v>1</v>
      </c>
      <c r="R109" s="620">
        <f t="shared" si="148"/>
        <v>1</v>
      </c>
      <c r="S109" s="620">
        <f t="shared" si="148"/>
        <v>1</v>
      </c>
      <c r="T109" s="620">
        <f t="shared" si="148"/>
        <v>1</v>
      </c>
      <c r="U109" s="620">
        <f t="shared" si="148"/>
        <v>1</v>
      </c>
      <c r="V109" s="620" t="str">
        <f t="array" ref="V109">IFERROR(INDEX(Analytica!$F$59:$AY$138,MATCH($B109,Analytica!$B$59:$B$168,0),MATCH(V$15&amp;V$10,Analytica!$F$58:$AY$58&amp;Analytica!$F$51:'Analytica'!$AY$51,0)),"")</f>
        <v/>
      </c>
      <c r="W109" s="620" t="str">
        <f t="array" ref="W109">IFERROR(INDEX(Analytica!$F$59:$AY$138,MATCH($B109,Analytica!$B$59:$B$168,0),MATCH(W$15&amp;W$10,Analytica!$F$58:$AY$58&amp;Analytica!$F$51:'Analytica'!$AY$51,0)),"")</f>
        <v/>
      </c>
      <c r="X109" s="620" t="str">
        <f t="array" ref="X109">IFERROR(INDEX(Analytica!$F$59:$AY$138,MATCH($B109,Analytica!$B$59:$B$168,0),MATCH(X$15&amp;X$10,Analytica!$F$58:$AY$58&amp;Analytica!$F$51:'Analytica'!$AY$51,0)),"")</f>
        <v/>
      </c>
      <c r="Y109" s="620" t="str">
        <f t="array" ref="Y109">IFERROR(INDEX(Analytica!$F$59:$AY$138,MATCH($B109,Analytica!$B$59:$B$168,0),MATCH(Y$15&amp;Y$10,Analytica!$F$58:$AY$58&amp;Analytica!$F$51:'Analytica'!$AY$51,0)),"")</f>
        <v/>
      </c>
      <c r="Z109" s="694">
        <v>50</v>
      </c>
      <c r="AA109" s="694">
        <f>Z109</f>
        <v>50</v>
      </c>
      <c r="AB109" s="694">
        <v>2030</v>
      </c>
      <c r="AC109" s="688">
        <f t="shared" ca="1" si="135"/>
        <v>92</v>
      </c>
      <c r="AD109" s="1">
        <v>1</v>
      </c>
      <c r="AE109" s="1" t="str">
        <f>"S_"&amp;D109</f>
        <v>S_TFRCO</v>
      </c>
      <c r="AF109" s="1" t="str">
        <f>IF(B109="","","S_"&amp;LEFT(B109,LEN(B109)-2))</f>
        <v>S_TFRCOGAS</v>
      </c>
      <c r="AG109" s="1" t="str">
        <f>B109&amp;"_L"</f>
        <v>TFRCOGAS-N_L</v>
      </c>
      <c r="AH109" s="1" t="str">
        <f>B109&amp;"_U"</f>
        <v>TFRCOGAS-N_U</v>
      </c>
      <c r="AI109" s="194">
        <v>0</v>
      </c>
      <c r="AJ109" s="699">
        <f>SUMIF(Analytica!$B$59:$B$137,B109,Analytica!$BA$59:$BA$192)</f>
        <v>0</v>
      </c>
      <c r="AK109" s="697" t="e">
        <f>IF($AP$10,BK109,#REF!)</f>
        <v>#REF!</v>
      </c>
      <c r="AL109" s="697" t="e">
        <f>IF($AP$10,BL109,AY109)</f>
        <v>#REF!</v>
      </c>
      <c r="AM109" s="697" t="e">
        <f>IF($AP$10,BM109,AZ109)</f>
        <v>#REF!</v>
      </c>
      <c r="AN109" s="697">
        <f>IF($AP$10,BN109,BA109)</f>
        <v>1</v>
      </c>
      <c r="AO109" s="697">
        <f>IF($AP$10,BO109,BB109)</f>
        <v>1</v>
      </c>
      <c r="AP109" s="194">
        <v>1</v>
      </c>
      <c r="AQ109" s="650">
        <f>AJ109</f>
        <v>0</v>
      </c>
      <c r="AR109" s="697" t="e">
        <f>IF($AP$10,BR109,#REF!)</f>
        <v>#REF!</v>
      </c>
      <c r="AS109" s="697" t="e">
        <f>IF($AP$10,BS109,BE109)</f>
        <v>#REF!</v>
      </c>
      <c r="AT109" s="697" t="e">
        <f>IF($AP$10,BT109,BF109)</f>
        <v>#REF!</v>
      </c>
      <c r="AU109" s="697">
        <f>IF($AP$10,BU109,BG109)</f>
        <v>0</v>
      </c>
      <c r="AV109" s="697">
        <f>IF($AP$10,BV109,BH109)</f>
        <v>0</v>
      </c>
      <c r="AX109" s="698">
        <f>$AJ109</f>
        <v>0</v>
      </c>
      <c r="AY109" s="697" t="e">
        <f>IF(#REF!&lt;&gt;"",(AY$11-#REF!)/(BA$11-#REF!)*(BA109-#REF!)+#REF!,"")</f>
        <v>#REF!</v>
      </c>
      <c r="AZ109" s="697" t="e">
        <f>AY109+(AZ$11-AY$11)/(BA$11-AY$11)*(BA109-AY109)</f>
        <v>#REF!</v>
      </c>
      <c r="BA109" s="697">
        <f>MIN(1,$AJ109+BA$12)</f>
        <v>1</v>
      </c>
      <c r="BB109" s="697">
        <f>MIN(1,$AJ109+BB$12)</f>
        <v>1</v>
      </c>
      <c r="BC109" s="194"/>
      <c r="BD109" s="650">
        <f>AJ109</f>
        <v>0</v>
      </c>
      <c r="BE109" s="697" t="e">
        <f>IF(#REF!&lt;&gt;"",(BE$11-#REF!)/(BG$11-#REF!)*(BG109-#REF!)+#REF!,"")</f>
        <v>#REF!</v>
      </c>
      <c r="BF109" s="697" t="e">
        <f>BE109+(BF$11-BE$11)/(BG$11-BE$11)*(BG109-BE109)</f>
        <v>#REF!</v>
      </c>
      <c r="BG109" s="697">
        <f>$AQ109*BG$12</f>
        <v>0</v>
      </c>
      <c r="BH109" s="697">
        <f>$AQ109*BH$12</f>
        <v>0</v>
      </c>
      <c r="BI109" s="692"/>
      <c r="BJ109" s="693">
        <f>$AJ109</f>
        <v>0</v>
      </c>
      <c r="BK109" s="697">
        <v>1</v>
      </c>
      <c r="BL109" s="697" t="e">
        <f t="shared" ref="BL109:BL115" si="149">IF(BK109&lt;&gt;"",(BL$11-BK$11)/(BN$11-BK$11)*(BN109-BK109)+BK109,"")</f>
        <v>#REF!</v>
      </c>
      <c r="BM109" s="697" t="e">
        <f>BL109+(BM$11-BL$11)/(BN$11-BL$11)*(BN109-BL109)</f>
        <v>#REF!</v>
      </c>
      <c r="BN109" s="697">
        <v>1</v>
      </c>
      <c r="BO109" s="697">
        <v>1</v>
      </c>
      <c r="BP109" s="194"/>
      <c r="BQ109" s="650">
        <f>AJ109</f>
        <v>0</v>
      </c>
      <c r="BR109" s="697">
        <f>$AQ109*BR$12</f>
        <v>0</v>
      </c>
      <c r="BS109" s="697" t="e">
        <f t="shared" ref="BS109:BS115" si="150">IF(BR109&lt;&gt;"",(BS$11-BR$11)/(BU$11-BR$11)*(BU109-BR109)+BR109,"")</f>
        <v>#REF!</v>
      </c>
      <c r="BT109" s="697" t="e">
        <f>BS109+(BT$11-BS$11)/(BU$11-BS$11)*(BU109-BS109)</f>
        <v>#REF!</v>
      </c>
      <c r="BU109" s="697">
        <f>$AQ109*BU$12</f>
        <v>0</v>
      </c>
      <c r="BV109" s="697">
        <f>$AQ109*BV$12</f>
        <v>0</v>
      </c>
      <c r="BW109" s="692"/>
      <c r="BX109" s="1" t="str">
        <f>B109</f>
        <v>TFRCOGAS-N</v>
      </c>
      <c r="BY109" s="1" t="str">
        <f ca="1">"-"&amp;CHAR(9)&amp;AF109&amp;CHAR(9)&amp;"1"&amp;CHAR(9)&amp;BX109&amp;" Set"&amp;CHAR(9)&amp;"1"&amp;CHAR(9)&amp;TEXT(NOW(),"mm/dd/yyyy H:mm:ss")&amp;CHAR(9)&amp;"null"&amp;CHAR(9)&amp;"((tblITEMS.Item Like "&amp;CHAR(34)&amp;BX109&amp;"*"&amp;CHAR(34)&amp;"))"&amp;CHAR(9)&amp;"null"&amp;CHAR(9)&amp;"null"&amp;CHAR(9)&amp;"null"&amp;CHAR(9)&amp;"null"&amp;CHAR(9)&amp;"null"&amp;CHAR(9)&amp;"null"&amp;CHAR(9)&amp;"null"</f>
        <v>-	S_TFRCOGAS	1	TFRCOGAS-N Set	1	10/03/2023 17:53:59	null	((tblITEMS.Item Like "TFRCOGAS-N*"))	null	null	null	null	null	null	null</v>
      </c>
      <c r="BZ109" s="1" t="str">
        <f>"-"&amp;CHAR(9)&amp;AF109&amp;CHAR(9)&amp;"1"&amp;CHAR(9)&amp;"1"&amp;CHAR(9)&amp;"True"&amp;CHAR(9)&amp;"Like "&amp;CHAR(34)&amp;BX109&amp;"*"&amp;CHAR(34)</f>
        <v>-	S_TFRCOGAS	1	1	True	Like "TFRCOGAS-N*"</v>
      </c>
      <c r="CI109" s="1">
        <f>SUMIF($CI$10:$CI$11,RIGHT(C109,3),$CJ$10:$CJ$11)</f>
        <v>0</v>
      </c>
      <c r="CJ109" s="1">
        <v>40</v>
      </c>
      <c r="CK109" s="625" t="e">
        <f>CJ109/CI109</f>
        <v>#DIV/0!</v>
      </c>
      <c r="CL109" s="625" t="e">
        <f>#REF!</f>
        <v>#REF!</v>
      </c>
      <c r="CM109" s="625" t="e">
        <f>CK109/#REF!</f>
        <v>#DIV/0!</v>
      </c>
      <c r="CN109" s="2" t="e">
        <f>#REF!*1000</f>
        <v>#REF!</v>
      </c>
      <c r="CO109" s="2">
        <f>O109*1000000</f>
        <v>1000000</v>
      </c>
      <c r="CP109" s="9" t="e">
        <f>-PMT($CL$14,Z109,CN109)/CO109</f>
        <v>#REF!</v>
      </c>
    </row>
    <row r="110" spans="1:94" x14ac:dyDescent="0.2">
      <c r="A110" s="191" t="s">
        <v>1124</v>
      </c>
      <c r="B110" s="191"/>
      <c r="C110" s="612"/>
      <c r="D110" s="612"/>
      <c r="E110" s="702"/>
      <c r="F110" s="702"/>
      <c r="G110" s="702"/>
      <c r="H110" s="702"/>
      <c r="I110" s="701"/>
      <c r="J110" s="701"/>
      <c r="K110" s="701"/>
      <c r="L110" s="701"/>
      <c r="M110" s="701"/>
      <c r="N110" s="696"/>
      <c r="O110" s="708"/>
      <c r="P110" s="620"/>
      <c r="Q110" s="620"/>
      <c r="R110" s="620"/>
      <c r="S110" s="620"/>
      <c r="T110" s="620"/>
      <c r="U110" s="620"/>
      <c r="V110" s="620" t="str">
        <f t="array" ref="V110">IFERROR(INDEX(Analytica!$F$59:$AY$138,MATCH($B110,Analytica!$B$59:$B$168,0),MATCH(V$15&amp;V$10,Analytica!$F$58:$AY$58&amp;Analytica!$F$51:'Analytica'!$AY$51,0)),"")</f>
        <v/>
      </c>
      <c r="W110" s="620" t="str">
        <f t="array" ref="W110">IFERROR(INDEX(Analytica!$F$59:$AY$138,MATCH($B110,Analytica!$B$59:$B$168,0),MATCH(W$15&amp;W$10,Analytica!$F$58:$AY$58&amp;Analytica!$F$51:'Analytica'!$AY$51,0)),"")</f>
        <v/>
      </c>
      <c r="X110" s="620" t="str">
        <f t="array" ref="X110">IFERROR(INDEX(Analytica!$F$59:$AY$138,MATCH($B110,Analytica!$B$59:$B$168,0),MATCH(X$15&amp;X$10,Analytica!$F$58:$AY$58&amp;Analytica!$F$51:'Analytica'!$AY$51,0)),"")</f>
        <v/>
      </c>
      <c r="Y110" s="620" t="str">
        <f t="array" ref="Y110">IFERROR(INDEX(Analytica!$F$59:$AY$138,MATCH($B110,Analytica!$B$59:$B$168,0),MATCH(Y$15&amp;Y$10,Analytica!$F$58:$AY$58&amp;Analytica!$F$51:'Analytica'!$AY$51,0)),"")</f>
        <v/>
      </c>
      <c r="Z110" s="620" t="str">
        <f t="array" ref="Z110">IFERROR(INDEX(Analytica!$F$59:$AY$138,MATCH($B110,Analytica!$B$59:$B$168,0),MATCH(Z$15&amp;Z$10,Analytica!$F$58:$AY$58&amp;Analytica!$F$51:'Analytica'!$AY$51,0)),"")</f>
        <v/>
      </c>
      <c r="AA110" s="620" t="str">
        <f t="array" ref="AA110">IFERROR(INDEX(Analytica!$F$59:$AY$138,MATCH($B110,Analytica!$B$59:$B$168,0),MATCH(AA$15&amp;AA$10,Analytica!$F$58:$AY$58&amp;Analytica!$F$51:'Analytica'!$AY$51,0)),"")</f>
        <v/>
      </c>
      <c r="AB110" s="620" t="str">
        <f t="array" ref="AB110">IFERROR(INDEX(Analytica!$F$59:$AY$138,MATCH($B110,Analytica!$B$59:$B$168,0),MATCH(AB$15&amp;AB$10,Analytica!$F$58:$AY$58&amp;Analytica!$F$51:'Analytica'!$AY$51,0)),"")</f>
        <v/>
      </c>
      <c r="AC110" s="688">
        <f t="shared" ca="1" si="135"/>
        <v>93</v>
      </c>
      <c r="AD110" s="1">
        <v>1</v>
      </c>
      <c r="AG110" s="1"/>
      <c r="AI110" s="194">
        <v>0</v>
      </c>
      <c r="AJ110" s="699"/>
      <c r="AM110" s="1"/>
      <c r="AP110" s="194">
        <v>1</v>
      </c>
      <c r="AT110" s="1"/>
      <c r="AX110" s="698"/>
      <c r="AY110" s="1" t="e">
        <f>IF(#REF!&lt;&gt;"",(AY$11-#REF!)/(BA$11-#REF!)*(BA110-#REF!)+#REF!,"")</f>
        <v>#REF!</v>
      </c>
      <c r="BC110" s="194"/>
      <c r="BE110" s="1" t="e">
        <f>IF(#REF!&lt;&gt;"",(BE$11-#REF!)/(BG$11-#REF!)*(BG110-#REF!)+#REF!,"")</f>
        <v>#REF!</v>
      </c>
      <c r="BF110" s="1"/>
      <c r="BI110" s="692"/>
      <c r="BJ110" s="693"/>
      <c r="BL110" s="1" t="str">
        <f t="shared" si="149"/>
        <v/>
      </c>
      <c r="BP110" s="194"/>
      <c r="BS110" s="1" t="str">
        <f t="shared" si="150"/>
        <v/>
      </c>
      <c r="BT110" s="1"/>
      <c r="BW110" s="692"/>
      <c r="BX110" s="707" t="e">
        <f>#REF!</f>
        <v>#REF!</v>
      </c>
      <c r="BY110" s="1" t="e">
        <f ca="1">"-"&amp;CHAR(9)&amp;AF110&amp;CHAR(9)&amp;"1"&amp;CHAR(9)&amp;BX110&amp;" Set"&amp;CHAR(9)&amp;"1"&amp;CHAR(9)&amp;TEXT(NOW(),"mm/dd/yyyy H:mm:ss")&amp;CHAR(9)&amp;"null"&amp;CHAR(9)&amp;"((tblITEMS.Item Like "&amp;CHAR(34)&amp;BX110&amp;"*"&amp;CHAR(34)&amp;"))"&amp;CHAR(9)&amp;"null"&amp;CHAR(9)&amp;"null"&amp;CHAR(9)&amp;"null"&amp;CHAR(9)&amp;"null"&amp;CHAR(9)&amp;"null"&amp;CHAR(9)&amp;"null"&amp;CHAR(9)&amp;"null"</f>
        <v>#REF!</v>
      </c>
      <c r="BZ110" s="1" t="e">
        <f>"-"&amp;CHAR(9)&amp;AF110&amp;CHAR(9)&amp;"1"&amp;CHAR(9)&amp;"1"&amp;CHAR(9)&amp;"True"&amp;CHAR(9)&amp;"Like "&amp;CHAR(34)&amp;BX110&amp;"*"&amp;CHAR(34)</f>
        <v>#REF!</v>
      </c>
      <c r="CM110" s="1"/>
      <c r="CN110" s="1"/>
    </row>
    <row r="111" spans="1:94" ht="15" x14ac:dyDescent="0.25">
      <c r="A111" s="191" t="str">
        <f>ITEMS_nTech!C102</f>
        <v>Transport Freight - Rail Corridor Electricity-N</v>
      </c>
      <c r="B111" s="191" t="str">
        <f>D111&amp;RIGHT(C111,3)&amp;"-N"</f>
        <v>TFRCOELC-N</v>
      </c>
      <c r="C111" s="612" t="str">
        <f>$E$6</f>
        <v>TRAELC</v>
      </c>
      <c r="D111" s="612" t="str">
        <f>TRP!$B$41</f>
        <v>TFRCO</v>
      </c>
      <c r="E111" s="702">
        <f>Calib_2017!AG42</f>
        <v>4.0285422116338081</v>
      </c>
      <c r="F111" s="702">
        <f>E111</f>
        <v>4.0285422116338081</v>
      </c>
      <c r="G111" s="702">
        <f>F111</f>
        <v>4.0285422116338081</v>
      </c>
      <c r="H111" s="702">
        <f>G111</f>
        <v>4.0285422116338081</v>
      </c>
      <c r="I111" s="701">
        <v>1</v>
      </c>
      <c r="J111" s="701">
        <v>1</v>
      </c>
      <c r="K111" s="701">
        <v>1</v>
      </c>
      <c r="L111" s="701">
        <v>1</v>
      </c>
      <c r="M111" s="701">
        <v>1</v>
      </c>
      <c r="N111" s="696"/>
      <c r="O111" s="700">
        <v>1</v>
      </c>
      <c r="P111" s="620">
        <v>10</v>
      </c>
      <c r="Q111" s="620">
        <f>P111</f>
        <v>10</v>
      </c>
      <c r="R111" s="620">
        <f>Q111</f>
        <v>10</v>
      </c>
      <c r="S111" s="620">
        <f>R111</f>
        <v>10</v>
      </c>
      <c r="T111" s="620">
        <f>R111</f>
        <v>10</v>
      </c>
      <c r="U111" s="620">
        <f>T111</f>
        <v>10</v>
      </c>
      <c r="V111" s="620" t="str">
        <f t="array" ref="V111">IFERROR(INDEX(Analytica!$F$59:$AY$138,MATCH($B111,Analytica!$B$59:$B$168,0),MATCH(V$15&amp;V$10,Analytica!$F$58:$AY$58&amp;Analytica!$F$51:'Analytica'!$AY$51,0)),"")</f>
        <v/>
      </c>
      <c r="W111" s="620" t="str">
        <f t="array" ref="W111">IFERROR(INDEX(Analytica!$F$59:$AY$138,MATCH($B111,Analytica!$B$59:$B$168,0),MATCH(W$15&amp;W$10,Analytica!$F$58:$AY$58&amp;Analytica!$F$51:'Analytica'!$AY$51,0)),"")</f>
        <v/>
      </c>
      <c r="X111" s="620" t="str">
        <f t="array" ref="X111">IFERROR(INDEX(Analytica!$F$59:$AY$138,MATCH($B111,Analytica!$B$59:$B$168,0),MATCH(X$15&amp;X$10,Analytica!$F$58:$AY$58&amp;Analytica!$F$51:'Analytica'!$AY$51,0)),"")</f>
        <v/>
      </c>
      <c r="Y111" s="620" t="str">
        <f t="array" ref="Y111">IFERROR(INDEX(Analytica!$F$59:$AY$138,MATCH($B111,Analytica!$B$59:$B$168,0),MATCH(Y$15&amp;Y$10,Analytica!$F$58:$AY$58&amp;Analytica!$F$51:'Analytica'!$AY$51,0)),"")</f>
        <v/>
      </c>
      <c r="Z111" s="694">
        <v>50</v>
      </c>
      <c r="AA111" s="694">
        <f>Z111</f>
        <v>50</v>
      </c>
      <c r="AB111" s="706">
        <v>2025</v>
      </c>
      <c r="AC111" s="688">
        <f t="shared" ca="1" si="135"/>
        <v>94</v>
      </c>
      <c r="AD111" s="1">
        <v>1</v>
      </c>
      <c r="AE111" s="1" t="str">
        <f>"S_"&amp;D111</f>
        <v>S_TFRCO</v>
      </c>
      <c r="AF111" s="1" t="str">
        <f>IF(B111="","","S_"&amp;LEFT(B111,LEN(B111)-2))</f>
        <v>S_TFRCOELC</v>
      </c>
      <c r="AG111" s="1"/>
      <c r="AI111" s="194">
        <v>0</v>
      </c>
      <c r="AJ111" s="699">
        <v>1</v>
      </c>
      <c r="AK111" s="697" t="e">
        <f>IF($AP$10,BK111,#REF!)</f>
        <v>#REF!</v>
      </c>
      <c r="AL111" s="697" t="e">
        <f>IF($AP$10,BL111,AY111)</f>
        <v>#REF!</v>
      </c>
      <c r="AM111" s="697" t="e">
        <f>IF($AP$10,BM111,AZ111)</f>
        <v>#REF!</v>
      </c>
      <c r="AN111" s="697">
        <f>IF($AP$10,BN111,BA111)</f>
        <v>1</v>
      </c>
      <c r="AO111" s="697">
        <f>IF($AP$10,BO111,BB111)</f>
        <v>1</v>
      </c>
      <c r="AP111" s="194">
        <v>1</v>
      </c>
      <c r="AQ111" s="650">
        <f>AJ111</f>
        <v>1</v>
      </c>
      <c r="AR111" s="697" t="e">
        <f>IF($AP$10,BR111,#REF!)</f>
        <v>#REF!</v>
      </c>
      <c r="AS111" s="697" t="e">
        <f>IF($AP$10,BS111,BE111)</f>
        <v>#REF!</v>
      </c>
      <c r="AT111" s="697" t="e">
        <f>IF($AP$10,BT111,BF111)</f>
        <v>#REF!</v>
      </c>
      <c r="AU111" s="697">
        <f>IF($AP$10,BU111,BG111)</f>
        <v>0</v>
      </c>
      <c r="AV111" s="697">
        <f>IF($AP$10,BV111,BH111)</f>
        <v>0</v>
      </c>
      <c r="AX111" s="698">
        <f>$AJ111</f>
        <v>1</v>
      </c>
      <c r="AY111" s="697" t="e">
        <f>IF(#REF!&lt;&gt;"",(AY$11-#REF!)/(BA$11-#REF!)*(BA111-#REF!)+#REF!,"")</f>
        <v>#REF!</v>
      </c>
      <c r="AZ111" s="697" t="e">
        <f>AY111+(AZ$11-AY$11)/(BA$11-AY$11)*(BA111-AY111)</f>
        <v>#REF!</v>
      </c>
      <c r="BA111" s="697">
        <f>MIN(1,$AJ111+BA$12)</f>
        <v>1</v>
      </c>
      <c r="BB111" s="697">
        <f>MIN(1,$AJ111+BB$12)</f>
        <v>1</v>
      </c>
      <c r="BC111" s="194"/>
      <c r="BD111" s="650">
        <f>AJ111</f>
        <v>1</v>
      </c>
      <c r="BE111" s="697" t="e">
        <f>IF(#REF!&lt;&gt;"",(BE$11-#REF!)/(BG$11-#REF!)*(BG111-#REF!)+#REF!,"")</f>
        <v>#REF!</v>
      </c>
      <c r="BF111" s="697" t="e">
        <f>BE111+(BF$11-BE$11)/(BG$11-BE$11)*(BG111-BE111)</f>
        <v>#REF!</v>
      </c>
      <c r="BG111" s="697">
        <f>$AQ111*BG$12</f>
        <v>0</v>
      </c>
      <c r="BH111" s="697">
        <f>$AQ111*BH$12</f>
        <v>0</v>
      </c>
      <c r="BI111" s="692"/>
      <c r="BJ111" s="693">
        <f>$AJ111</f>
        <v>1</v>
      </c>
      <c r="BK111" s="697">
        <f>MIN(1,$AJ111+BK$12)</f>
        <v>1</v>
      </c>
      <c r="BL111" s="697" t="e">
        <f t="shared" si="149"/>
        <v>#REF!</v>
      </c>
      <c r="BM111" s="697" t="e">
        <f>BL111+(BM$11-BL$11)/(BN$11-BL$11)*(BN111-BL111)</f>
        <v>#REF!</v>
      </c>
      <c r="BN111" s="697">
        <f>MIN(1,$AJ111+BN$12)</f>
        <v>1</v>
      </c>
      <c r="BO111" s="697">
        <f>MIN(1,$AJ111+BO$12)</f>
        <v>1</v>
      </c>
      <c r="BP111" s="194"/>
      <c r="BQ111" s="650">
        <f>AJ111</f>
        <v>1</v>
      </c>
      <c r="BR111" s="697">
        <f>$AQ111*BR$12</f>
        <v>1</v>
      </c>
      <c r="BS111" s="697" t="e">
        <f t="shared" si="150"/>
        <v>#REF!</v>
      </c>
      <c r="BT111" s="697" t="e">
        <f>BS111+(BT$11-BS$11)/(BU$11-BS$11)*(BU111-BS111)</f>
        <v>#REF!</v>
      </c>
      <c r="BU111" s="697">
        <f>$AQ111*BU$12</f>
        <v>0.25</v>
      </c>
      <c r="BV111" s="697">
        <f>$AQ111*BV$12</f>
        <v>0.1</v>
      </c>
      <c r="BW111" s="692"/>
      <c r="CI111" s="1">
        <f>SUMIF($CI$10:$CI$11,RIGHT(C111,3),$CJ$10:$CJ$11)</f>
        <v>0</v>
      </c>
      <c r="CJ111" s="1">
        <v>38</v>
      </c>
      <c r="CK111" s="625" t="e">
        <f>CJ111/CI111</f>
        <v>#DIV/0!</v>
      </c>
      <c r="CL111" s="625" t="e">
        <f>#REF!</f>
        <v>#REF!</v>
      </c>
      <c r="CM111" s="625" t="e">
        <f>CK111/#REF!</f>
        <v>#DIV/0!</v>
      </c>
      <c r="CN111" s="2" t="e">
        <f>#REF!*1000</f>
        <v>#REF!</v>
      </c>
      <c r="CO111" s="2">
        <f>O111*1000000</f>
        <v>1000000</v>
      </c>
      <c r="CP111" s="9" t="e">
        <f>-PMT($CL$14,Z111,CN111)/CO111</f>
        <v>#REF!</v>
      </c>
    </row>
    <row r="112" spans="1:94" x14ac:dyDescent="0.2">
      <c r="A112" s="191" t="s">
        <v>1124</v>
      </c>
      <c r="B112" s="191"/>
      <c r="C112" s="612"/>
      <c r="D112" s="612"/>
      <c r="E112" s="620"/>
      <c r="F112" s="620"/>
      <c r="G112" s="620"/>
      <c r="H112" s="620"/>
      <c r="I112" s="620"/>
      <c r="J112" s="620"/>
      <c r="K112" s="620"/>
      <c r="L112" s="620"/>
      <c r="M112" s="620"/>
      <c r="N112" s="696"/>
      <c r="O112" s="694"/>
      <c r="P112" s="620"/>
      <c r="Q112" s="620"/>
      <c r="R112" s="620"/>
      <c r="S112" s="620"/>
      <c r="T112" s="695"/>
      <c r="U112" s="695"/>
      <c r="V112" s="695"/>
      <c r="W112" s="695"/>
      <c r="X112" s="695"/>
      <c r="Y112" s="695"/>
      <c r="Z112" s="695"/>
      <c r="AA112" s="695"/>
      <c r="AB112" s="695"/>
      <c r="AC112" s="688">
        <f t="shared" ca="1" si="135"/>
        <v>95</v>
      </c>
      <c r="AD112" s="1">
        <v>1</v>
      </c>
      <c r="AE112" s="1" t="str">
        <f>"S_"&amp;D112</f>
        <v>S_</v>
      </c>
      <c r="AF112" s="1" t="str">
        <f>AE111</f>
        <v>S_TFRCO</v>
      </c>
      <c r="AG112" s="1"/>
      <c r="AI112" s="194">
        <v>0</v>
      </c>
      <c r="AJ112" s="699"/>
      <c r="AM112" s="1"/>
      <c r="AP112" s="194">
        <v>1</v>
      </c>
      <c r="AT112" s="1"/>
      <c r="AX112" s="698"/>
      <c r="AY112" s="1" t="e">
        <f>IF(#REF!&lt;&gt;"",(AY$11-#REF!)/(BA$11-#REF!)*(BA112-#REF!)+#REF!,"")</f>
        <v>#REF!</v>
      </c>
      <c r="BC112" s="194"/>
      <c r="BE112" s="1" t="e">
        <f>IF(#REF!&lt;&gt;"",(BE$11-#REF!)/(BG$11-#REF!)*(BG112-#REF!)+#REF!,"")</f>
        <v>#REF!</v>
      </c>
      <c r="BF112" s="1"/>
      <c r="BI112" s="692"/>
      <c r="BJ112" s="693"/>
      <c r="BL112" s="1" t="str">
        <f t="shared" si="149"/>
        <v/>
      </c>
      <c r="BP112" s="194"/>
      <c r="BS112" s="1" t="str">
        <f t="shared" si="150"/>
        <v/>
      </c>
      <c r="BT112" s="1"/>
      <c r="BW112" s="692"/>
      <c r="CK112" s="625"/>
      <c r="CL112" s="625"/>
      <c r="CM112" s="625"/>
      <c r="CN112" s="2"/>
      <c r="CO112" s="2"/>
      <c r="CP112" s="9"/>
    </row>
    <row r="113" spans="1:94" ht="15" x14ac:dyDescent="0.25">
      <c r="A113" s="191" t="str">
        <f>ITEMS_nTech!C104</f>
        <v>Transport Freight - Rail Other Electricity-N</v>
      </c>
      <c r="B113" s="191" t="str">
        <f>D113&amp;RIGHT(C113,3)&amp;"-N"</f>
        <v>TFROTELC-N</v>
      </c>
      <c r="C113" s="612" t="str">
        <f>$E$6</f>
        <v>TRAELC</v>
      </c>
      <c r="D113" s="612" t="str">
        <f>TRP!B42</f>
        <v>TFROT</v>
      </c>
      <c r="E113" s="702">
        <f>Calib_2017!AG42</f>
        <v>4.0285422116338081</v>
      </c>
      <c r="F113" s="702">
        <f>E113</f>
        <v>4.0285422116338081</v>
      </c>
      <c r="G113" s="702">
        <f>F113</f>
        <v>4.0285422116338081</v>
      </c>
      <c r="H113" s="702">
        <f>G113</f>
        <v>4.0285422116338081</v>
      </c>
      <c r="I113" s="701">
        <v>1</v>
      </c>
      <c r="J113" s="701">
        <v>1</v>
      </c>
      <c r="K113" s="701">
        <v>1</v>
      </c>
      <c r="L113" s="701">
        <v>1</v>
      </c>
      <c r="M113" s="701">
        <v>1</v>
      </c>
      <c r="N113" s="696"/>
      <c r="O113" s="700">
        <v>1</v>
      </c>
      <c r="P113" s="620">
        <v>10</v>
      </c>
      <c r="Q113" s="620">
        <f>P113</f>
        <v>10</v>
      </c>
      <c r="R113" s="620">
        <f>Q113</f>
        <v>10</v>
      </c>
      <c r="S113" s="620">
        <f>R113</f>
        <v>10</v>
      </c>
      <c r="T113" s="620">
        <f>R113</f>
        <v>10</v>
      </c>
      <c r="U113" s="620">
        <f>T113</f>
        <v>10</v>
      </c>
      <c r="V113" s="620" t="str">
        <f t="array" ref="V113">IFERROR(INDEX(Analytica!$F$59:$AY$138,MATCH($B113,Analytica!$B$59:$B$168,0),MATCH(V$15&amp;V$10,Analytica!$F$58:$AY$58&amp;Analytica!$F$51:'Analytica'!$AY$51,0)),"")</f>
        <v/>
      </c>
      <c r="W113" s="620" t="str">
        <f t="array" ref="W113">IFERROR(INDEX(Analytica!$F$59:$AY$138,MATCH($B113,Analytica!$B$59:$B$168,0),MATCH(W$15&amp;W$10,Analytica!$F$58:$AY$58&amp;Analytica!$F$51:'Analytica'!$AY$51,0)),"")</f>
        <v/>
      </c>
      <c r="X113" s="620" t="str">
        <f t="array" ref="X113">IFERROR(INDEX(Analytica!$F$59:$AY$138,MATCH($B113,Analytica!$B$59:$B$168,0),MATCH(X$15&amp;X$10,Analytica!$F$58:$AY$58&amp;Analytica!$F$51:'Analytica'!$AY$51,0)),"")</f>
        <v/>
      </c>
      <c r="Y113" s="620" t="str">
        <f t="array" ref="Y113">IFERROR(INDEX(Analytica!$F$59:$AY$138,MATCH($B113,Analytica!$B$59:$B$168,0),MATCH(Y$15&amp;Y$10,Analytica!$F$58:$AY$58&amp;Analytica!$F$51:'Analytica'!$AY$51,0)),"")</f>
        <v/>
      </c>
      <c r="Z113" s="694">
        <v>50</v>
      </c>
      <c r="AA113" s="694">
        <f>Z113</f>
        <v>50</v>
      </c>
      <c r="AB113" s="706">
        <v>2025</v>
      </c>
      <c r="AC113" s="688">
        <f t="shared" ca="1" si="135"/>
        <v>96</v>
      </c>
      <c r="AD113" s="1">
        <v>1</v>
      </c>
      <c r="AE113" s="1" t="str">
        <f>"S_"&amp;D113</f>
        <v>S_TFROT</v>
      </c>
      <c r="AF113" s="1" t="str">
        <f>IF(B113="","","S_"&amp;LEFT(B113,LEN(B113)-2))</f>
        <v>S_TFROTELC</v>
      </c>
      <c r="AG113" s="1"/>
      <c r="AI113" s="194">
        <v>0</v>
      </c>
      <c r="AJ113" s="699">
        <v>1</v>
      </c>
      <c r="AK113" s="697" t="e">
        <f>IF($AP$10,BK113,#REF!)</f>
        <v>#REF!</v>
      </c>
      <c r="AL113" s="697" t="e">
        <f>IF($AP$10,BL113,AY113)</f>
        <v>#REF!</v>
      </c>
      <c r="AM113" s="697" t="e">
        <f>IF($AP$10,BM113,AZ113)</f>
        <v>#REF!</v>
      </c>
      <c r="AN113" s="697">
        <f>IF($AP$10,BN113,BA113)</f>
        <v>1</v>
      </c>
      <c r="AO113" s="697">
        <f>IF($AP$10,BO113,BB113)</f>
        <v>1</v>
      </c>
      <c r="AP113" s="194">
        <v>1</v>
      </c>
      <c r="AQ113" s="650">
        <f>AJ113</f>
        <v>1</v>
      </c>
      <c r="AR113" s="697" t="e">
        <f>IF($AP$10,BR113,#REF!)</f>
        <v>#REF!</v>
      </c>
      <c r="AS113" s="697" t="e">
        <f>IF($AP$10,BS113,BE113)</f>
        <v>#REF!</v>
      </c>
      <c r="AT113" s="697" t="e">
        <f>IF($AP$10,BT113,BF113)</f>
        <v>#REF!</v>
      </c>
      <c r="AU113" s="697">
        <f>IF($AP$10,BU113,BG113)</f>
        <v>0</v>
      </c>
      <c r="AV113" s="697">
        <f>IF($AP$10,BV113,BH113)</f>
        <v>0</v>
      </c>
      <c r="AX113" s="698">
        <f>$AJ113</f>
        <v>1</v>
      </c>
      <c r="AY113" s="697" t="e">
        <f>IF(#REF!&lt;&gt;"",(AY$11-#REF!)/(BA$11-#REF!)*(BA113-#REF!)+#REF!,"")</f>
        <v>#REF!</v>
      </c>
      <c r="AZ113" s="697" t="e">
        <f>AY113+(AZ$11-AY$11)/(BA$11-AY$11)*(BA113-AY113)</f>
        <v>#REF!</v>
      </c>
      <c r="BA113" s="697">
        <f>MIN(1,$AJ113+BA$12)</f>
        <v>1</v>
      </c>
      <c r="BB113" s="697">
        <f>MIN(1,$AJ113+BB$12)</f>
        <v>1</v>
      </c>
      <c r="BC113" s="194"/>
      <c r="BD113" s="650">
        <f>AJ113</f>
        <v>1</v>
      </c>
      <c r="BE113" s="697" t="e">
        <f>IF(#REF!&lt;&gt;"",(BE$11-#REF!)/(BG$11-#REF!)*(BG113-#REF!)+#REF!,"")</f>
        <v>#REF!</v>
      </c>
      <c r="BF113" s="697" t="e">
        <f>BE113+(BF$11-BE$11)/(BG$11-BE$11)*(BG113-BE113)</f>
        <v>#REF!</v>
      </c>
      <c r="BG113" s="697">
        <f>$AQ113*BG$12</f>
        <v>0</v>
      </c>
      <c r="BH113" s="697">
        <f>$AQ113*BH$12</f>
        <v>0</v>
      </c>
      <c r="BI113" s="692"/>
      <c r="BJ113" s="693">
        <f>$AJ113</f>
        <v>1</v>
      </c>
      <c r="BK113" s="697">
        <f>MIN(1,$AJ113+BK$12)</f>
        <v>1</v>
      </c>
      <c r="BL113" s="697" t="e">
        <f t="shared" si="149"/>
        <v>#REF!</v>
      </c>
      <c r="BM113" s="697" t="e">
        <f>BL113+(BM$11-BL$11)/(BN$11-BL$11)*(BN113-BL113)</f>
        <v>#REF!</v>
      </c>
      <c r="BN113" s="697">
        <f>MIN(1,$AJ113+BN$12)</f>
        <v>1</v>
      </c>
      <c r="BO113" s="697">
        <f>MIN(1,$AJ113+BO$12)</f>
        <v>1</v>
      </c>
      <c r="BP113" s="194"/>
      <c r="BQ113" s="650">
        <f>AJ113</f>
        <v>1</v>
      </c>
      <c r="BR113" s="697">
        <f>$AQ113*BR$12</f>
        <v>1</v>
      </c>
      <c r="BS113" s="697" t="e">
        <f t="shared" si="150"/>
        <v>#REF!</v>
      </c>
      <c r="BT113" s="697" t="e">
        <f>BS113+(BT$11-BS$11)/(BU$11-BS$11)*(BU113-BS113)</f>
        <v>#REF!</v>
      </c>
      <c r="BU113" s="697">
        <f>$AQ113*BU$12</f>
        <v>0.25</v>
      </c>
      <c r="BV113" s="697">
        <f>$AQ113*BV$12</f>
        <v>0.1</v>
      </c>
      <c r="BW113" s="692"/>
      <c r="CI113" s="1">
        <f>SUMIF($CI$10:$CI$11,RIGHT(C113,3),$CJ$10:$CJ$11)</f>
        <v>0</v>
      </c>
      <c r="CJ113" s="1">
        <v>38</v>
      </c>
      <c r="CK113" s="625" t="e">
        <f>CJ113/CI113</f>
        <v>#DIV/0!</v>
      </c>
      <c r="CL113" s="625" t="e">
        <f>#REF!</f>
        <v>#REF!</v>
      </c>
      <c r="CM113" s="625" t="e">
        <f>CK113/#REF!</f>
        <v>#DIV/0!</v>
      </c>
      <c r="CN113" s="2" t="e">
        <f>#REF!*1000</f>
        <v>#REF!</v>
      </c>
      <c r="CO113" s="2">
        <f>O113*1000000</f>
        <v>1000000</v>
      </c>
      <c r="CP113" s="9" t="e">
        <f>-PMT($CL$14,Z113,CN113)/CO113</f>
        <v>#REF!</v>
      </c>
    </row>
    <row r="114" spans="1:94" x14ac:dyDescent="0.2">
      <c r="A114" s="191" t="s">
        <v>1124</v>
      </c>
      <c r="B114" s="191"/>
      <c r="C114" s="612"/>
      <c r="D114" s="612"/>
      <c r="E114" s="620"/>
      <c r="F114" s="620"/>
      <c r="G114" s="620"/>
      <c r="H114" s="620"/>
      <c r="I114" s="620"/>
      <c r="J114" s="620"/>
      <c r="K114" s="620"/>
      <c r="L114" s="620"/>
      <c r="M114" s="620"/>
      <c r="N114" s="696"/>
      <c r="O114" s="694"/>
      <c r="P114" s="620"/>
      <c r="Q114" s="620"/>
      <c r="R114" s="620"/>
      <c r="S114" s="620"/>
      <c r="T114" s="695"/>
      <c r="U114" s="695"/>
      <c r="V114" s="620" t="str">
        <f t="array" ref="V114">IFERROR(INDEX(Analytica!$F$59:$AY$138,MATCH($B114,Analytica!$B$59:$B$168,0),MATCH(V$15&amp;V$10,Analytica!$F$58:$AY$58&amp;Analytica!$F$51:'Analytica'!$AY$51,0)),"")</f>
        <v/>
      </c>
      <c r="W114" s="620" t="str">
        <f t="array" ref="W114">IFERROR(INDEX(Analytica!$F$59:$AY$138,MATCH($B114,Analytica!$B$59:$B$168,0),MATCH(W$15&amp;W$10,Analytica!$F$58:$AY$58&amp;Analytica!$F$51:'Analytica'!$AY$51,0)),"")</f>
        <v/>
      </c>
      <c r="X114" s="620" t="str">
        <f t="array" ref="X114">IFERROR(INDEX(Analytica!$F$59:$AY$138,MATCH($B114,Analytica!$B$59:$B$168,0),MATCH(X$15&amp;X$10,Analytica!$F$58:$AY$58&amp;Analytica!$F$51:'Analytica'!$AY$51,0)),"")</f>
        <v/>
      </c>
      <c r="Y114" s="620" t="str">
        <f t="array" ref="Y114">IFERROR(INDEX(Analytica!$F$59:$AY$138,MATCH($B114,Analytica!$B$59:$B$168,0),MATCH(Y$15&amp;Y$10,Analytica!$F$58:$AY$58&amp;Analytica!$F$51:'Analytica'!$AY$51,0)),"")</f>
        <v/>
      </c>
      <c r="Z114" s="694"/>
      <c r="AA114" s="694">
        <f>Z114</f>
        <v>0</v>
      </c>
      <c r="AB114" s="694">
        <f>IF(AD112,base.year+$AB$12,base.year+$AB$10)</f>
        <v>2025</v>
      </c>
      <c r="AC114" s="688">
        <f t="shared" ca="1" si="135"/>
        <v>97</v>
      </c>
      <c r="AD114" s="1">
        <v>1</v>
      </c>
      <c r="AE114" s="1" t="str">
        <f>"S_"&amp;D114</f>
        <v>S_</v>
      </c>
      <c r="AF114" s="1" t="str">
        <f>AE113</f>
        <v>S_TFROT</v>
      </c>
      <c r="AG114" s="1"/>
      <c r="AI114" s="194">
        <v>0</v>
      </c>
      <c r="AJ114" s="699"/>
      <c r="AM114" s="1"/>
      <c r="AP114" s="194">
        <v>1</v>
      </c>
      <c r="AT114" s="1"/>
      <c r="AX114" s="698"/>
      <c r="AY114" s="1" t="e">
        <f>IF(#REF!&lt;&gt;"",(AY$11-#REF!)/(BA$11-#REF!)*(BA114-#REF!)+#REF!,"")</f>
        <v>#REF!</v>
      </c>
      <c r="BC114" s="194"/>
      <c r="BE114" s="1" t="e">
        <f>IF(#REF!&lt;&gt;"",(BE$11-#REF!)/(BG$11-#REF!)*(BG114-#REF!)+#REF!,"")</f>
        <v>#REF!</v>
      </c>
      <c r="BF114" s="1"/>
      <c r="BI114" s="692"/>
      <c r="BJ114" s="693"/>
      <c r="BL114" s="1" t="str">
        <f t="shared" si="149"/>
        <v/>
      </c>
      <c r="BP114" s="194"/>
      <c r="BS114" s="1" t="str">
        <f t="shared" si="150"/>
        <v/>
      </c>
      <c r="BT114" s="1"/>
      <c r="BW114" s="692"/>
      <c r="CK114" s="625"/>
      <c r="CL114" s="625"/>
      <c r="CM114" s="625"/>
      <c r="CN114" s="2"/>
      <c r="CO114" s="2"/>
      <c r="CP114" s="9"/>
    </row>
    <row r="115" spans="1:94" ht="15" x14ac:dyDescent="0.25">
      <c r="A115" s="191" t="str">
        <f>ITEMS_nTech!C106</f>
        <v>Transport Freight - Rail Export (bulk mining) Electricity-N</v>
      </c>
      <c r="B115" s="191" t="str">
        <f>D115&amp;RIGHT(C115,3)&amp;"-N"</f>
        <v>TFREXELC-N</v>
      </c>
      <c r="C115" s="612" t="str">
        <f>$E$6</f>
        <v>TRAELC</v>
      </c>
      <c r="D115" s="612" t="str">
        <f>TRP!B43</f>
        <v>TFREX</v>
      </c>
      <c r="E115" s="702">
        <f>Calib_2017!AG42</f>
        <v>4.0285422116338081</v>
      </c>
      <c r="F115" s="702">
        <f>E115</f>
        <v>4.0285422116338081</v>
      </c>
      <c r="G115" s="702">
        <f>F115</f>
        <v>4.0285422116338081</v>
      </c>
      <c r="H115" s="702">
        <f>G115</f>
        <v>4.0285422116338081</v>
      </c>
      <c r="I115" s="701">
        <v>1</v>
      </c>
      <c r="J115" s="701">
        <v>1</v>
      </c>
      <c r="K115" s="701">
        <v>1</v>
      </c>
      <c r="L115" s="701">
        <v>1</v>
      </c>
      <c r="M115" s="701">
        <v>1</v>
      </c>
      <c r="N115" s="696"/>
      <c r="O115" s="700">
        <v>1</v>
      </c>
      <c r="P115" s="620">
        <v>10</v>
      </c>
      <c r="Q115" s="620">
        <f>P115</f>
        <v>10</v>
      </c>
      <c r="R115" s="620">
        <f>Q115</f>
        <v>10</v>
      </c>
      <c r="S115" s="620">
        <f>R115</f>
        <v>10</v>
      </c>
      <c r="T115" s="620">
        <f>R115</f>
        <v>10</v>
      </c>
      <c r="U115" s="620">
        <f>T115</f>
        <v>10</v>
      </c>
      <c r="V115" s="620" t="str">
        <f t="array" ref="V115">IFERROR(INDEX(Analytica!$F$59:$AY$138,MATCH($B115,Analytica!$B$59:$B$168,0),MATCH(V$15&amp;V$10,Analytica!$F$58:$AY$58&amp;Analytica!$F$51:'Analytica'!$AY$51,0)),"")</f>
        <v/>
      </c>
      <c r="W115" s="620" t="str">
        <f t="array" ref="W115">IFERROR(INDEX(Analytica!$F$59:$AY$138,MATCH($B115,Analytica!$B$59:$B$168,0),MATCH(W$15&amp;W$10,Analytica!$F$58:$AY$58&amp;Analytica!$F$51:'Analytica'!$AY$51,0)),"")</f>
        <v/>
      </c>
      <c r="X115" s="620" t="str">
        <f t="array" ref="X115">IFERROR(INDEX(Analytica!$F$59:$AY$138,MATCH($B115,Analytica!$B$59:$B$168,0),MATCH(X$15&amp;X$10,Analytica!$F$58:$AY$58&amp;Analytica!$F$51:'Analytica'!$AY$51,0)),"")</f>
        <v/>
      </c>
      <c r="Y115" s="620" t="str">
        <f t="array" ref="Y115">IFERROR(INDEX(Analytica!$F$59:$AY$138,MATCH($B115,Analytica!$B$59:$B$168,0),MATCH(Y$15&amp;Y$10,Analytica!$F$58:$AY$58&amp;Analytica!$F$51:'Analytica'!$AY$51,0)),"")</f>
        <v/>
      </c>
      <c r="Z115" s="694">
        <v>50</v>
      </c>
      <c r="AA115" s="694">
        <f>Z115</f>
        <v>50</v>
      </c>
      <c r="AB115" s="706">
        <v>2023</v>
      </c>
      <c r="AC115" s="688">
        <f t="shared" ca="1" si="135"/>
        <v>98</v>
      </c>
      <c r="AD115" s="1">
        <v>1</v>
      </c>
      <c r="AE115" s="1" t="str">
        <f>"S_"&amp;D115</f>
        <v>S_TFREX</v>
      </c>
      <c r="AF115" s="1" t="str">
        <f>IF(B115="","","S_"&amp;LEFT(B115,LEN(B115)-2))</f>
        <v>S_TFREXELC</v>
      </c>
      <c r="AG115" s="1"/>
      <c r="AI115" s="194">
        <v>0</v>
      </c>
      <c r="AJ115" s="699">
        <v>1</v>
      </c>
      <c r="AK115" s="697" t="e">
        <f>IF($AP$10,BK115,#REF!)</f>
        <v>#REF!</v>
      </c>
      <c r="AL115" s="697" t="e">
        <f>IF($AP$10,BL115,AY115)</f>
        <v>#REF!</v>
      </c>
      <c r="AM115" s="697" t="e">
        <f>IF($AP$10,BM115,AZ115)</f>
        <v>#REF!</v>
      </c>
      <c r="AN115" s="697">
        <f>IF($AP$10,BN115,BA115)</f>
        <v>1</v>
      </c>
      <c r="AO115" s="697">
        <f>IF($AP$10,BO115,BB115)</f>
        <v>1</v>
      </c>
      <c r="AP115" s="194">
        <v>1</v>
      </c>
      <c r="AQ115" s="650">
        <f>AJ115</f>
        <v>1</v>
      </c>
      <c r="AR115" s="697" t="e">
        <f>IF($AP$10,BR115,#REF!)</f>
        <v>#REF!</v>
      </c>
      <c r="AS115" s="697" t="e">
        <f>IF($AP$10,BS115,BE115)</f>
        <v>#REF!</v>
      </c>
      <c r="AT115" s="697" t="e">
        <f>IF($AP$10,BT115,BF115)</f>
        <v>#REF!</v>
      </c>
      <c r="AU115" s="697">
        <f>IF($AP$10,BU115,BG115)</f>
        <v>0</v>
      </c>
      <c r="AV115" s="697">
        <f>IF($AP$10,BV115,BH115)</f>
        <v>0</v>
      </c>
      <c r="AX115" s="698">
        <f>$AJ115</f>
        <v>1</v>
      </c>
      <c r="AY115" s="697" t="e">
        <f>IF(#REF!&lt;&gt;"",(AY$11-#REF!)/(BA$11-#REF!)*(BA115-#REF!)+#REF!,"")</f>
        <v>#REF!</v>
      </c>
      <c r="AZ115" s="697" t="e">
        <f>AY115+(AZ$11-AY$11)/(BA$11-AY$11)*(BA115-AY115)</f>
        <v>#REF!</v>
      </c>
      <c r="BA115" s="697">
        <f>MIN(1,$AJ115+BA$12)</f>
        <v>1</v>
      </c>
      <c r="BB115" s="697">
        <f>MIN(1,$AJ115+BB$12)</f>
        <v>1</v>
      </c>
      <c r="BC115" s="194"/>
      <c r="BD115" s="650">
        <f>AJ115</f>
        <v>1</v>
      </c>
      <c r="BE115" s="697" t="e">
        <f>IF(#REF!&lt;&gt;"",(BE$11-#REF!)/(BG$11-#REF!)*(BG115-#REF!)+#REF!,"")</f>
        <v>#REF!</v>
      </c>
      <c r="BF115" s="697" t="e">
        <f>BE115+(BF$11-BE$11)/(BG$11-BE$11)*(BG115-BE115)</f>
        <v>#REF!</v>
      </c>
      <c r="BG115" s="697">
        <f>$AQ115*BG$12</f>
        <v>0</v>
      </c>
      <c r="BH115" s="697">
        <f>$AQ115*BH$12</f>
        <v>0</v>
      </c>
      <c r="BI115" s="692"/>
      <c r="BJ115" s="693">
        <f>$AJ115</f>
        <v>1</v>
      </c>
      <c r="BK115" s="697">
        <f>MIN(1,$AJ115+BK$12)</f>
        <v>1</v>
      </c>
      <c r="BL115" s="697" t="e">
        <f t="shared" si="149"/>
        <v>#REF!</v>
      </c>
      <c r="BM115" s="697" t="e">
        <f>BL115+(BM$11-BL$11)/(BN$11-BL$11)*(BN115-BL115)</f>
        <v>#REF!</v>
      </c>
      <c r="BN115" s="697">
        <f>MIN(1,$AJ115+BN$12)</f>
        <v>1</v>
      </c>
      <c r="BO115" s="697">
        <f>MIN(1,$AJ115+BO$12)</f>
        <v>1</v>
      </c>
      <c r="BP115" s="194"/>
      <c r="BQ115" s="650">
        <f>AJ115</f>
        <v>1</v>
      </c>
      <c r="BR115" s="697">
        <f>$AQ115*BR$12</f>
        <v>1</v>
      </c>
      <c r="BS115" s="697" t="e">
        <f t="shared" si="150"/>
        <v>#REF!</v>
      </c>
      <c r="BT115" s="697" t="e">
        <f>BS115+(BT$11-BS$11)/(BU$11-BS$11)*(BU115-BS115)</f>
        <v>#REF!</v>
      </c>
      <c r="BU115" s="697">
        <f>$AQ115*BU$12</f>
        <v>0.25</v>
      </c>
      <c r="BV115" s="697">
        <f>$AQ115*BV$12</f>
        <v>0.1</v>
      </c>
      <c r="BW115" s="692"/>
      <c r="CI115" s="1">
        <f>SUMIF($CI$10:$CI$11,RIGHT(C115,3),$CJ$10:$CJ$11)</f>
        <v>0</v>
      </c>
      <c r="CJ115" s="1">
        <v>38</v>
      </c>
      <c r="CK115" s="625" t="e">
        <f>CJ115/CI115</f>
        <v>#DIV/0!</v>
      </c>
      <c r="CL115" s="625" t="e">
        <f>#REF!</f>
        <v>#REF!</v>
      </c>
      <c r="CM115" s="625" t="e">
        <f>CK115/#REF!</f>
        <v>#DIV/0!</v>
      </c>
      <c r="CN115" s="2" t="e">
        <f>#REF!*1000</f>
        <v>#REF!</v>
      </c>
      <c r="CO115" s="2">
        <f>O115*1000000</f>
        <v>1000000</v>
      </c>
      <c r="CP115" s="9" t="e">
        <f>-PMT($CL$14,Z115,CN115)/CO115</f>
        <v>#REF!</v>
      </c>
    </row>
    <row r="116" spans="1:94" x14ac:dyDescent="0.2">
      <c r="A116" s="191" t="s">
        <v>1124</v>
      </c>
      <c r="B116" s="191"/>
      <c r="C116" s="612"/>
      <c r="D116" s="612"/>
      <c r="E116" s="620"/>
      <c r="F116" s="620"/>
      <c r="G116" s="620"/>
      <c r="H116" s="620"/>
      <c r="I116" s="620"/>
      <c r="J116" s="620"/>
      <c r="K116" s="620"/>
      <c r="L116" s="620"/>
      <c r="M116" s="620"/>
      <c r="N116" s="696"/>
      <c r="O116" s="694"/>
      <c r="P116" s="620"/>
      <c r="Q116" s="620"/>
      <c r="R116" s="620"/>
      <c r="S116" s="620"/>
      <c r="T116" s="620"/>
      <c r="U116" s="620"/>
      <c r="V116" s="620"/>
      <c r="W116" s="620"/>
      <c r="X116" s="620"/>
      <c r="Y116" s="620"/>
      <c r="Z116" s="620"/>
      <c r="AA116" s="620"/>
      <c r="AB116" s="620"/>
      <c r="AC116" s="688">
        <f t="shared" ca="1" si="135"/>
        <v>99</v>
      </c>
      <c r="AG116" s="1"/>
      <c r="AI116" s="194"/>
      <c r="AJ116" s="699"/>
      <c r="AM116" s="1"/>
      <c r="AP116" s="194"/>
      <c r="AT116" s="1"/>
      <c r="AX116" s="698"/>
      <c r="BC116" s="194"/>
      <c r="BF116" s="1"/>
      <c r="BI116" s="692"/>
      <c r="BJ116" s="693"/>
      <c r="BP116" s="194"/>
      <c r="BT116" s="1"/>
      <c r="BW116" s="692"/>
      <c r="CK116" s="625"/>
      <c r="CL116" s="625"/>
      <c r="CM116" s="625"/>
      <c r="CN116" s="2"/>
      <c r="CO116" s="2"/>
      <c r="CP116" s="9"/>
    </row>
    <row r="117" spans="1:94" x14ac:dyDescent="0.2">
      <c r="A117" s="191" t="s">
        <v>1124</v>
      </c>
      <c r="B117" s="191"/>
      <c r="C117" s="609"/>
      <c r="D117" s="609"/>
      <c r="E117" s="622"/>
      <c r="F117" s="622"/>
      <c r="G117" s="622"/>
      <c r="H117" s="622"/>
      <c r="I117" s="620"/>
      <c r="J117" s="620"/>
      <c r="K117" s="620"/>
      <c r="L117" s="620"/>
      <c r="M117" s="620"/>
      <c r="N117" s="696"/>
      <c r="O117" s="622"/>
      <c r="P117" s="620"/>
      <c r="Q117" s="620"/>
      <c r="R117" s="620"/>
      <c r="S117" s="620"/>
      <c r="T117" s="620"/>
      <c r="U117" s="620"/>
      <c r="V117" s="620"/>
      <c r="W117" s="620"/>
      <c r="X117" s="620"/>
      <c r="Y117" s="620"/>
      <c r="Z117" s="620"/>
      <c r="AA117" s="620"/>
      <c r="AB117" s="620"/>
      <c r="AC117" s="688">
        <f t="shared" ca="1" si="135"/>
        <v>100</v>
      </c>
      <c r="AG117" s="1"/>
      <c r="AI117" s="194"/>
      <c r="AJ117" s="705"/>
      <c r="AM117" s="1"/>
      <c r="AP117" s="194"/>
      <c r="AT117" s="1"/>
      <c r="AX117" s="704"/>
      <c r="BC117" s="194"/>
      <c r="BF117" s="1"/>
      <c r="BI117" s="692"/>
      <c r="BJ117" s="703"/>
      <c r="BP117" s="194"/>
      <c r="BT117" s="1"/>
      <c r="BW117" s="692"/>
      <c r="CK117" s="625"/>
      <c r="CL117" s="625"/>
      <c r="CM117" s="625"/>
      <c r="CN117" s="2"/>
      <c r="CO117" s="2"/>
      <c r="CP117" s="9"/>
    </row>
    <row r="118" spans="1:94" x14ac:dyDescent="0.2">
      <c r="A118" s="191" t="str">
        <f>ITEMS_nTech!C109</f>
        <v>Transport Other - Pipeline Electricity-N</v>
      </c>
      <c r="B118" s="191" t="str">
        <f>D118&amp;RIGHT(C118,3)&amp;"-N"</f>
        <v>TFPIPELC-N</v>
      </c>
      <c r="C118" s="612" t="str">
        <f>$E$6</f>
        <v>TRAELC</v>
      </c>
      <c r="D118" s="612" t="str">
        <f>TRP!B46</f>
        <v>TFPIP</v>
      </c>
      <c r="E118" s="702">
        <v>1</v>
      </c>
      <c r="F118" s="702">
        <f t="shared" ref="F118:H122" si="151">E118</f>
        <v>1</v>
      </c>
      <c r="G118" s="702">
        <f t="shared" si="151"/>
        <v>1</v>
      </c>
      <c r="H118" s="702">
        <f t="shared" si="151"/>
        <v>1</v>
      </c>
      <c r="I118" s="701">
        <v>1</v>
      </c>
      <c r="J118" s="701">
        <v>1</v>
      </c>
      <c r="K118" s="701">
        <v>1</v>
      </c>
      <c r="L118" s="701">
        <v>1</v>
      </c>
      <c r="M118" s="701">
        <v>1</v>
      </c>
      <c r="N118" s="696"/>
      <c r="O118" s="700">
        <v>1</v>
      </c>
      <c r="P118" s="620">
        <v>10</v>
      </c>
      <c r="Q118" s="620">
        <f t="shared" ref="Q118:S122" si="152">P118</f>
        <v>10</v>
      </c>
      <c r="R118" s="620">
        <f t="shared" si="152"/>
        <v>10</v>
      </c>
      <c r="S118" s="620">
        <f t="shared" si="152"/>
        <v>10</v>
      </c>
      <c r="T118" s="620">
        <f>R118</f>
        <v>10</v>
      </c>
      <c r="U118" s="620">
        <f>T118</f>
        <v>10</v>
      </c>
      <c r="V118" s="620" t="str">
        <f t="array" ref="V118">IFERROR(INDEX(Analytica!$F$59:$AY$138,MATCH($B118,Analytica!$B$59:$B$168,0),MATCH(V$15&amp;V$10,Analytica!$F$58:$AY$58&amp;Analytica!$F$51:'Analytica'!$AY$51,0)),"")</f>
        <v/>
      </c>
      <c r="W118" s="620" t="str">
        <f t="array" ref="W118">IFERROR(INDEX(Analytica!$F$59:$AY$138,MATCH($B118,Analytica!$B$59:$B$168,0),MATCH(W$15&amp;W$10,Analytica!$F$58:$AY$58&amp;Analytica!$F$51:'Analytica'!$AY$51,0)),"")</f>
        <v/>
      </c>
      <c r="X118" s="620" t="str">
        <f t="array" ref="X118">IFERROR(INDEX(Analytica!$F$59:$AY$138,MATCH($B118,Analytica!$B$59:$B$168,0),MATCH(X$15&amp;X$10,Analytica!$F$58:$AY$58&amp;Analytica!$F$51:'Analytica'!$AY$51,0)),"")</f>
        <v/>
      </c>
      <c r="Y118" s="620" t="str">
        <f t="array" ref="Y118">IFERROR(INDEX(Analytica!$F$59:$AY$138,MATCH($B118,Analytica!$B$59:$B$168,0),MATCH(Y$15&amp;Y$10,Analytica!$F$58:$AY$58&amp;Analytica!$F$51:'Analytica'!$AY$51,0)),"")</f>
        <v/>
      </c>
      <c r="Z118" s="694">
        <v>50</v>
      </c>
      <c r="AA118" s="694">
        <f>Z118</f>
        <v>50</v>
      </c>
      <c r="AB118" s="694">
        <v>2030</v>
      </c>
      <c r="AC118" s="688">
        <f t="shared" ca="1" si="135"/>
        <v>101</v>
      </c>
      <c r="AE118" s="1" t="str">
        <f t="shared" ref="AE118:AE123" si="153">"S_"&amp;D118</f>
        <v>S_TFPIP</v>
      </c>
      <c r="AF118" s="1" t="str">
        <f t="shared" ref="AF118:AF123" si="154">IF(B118="","","S_"&amp;LEFT(B118,LEN(B118)-2))</f>
        <v>S_TFPIPELC</v>
      </c>
      <c r="AG118" s="1"/>
      <c r="AI118" s="194">
        <v>0</v>
      </c>
      <c r="AJ118" s="699">
        <v>1</v>
      </c>
      <c r="AK118" s="697" t="e">
        <f>IF($AP$10,BK118,#REF!)</f>
        <v>#REF!</v>
      </c>
      <c r="AL118" s="697" t="e">
        <f t="shared" ref="AL118:AO122" si="155">IF($AP$10,BL118,AY118)</f>
        <v>#REF!</v>
      </c>
      <c r="AM118" s="697" t="e">
        <f t="shared" si="155"/>
        <v>#REF!</v>
      </c>
      <c r="AN118" s="697">
        <f t="shared" si="155"/>
        <v>1</v>
      </c>
      <c r="AO118" s="697">
        <f t="shared" si="155"/>
        <v>1</v>
      </c>
      <c r="AP118" s="194">
        <v>1</v>
      </c>
      <c r="AQ118" s="650">
        <f>AJ118</f>
        <v>1</v>
      </c>
      <c r="AR118" s="697" t="e">
        <f>IF($AP$10,BR118,#REF!)</f>
        <v>#REF!</v>
      </c>
      <c r="AS118" s="697" t="e">
        <f t="shared" ref="AS118:AV122" si="156">IF($AP$10,BS118,BE118)</f>
        <v>#REF!</v>
      </c>
      <c r="AT118" s="697" t="e">
        <f t="shared" si="156"/>
        <v>#REF!</v>
      </c>
      <c r="AU118" s="697">
        <f t="shared" si="156"/>
        <v>0</v>
      </c>
      <c r="AV118" s="697">
        <f t="shared" si="156"/>
        <v>0</v>
      </c>
      <c r="AX118" s="698">
        <f>$AJ118</f>
        <v>1</v>
      </c>
      <c r="AY118" s="697" t="e">
        <f>IF(#REF!&lt;&gt;"",(AY$11-#REF!)/(BA$11-#REF!)*(BA118-#REF!)+#REF!,"")</f>
        <v>#REF!</v>
      </c>
      <c r="AZ118" s="697" t="e">
        <f>AY118+(AZ$11-AY$11)/(BA$11-AY$11)*(BA118-AY118)</f>
        <v>#REF!</v>
      </c>
      <c r="BA118" s="697">
        <f t="shared" ref="BA118:BB122" si="157">MIN(1,$AJ118+BA$12)</f>
        <v>1</v>
      </c>
      <c r="BB118" s="697">
        <f t="shared" si="157"/>
        <v>1</v>
      </c>
      <c r="BC118" s="194"/>
      <c r="BD118" s="650">
        <f>AJ118</f>
        <v>1</v>
      </c>
      <c r="BE118" s="697" t="e">
        <f>IF(#REF!&lt;&gt;"",(BE$11-#REF!)/(BG$11-#REF!)*(BG118-#REF!)+#REF!,"")</f>
        <v>#REF!</v>
      </c>
      <c r="BF118" s="697" t="e">
        <f>BE118+(BF$11-BE$11)/(BG$11-BE$11)*(BG118-BE118)</f>
        <v>#REF!</v>
      </c>
      <c r="BG118" s="697">
        <f t="shared" ref="BG118:BH122" si="158">$AQ118*BG$12</f>
        <v>0</v>
      </c>
      <c r="BH118" s="697">
        <f t="shared" si="158"/>
        <v>0</v>
      </c>
      <c r="BI118" s="692"/>
      <c r="BJ118" s="693">
        <f>$AJ118</f>
        <v>1</v>
      </c>
      <c r="BK118" s="697">
        <f>MIN(1,$AJ118+BK$12)</f>
        <v>1</v>
      </c>
      <c r="BL118" s="697" t="e">
        <f>IF(BK118&lt;&gt;"",(BL$11-BK$11)/(BN$11-BK$11)*(BN118-BK118)+BK118,"")</f>
        <v>#REF!</v>
      </c>
      <c r="BM118" s="697" t="e">
        <f>BL118+(BM$11-BL$11)/(BN$11-BL$11)*(BN118-BL118)</f>
        <v>#REF!</v>
      </c>
      <c r="BN118" s="697">
        <f t="shared" ref="BN118:BO122" si="159">MIN(1,$AJ118+BN$12)</f>
        <v>1</v>
      </c>
      <c r="BO118" s="697">
        <f t="shared" si="159"/>
        <v>1</v>
      </c>
      <c r="BP118" s="194"/>
      <c r="BQ118" s="650">
        <f>AJ118</f>
        <v>1</v>
      </c>
      <c r="BR118" s="697">
        <f>$AQ118*BR$12</f>
        <v>1</v>
      </c>
      <c r="BS118" s="697" t="e">
        <f>IF(BR118&lt;&gt;"",(BS$11-BR$11)/(BU$11-BR$11)*(BU118-BR118)+BR118,"")</f>
        <v>#REF!</v>
      </c>
      <c r="BT118" s="697" t="e">
        <f>BS118+(BT$11-BS$11)/(BU$11-BS$11)*(BU118-BS118)</f>
        <v>#REF!</v>
      </c>
      <c r="BU118" s="697">
        <f t="shared" ref="BU118:BV122" si="160">$AQ118*BU$12</f>
        <v>0.25</v>
      </c>
      <c r="BV118" s="697">
        <f t="shared" si="160"/>
        <v>0.1</v>
      </c>
      <c r="BW118" s="692"/>
      <c r="CI118" s="1">
        <f>SUMIF($CI$10:$CI$11,RIGHT(C118,3),$CJ$10:$CJ$11)</f>
        <v>0</v>
      </c>
      <c r="CJ118" s="1">
        <v>35</v>
      </c>
      <c r="CK118" s="625" t="e">
        <f>CJ118/CI118</f>
        <v>#DIV/0!</v>
      </c>
      <c r="CL118" s="625" t="e">
        <f>#REF!</f>
        <v>#REF!</v>
      </c>
      <c r="CM118" s="625" t="e">
        <f>CK118/#REF!</f>
        <v>#DIV/0!</v>
      </c>
      <c r="CN118" s="2" t="e">
        <f>#REF!*1000</f>
        <v>#REF!</v>
      </c>
      <c r="CO118" s="2">
        <f>O118*1000000</f>
        <v>1000000</v>
      </c>
      <c r="CP118" s="9" t="e">
        <f>-PMT($CL$14,Z118,CN118)/CO118</f>
        <v>#REF!</v>
      </c>
    </row>
    <row r="119" spans="1:94" x14ac:dyDescent="0.2">
      <c r="A119" s="191" t="str">
        <f>ITEMS_nTech!C110</f>
        <v>Transport Other -  Aviation Int Jet Fuel  Oil Jet Fuel-N</v>
      </c>
      <c r="B119" s="191" t="str">
        <f>D119&amp;RIGHT(C119,3)&amp;"-N"</f>
        <v>TAIJETOKE-N</v>
      </c>
      <c r="C119" s="612" t="str">
        <f>$I$6</f>
        <v>TRAOKE</v>
      </c>
      <c r="D119" s="612" t="str">
        <f>TRP!B47</f>
        <v>TAIJET</v>
      </c>
      <c r="E119" s="702">
        <v>1</v>
      </c>
      <c r="F119" s="702">
        <f t="shared" si="151"/>
        <v>1</v>
      </c>
      <c r="G119" s="702">
        <f t="shared" si="151"/>
        <v>1</v>
      </c>
      <c r="H119" s="702">
        <f t="shared" si="151"/>
        <v>1</v>
      </c>
      <c r="I119" s="701">
        <v>1</v>
      </c>
      <c r="J119" s="701">
        <v>1</v>
      </c>
      <c r="K119" s="701">
        <v>1</v>
      </c>
      <c r="L119" s="701">
        <v>1</v>
      </c>
      <c r="M119" s="701">
        <v>1</v>
      </c>
      <c r="N119" s="696"/>
      <c r="O119" s="700">
        <v>1</v>
      </c>
      <c r="P119" s="620">
        <v>10</v>
      </c>
      <c r="Q119" s="620">
        <f t="shared" si="152"/>
        <v>10</v>
      </c>
      <c r="R119" s="620">
        <f t="shared" si="152"/>
        <v>10</v>
      </c>
      <c r="S119" s="620">
        <f t="shared" si="152"/>
        <v>10</v>
      </c>
      <c r="T119" s="620">
        <f>R119</f>
        <v>10</v>
      </c>
      <c r="U119" s="620">
        <f>T119</f>
        <v>10</v>
      </c>
      <c r="V119" s="620" t="str">
        <f t="array" ref="V119">IFERROR(INDEX(Analytica!$F$59:$AY$138,MATCH($B119,Analytica!$B$59:$B$168,0),MATCH(V$15&amp;V$10,Analytica!$F$58:$AY$58&amp;Analytica!$F$51:'Analytica'!$AY$51,0)),"")</f>
        <v/>
      </c>
      <c r="W119" s="620" t="str">
        <f t="array" ref="W119">IFERROR(INDEX(Analytica!$F$59:$AY$138,MATCH($B119,Analytica!$B$59:$B$168,0),MATCH(W$15&amp;W$10,Analytica!$F$58:$AY$58&amp;Analytica!$F$51:'Analytica'!$AY$51,0)),"")</f>
        <v/>
      </c>
      <c r="X119" s="620" t="str">
        <f t="array" ref="X119">IFERROR(INDEX(Analytica!$F$59:$AY$138,MATCH($B119,Analytica!$B$59:$B$168,0),MATCH(X$15&amp;X$10,Analytica!$F$58:$AY$58&amp;Analytica!$F$51:'Analytica'!$AY$51,0)),"")</f>
        <v/>
      </c>
      <c r="Y119" s="620" t="str">
        <f t="array" ref="Y119">IFERROR(INDEX(Analytica!$F$59:$AY$138,MATCH($B119,Analytica!$B$59:$B$168,0),MATCH(Y$15&amp;Y$10,Analytica!$F$58:$AY$58&amp;Analytica!$F$51:'Analytica'!$AY$51,0)),"")</f>
        <v/>
      </c>
      <c r="Z119" s="694">
        <v>50</v>
      </c>
      <c r="AA119" s="694">
        <f>Z119</f>
        <v>50</v>
      </c>
      <c r="AB119" s="694">
        <f>base.year+1</f>
        <v>2013</v>
      </c>
      <c r="AC119" s="688">
        <f t="shared" ca="1" si="135"/>
        <v>102</v>
      </c>
      <c r="AE119" s="1" t="str">
        <f t="shared" si="153"/>
        <v>S_TAIJET</v>
      </c>
      <c r="AF119" s="1" t="str">
        <f t="shared" si="154"/>
        <v>S_TAIJETOKE</v>
      </c>
      <c r="AG119" s="1"/>
      <c r="AI119" s="194">
        <v>0</v>
      </c>
      <c r="AJ119" s="699">
        <v>1</v>
      </c>
      <c r="AK119" s="697" t="e">
        <f>IF($AP$10,BK119,#REF!)</f>
        <v>#REF!</v>
      </c>
      <c r="AL119" s="697" t="e">
        <f t="shared" si="155"/>
        <v>#REF!</v>
      </c>
      <c r="AM119" s="697" t="e">
        <f t="shared" si="155"/>
        <v>#REF!</v>
      </c>
      <c r="AN119" s="697">
        <f t="shared" si="155"/>
        <v>1</v>
      </c>
      <c r="AO119" s="697">
        <f t="shared" si="155"/>
        <v>1</v>
      </c>
      <c r="AP119" s="194">
        <v>1</v>
      </c>
      <c r="AQ119" s="650">
        <f>AJ119</f>
        <v>1</v>
      </c>
      <c r="AR119" s="697" t="e">
        <f>IF($AP$10,BR119,#REF!)</f>
        <v>#REF!</v>
      </c>
      <c r="AS119" s="697" t="e">
        <f t="shared" si="156"/>
        <v>#REF!</v>
      </c>
      <c r="AT119" s="697" t="e">
        <f t="shared" si="156"/>
        <v>#REF!</v>
      </c>
      <c r="AU119" s="697">
        <f t="shared" si="156"/>
        <v>0</v>
      </c>
      <c r="AV119" s="697">
        <f t="shared" si="156"/>
        <v>0</v>
      </c>
      <c r="AX119" s="698">
        <f>$AJ119</f>
        <v>1</v>
      </c>
      <c r="AY119" s="697" t="e">
        <f>IF(#REF!&lt;&gt;"",(AY$11-#REF!)/(BA$11-#REF!)*(BA119-#REF!)+#REF!,"")</f>
        <v>#REF!</v>
      </c>
      <c r="AZ119" s="697" t="e">
        <f>AY119+(AZ$11-AY$11)/(BA$11-AY$11)*(BA119-AY119)</f>
        <v>#REF!</v>
      </c>
      <c r="BA119" s="697">
        <f t="shared" si="157"/>
        <v>1</v>
      </c>
      <c r="BB119" s="697">
        <f t="shared" si="157"/>
        <v>1</v>
      </c>
      <c r="BC119" s="194"/>
      <c r="BD119" s="650">
        <f>AJ119</f>
        <v>1</v>
      </c>
      <c r="BE119" s="697" t="e">
        <f>IF(#REF!&lt;&gt;"",(BE$11-#REF!)/(BG$11-#REF!)*(BG119-#REF!)+#REF!,"")</f>
        <v>#REF!</v>
      </c>
      <c r="BF119" s="697" t="e">
        <f>BE119+(BF$11-BE$11)/(BG$11-BE$11)*(BG119-BE119)</f>
        <v>#REF!</v>
      </c>
      <c r="BG119" s="697">
        <f t="shared" si="158"/>
        <v>0</v>
      </c>
      <c r="BH119" s="697">
        <f t="shared" si="158"/>
        <v>0</v>
      </c>
      <c r="BI119" s="692"/>
      <c r="BJ119" s="693">
        <f>$AJ119</f>
        <v>1</v>
      </c>
      <c r="BK119" s="697">
        <f>MIN(1,$AJ119+BK$12)</f>
        <v>1</v>
      </c>
      <c r="BL119" s="697" t="e">
        <f>IF(BK119&lt;&gt;"",(BL$11-BK$11)/(BN$11-BK$11)*(BN119-BK119)+BK119,"")</f>
        <v>#REF!</v>
      </c>
      <c r="BM119" s="697" t="e">
        <f>BL119+(BM$11-BL$11)/(BN$11-BL$11)*(BN119-BL119)</f>
        <v>#REF!</v>
      </c>
      <c r="BN119" s="697">
        <f t="shared" si="159"/>
        <v>1</v>
      </c>
      <c r="BO119" s="697">
        <f t="shared" si="159"/>
        <v>1</v>
      </c>
      <c r="BP119" s="194"/>
      <c r="BQ119" s="650">
        <f>AJ119</f>
        <v>1</v>
      </c>
      <c r="BR119" s="697">
        <f>$AQ119*BR$12</f>
        <v>1</v>
      </c>
      <c r="BS119" s="697" t="e">
        <f>IF(BR119&lt;&gt;"",(BS$11-BR$11)/(BU$11-BR$11)*(BU119-BR119)+BR119,"")</f>
        <v>#REF!</v>
      </c>
      <c r="BT119" s="697" t="e">
        <f>BS119+(BT$11-BS$11)/(BU$11-BS$11)*(BU119-BS119)</f>
        <v>#REF!</v>
      </c>
      <c r="BU119" s="697">
        <f t="shared" si="160"/>
        <v>0.25</v>
      </c>
      <c r="BV119" s="697">
        <f t="shared" si="160"/>
        <v>0.1</v>
      </c>
      <c r="BW119" s="692"/>
      <c r="CI119" s="1">
        <f>SUMIF($CI$10:$CI$11,RIGHT(C119,3),$CJ$10:$CJ$11)</f>
        <v>0</v>
      </c>
      <c r="CJ119" s="1">
        <v>36</v>
      </c>
      <c r="CK119" s="625" t="e">
        <f>CJ119/CI119</f>
        <v>#DIV/0!</v>
      </c>
      <c r="CL119" s="625" t="e">
        <f>#REF!</f>
        <v>#REF!</v>
      </c>
      <c r="CM119" s="625" t="e">
        <f>CK119/#REF!</f>
        <v>#DIV/0!</v>
      </c>
      <c r="CN119" s="2" t="e">
        <f>#REF!*1000</f>
        <v>#REF!</v>
      </c>
      <c r="CO119" s="2">
        <f>O119*1000000</f>
        <v>1000000</v>
      </c>
      <c r="CP119" s="9" t="e">
        <f>-PMT($CL$14,Z119,CN119)/CO119</f>
        <v>#REF!</v>
      </c>
    </row>
    <row r="120" spans="1:94" x14ac:dyDescent="0.2">
      <c r="A120" s="191" t="str">
        <f>ITEMS_nTech!C111</f>
        <v>Transport Other -  Aviation Dom Jet Fuel  Oil Jet Fuel-N</v>
      </c>
      <c r="B120" s="191" t="str">
        <f>D120&amp;RIGHT(C120,3)&amp;"-N"</f>
        <v>TADJETOKE-N</v>
      </c>
      <c r="C120" s="612" t="str">
        <f>$I$6</f>
        <v>TRAOKE</v>
      </c>
      <c r="D120" s="612" t="str">
        <f>TRP!B48</f>
        <v>TADJET</v>
      </c>
      <c r="E120" s="702">
        <v>1</v>
      </c>
      <c r="F120" s="702">
        <f t="shared" si="151"/>
        <v>1</v>
      </c>
      <c r="G120" s="702">
        <f t="shared" si="151"/>
        <v>1</v>
      </c>
      <c r="H120" s="702">
        <f t="shared" si="151"/>
        <v>1</v>
      </c>
      <c r="I120" s="701">
        <v>1</v>
      </c>
      <c r="J120" s="701">
        <v>1</v>
      </c>
      <c r="K120" s="701">
        <v>1</v>
      </c>
      <c r="L120" s="701">
        <v>1</v>
      </c>
      <c r="M120" s="701">
        <v>1</v>
      </c>
      <c r="N120" s="696"/>
      <c r="O120" s="700">
        <v>1</v>
      </c>
      <c r="P120" s="620">
        <v>10</v>
      </c>
      <c r="Q120" s="620">
        <f t="shared" si="152"/>
        <v>10</v>
      </c>
      <c r="R120" s="620">
        <f t="shared" si="152"/>
        <v>10</v>
      </c>
      <c r="S120" s="620">
        <f t="shared" si="152"/>
        <v>10</v>
      </c>
      <c r="T120" s="620">
        <f>R120</f>
        <v>10</v>
      </c>
      <c r="U120" s="620">
        <f>T120</f>
        <v>10</v>
      </c>
      <c r="V120" s="620" t="str">
        <f t="array" ref="V120">IFERROR(INDEX(Analytica!$F$59:$AY$138,MATCH($B120,Analytica!$B$59:$B$168,0),MATCH(V$15&amp;V$10,Analytica!$F$58:$AY$58&amp;Analytica!$F$51:'Analytica'!$AY$51,0)),"")</f>
        <v/>
      </c>
      <c r="W120" s="620" t="str">
        <f t="array" ref="W120">IFERROR(INDEX(Analytica!$F$59:$AY$138,MATCH($B120,Analytica!$B$59:$B$168,0),MATCH(W$15&amp;W$10,Analytica!$F$58:$AY$58&amp;Analytica!$F$51:'Analytica'!$AY$51,0)),"")</f>
        <v/>
      </c>
      <c r="X120" s="620" t="str">
        <f t="array" ref="X120">IFERROR(INDEX(Analytica!$F$59:$AY$138,MATCH($B120,Analytica!$B$59:$B$168,0),MATCH(X$15&amp;X$10,Analytica!$F$58:$AY$58&amp;Analytica!$F$51:'Analytica'!$AY$51,0)),"")</f>
        <v/>
      </c>
      <c r="Y120" s="620" t="str">
        <f t="array" ref="Y120">IFERROR(INDEX(Analytica!$F$59:$AY$138,MATCH($B120,Analytica!$B$59:$B$168,0),MATCH(Y$15&amp;Y$10,Analytica!$F$58:$AY$58&amp;Analytica!$F$51:'Analytica'!$AY$51,0)),"")</f>
        <v/>
      </c>
      <c r="Z120" s="694">
        <v>50</v>
      </c>
      <c r="AA120" s="694">
        <f>Z120</f>
        <v>50</v>
      </c>
      <c r="AB120" s="694">
        <f>base.year+1</f>
        <v>2013</v>
      </c>
      <c r="AC120" s="688">
        <f t="shared" ca="1" si="135"/>
        <v>103</v>
      </c>
      <c r="AE120" s="1" t="str">
        <f t="shared" si="153"/>
        <v>S_TADJET</v>
      </c>
      <c r="AF120" s="1" t="str">
        <f t="shared" si="154"/>
        <v>S_TADJETOKE</v>
      </c>
      <c r="AG120" s="1"/>
      <c r="AI120" s="194">
        <v>0</v>
      </c>
      <c r="AJ120" s="699">
        <v>1</v>
      </c>
      <c r="AK120" s="697" t="e">
        <f>IF($AP$10,BK120,#REF!)</f>
        <v>#REF!</v>
      </c>
      <c r="AL120" s="697" t="e">
        <f t="shared" si="155"/>
        <v>#REF!</v>
      </c>
      <c r="AM120" s="697" t="e">
        <f t="shared" si="155"/>
        <v>#REF!</v>
      </c>
      <c r="AN120" s="697">
        <f t="shared" si="155"/>
        <v>1</v>
      </c>
      <c r="AO120" s="697">
        <f t="shared" si="155"/>
        <v>1</v>
      </c>
      <c r="AP120" s="194">
        <v>1</v>
      </c>
      <c r="AQ120" s="650">
        <f>AJ120</f>
        <v>1</v>
      </c>
      <c r="AR120" s="697" t="e">
        <f>IF($AP$10,BR120,#REF!)</f>
        <v>#REF!</v>
      </c>
      <c r="AS120" s="697" t="e">
        <f t="shared" si="156"/>
        <v>#REF!</v>
      </c>
      <c r="AT120" s="697" t="e">
        <f t="shared" si="156"/>
        <v>#REF!</v>
      </c>
      <c r="AU120" s="697">
        <f t="shared" si="156"/>
        <v>0</v>
      </c>
      <c r="AV120" s="697">
        <f t="shared" si="156"/>
        <v>0</v>
      </c>
      <c r="AX120" s="698">
        <f>$AJ120</f>
        <v>1</v>
      </c>
      <c r="AY120" s="697" t="e">
        <f>IF(#REF!&lt;&gt;"",(AY$11-#REF!)/(BA$11-#REF!)*(BA120-#REF!)+#REF!,"")</f>
        <v>#REF!</v>
      </c>
      <c r="AZ120" s="697" t="e">
        <f>AY120+(AZ$11-AY$11)/(BA$11-AY$11)*(BA120-AY120)</f>
        <v>#REF!</v>
      </c>
      <c r="BA120" s="697">
        <f t="shared" si="157"/>
        <v>1</v>
      </c>
      <c r="BB120" s="697">
        <f t="shared" si="157"/>
        <v>1</v>
      </c>
      <c r="BC120" s="194"/>
      <c r="BD120" s="650">
        <f>AJ120</f>
        <v>1</v>
      </c>
      <c r="BE120" s="697" t="e">
        <f>IF(#REF!&lt;&gt;"",(BE$11-#REF!)/(BG$11-#REF!)*(BG120-#REF!)+#REF!,"")</f>
        <v>#REF!</v>
      </c>
      <c r="BF120" s="697" t="e">
        <f>BE120+(BF$11-BE$11)/(BG$11-BE$11)*(BG120-BE120)</f>
        <v>#REF!</v>
      </c>
      <c r="BG120" s="697">
        <f t="shared" si="158"/>
        <v>0</v>
      </c>
      <c r="BH120" s="697">
        <f t="shared" si="158"/>
        <v>0</v>
      </c>
      <c r="BI120" s="692"/>
      <c r="BJ120" s="693">
        <f>$AJ120</f>
        <v>1</v>
      </c>
      <c r="BK120" s="697">
        <f>MIN(1,$AJ120+BK$12)</f>
        <v>1</v>
      </c>
      <c r="BL120" s="697" t="e">
        <f>IF(BK120&lt;&gt;"",(BL$11-BK$11)/(BN$11-BK$11)*(BN120-BK120)+BK120,"")</f>
        <v>#REF!</v>
      </c>
      <c r="BM120" s="697" t="e">
        <f>BL120+(BM$11-BL$11)/(BN$11-BL$11)*(BN120-BL120)</f>
        <v>#REF!</v>
      </c>
      <c r="BN120" s="697">
        <f t="shared" si="159"/>
        <v>1</v>
      </c>
      <c r="BO120" s="697">
        <f t="shared" si="159"/>
        <v>1</v>
      </c>
      <c r="BP120" s="194"/>
      <c r="BQ120" s="650">
        <f>AJ120</f>
        <v>1</v>
      </c>
      <c r="BR120" s="697">
        <f>$AQ120*BR$12</f>
        <v>1</v>
      </c>
      <c r="BS120" s="697" t="e">
        <f>IF(BR120&lt;&gt;"",(BS$11-BR$11)/(BU$11-BR$11)*(BU120-BR120)+BR120,"")</f>
        <v>#REF!</v>
      </c>
      <c r="BT120" s="697" t="e">
        <f>BS120+(BT$11-BS$11)/(BU$11-BS$11)*(BU120-BS120)</f>
        <v>#REF!</v>
      </c>
      <c r="BU120" s="697">
        <f t="shared" si="160"/>
        <v>0.25</v>
      </c>
      <c r="BV120" s="697">
        <f t="shared" si="160"/>
        <v>0.1</v>
      </c>
      <c r="BW120" s="692"/>
      <c r="CI120" s="1">
        <f>SUMIF($CI$10:$CI$11,RIGHT(C120,3),$CJ$10:$CJ$11)</f>
        <v>0</v>
      </c>
      <c r="CJ120" s="1">
        <v>37</v>
      </c>
      <c r="CK120" s="625" t="e">
        <f>CJ120/CI120</f>
        <v>#DIV/0!</v>
      </c>
      <c r="CL120" s="625" t="e">
        <f>#REF!</f>
        <v>#REF!</v>
      </c>
      <c r="CM120" s="625" t="e">
        <f>CK120/#REF!</f>
        <v>#DIV/0!</v>
      </c>
      <c r="CN120" s="2" t="e">
        <f>#REF!*1000</f>
        <v>#REF!</v>
      </c>
      <c r="CO120" s="2">
        <f>O120*1000000</f>
        <v>1000000</v>
      </c>
      <c r="CP120" s="9" t="e">
        <f>-PMT($CL$14,Z120,CN120)/CO120</f>
        <v>#REF!</v>
      </c>
    </row>
    <row r="121" spans="1:94" x14ac:dyDescent="0.2">
      <c r="A121" s="191" t="str">
        <f>ITEMS_nTech!C112</f>
        <v>Transport Other - Aviation Gasoline T-N</v>
      </c>
      <c r="B121" s="191" t="str">
        <f>D121&amp;RIGHT(C121,3)&amp;"-N"</f>
        <v>TAOAGOAG-N</v>
      </c>
      <c r="C121" s="612" t="str">
        <f>$C$6</f>
        <v>TRAOAG</v>
      </c>
      <c r="D121" s="612" t="str">
        <f>TRP!B49</f>
        <v>TAOAG</v>
      </c>
      <c r="E121" s="702">
        <v>1</v>
      </c>
      <c r="F121" s="702">
        <f t="shared" si="151"/>
        <v>1</v>
      </c>
      <c r="G121" s="702">
        <f t="shared" si="151"/>
        <v>1</v>
      </c>
      <c r="H121" s="702">
        <f t="shared" si="151"/>
        <v>1</v>
      </c>
      <c r="I121" s="701">
        <v>1</v>
      </c>
      <c r="J121" s="701">
        <v>1</v>
      </c>
      <c r="K121" s="701">
        <v>1</v>
      </c>
      <c r="L121" s="701">
        <v>1</v>
      </c>
      <c r="M121" s="701">
        <v>1</v>
      </c>
      <c r="N121" s="696"/>
      <c r="O121" s="700">
        <v>1</v>
      </c>
      <c r="P121" s="620">
        <v>10</v>
      </c>
      <c r="Q121" s="620">
        <f t="shared" si="152"/>
        <v>10</v>
      </c>
      <c r="R121" s="620">
        <f t="shared" si="152"/>
        <v>10</v>
      </c>
      <c r="S121" s="620">
        <f t="shared" si="152"/>
        <v>10</v>
      </c>
      <c r="T121" s="620">
        <f>R121</f>
        <v>10</v>
      </c>
      <c r="U121" s="620">
        <f>T121</f>
        <v>10</v>
      </c>
      <c r="V121" s="620" t="str">
        <f t="array" ref="V121">IFERROR(INDEX(Analytica!$F$59:$AY$138,MATCH($B121,Analytica!$B$59:$B$168,0),MATCH(V$15&amp;V$10,Analytica!$F$58:$AY$58&amp;Analytica!$F$51:'Analytica'!$AY$51,0)),"")</f>
        <v/>
      </c>
      <c r="W121" s="620" t="str">
        <f t="array" ref="W121">IFERROR(INDEX(Analytica!$F$59:$AY$138,MATCH($B121,Analytica!$B$59:$B$168,0),MATCH(W$15&amp;W$10,Analytica!$F$58:$AY$58&amp;Analytica!$F$51:'Analytica'!$AY$51,0)),"")</f>
        <v/>
      </c>
      <c r="X121" s="620" t="str">
        <f t="array" ref="X121">IFERROR(INDEX(Analytica!$F$59:$AY$138,MATCH($B121,Analytica!$B$59:$B$168,0),MATCH(X$15&amp;X$10,Analytica!$F$58:$AY$58&amp;Analytica!$F$51:'Analytica'!$AY$51,0)),"")</f>
        <v/>
      </c>
      <c r="Y121" s="620" t="str">
        <f t="array" ref="Y121">IFERROR(INDEX(Analytica!$F$59:$AY$138,MATCH($B121,Analytica!$B$59:$B$168,0),MATCH(Y$15&amp;Y$10,Analytica!$F$58:$AY$58&amp;Analytica!$F$51:'Analytica'!$AY$51,0)),"")</f>
        <v/>
      </c>
      <c r="Z121" s="694">
        <v>50</v>
      </c>
      <c r="AA121" s="694">
        <f>Z121</f>
        <v>50</v>
      </c>
      <c r="AB121" s="694">
        <f>base.year+1</f>
        <v>2013</v>
      </c>
      <c r="AC121" s="688">
        <f t="shared" ca="1" si="135"/>
        <v>104</v>
      </c>
      <c r="AE121" s="1" t="str">
        <f t="shared" si="153"/>
        <v>S_TAOAG</v>
      </c>
      <c r="AF121" s="1" t="str">
        <f t="shared" si="154"/>
        <v>S_TAOAGOAG</v>
      </c>
      <c r="AG121" s="1"/>
      <c r="AI121" s="194">
        <v>0</v>
      </c>
      <c r="AJ121" s="699">
        <v>1</v>
      </c>
      <c r="AK121" s="697" t="e">
        <f>IF($AP$10,BK121,#REF!)</f>
        <v>#REF!</v>
      </c>
      <c r="AL121" s="697" t="e">
        <f t="shared" si="155"/>
        <v>#REF!</v>
      </c>
      <c r="AM121" s="697" t="e">
        <f t="shared" si="155"/>
        <v>#REF!</v>
      </c>
      <c r="AN121" s="697">
        <f t="shared" si="155"/>
        <v>1</v>
      </c>
      <c r="AO121" s="697">
        <f t="shared" si="155"/>
        <v>1</v>
      </c>
      <c r="AP121" s="194">
        <v>1</v>
      </c>
      <c r="AQ121" s="650">
        <f>AJ121</f>
        <v>1</v>
      </c>
      <c r="AR121" s="697" t="e">
        <f>IF($AP$10,BR121,#REF!)</f>
        <v>#REF!</v>
      </c>
      <c r="AS121" s="697" t="e">
        <f t="shared" si="156"/>
        <v>#REF!</v>
      </c>
      <c r="AT121" s="697" t="e">
        <f t="shared" si="156"/>
        <v>#REF!</v>
      </c>
      <c r="AU121" s="697">
        <f t="shared" si="156"/>
        <v>0</v>
      </c>
      <c r="AV121" s="697">
        <f t="shared" si="156"/>
        <v>0</v>
      </c>
      <c r="AX121" s="698">
        <f>$AJ121</f>
        <v>1</v>
      </c>
      <c r="AY121" s="697" t="e">
        <f>IF(#REF!&lt;&gt;"",(AY$11-#REF!)/(BA$11-#REF!)*(BA121-#REF!)+#REF!,"")</f>
        <v>#REF!</v>
      </c>
      <c r="AZ121" s="697" t="e">
        <f>AY121+(AZ$11-AY$11)/(BA$11-AY$11)*(BA121-AY121)</f>
        <v>#REF!</v>
      </c>
      <c r="BA121" s="697">
        <f t="shared" si="157"/>
        <v>1</v>
      </c>
      <c r="BB121" s="697">
        <f t="shared" si="157"/>
        <v>1</v>
      </c>
      <c r="BC121" s="194"/>
      <c r="BD121" s="650">
        <f>AJ121</f>
        <v>1</v>
      </c>
      <c r="BE121" s="697" t="e">
        <f>IF(#REF!&lt;&gt;"",(BE$11-#REF!)/(BG$11-#REF!)*(BG121-#REF!)+#REF!,"")</f>
        <v>#REF!</v>
      </c>
      <c r="BF121" s="697" t="e">
        <f>BE121+(BF$11-BE$11)/(BG$11-BE$11)*(BG121-BE121)</f>
        <v>#REF!</v>
      </c>
      <c r="BG121" s="697">
        <f t="shared" si="158"/>
        <v>0</v>
      </c>
      <c r="BH121" s="697">
        <f t="shared" si="158"/>
        <v>0</v>
      </c>
      <c r="BI121" s="692"/>
      <c r="BJ121" s="693">
        <f>$AJ121</f>
        <v>1</v>
      </c>
      <c r="BK121" s="697">
        <f>MIN(1,$AJ121+BK$12)</f>
        <v>1</v>
      </c>
      <c r="BL121" s="697" t="e">
        <f>IF(BK121&lt;&gt;"",(BL$11-BK$11)/(BN$11-BK$11)*(BN121-BK121)+BK121,"")</f>
        <v>#REF!</v>
      </c>
      <c r="BM121" s="697" t="e">
        <f>BL121+(BM$11-BL$11)/(BN$11-BL$11)*(BN121-BL121)</f>
        <v>#REF!</v>
      </c>
      <c r="BN121" s="697">
        <f t="shared" si="159"/>
        <v>1</v>
      </c>
      <c r="BO121" s="697">
        <f t="shared" si="159"/>
        <v>1</v>
      </c>
      <c r="BP121" s="194"/>
      <c r="BQ121" s="650">
        <f>AJ121</f>
        <v>1</v>
      </c>
      <c r="BR121" s="697">
        <f>$AQ121*BR$12</f>
        <v>1</v>
      </c>
      <c r="BS121" s="697" t="e">
        <f>IF(BR121&lt;&gt;"",(BS$11-BR$11)/(BU$11-BR$11)*(BU121-BR121)+BR121,"")</f>
        <v>#REF!</v>
      </c>
      <c r="BT121" s="697" t="e">
        <f>BS121+(BT$11-BS$11)/(BU$11-BS$11)*(BU121-BS121)</f>
        <v>#REF!</v>
      </c>
      <c r="BU121" s="697">
        <f t="shared" si="160"/>
        <v>0.25</v>
      </c>
      <c r="BV121" s="697">
        <f t="shared" si="160"/>
        <v>0.1</v>
      </c>
      <c r="BW121" s="692"/>
      <c r="CI121" s="1">
        <f>SUMIF($CI$10:$CI$11,RIGHT(C121,3),$CJ$10:$CJ$11)</f>
        <v>0</v>
      </c>
      <c r="CJ121" s="1">
        <v>36</v>
      </c>
      <c r="CK121" s="625" t="e">
        <f>CJ121/CI121</f>
        <v>#DIV/0!</v>
      </c>
      <c r="CL121" s="625" t="e">
        <f>#REF!</f>
        <v>#REF!</v>
      </c>
      <c r="CM121" s="625" t="e">
        <f>CK121/#REF!</f>
        <v>#DIV/0!</v>
      </c>
      <c r="CN121" s="2" t="e">
        <f>#REF!*1000</f>
        <v>#REF!</v>
      </c>
      <c r="CO121" s="2">
        <f>O121*1000000</f>
        <v>1000000</v>
      </c>
      <c r="CP121" s="9" t="e">
        <f>-PMT($CL$14,Z121,CN121)/CO121</f>
        <v>#REF!</v>
      </c>
    </row>
    <row r="122" spans="1:94" x14ac:dyDescent="0.2">
      <c r="A122" s="191" t="str">
        <f>ITEMS_nTech!C113</f>
        <v>Transport Other - HFO Oil HFO-N</v>
      </c>
      <c r="B122" s="191" t="str">
        <f>D122&amp;RIGHT(C122,3)&amp;"-N"</f>
        <v>TSHFOOHF-N</v>
      </c>
      <c r="C122" s="612" t="str">
        <f>$H$6</f>
        <v>TRAOHF</v>
      </c>
      <c r="D122" s="612" t="str">
        <f>TRP!B50</f>
        <v>TSHFO</v>
      </c>
      <c r="E122" s="702">
        <v>1</v>
      </c>
      <c r="F122" s="702">
        <f t="shared" si="151"/>
        <v>1</v>
      </c>
      <c r="G122" s="702">
        <f t="shared" si="151"/>
        <v>1</v>
      </c>
      <c r="H122" s="702">
        <f t="shared" si="151"/>
        <v>1</v>
      </c>
      <c r="I122" s="701">
        <v>1</v>
      </c>
      <c r="J122" s="701">
        <v>1</v>
      </c>
      <c r="K122" s="701">
        <v>1</v>
      </c>
      <c r="L122" s="701">
        <v>1</v>
      </c>
      <c r="M122" s="701">
        <v>1</v>
      </c>
      <c r="N122" s="696"/>
      <c r="O122" s="700">
        <v>1</v>
      </c>
      <c r="P122" s="620">
        <v>10</v>
      </c>
      <c r="Q122" s="620">
        <f t="shared" si="152"/>
        <v>10</v>
      </c>
      <c r="R122" s="620">
        <f t="shared" si="152"/>
        <v>10</v>
      </c>
      <c r="S122" s="620">
        <f t="shared" si="152"/>
        <v>10</v>
      </c>
      <c r="T122" s="620">
        <f>R122</f>
        <v>10</v>
      </c>
      <c r="U122" s="620">
        <f>T122</f>
        <v>10</v>
      </c>
      <c r="V122" s="620" t="str">
        <f t="array" ref="V122">IFERROR(INDEX(Analytica!$F$59:$AY$138,MATCH($B122,Analytica!$B$59:$B$168,0),MATCH(V$15&amp;V$10,Analytica!$F$58:$AY$58&amp;Analytica!$F$51:'Analytica'!$AY$51,0)),"")</f>
        <v/>
      </c>
      <c r="W122" s="620" t="str">
        <f t="array" ref="W122">IFERROR(INDEX(Analytica!$F$59:$AY$138,MATCH($B122,Analytica!$B$59:$B$168,0),MATCH(W$15&amp;W$10,Analytica!$F$58:$AY$58&amp;Analytica!$F$51:'Analytica'!$AY$51,0)),"")</f>
        <v/>
      </c>
      <c r="X122" s="620" t="str">
        <f t="array" ref="X122">IFERROR(INDEX(Analytica!$F$59:$AY$138,MATCH($B122,Analytica!$B$59:$B$168,0),MATCH(X$15&amp;X$10,Analytica!$F$58:$AY$58&amp;Analytica!$F$51:'Analytica'!$AY$51,0)),"")</f>
        <v/>
      </c>
      <c r="Y122" s="620" t="str">
        <f t="array" ref="Y122">IFERROR(INDEX(Analytica!$F$59:$AY$138,MATCH($B122,Analytica!$B$59:$B$168,0),MATCH(Y$15&amp;Y$10,Analytica!$F$58:$AY$58&amp;Analytica!$F$51:'Analytica'!$AY$51,0)),"")</f>
        <v/>
      </c>
      <c r="Z122" s="694">
        <v>50</v>
      </c>
      <c r="AA122" s="694">
        <f>Z122</f>
        <v>50</v>
      </c>
      <c r="AB122" s="694">
        <f>base.year+1</f>
        <v>2013</v>
      </c>
      <c r="AC122" s="688">
        <f t="shared" ca="1" si="135"/>
        <v>105</v>
      </c>
      <c r="AE122" s="1" t="str">
        <f t="shared" si="153"/>
        <v>S_TSHFO</v>
      </c>
      <c r="AF122" s="1" t="str">
        <f t="shared" si="154"/>
        <v>S_TSHFOOHF</v>
      </c>
      <c r="AG122" s="1"/>
      <c r="AI122" s="194">
        <v>0</v>
      </c>
      <c r="AJ122" s="699">
        <v>1</v>
      </c>
      <c r="AK122" s="697" t="e">
        <f>IF($AP$10,BK122,#REF!)</f>
        <v>#REF!</v>
      </c>
      <c r="AL122" s="697" t="e">
        <f t="shared" si="155"/>
        <v>#REF!</v>
      </c>
      <c r="AM122" s="697" t="e">
        <f t="shared" si="155"/>
        <v>#REF!</v>
      </c>
      <c r="AN122" s="697">
        <f t="shared" si="155"/>
        <v>1</v>
      </c>
      <c r="AO122" s="697">
        <f t="shared" si="155"/>
        <v>1</v>
      </c>
      <c r="AP122" s="194">
        <v>1</v>
      </c>
      <c r="AQ122" s="650">
        <f>AJ122</f>
        <v>1</v>
      </c>
      <c r="AR122" s="697" t="e">
        <f>IF($AP$10,BR122,#REF!)</f>
        <v>#REF!</v>
      </c>
      <c r="AS122" s="697" t="e">
        <f t="shared" si="156"/>
        <v>#REF!</v>
      </c>
      <c r="AT122" s="697" t="e">
        <f t="shared" si="156"/>
        <v>#REF!</v>
      </c>
      <c r="AU122" s="697">
        <f t="shared" si="156"/>
        <v>0</v>
      </c>
      <c r="AV122" s="697">
        <f t="shared" si="156"/>
        <v>0</v>
      </c>
      <c r="AX122" s="698">
        <f>$AJ122</f>
        <v>1</v>
      </c>
      <c r="AY122" s="697" t="e">
        <f>IF(#REF!&lt;&gt;"",(AY$11-#REF!)/(BA$11-#REF!)*(BA122-#REF!)+#REF!,"")</f>
        <v>#REF!</v>
      </c>
      <c r="AZ122" s="697" t="e">
        <f>AY122+(AZ$11-AY$11)/(BA$11-AY$11)*(BA122-AY122)</f>
        <v>#REF!</v>
      </c>
      <c r="BA122" s="697">
        <f t="shared" si="157"/>
        <v>1</v>
      </c>
      <c r="BB122" s="697">
        <f t="shared" si="157"/>
        <v>1</v>
      </c>
      <c r="BC122" s="194"/>
      <c r="BD122" s="650">
        <f>AJ122</f>
        <v>1</v>
      </c>
      <c r="BE122" s="697" t="e">
        <f>IF(#REF!&lt;&gt;"",(BE$11-#REF!)/(BG$11-#REF!)*(BG122-#REF!)+#REF!,"")</f>
        <v>#REF!</v>
      </c>
      <c r="BF122" s="697" t="e">
        <f>BE122+(BF$11-BE$11)/(BG$11-BE$11)*(BG122-BE122)</f>
        <v>#REF!</v>
      </c>
      <c r="BG122" s="697">
        <f t="shared" si="158"/>
        <v>0</v>
      </c>
      <c r="BH122" s="697">
        <f t="shared" si="158"/>
        <v>0</v>
      </c>
      <c r="BI122" s="692"/>
      <c r="BJ122" s="693">
        <f>$AJ122</f>
        <v>1</v>
      </c>
      <c r="BK122" s="697">
        <f>MIN(1,$AJ122+BK$12)</f>
        <v>1</v>
      </c>
      <c r="BL122" s="697" t="e">
        <f>IF(BK122&lt;&gt;"",(BL$11-BK$11)/(BN$11-BK$11)*(BN122-BK122)+BK122,"")</f>
        <v>#REF!</v>
      </c>
      <c r="BM122" s="697" t="e">
        <f>BL122+(BM$11-BL$11)/(BN$11-BL$11)*(BN122-BL122)</f>
        <v>#REF!</v>
      </c>
      <c r="BN122" s="697">
        <f t="shared" si="159"/>
        <v>1</v>
      </c>
      <c r="BO122" s="697">
        <f t="shared" si="159"/>
        <v>1</v>
      </c>
      <c r="BP122" s="194"/>
      <c r="BQ122" s="650">
        <f>AJ122</f>
        <v>1</v>
      </c>
      <c r="BR122" s="697">
        <f>$AQ122*BR$12</f>
        <v>1</v>
      </c>
      <c r="BS122" s="697" t="e">
        <f>IF(BR122&lt;&gt;"",(BS$11-BR$11)/(BU$11-BR$11)*(BU122-BR122)+BR122,"")</f>
        <v>#REF!</v>
      </c>
      <c r="BT122" s="697" t="e">
        <f>BS122+(BT$11-BS$11)/(BU$11-BS$11)*(BU122-BS122)</f>
        <v>#REF!</v>
      </c>
      <c r="BU122" s="697">
        <f t="shared" si="160"/>
        <v>0.25</v>
      </c>
      <c r="BV122" s="697">
        <f t="shared" si="160"/>
        <v>0.1</v>
      </c>
      <c r="BW122" s="692"/>
      <c r="CI122" s="1">
        <f>SUMIF($CI$10:$CI$11,RIGHT(C122,3),$CJ$10:$CJ$11)</f>
        <v>0</v>
      </c>
      <c r="CJ122" s="1">
        <v>36</v>
      </c>
      <c r="CK122" s="625" t="e">
        <f>CJ122/CI122</f>
        <v>#DIV/0!</v>
      </c>
      <c r="CL122" s="625" t="e">
        <f>#REF!</f>
        <v>#REF!</v>
      </c>
      <c r="CM122" s="625" t="e">
        <f>CK122/#REF!</f>
        <v>#DIV/0!</v>
      </c>
      <c r="CN122" s="2" t="e">
        <f>#REF!*1000</f>
        <v>#REF!</v>
      </c>
      <c r="CO122" s="2">
        <f>O122*1000000</f>
        <v>1000000</v>
      </c>
      <c r="CP122" s="9" t="e">
        <f>-PMT($CL$14,Z122,CN122)/CO122</f>
        <v>#REF!</v>
      </c>
    </row>
    <row r="123" spans="1:94" x14ac:dyDescent="0.2">
      <c r="A123" s="618"/>
      <c r="B123" s="191"/>
      <c r="C123" s="612"/>
      <c r="D123" s="612"/>
      <c r="E123" s="620"/>
      <c r="F123" s="620"/>
      <c r="G123" s="620"/>
      <c r="H123" s="620"/>
      <c r="I123" s="620"/>
      <c r="J123" s="620"/>
      <c r="K123" s="620"/>
      <c r="L123" s="620"/>
      <c r="M123" s="620"/>
      <c r="N123" s="696"/>
      <c r="O123" s="694"/>
      <c r="P123" s="695"/>
      <c r="Q123" s="695"/>
      <c r="R123" s="695"/>
      <c r="S123" s="695"/>
      <c r="T123" s="695"/>
      <c r="U123" s="695"/>
      <c r="V123" s="695"/>
      <c r="W123" s="695"/>
      <c r="X123" s="695"/>
      <c r="Y123" s="695"/>
      <c r="Z123" s="694"/>
      <c r="AA123" s="694"/>
      <c r="AB123" s="694">
        <f>base.year+1</f>
        <v>2013</v>
      </c>
      <c r="AC123" s="688">
        <f t="shared" ca="1" si="135"/>
        <v>106</v>
      </c>
      <c r="AE123" s="1" t="str">
        <f t="shared" si="153"/>
        <v>S_</v>
      </c>
      <c r="AF123" s="1" t="str">
        <f t="shared" si="154"/>
        <v/>
      </c>
      <c r="AG123" s="1"/>
      <c r="AI123" s="194">
        <v>0</v>
      </c>
      <c r="AJ123" s="693"/>
      <c r="AM123" s="1"/>
      <c r="AP123" s="194">
        <v>1</v>
      </c>
      <c r="AT123" s="1"/>
      <c r="AW123" s="692"/>
      <c r="AX123" s="693"/>
      <c r="BC123" s="194"/>
      <c r="BF123" s="1"/>
      <c r="BI123" s="692"/>
      <c r="BJ123" s="693"/>
      <c r="BP123" s="194"/>
      <c r="BT123" s="1"/>
      <c r="BW123" s="692"/>
      <c r="CI123" s="635"/>
      <c r="CJ123" s="635"/>
      <c r="CK123" s="625"/>
      <c r="CL123" s="625"/>
      <c r="CM123" s="625"/>
      <c r="CN123" s="2"/>
      <c r="CO123" s="2"/>
      <c r="CP123" s="9"/>
    </row>
    <row r="124" spans="1:94" x14ac:dyDescent="0.2">
      <c r="N124" s="688"/>
      <c r="O124" s="1"/>
      <c r="P124" s="1"/>
      <c r="AC124" s="688">
        <f t="shared" ca="1" si="135"/>
        <v>107</v>
      </c>
      <c r="AG124" s="1"/>
      <c r="AI124" s="635"/>
      <c r="AJ124" s="691"/>
      <c r="AK124" s="643"/>
      <c r="AL124" s="643"/>
      <c r="AM124" s="643"/>
      <c r="AN124" s="643"/>
      <c r="AO124" s="643"/>
      <c r="AP124" s="690"/>
      <c r="AQ124" s="643"/>
      <c r="AR124" s="643"/>
      <c r="AS124" s="643"/>
      <c r="AT124" s="643"/>
      <c r="AU124" s="643"/>
      <c r="AV124" s="643"/>
      <c r="AW124" s="689"/>
      <c r="AX124" s="691"/>
      <c r="AY124" s="643"/>
      <c r="AZ124" s="643"/>
      <c r="BA124" s="643"/>
      <c r="BB124" s="643"/>
      <c r="BC124" s="690"/>
      <c r="BD124" s="643"/>
      <c r="BE124" s="643"/>
      <c r="BF124" s="643"/>
      <c r="BG124" s="643"/>
      <c r="BH124" s="643"/>
      <c r="BI124" s="689"/>
      <c r="BJ124" s="691"/>
      <c r="BK124" s="643"/>
      <c r="BL124" s="643"/>
      <c r="BM124" s="643"/>
      <c r="BN124" s="643"/>
      <c r="BO124" s="643"/>
      <c r="BP124" s="690"/>
      <c r="BQ124" s="643"/>
      <c r="BR124" s="643"/>
      <c r="BS124" s="643"/>
      <c r="BT124" s="643"/>
      <c r="BU124" s="643"/>
      <c r="BV124" s="643"/>
      <c r="BW124" s="689"/>
      <c r="CI124" s="635"/>
      <c r="CJ124" s="635"/>
      <c r="CM124" s="1"/>
      <c r="CN124" s="1"/>
    </row>
    <row r="125" spans="1:94" x14ac:dyDescent="0.2">
      <c r="N125" s="688"/>
      <c r="O125" s="1"/>
      <c r="P125" s="1"/>
      <c r="AD125" s="635"/>
      <c r="AG125" s="1"/>
      <c r="AJ125" s="635"/>
      <c r="AM125" s="1"/>
      <c r="AQ125" s="635"/>
      <c r="AT125" s="1"/>
      <c r="BD125" s="635"/>
      <c r="BF125" s="1"/>
      <c r="BQ125" s="635"/>
      <c r="BT125" s="1"/>
      <c r="CJ125" s="635"/>
      <c r="CK125" s="635"/>
      <c r="CM125" s="1"/>
      <c r="CN125" s="1"/>
    </row>
  </sheetData>
  <mergeCells count="1">
    <mergeCell ref="B1:D1"/>
  </mergeCells>
  <conditionalFormatting sqref="AB18:AB107 AB109 AB111 AB113:AB115 AB118:AB123">
    <cfRule type="cellIs" dxfId="1" priority="1" operator="notEqual">
      <formula>$AB$13</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6D63-F719-4D04-BB3A-9AB4F03B976E}">
  <sheetPr codeName="Sheet5">
    <tabColor theme="4"/>
  </sheetPr>
  <dimension ref="A1:I121"/>
  <sheetViews>
    <sheetView topLeftCell="A29" workbookViewId="0">
      <selection activeCell="A17" sqref="A17"/>
    </sheetView>
  </sheetViews>
  <sheetFormatPr defaultColWidth="9.140625" defaultRowHeight="11.25" x14ac:dyDescent="0.2"/>
  <cols>
    <col min="1" max="1" width="12.42578125" style="682" customWidth="1"/>
    <col min="2" max="2" width="14.42578125" style="682" customWidth="1"/>
    <col min="3" max="3" width="45.42578125" style="682" customWidth="1"/>
    <col min="4" max="4" width="10.140625" style="682" customWidth="1"/>
    <col min="5" max="5" width="28.5703125" style="682" customWidth="1"/>
    <col min="6" max="16384" width="9.140625" style="682"/>
  </cols>
  <sheetData>
    <row r="1" spans="1:8" x14ac:dyDescent="0.2">
      <c r="A1" s="685"/>
    </row>
    <row r="3" spans="1:8" ht="18.75" customHeight="1" x14ac:dyDescent="0.2"/>
    <row r="6" spans="1:8" ht="15" x14ac:dyDescent="0.25">
      <c r="B6" s="687" t="s">
        <v>1129</v>
      </c>
    </row>
    <row r="7" spans="1:8" ht="15" x14ac:dyDescent="0.25">
      <c r="B7" s="686" t="s">
        <v>1037</v>
      </c>
      <c r="C7" s="686" t="s">
        <v>1038</v>
      </c>
      <c r="D7" s="686" t="s">
        <v>1128</v>
      </c>
      <c r="E7" s="686" t="s">
        <v>1127</v>
      </c>
      <c r="F7" s="686" t="s">
        <v>1126</v>
      </c>
      <c r="G7" s="686" t="s">
        <v>1125</v>
      </c>
      <c r="H7" s="686" t="s">
        <v>1172</v>
      </c>
    </row>
    <row r="8" spans="1:8" x14ac:dyDescent="0.2">
      <c r="A8" s="682" t="s">
        <v>1124</v>
      </c>
      <c r="B8" s="685" t="s">
        <v>1123</v>
      </c>
      <c r="C8" s="685"/>
      <c r="D8" s="685"/>
      <c r="E8" s="685"/>
      <c r="F8" s="685"/>
    </row>
    <row r="9" spans="1:8" x14ac:dyDescent="0.2">
      <c r="A9" s="682" t="str">
        <f>IF(LEFT(NT_TRP!A18,2)="\I","*","")</f>
        <v/>
      </c>
      <c r="B9" s="682" t="str">
        <f>IF(A9="*","",NT_TRP!B18)</f>
        <v>TPPRSUVODS-N</v>
      </c>
      <c r="C9" s="682" t="s">
        <v>1206</v>
      </c>
      <c r="D9" s="684"/>
      <c r="E9" s="684"/>
      <c r="F9" s="682" t="s">
        <v>1122</v>
      </c>
      <c r="G9" s="682" t="s">
        <v>1121</v>
      </c>
      <c r="H9" s="682" t="s">
        <v>1173</v>
      </c>
    </row>
    <row r="10" spans="1:8" x14ac:dyDescent="0.2">
      <c r="A10" s="682" t="str">
        <f>IF(LEFT(NT_TRP!A19,2)="\I","*","")</f>
        <v/>
      </c>
      <c r="B10" s="682" t="str">
        <f>IF(A10="*","",NT_TRP!B19)</f>
        <v>TPPRSUVOGS-N</v>
      </c>
      <c r="C10" s="682" t="s">
        <v>1207</v>
      </c>
      <c r="D10" s="684"/>
      <c r="E10" s="684"/>
      <c r="F10" s="682" t="s">
        <v>1122</v>
      </c>
      <c r="G10" s="682" t="s">
        <v>1121</v>
      </c>
      <c r="H10" s="682" t="s">
        <v>1173</v>
      </c>
    </row>
    <row r="11" spans="1:8" x14ac:dyDescent="0.2">
      <c r="A11" s="682" t="str">
        <f>IF(LEFT(NT_TRP!A20,2)="\I","*","")</f>
        <v/>
      </c>
      <c r="B11" s="682" t="str">
        <f>IF(A11="*","",NT_TRP!B20)</f>
        <v>TPPRSUVODSH-N</v>
      </c>
      <c r="C11" s="682" t="s">
        <v>1208</v>
      </c>
      <c r="D11" s="684"/>
      <c r="E11" s="684"/>
      <c r="F11" s="682" t="s">
        <v>1122</v>
      </c>
      <c r="G11" s="682" t="s">
        <v>1121</v>
      </c>
      <c r="H11" s="682" t="s">
        <v>1173</v>
      </c>
    </row>
    <row r="12" spans="1:8" x14ac:dyDescent="0.2">
      <c r="A12" s="682" t="str">
        <f>IF(LEFT(NT_TRP!A21,2)="\I","*","")</f>
        <v/>
      </c>
      <c r="B12" s="682" t="str">
        <f>IF(A12="*","",NT_TRP!B21)</f>
        <v>TPPRSUVOGSH-N</v>
      </c>
      <c r="C12" s="682" t="s">
        <v>1209</v>
      </c>
      <c r="D12" s="684"/>
      <c r="E12" s="684"/>
      <c r="F12" s="682" t="s">
        <v>1122</v>
      </c>
      <c r="G12" s="682" t="s">
        <v>1121</v>
      </c>
      <c r="H12" s="682" t="s">
        <v>1173</v>
      </c>
    </row>
    <row r="13" spans="1:8" x14ac:dyDescent="0.2">
      <c r="A13" s="682" t="str">
        <f>IF(LEFT(NT_TRP!A22,2)="\I","*","")</f>
        <v/>
      </c>
      <c r="B13" s="682" t="str">
        <f>IF(A13="*","",NT_TRP!B22)</f>
        <v>TPPRSUVGAS-N</v>
      </c>
      <c r="C13" s="682" t="s">
        <v>1210</v>
      </c>
      <c r="D13" s="684"/>
      <c r="E13" s="684"/>
      <c r="F13" s="682" t="s">
        <v>1122</v>
      </c>
      <c r="G13" s="682" t="s">
        <v>1121</v>
      </c>
      <c r="H13" s="682" t="s">
        <v>1173</v>
      </c>
    </row>
    <row r="14" spans="1:8" x14ac:dyDescent="0.2">
      <c r="A14" s="682" t="str">
        <f>IF(LEFT(NT_TRP!A23,2)="\I","*","")</f>
        <v/>
      </c>
      <c r="B14" s="682" t="str">
        <f>IF(A14="*","",NT_TRP!B23)</f>
        <v>TPPRSUVHGNF-N</v>
      </c>
      <c r="C14" s="682" t="s">
        <v>1211</v>
      </c>
      <c r="D14" s="684"/>
      <c r="E14" s="684"/>
      <c r="F14" s="682" t="s">
        <v>1122</v>
      </c>
      <c r="G14" s="682" t="s">
        <v>1121</v>
      </c>
      <c r="H14" s="682" t="s">
        <v>1173</v>
      </c>
    </row>
    <row r="15" spans="1:8" x14ac:dyDescent="0.2">
      <c r="A15" s="682" t="str">
        <f>IF(LEFT(NT_TRP!A24,2)="\I","*","")</f>
        <v/>
      </c>
      <c r="B15" s="682" t="str">
        <f>IF(A15="*","",NT_TRP!B24)</f>
        <v>TPPRSUVBGS-N</v>
      </c>
      <c r="C15" s="682" t="s">
        <v>1212</v>
      </c>
      <c r="D15" s="684"/>
      <c r="E15" s="684"/>
      <c r="F15" s="682" t="s">
        <v>1122</v>
      </c>
      <c r="G15" s="682" t="s">
        <v>1121</v>
      </c>
      <c r="H15" s="682" t="s">
        <v>1173</v>
      </c>
    </row>
    <row r="16" spans="1:8" x14ac:dyDescent="0.2">
      <c r="A16" s="682" t="str">
        <f>IF(LEFT(NT_TRP!A25,2)="\I","*","")</f>
        <v/>
      </c>
      <c r="B16" s="682" t="str">
        <f>IF(A16="*","",NT_TRP!B25)</f>
        <v>TPPRSUVELC-N</v>
      </c>
      <c r="C16" s="682" t="s">
        <v>1213</v>
      </c>
      <c r="D16" s="684"/>
      <c r="E16" s="684"/>
      <c r="F16" s="682" t="s">
        <v>1122</v>
      </c>
      <c r="G16" s="682" t="s">
        <v>1121</v>
      </c>
      <c r="H16" s="682" t="s">
        <v>1173</v>
      </c>
    </row>
    <row r="17" spans="1:8" x14ac:dyDescent="0.2">
      <c r="A17" s="682" t="str">
        <f>IF(LEFT(NT_TRP!A26,2)="\I","*","")</f>
        <v/>
      </c>
      <c r="C17" s="682" t="s">
        <v>815</v>
      </c>
      <c r="D17" s="684"/>
      <c r="E17" s="684"/>
    </row>
    <row r="18" spans="1:8" x14ac:dyDescent="0.2">
      <c r="A18" s="682" t="str">
        <f>IF(LEFT(NT_TRP!A27,2)="\I","*","")</f>
        <v/>
      </c>
      <c r="B18" s="682" t="str">
        <f>IF(A18="*","",NT_TRP!B27)</f>
        <v>TPPRCARODS-N</v>
      </c>
      <c r="C18" s="682" t="s">
        <v>1214</v>
      </c>
      <c r="D18" s="684"/>
      <c r="E18" s="684"/>
      <c r="F18" s="682" t="s">
        <v>1122</v>
      </c>
      <c r="G18" s="682" t="s">
        <v>1121</v>
      </c>
      <c r="H18" s="682" t="s">
        <v>1173</v>
      </c>
    </row>
    <row r="19" spans="1:8" x14ac:dyDescent="0.2">
      <c r="A19" s="682" t="str">
        <f>IF(LEFT(NT_TRP!A28,2)="\I","*","")</f>
        <v/>
      </c>
      <c r="B19" s="682" t="str">
        <f>IF(A19="*","",NT_TRP!B28)</f>
        <v>TPPRCAROGS-N</v>
      </c>
      <c r="C19" s="682" t="s">
        <v>1215</v>
      </c>
      <c r="D19" s="684"/>
      <c r="E19" s="684"/>
      <c r="F19" s="682" t="s">
        <v>1122</v>
      </c>
      <c r="G19" s="682" t="s">
        <v>1121</v>
      </c>
      <c r="H19" s="682" t="s">
        <v>1173</v>
      </c>
    </row>
    <row r="20" spans="1:8" x14ac:dyDescent="0.2">
      <c r="A20" s="682" t="str">
        <f>IF(LEFT(NT_TRP!A29,2)="\I","*","")</f>
        <v/>
      </c>
      <c r="B20" s="682" t="str">
        <f>IF(A20="*","",NT_TRP!B29)</f>
        <v>TPPRCARODSH-N</v>
      </c>
      <c r="C20" s="682" t="s">
        <v>1216</v>
      </c>
      <c r="D20" s="684"/>
      <c r="E20" s="684"/>
      <c r="F20" s="682" t="s">
        <v>1122</v>
      </c>
      <c r="G20" s="682" t="s">
        <v>1121</v>
      </c>
      <c r="H20" s="682" t="s">
        <v>1173</v>
      </c>
    </row>
    <row r="21" spans="1:8" x14ac:dyDescent="0.2">
      <c r="A21" s="682" t="str">
        <f>IF(LEFT(NT_TRP!A30,2)="\I","*","")</f>
        <v/>
      </c>
      <c r="B21" s="682" t="str">
        <f>IF(A21="*","",NT_TRP!B30)</f>
        <v>TPPRCAROGSH-N</v>
      </c>
      <c r="C21" s="682" t="s">
        <v>1217</v>
      </c>
      <c r="D21" s="684"/>
      <c r="E21" s="684"/>
      <c r="F21" s="682" t="s">
        <v>1122</v>
      </c>
      <c r="G21" s="682" t="s">
        <v>1121</v>
      </c>
      <c r="H21" s="682" t="s">
        <v>1173</v>
      </c>
    </row>
    <row r="22" spans="1:8" x14ac:dyDescent="0.2">
      <c r="A22" s="682" t="str">
        <f>IF(LEFT(NT_TRP!A31,2)="\I","*","")</f>
        <v/>
      </c>
      <c r="B22" s="682" t="str">
        <f>IF(A22="*","",NT_TRP!B31)</f>
        <v>TPPRCARELC-N</v>
      </c>
      <c r="C22" s="682" t="s">
        <v>1218</v>
      </c>
      <c r="D22" s="684"/>
      <c r="E22" s="684"/>
      <c r="F22" s="682" t="s">
        <v>1122</v>
      </c>
      <c r="G22" s="682" t="s">
        <v>1121</v>
      </c>
      <c r="H22" s="682" t="s">
        <v>1173</v>
      </c>
    </row>
    <row r="23" spans="1:8" x14ac:dyDescent="0.2">
      <c r="A23" s="682" t="str">
        <f>IF(LEFT(NT_TRP!A32,2)="\I","*","")</f>
        <v/>
      </c>
      <c r="B23" s="682" t="str">
        <f>IF(A23="*","",NT_TRP!B32)</f>
        <v>TPPRCARGAS-N</v>
      </c>
      <c r="C23" s="682" t="s">
        <v>1219</v>
      </c>
      <c r="D23" s="684"/>
      <c r="E23" s="684"/>
      <c r="F23" s="682" t="s">
        <v>1122</v>
      </c>
      <c r="G23" s="682" t="s">
        <v>1121</v>
      </c>
      <c r="H23" s="682" t="s">
        <v>1173</v>
      </c>
    </row>
    <row r="24" spans="1:8" x14ac:dyDescent="0.2">
      <c r="A24" s="682" t="str">
        <f>IF(LEFT(NT_TRP!A33,2)="\I","*","")</f>
        <v/>
      </c>
      <c r="B24" s="682" t="str">
        <f>IF(A24="*","",NT_TRP!B33)</f>
        <v>TPPRCARHGNF-N</v>
      </c>
      <c r="C24" s="682" t="s">
        <v>1220</v>
      </c>
      <c r="D24" s="684"/>
      <c r="E24" s="684"/>
      <c r="F24" s="682" t="s">
        <v>1122</v>
      </c>
      <c r="G24" s="682" t="s">
        <v>1121</v>
      </c>
      <c r="H24" s="682" t="s">
        <v>1173</v>
      </c>
    </row>
    <row r="25" spans="1:8" x14ac:dyDescent="0.2">
      <c r="A25" s="682" t="str">
        <f>IF(LEFT(NT_TRP!A34,2)="\I","*","")</f>
        <v/>
      </c>
      <c r="B25" s="682" t="str">
        <f>IF(A25="*","",NT_TRP!B34)</f>
        <v>TPPRCARBGS-N</v>
      </c>
      <c r="C25" s="682" t="s">
        <v>1221</v>
      </c>
      <c r="D25" s="684"/>
      <c r="E25" s="684"/>
      <c r="F25" s="682" t="s">
        <v>1122</v>
      </c>
      <c r="G25" s="682" t="s">
        <v>1121</v>
      </c>
      <c r="H25" s="682" t="s">
        <v>1173</v>
      </c>
    </row>
    <row r="26" spans="1:8" x14ac:dyDescent="0.2">
      <c r="A26" s="682" t="str">
        <f>IF(LEFT(NT_TRP!A35,2)="\I","*","")</f>
        <v/>
      </c>
      <c r="C26" s="682" t="s">
        <v>815</v>
      </c>
      <c r="D26" s="684"/>
      <c r="E26" s="684"/>
    </row>
    <row r="27" spans="1:8" x14ac:dyDescent="0.2">
      <c r="A27" s="682" t="str">
        <f>IF(LEFT(NT_TRP!A36,2)="\I","*","")</f>
        <v/>
      </c>
      <c r="B27" s="682" t="str">
        <f>IF(A27="*","",NT_TRP!B36)</f>
        <v>TPPRMOTOGS-N</v>
      </c>
      <c r="C27" s="682" t="s">
        <v>1222</v>
      </c>
      <c r="D27" s="684"/>
      <c r="E27" s="684"/>
      <c r="F27" s="682" t="s">
        <v>1122</v>
      </c>
      <c r="G27" s="682" t="s">
        <v>1121</v>
      </c>
      <c r="H27" s="682" t="s">
        <v>1173</v>
      </c>
    </row>
    <row r="28" spans="1:8" x14ac:dyDescent="0.2">
      <c r="A28" s="682" t="str">
        <f>IF(LEFT(NT_TRP!A37,2)="\I","*","")</f>
        <v/>
      </c>
      <c r="B28" s="682" t="str">
        <f>IF(A28="*","",NT_TRP!B37)</f>
        <v>TPPRMOTELC-N</v>
      </c>
      <c r="C28" s="682" t="s">
        <v>1223</v>
      </c>
      <c r="D28" s="684"/>
      <c r="E28" s="684"/>
      <c r="F28" s="682" t="s">
        <v>1122</v>
      </c>
      <c r="G28" s="682" t="s">
        <v>1121</v>
      </c>
      <c r="H28" s="682" t="s">
        <v>1173</v>
      </c>
    </row>
    <row r="29" spans="1:8" x14ac:dyDescent="0.2">
      <c r="A29" s="682" t="str">
        <f>IF(LEFT(NT_TRP!A38,2)="\I","*","")</f>
        <v/>
      </c>
      <c r="C29" s="682" t="s">
        <v>815</v>
      </c>
      <c r="D29" s="684"/>
      <c r="E29" s="684"/>
      <c r="F29" s="682" t="s">
        <v>1122</v>
      </c>
      <c r="G29" s="682" t="s">
        <v>1121</v>
      </c>
      <c r="H29" s="682" t="s">
        <v>1173</v>
      </c>
    </row>
    <row r="30" spans="1:8" x14ac:dyDescent="0.2">
      <c r="A30" s="682" t="str">
        <f>IF(LEFT(NT_TRP!A39,2)="\I","*","")</f>
        <v/>
      </c>
      <c r="B30" s="682" t="str">
        <f>IF(A30="*","",NT_TRP!B39)</f>
        <v>TPPUBUSODS-N</v>
      </c>
      <c r="C30" s="682" t="s">
        <v>1224</v>
      </c>
      <c r="D30" s="684"/>
      <c r="E30" s="684"/>
      <c r="F30" s="682" t="s">
        <v>1122</v>
      </c>
      <c r="G30" s="682" t="s">
        <v>1121</v>
      </c>
      <c r="H30" s="682" t="s">
        <v>1173</v>
      </c>
    </row>
    <row r="31" spans="1:8" x14ac:dyDescent="0.2">
      <c r="A31" s="682" t="str">
        <f>IF(LEFT(NT_TRP!A40,2)="\I","*","")</f>
        <v/>
      </c>
      <c r="B31" s="682" t="str">
        <f>IF(A31="*","",NT_TRP!B40)</f>
        <v>TPPUBUSGAS-N</v>
      </c>
      <c r="C31" s="682" t="s">
        <v>1225</v>
      </c>
      <c r="D31" s="684"/>
      <c r="E31" s="684"/>
      <c r="F31" s="682" t="s">
        <v>1122</v>
      </c>
      <c r="G31" s="682" t="s">
        <v>1121</v>
      </c>
      <c r="H31" s="682" t="s">
        <v>1173</v>
      </c>
    </row>
    <row r="32" spans="1:8" x14ac:dyDescent="0.2">
      <c r="A32" s="682" t="str">
        <f>IF(LEFT(NT_TRP!A41,2)="\I","*","")</f>
        <v/>
      </c>
      <c r="B32" s="682" t="str">
        <f>IF(A32="*","",NT_TRP!B41)</f>
        <v>TPPUBUSHGNF-N</v>
      </c>
      <c r="C32" s="682" t="s">
        <v>1226</v>
      </c>
      <c r="D32" s="684"/>
      <c r="E32" s="684"/>
      <c r="F32" s="682" t="s">
        <v>1122</v>
      </c>
      <c r="G32" s="682" t="s">
        <v>1121</v>
      </c>
      <c r="H32" s="682" t="s">
        <v>1173</v>
      </c>
    </row>
    <row r="33" spans="1:8" x14ac:dyDescent="0.2">
      <c r="A33" s="682" t="str">
        <f>IF(LEFT(NT_TRP!A42,2)="\I","*","")</f>
        <v/>
      </c>
      <c r="B33" s="682" t="str">
        <f>IF(A33="*","",NT_TRP!B42)</f>
        <v>TPPUBUSBGS-N</v>
      </c>
      <c r="C33" s="682" t="s">
        <v>1227</v>
      </c>
      <c r="D33" s="684"/>
      <c r="E33" s="684"/>
      <c r="F33" s="682" t="s">
        <v>1122</v>
      </c>
      <c r="G33" s="682" t="s">
        <v>1121</v>
      </c>
      <c r="H33" s="682" t="s">
        <v>1173</v>
      </c>
    </row>
    <row r="34" spans="1:8" x14ac:dyDescent="0.2">
      <c r="A34" s="682" t="str">
        <f>IF(LEFT(NT_TRP!A43,2)="\I","*","")</f>
        <v/>
      </c>
      <c r="B34" s="682" t="str">
        <f>IF(A34="*","",NT_TRP!B43)</f>
        <v>TPPUBUSELC-N</v>
      </c>
      <c r="C34" s="682" t="s">
        <v>1228</v>
      </c>
      <c r="D34" s="684"/>
      <c r="E34" s="684"/>
      <c r="F34" s="682" t="s">
        <v>1122</v>
      </c>
      <c r="G34" s="682" t="s">
        <v>1121</v>
      </c>
      <c r="H34" s="682" t="s">
        <v>1173</v>
      </c>
    </row>
    <row r="35" spans="1:8" x14ac:dyDescent="0.2">
      <c r="A35" s="682" t="str">
        <f>IF(LEFT(NT_TRP!A44,2)="\I","*","")</f>
        <v/>
      </c>
      <c r="C35" s="682" t="s">
        <v>815</v>
      </c>
      <c r="D35" s="684"/>
      <c r="E35" s="684"/>
    </row>
    <row r="36" spans="1:8" x14ac:dyDescent="0.2">
      <c r="A36" s="682" t="str">
        <f>IF(LEFT(NT_TRP!A45,2)="\I","*","")</f>
        <v/>
      </c>
      <c r="B36" s="682" t="str">
        <f>IF(A36="*","",NT_TRP!B45)</f>
        <v>TPPUMBTODS-N</v>
      </c>
      <c r="C36" s="682" t="s">
        <v>1229</v>
      </c>
      <c r="D36" s="684"/>
      <c r="E36" s="684"/>
      <c r="F36" s="682" t="s">
        <v>1122</v>
      </c>
      <c r="G36" s="682" t="s">
        <v>1121</v>
      </c>
      <c r="H36" s="682" t="s">
        <v>1173</v>
      </c>
    </row>
    <row r="37" spans="1:8" x14ac:dyDescent="0.2">
      <c r="A37" s="682" t="str">
        <f>IF(LEFT(NT_TRP!A46,2)="\I","*","")</f>
        <v/>
      </c>
      <c r="B37" s="682" t="str">
        <f>IF(A37="*","",NT_TRP!B46)</f>
        <v>TPPUMBTOGS-N</v>
      </c>
      <c r="C37" s="682" t="s">
        <v>1230</v>
      </c>
      <c r="D37" s="684"/>
      <c r="E37" s="684"/>
      <c r="F37" s="682" t="s">
        <v>1122</v>
      </c>
      <c r="G37" s="682" t="s">
        <v>1121</v>
      </c>
      <c r="H37" s="682" t="s">
        <v>1173</v>
      </c>
    </row>
    <row r="38" spans="1:8" x14ac:dyDescent="0.2">
      <c r="A38" s="682" t="str">
        <f>IF(LEFT(NT_TRP!A47,2)="\I","*","")</f>
        <v/>
      </c>
      <c r="B38" s="682" t="str">
        <f>IF(A38="*","",NT_TRP!B47)</f>
        <v>TPPUMBTODSH-N</v>
      </c>
      <c r="C38" s="682" t="s">
        <v>1231</v>
      </c>
      <c r="D38" s="684"/>
      <c r="E38" s="684"/>
      <c r="F38" s="682" t="s">
        <v>1122</v>
      </c>
      <c r="G38" s="682" t="s">
        <v>1121</v>
      </c>
      <c r="H38" s="682" t="s">
        <v>1173</v>
      </c>
    </row>
    <row r="39" spans="1:8" x14ac:dyDescent="0.2">
      <c r="A39" s="682" t="str">
        <f>IF(LEFT(NT_TRP!A48,2)="\I","*","")</f>
        <v/>
      </c>
      <c r="B39" s="682" t="str">
        <f>IF(A39="*","",NT_TRP!B48)</f>
        <v>TPPUMBTGAS-N</v>
      </c>
      <c r="C39" s="682" t="s">
        <v>1232</v>
      </c>
      <c r="D39" s="684"/>
      <c r="E39" s="684"/>
      <c r="F39" s="682" t="s">
        <v>1122</v>
      </c>
      <c r="G39" s="682" t="s">
        <v>1121</v>
      </c>
      <c r="H39" s="682" t="s">
        <v>1173</v>
      </c>
    </row>
    <row r="40" spans="1:8" x14ac:dyDescent="0.2">
      <c r="A40" s="682" t="str">
        <f>IF(LEFT(NT_TRP!A49,2)="\I","*","")</f>
        <v/>
      </c>
      <c r="B40" s="682" t="str">
        <f>IF(A40="*","",NT_TRP!B49)</f>
        <v>TPPUMBTHGNF-N</v>
      </c>
      <c r="C40" s="682" t="s">
        <v>1233</v>
      </c>
      <c r="D40" s="684"/>
      <c r="E40" s="684"/>
      <c r="F40" s="682" t="s">
        <v>1122</v>
      </c>
      <c r="G40" s="682" t="s">
        <v>1121</v>
      </c>
      <c r="H40" s="682" t="s">
        <v>1173</v>
      </c>
    </row>
    <row r="41" spans="1:8" x14ac:dyDescent="0.2">
      <c r="A41" s="682" t="str">
        <f>IF(LEFT(NT_TRP!A50,2)="\I","*","")</f>
        <v/>
      </c>
      <c r="B41" s="682" t="str">
        <f>IF(A41="*","",NT_TRP!B50)</f>
        <v>TPPUMBTBGS-N</v>
      </c>
      <c r="C41" s="682" t="s">
        <v>1234</v>
      </c>
      <c r="D41" s="684"/>
      <c r="E41" s="684"/>
      <c r="F41" s="682" t="s">
        <v>1122</v>
      </c>
      <c r="G41" s="682" t="s">
        <v>1121</v>
      </c>
      <c r="H41" s="682" t="s">
        <v>1173</v>
      </c>
    </row>
    <row r="42" spans="1:8" x14ac:dyDescent="0.2">
      <c r="A42" s="682" t="str">
        <f>IF(LEFT(NT_TRP!A51,2)="\I","*","")</f>
        <v/>
      </c>
      <c r="B42" s="682" t="str">
        <f>IF(A42="*","",NT_TRP!B51)</f>
        <v>TPPUMBTELC-N</v>
      </c>
      <c r="C42" s="682" t="s">
        <v>1235</v>
      </c>
      <c r="D42" s="684"/>
      <c r="E42" s="684"/>
      <c r="F42" s="682" t="s">
        <v>1122</v>
      </c>
      <c r="G42" s="682" t="s">
        <v>1121</v>
      </c>
      <c r="H42" s="682" t="s">
        <v>1173</v>
      </c>
    </row>
    <row r="43" spans="1:8" x14ac:dyDescent="0.2">
      <c r="A43" s="682" t="str">
        <f>IF(LEFT(NT_TRP!A52,2)="\I","*","")</f>
        <v/>
      </c>
      <c r="C43" s="682" t="s">
        <v>815</v>
      </c>
      <c r="D43" s="684"/>
      <c r="E43" s="684"/>
    </row>
    <row r="44" spans="1:8" x14ac:dyDescent="0.2">
      <c r="A44" s="682" t="str">
        <f>IF(LEFT(NT_TRP!A53,2)="\I","*","")</f>
        <v/>
      </c>
      <c r="B44" s="682" t="str">
        <f>IF(A44="*","",NT_TRP!B53)</f>
        <v>TPPUBRTODS-N</v>
      </c>
      <c r="C44" s="682" t="s">
        <v>1236</v>
      </c>
      <c r="D44" s="684"/>
      <c r="E44" s="684"/>
      <c r="F44" s="682" t="s">
        <v>1122</v>
      </c>
      <c r="G44" s="682" t="s">
        <v>1121</v>
      </c>
      <c r="H44" s="682" t="s">
        <v>1173</v>
      </c>
    </row>
    <row r="45" spans="1:8" x14ac:dyDescent="0.2">
      <c r="A45" s="682" t="str">
        <f>IF(LEFT(NT_TRP!A54,2)="\I","*","")</f>
        <v/>
      </c>
      <c r="B45" s="682" t="str">
        <f>IF(A45="*","",NT_TRP!B54)</f>
        <v>TPPUBRTGAS-N</v>
      </c>
      <c r="C45" s="682" t="s">
        <v>1237</v>
      </c>
      <c r="D45" s="684"/>
      <c r="E45" s="684"/>
      <c r="F45" s="682" t="s">
        <v>1122</v>
      </c>
      <c r="G45" s="682" t="s">
        <v>1121</v>
      </c>
      <c r="H45" s="682" t="s">
        <v>1173</v>
      </c>
    </row>
    <row r="46" spans="1:8" x14ac:dyDescent="0.2">
      <c r="A46" s="682" t="str">
        <f>IF(LEFT(NT_TRP!A55,2)="\I","*","")</f>
        <v/>
      </c>
      <c r="B46" s="682" t="str">
        <f>IF(A46="*","",NT_TRP!B55)</f>
        <v>TPPUBRTELC-N</v>
      </c>
      <c r="C46" s="682" t="s">
        <v>1238</v>
      </c>
      <c r="D46" s="684"/>
      <c r="E46" s="684"/>
      <c r="F46" s="682" t="s">
        <v>1122</v>
      </c>
      <c r="G46" s="682" t="s">
        <v>1121</v>
      </c>
      <c r="H46" s="682" t="s">
        <v>1173</v>
      </c>
    </row>
    <row r="47" spans="1:8" x14ac:dyDescent="0.2">
      <c r="A47" s="682" t="str">
        <f>IF(LEFT(NT_TRP!A56,2)="\I","*","")</f>
        <v/>
      </c>
      <c r="B47" s="682" t="str">
        <f>IF(A47="*","",NT_TRP!B56)</f>
        <v>TPPUBRTHGNF-N</v>
      </c>
      <c r="C47" s="682" t="s">
        <v>1239</v>
      </c>
      <c r="D47" s="684"/>
      <c r="E47" s="684"/>
      <c r="F47" s="682" t="s">
        <v>1122</v>
      </c>
      <c r="G47" s="682" t="s">
        <v>1121</v>
      </c>
      <c r="H47" s="682" t="s">
        <v>1173</v>
      </c>
    </row>
    <row r="48" spans="1:8" x14ac:dyDescent="0.2">
      <c r="A48" s="682" t="str">
        <f>IF(LEFT(NT_TRP!A57,2)="\I","*","")</f>
        <v/>
      </c>
      <c r="B48" s="682" t="str">
        <f>IF(A48="*","",NT_TRP!B57)</f>
        <v>TPPUBRTBGS-N</v>
      </c>
      <c r="C48" s="682" t="s">
        <v>1240</v>
      </c>
      <c r="D48" s="684"/>
      <c r="E48" s="684"/>
      <c r="F48" s="682" t="s">
        <v>1122</v>
      </c>
      <c r="G48" s="682" t="s">
        <v>1121</v>
      </c>
      <c r="H48" s="682" t="s">
        <v>1173</v>
      </c>
    </row>
    <row r="49" spans="1:8" x14ac:dyDescent="0.2">
      <c r="A49" s="682" t="str">
        <f>IF(LEFT(NT_TRP!A58,2)="\I","*","")</f>
        <v/>
      </c>
      <c r="C49" s="682" t="s">
        <v>815</v>
      </c>
      <c r="D49" s="684"/>
      <c r="E49" s="684"/>
    </row>
    <row r="50" spans="1:8" x14ac:dyDescent="0.2">
      <c r="A50" s="682" t="str">
        <f>IF(LEFT(NT_TRP!A59,2)="\I","*","")</f>
        <v/>
      </c>
      <c r="B50" s="682" t="str">
        <f>IF(A50="*","",NT_TRP!B59)</f>
        <v>TPPUMERELC-N</v>
      </c>
      <c r="C50" s="682" t="s">
        <v>1241</v>
      </c>
      <c r="D50" s="684" t="s">
        <v>1185</v>
      </c>
      <c r="E50" s="684" t="s">
        <v>1186</v>
      </c>
      <c r="F50" s="682" t="s">
        <v>1122</v>
      </c>
      <c r="G50" s="682" t="s">
        <v>1121</v>
      </c>
    </row>
    <row r="51" spans="1:8" x14ac:dyDescent="0.2">
      <c r="A51" s="682" t="str">
        <f>IF(LEFT(NT_TRP!A60,2)="\I","*","")</f>
        <v/>
      </c>
      <c r="C51" s="682" t="s">
        <v>815</v>
      </c>
      <c r="D51" s="684"/>
      <c r="E51" s="684"/>
    </row>
    <row r="52" spans="1:8" x14ac:dyDescent="0.2">
      <c r="A52" s="682" t="str">
        <f>IF(LEFT(NT_TRP!A61,2)="\I","*","")</f>
        <v/>
      </c>
      <c r="B52" s="682" t="str">
        <f>IF(A52="*","",NT_TRP!B61)</f>
        <v>TPPUGATELC-N</v>
      </c>
      <c r="C52" s="682" t="s">
        <v>1242</v>
      </c>
      <c r="D52" s="684" t="s">
        <v>1185</v>
      </c>
      <c r="E52" s="684" t="s">
        <v>1186</v>
      </c>
      <c r="F52" s="682" t="s">
        <v>1122</v>
      </c>
      <c r="G52" s="682" t="s">
        <v>1121</v>
      </c>
    </row>
    <row r="53" spans="1:8" x14ac:dyDescent="0.2">
      <c r="A53" s="682" t="str">
        <f>IF(LEFT(NT_TRP!A62,2)="\I","*","")</f>
        <v/>
      </c>
      <c r="C53" s="682" t="s">
        <v>815</v>
      </c>
      <c r="D53" s="684"/>
      <c r="E53" s="684"/>
    </row>
    <row r="54" spans="1:8" x14ac:dyDescent="0.2">
      <c r="A54" s="682" t="str">
        <f>IF(LEFT(NT_TRP!A63,2)="\I","*","")</f>
        <v/>
      </c>
      <c r="C54" s="682" t="s">
        <v>815</v>
      </c>
      <c r="D54" s="684"/>
      <c r="E54" s="684"/>
    </row>
    <row r="55" spans="1:8" x14ac:dyDescent="0.2">
      <c r="A55" s="682" t="str">
        <f>IF(LEFT(NT_TRP!A64,2)="\I","*","")</f>
        <v/>
      </c>
      <c r="C55" s="682" t="s">
        <v>815</v>
      </c>
      <c r="D55" s="684"/>
      <c r="E55" s="684"/>
    </row>
    <row r="56" spans="1:8" x14ac:dyDescent="0.2">
      <c r="A56" s="682" t="str">
        <f>IF(LEFT(NT_TRP!A65,2)="\I","*","")</f>
        <v/>
      </c>
      <c r="B56" s="682" t="str">
        <f>IF(A56="*","",NT_TRP!B65)</f>
        <v>TFLCVODS-N</v>
      </c>
      <c r="C56" s="682" t="s">
        <v>1243</v>
      </c>
      <c r="D56" s="684"/>
      <c r="E56" s="684"/>
      <c r="F56" s="682" t="s">
        <v>1122</v>
      </c>
      <c r="G56" s="682" t="s">
        <v>1121</v>
      </c>
      <c r="H56" s="682" t="s">
        <v>1173</v>
      </c>
    </row>
    <row r="57" spans="1:8" x14ac:dyDescent="0.2">
      <c r="A57" s="682" t="str">
        <f>IF(LEFT(NT_TRP!A66,2)="\I","*","")</f>
        <v/>
      </c>
      <c r="B57" s="682" t="str">
        <f>IF(A57="*","",NT_TRP!B66)</f>
        <v>TFLCVODSH-N</v>
      </c>
      <c r="C57" s="682" t="s">
        <v>1244</v>
      </c>
      <c r="D57" s="684"/>
      <c r="E57" s="684"/>
      <c r="F57" s="682" t="s">
        <v>1122</v>
      </c>
      <c r="G57" s="682" t="s">
        <v>1121</v>
      </c>
      <c r="H57" s="682" t="s">
        <v>1173</v>
      </c>
    </row>
    <row r="58" spans="1:8" x14ac:dyDescent="0.2">
      <c r="A58" s="682" t="str">
        <f>IF(LEFT(NT_TRP!A67,2)="\I","*","")</f>
        <v/>
      </c>
      <c r="B58" s="682" t="str">
        <f>IF(A58="*","",NT_TRP!B67)</f>
        <v>TFLCVOGS-N</v>
      </c>
      <c r="C58" s="682" t="s">
        <v>1245</v>
      </c>
      <c r="D58" s="684"/>
      <c r="E58" s="684"/>
      <c r="F58" s="682" t="s">
        <v>1122</v>
      </c>
      <c r="G58" s="682" t="s">
        <v>1121</v>
      </c>
      <c r="H58" s="682" t="s">
        <v>1173</v>
      </c>
    </row>
    <row r="59" spans="1:8" x14ac:dyDescent="0.2">
      <c r="A59" s="682" t="str">
        <f>IF(LEFT(NT_TRP!A68,2)="\I","*","")</f>
        <v/>
      </c>
      <c r="B59" s="682" t="str">
        <f>IF(A59="*","",NT_TRP!B68)</f>
        <v>TFLCVOGSH-N</v>
      </c>
      <c r="C59" s="682" t="s">
        <v>1246</v>
      </c>
      <c r="D59" s="684"/>
      <c r="E59" s="684"/>
      <c r="F59" s="682" t="s">
        <v>1122</v>
      </c>
      <c r="G59" s="682" t="s">
        <v>1121</v>
      </c>
      <c r="H59" s="682" t="s">
        <v>1173</v>
      </c>
    </row>
    <row r="60" spans="1:8" x14ac:dyDescent="0.2">
      <c r="A60" s="682" t="str">
        <f>IF(LEFT(NT_TRP!A69,2)="\I","*","")</f>
        <v/>
      </c>
      <c r="B60" s="682" t="str">
        <f>IF(A60="*","",NT_TRP!B69)</f>
        <v>TFLCVGAS-N</v>
      </c>
      <c r="C60" s="682" t="s">
        <v>1247</v>
      </c>
      <c r="D60" s="684"/>
      <c r="E60" s="684"/>
      <c r="F60" s="682" t="s">
        <v>1122</v>
      </c>
      <c r="G60" s="682" t="s">
        <v>1121</v>
      </c>
      <c r="H60" s="682" t="s">
        <v>1173</v>
      </c>
    </row>
    <row r="61" spans="1:8" x14ac:dyDescent="0.2">
      <c r="A61" s="682" t="str">
        <f>IF(LEFT(NT_TRP!A70,2)="\I","*","")</f>
        <v/>
      </c>
      <c r="B61" s="682" t="str">
        <f>IF(A61="*","",NT_TRP!B70)</f>
        <v>TFLCVELC-N</v>
      </c>
      <c r="C61" s="682" t="s">
        <v>1248</v>
      </c>
      <c r="D61" s="684"/>
      <c r="E61" s="684"/>
      <c r="F61" s="682" t="s">
        <v>1122</v>
      </c>
      <c r="G61" s="682" t="s">
        <v>1121</v>
      </c>
      <c r="H61" s="682" t="s">
        <v>1173</v>
      </c>
    </row>
    <row r="62" spans="1:8" x14ac:dyDescent="0.2">
      <c r="A62" s="682" t="str">
        <f>IF(LEFT(NT_TRP!A71,2)="\I","*","")</f>
        <v/>
      </c>
      <c r="C62" s="682" t="s">
        <v>815</v>
      </c>
      <c r="D62" s="684"/>
      <c r="E62" s="684"/>
    </row>
    <row r="63" spans="1:8" x14ac:dyDescent="0.2">
      <c r="A63" s="682" t="str">
        <f>IF(LEFT(NT_TRP!A72,2)="\I","*","")</f>
        <v/>
      </c>
      <c r="B63" s="682" t="str">
        <f>IF(A63="*","",NT_TRP!B72)</f>
        <v>TFHCV1ODS-N</v>
      </c>
      <c r="C63" s="682" t="s">
        <v>1249</v>
      </c>
      <c r="D63" s="684"/>
      <c r="E63" s="684"/>
      <c r="F63" s="682" t="s">
        <v>1122</v>
      </c>
      <c r="G63" s="682" t="s">
        <v>1121</v>
      </c>
      <c r="H63" s="682" t="s">
        <v>1173</v>
      </c>
    </row>
    <row r="64" spans="1:8" x14ac:dyDescent="0.2">
      <c r="A64" s="682" t="str">
        <f>IF(LEFT(NT_TRP!A73,2)="\I","*","")</f>
        <v/>
      </c>
      <c r="B64" s="682" t="str">
        <f>IF(A64="*","",NT_TRP!B73)</f>
        <v>TFHCV1OGS-N</v>
      </c>
      <c r="C64" s="682" t="s">
        <v>1250</v>
      </c>
      <c r="D64" s="684"/>
      <c r="E64" s="684"/>
      <c r="F64" s="682" t="s">
        <v>1122</v>
      </c>
      <c r="G64" s="682" t="s">
        <v>1121</v>
      </c>
      <c r="H64" s="682" t="s">
        <v>1173</v>
      </c>
    </row>
    <row r="65" spans="1:8" x14ac:dyDescent="0.2">
      <c r="A65" s="682" t="str">
        <f>IF(LEFT(NT_TRP!A74,2)="\I","*","")</f>
        <v/>
      </c>
      <c r="B65" s="682" t="str">
        <f>IF(A65="*","",NT_TRP!B74)</f>
        <v>TFHCV2ODS-N</v>
      </c>
      <c r="C65" s="682" t="s">
        <v>1251</v>
      </c>
      <c r="D65" s="684"/>
      <c r="E65" s="684"/>
      <c r="F65" s="682" t="s">
        <v>1122</v>
      </c>
      <c r="G65" s="682" t="s">
        <v>1121</v>
      </c>
      <c r="H65" s="682" t="s">
        <v>1173</v>
      </c>
    </row>
    <row r="66" spans="1:8" x14ac:dyDescent="0.2">
      <c r="A66" s="682" t="str">
        <f>IF(LEFT(NT_TRP!A75,2)="\I","*","")</f>
        <v/>
      </c>
      <c r="B66" s="682" t="str">
        <f>IF(A66="*","",NT_TRP!B75)</f>
        <v>TFHCV3ODS-N</v>
      </c>
      <c r="C66" s="682" t="s">
        <v>1252</v>
      </c>
      <c r="D66" s="684"/>
      <c r="E66" s="684"/>
      <c r="F66" s="682" t="s">
        <v>1122</v>
      </c>
      <c r="G66" s="682" t="s">
        <v>1121</v>
      </c>
      <c r="H66" s="682" t="s">
        <v>1173</v>
      </c>
    </row>
    <row r="67" spans="1:8" x14ac:dyDescent="0.2">
      <c r="A67" s="682" t="str">
        <f>IF(LEFT(NT_TRP!A76,2)="\I","*","")</f>
        <v/>
      </c>
      <c r="B67" s="682" t="str">
        <f>IF(A67="*","",NT_TRP!B76)</f>
        <v>TFHCV4ODS-N</v>
      </c>
      <c r="C67" s="682" t="s">
        <v>1253</v>
      </c>
      <c r="D67" s="684"/>
      <c r="E67" s="684"/>
      <c r="F67" s="682" t="s">
        <v>1122</v>
      </c>
      <c r="G67" s="682" t="s">
        <v>1121</v>
      </c>
      <c r="H67" s="682" t="s">
        <v>1173</v>
      </c>
    </row>
    <row r="68" spans="1:8" x14ac:dyDescent="0.2">
      <c r="A68" s="682" t="str">
        <f>IF(LEFT(NT_TRP!A77,2)="\I","*","")</f>
        <v/>
      </c>
      <c r="B68" s="682" t="str">
        <f>IF(A68="*","",NT_TRP!B77)</f>
        <v>TFHCV5ODS-N</v>
      </c>
      <c r="C68" s="682" t="s">
        <v>1254</v>
      </c>
      <c r="D68" s="684"/>
      <c r="E68" s="684"/>
      <c r="F68" s="682" t="s">
        <v>1122</v>
      </c>
      <c r="G68" s="682" t="s">
        <v>1121</v>
      </c>
      <c r="H68" s="682" t="s">
        <v>1173</v>
      </c>
    </row>
    <row r="69" spans="1:8" x14ac:dyDescent="0.2">
      <c r="A69" s="682" t="str">
        <f>IF(LEFT(NT_TRP!A78,2)="\I","*","")</f>
        <v/>
      </c>
      <c r="B69" s="682" t="str">
        <f>IF(A69="*","",NT_TRP!B78)</f>
        <v>TFHCV6ODS-N</v>
      </c>
      <c r="C69" s="682" t="s">
        <v>1255</v>
      </c>
      <c r="D69" s="684"/>
      <c r="E69" s="684"/>
      <c r="F69" s="682" t="s">
        <v>1122</v>
      </c>
      <c r="G69" s="682" t="s">
        <v>1121</v>
      </c>
      <c r="H69" s="682" t="s">
        <v>1173</v>
      </c>
    </row>
    <row r="70" spans="1:8" x14ac:dyDescent="0.2">
      <c r="A70" s="682" t="str">
        <f>IF(LEFT(NT_TRP!A79,2)="\I","*","")</f>
        <v/>
      </c>
      <c r="B70" s="682" t="str">
        <f>IF(A70="*","",NT_TRP!B79)</f>
        <v>TFHCV7ODS-N</v>
      </c>
      <c r="C70" s="682" t="s">
        <v>1256</v>
      </c>
      <c r="D70" s="684"/>
      <c r="E70" s="684"/>
      <c r="F70" s="682" t="s">
        <v>1122</v>
      </c>
      <c r="G70" s="682" t="s">
        <v>1121</v>
      </c>
      <c r="H70" s="682" t="s">
        <v>1173</v>
      </c>
    </row>
    <row r="71" spans="1:8" x14ac:dyDescent="0.2">
      <c r="A71" s="682" t="str">
        <f>IF(LEFT(NT_TRP!A80,2)="\I","*","")</f>
        <v/>
      </c>
      <c r="B71" s="682" t="str">
        <f>IF(A71="*","",NT_TRP!B80)</f>
        <v>TFHCV8ODS-N</v>
      </c>
      <c r="C71" s="682" t="s">
        <v>1257</v>
      </c>
      <c r="D71" s="684"/>
      <c r="E71" s="684"/>
      <c r="F71" s="682" t="s">
        <v>1122</v>
      </c>
      <c r="G71" s="682" t="s">
        <v>1121</v>
      </c>
      <c r="H71" s="682" t="s">
        <v>1173</v>
      </c>
    </row>
    <row r="72" spans="1:8" x14ac:dyDescent="0.2">
      <c r="A72" s="682" t="str">
        <f>IF(LEFT(NT_TRP!A81,2)="\I","*","")</f>
        <v/>
      </c>
      <c r="B72" s="682" t="str">
        <f>IF(A72="*","",NT_TRP!B81)</f>
        <v>TFHCV9ODS-N</v>
      </c>
      <c r="C72" s="682" t="s">
        <v>1258</v>
      </c>
      <c r="D72" s="684"/>
      <c r="E72" s="684"/>
      <c r="F72" s="682" t="s">
        <v>1122</v>
      </c>
      <c r="G72" s="682" t="s">
        <v>1121</v>
      </c>
      <c r="H72" s="682" t="s">
        <v>1173</v>
      </c>
    </row>
    <row r="73" spans="1:8" x14ac:dyDescent="0.2">
      <c r="A73" s="682" t="str">
        <f>IF(LEFT(NT_TRP!A82,2)="\I","*","")</f>
        <v/>
      </c>
      <c r="B73" s="682" t="str">
        <f>IF(A73="*","",NT_TRP!B82)</f>
        <v>TFHCV1GAS-N</v>
      </c>
      <c r="C73" s="682" t="s">
        <v>1259</v>
      </c>
      <c r="D73" s="684"/>
      <c r="E73" s="684"/>
      <c r="F73" s="682" t="s">
        <v>1122</v>
      </c>
      <c r="G73" s="682" t="s">
        <v>1121</v>
      </c>
      <c r="H73" s="682" t="s">
        <v>1173</v>
      </c>
    </row>
    <row r="74" spans="1:8" x14ac:dyDescent="0.2">
      <c r="A74" s="682" t="str">
        <f>IF(LEFT(NT_TRP!A83,2)="\I","*","")</f>
        <v/>
      </c>
      <c r="B74" s="682" t="str">
        <f>IF(A74="*","",NT_TRP!B83)</f>
        <v>TFHCV2GAS-N</v>
      </c>
      <c r="C74" s="682" t="s">
        <v>1260</v>
      </c>
      <c r="D74" s="684"/>
      <c r="E74" s="684"/>
      <c r="F74" s="682" t="s">
        <v>1122</v>
      </c>
      <c r="G74" s="682" t="s">
        <v>1121</v>
      </c>
      <c r="H74" s="682" t="s">
        <v>1173</v>
      </c>
    </row>
    <row r="75" spans="1:8" x14ac:dyDescent="0.2">
      <c r="A75" s="682" t="str">
        <f>IF(LEFT(NT_TRP!A84,2)="\I","*","")</f>
        <v/>
      </c>
      <c r="B75" s="682" t="str">
        <f>IF(A75="*","",NT_TRP!B84)</f>
        <v>TFHCV3GAS-N</v>
      </c>
      <c r="C75" s="682" t="s">
        <v>1261</v>
      </c>
      <c r="D75" s="684"/>
      <c r="E75" s="684"/>
      <c r="F75" s="682" t="s">
        <v>1122</v>
      </c>
      <c r="G75" s="682" t="s">
        <v>1121</v>
      </c>
      <c r="H75" s="682" t="s">
        <v>1173</v>
      </c>
    </row>
    <row r="76" spans="1:8" x14ac:dyDescent="0.2">
      <c r="A76" s="682" t="str">
        <f>IF(LEFT(NT_TRP!A85,2)="\I","*","")</f>
        <v/>
      </c>
      <c r="B76" s="682" t="str">
        <f>IF(A76="*","",NT_TRP!B85)</f>
        <v>TFHCV4GAS-N</v>
      </c>
      <c r="C76" s="682" t="s">
        <v>1262</v>
      </c>
      <c r="D76" s="684"/>
      <c r="E76" s="684"/>
      <c r="F76" s="682" t="s">
        <v>1122</v>
      </c>
      <c r="G76" s="682" t="s">
        <v>1121</v>
      </c>
      <c r="H76" s="682" t="s">
        <v>1173</v>
      </c>
    </row>
    <row r="77" spans="1:8" x14ac:dyDescent="0.2">
      <c r="A77" s="682" t="str">
        <f>IF(LEFT(NT_TRP!A86,2)="\I","*","")</f>
        <v/>
      </c>
      <c r="B77" s="682" t="str">
        <f>IF(A77="*","",NT_TRP!B86)</f>
        <v>TFHCV5GAS-N</v>
      </c>
      <c r="C77" s="682" t="s">
        <v>1263</v>
      </c>
      <c r="D77" s="684"/>
      <c r="E77" s="684"/>
      <c r="F77" s="682" t="s">
        <v>1122</v>
      </c>
      <c r="G77" s="682" t="s">
        <v>1121</v>
      </c>
      <c r="H77" s="682" t="s">
        <v>1173</v>
      </c>
    </row>
    <row r="78" spans="1:8" x14ac:dyDescent="0.2">
      <c r="A78" s="682" t="str">
        <f>IF(LEFT(NT_TRP!A87,2)="\I","*","")</f>
        <v/>
      </c>
      <c r="B78" s="682" t="str">
        <f>IF(A78="*","",NT_TRP!B87)</f>
        <v>TFHCV6GAS-N</v>
      </c>
      <c r="C78" s="682" t="s">
        <v>1264</v>
      </c>
      <c r="D78" s="684"/>
      <c r="E78" s="684"/>
      <c r="F78" s="682" t="s">
        <v>1122</v>
      </c>
      <c r="G78" s="682" t="s">
        <v>1121</v>
      </c>
      <c r="H78" s="682" t="s">
        <v>1173</v>
      </c>
    </row>
    <row r="79" spans="1:8" x14ac:dyDescent="0.2">
      <c r="A79" s="682" t="str">
        <f>IF(LEFT(NT_TRP!A88,2)="\I","*","")</f>
        <v/>
      </c>
      <c r="B79" s="682" t="str">
        <f>IF(A79="*","",NT_TRP!B88)</f>
        <v>TFHCV7GAS-N</v>
      </c>
      <c r="C79" s="682" t="s">
        <v>1265</v>
      </c>
      <c r="D79" s="684"/>
      <c r="E79" s="684"/>
      <c r="F79" s="682" t="s">
        <v>1122</v>
      </c>
      <c r="G79" s="682" t="s">
        <v>1121</v>
      </c>
      <c r="H79" s="682" t="s">
        <v>1173</v>
      </c>
    </row>
    <row r="80" spans="1:8" x14ac:dyDescent="0.2">
      <c r="A80" s="682" t="str">
        <f>IF(LEFT(NT_TRP!A89,2)="\I","*","")</f>
        <v/>
      </c>
      <c r="B80" s="682" t="str">
        <f>IF(A80="*","",NT_TRP!B89)</f>
        <v>TFHCV8GAS-N</v>
      </c>
      <c r="C80" s="682" t="s">
        <v>1266</v>
      </c>
      <c r="D80" s="684"/>
      <c r="E80" s="684"/>
      <c r="F80" s="682" t="s">
        <v>1122</v>
      </c>
      <c r="G80" s="682" t="s">
        <v>1121</v>
      </c>
      <c r="H80" s="682" t="s">
        <v>1173</v>
      </c>
    </row>
    <row r="81" spans="1:9" x14ac:dyDescent="0.2">
      <c r="A81" s="682" t="str">
        <f>IF(LEFT(NT_TRP!A90,2)="\I","*","")</f>
        <v/>
      </c>
      <c r="B81" s="682" t="str">
        <f>IF(A81="*","",NT_TRP!B90)</f>
        <v>TFHCV9GAS-N</v>
      </c>
      <c r="C81" s="682" t="s">
        <v>1267</v>
      </c>
      <c r="D81" s="684"/>
      <c r="E81" s="684"/>
      <c r="F81" s="682" t="s">
        <v>1122</v>
      </c>
      <c r="G81" s="682" t="s">
        <v>1121</v>
      </c>
      <c r="H81" s="682" t="s">
        <v>1173</v>
      </c>
    </row>
    <row r="82" spans="1:9" x14ac:dyDescent="0.2">
      <c r="A82" s="682" t="str">
        <f>IF(LEFT(NT_TRP!A91,2)="\I","*","")</f>
        <v/>
      </c>
      <c r="B82" s="682" t="str">
        <f>IF(A82="*","",NT_TRP!B91)</f>
        <v>TFHCV1ELC-N</v>
      </c>
      <c r="C82" s="682" t="s">
        <v>1268</v>
      </c>
      <c r="D82" s="684"/>
      <c r="E82" s="684"/>
      <c r="F82" s="682" t="s">
        <v>1122</v>
      </c>
      <c r="G82" s="682" t="s">
        <v>1121</v>
      </c>
      <c r="H82" s="682" t="s">
        <v>1173</v>
      </c>
      <c r="I82" s="683"/>
    </row>
    <row r="83" spans="1:9" x14ac:dyDescent="0.2">
      <c r="A83" s="682" t="str">
        <f>IF(LEFT(NT_TRP!A92,2)="\I","*","")</f>
        <v/>
      </c>
      <c r="B83" s="682" t="str">
        <f>IF(A83="*","",NT_TRP!B92)</f>
        <v>TFHCV2ELC-N</v>
      </c>
      <c r="C83" s="682" t="s">
        <v>1269</v>
      </c>
      <c r="D83" s="684"/>
      <c r="E83" s="684"/>
      <c r="F83" s="682" t="s">
        <v>1122</v>
      </c>
      <c r="G83" s="682" t="s">
        <v>1121</v>
      </c>
      <c r="H83" s="682" t="s">
        <v>1173</v>
      </c>
      <c r="I83" s="683"/>
    </row>
    <row r="84" spans="1:9" x14ac:dyDescent="0.2">
      <c r="A84" s="682" t="str">
        <f>IF(LEFT(NT_TRP!A93,2)="\I","*","")</f>
        <v/>
      </c>
      <c r="B84" s="682" t="str">
        <f>IF(A84="*","",NT_TRP!B93)</f>
        <v>TFHCV3ELC-N</v>
      </c>
      <c r="C84" s="682" t="s">
        <v>1270</v>
      </c>
      <c r="D84" s="684"/>
      <c r="E84" s="684"/>
      <c r="F84" s="682" t="s">
        <v>1122</v>
      </c>
      <c r="G84" s="682" t="s">
        <v>1121</v>
      </c>
      <c r="H84" s="682" t="s">
        <v>1173</v>
      </c>
      <c r="I84" s="683"/>
    </row>
    <row r="85" spans="1:9" x14ac:dyDescent="0.2">
      <c r="B85" s="682" t="str">
        <f>IF(A85="*","",NT_TRP!B94)</f>
        <v>TFHCV4ELC-N</v>
      </c>
      <c r="C85" s="682" t="s">
        <v>1361</v>
      </c>
      <c r="D85" s="684"/>
      <c r="E85" s="684"/>
      <c r="F85" s="682" t="s">
        <v>1122</v>
      </c>
      <c r="G85" s="682" t="s">
        <v>1121</v>
      </c>
      <c r="H85" s="682" t="s">
        <v>1173</v>
      </c>
      <c r="I85" s="683"/>
    </row>
    <row r="86" spans="1:9" x14ac:dyDescent="0.2">
      <c r="B86" s="682" t="str">
        <f>IF(A86="*","",NT_TRP!B95)</f>
        <v>TFHCV5ELC-N</v>
      </c>
      <c r="C86" s="682" t="s">
        <v>1362</v>
      </c>
      <c r="D86" s="684"/>
      <c r="E86" s="684"/>
      <c r="F86" s="682" t="s">
        <v>1122</v>
      </c>
      <c r="G86" s="682" t="s">
        <v>1121</v>
      </c>
      <c r="H86" s="682" t="s">
        <v>1173</v>
      </c>
      <c r="I86" s="683"/>
    </row>
    <row r="87" spans="1:9" x14ac:dyDescent="0.2">
      <c r="B87" s="682" t="str">
        <f>IF(A87="*","",NT_TRP!B96)</f>
        <v>TFHCV6ELC-N</v>
      </c>
      <c r="C87" s="682" t="s">
        <v>1363</v>
      </c>
      <c r="D87" s="684"/>
      <c r="E87" s="684"/>
      <c r="F87" s="682" t="s">
        <v>1122</v>
      </c>
      <c r="G87" s="682" t="s">
        <v>1121</v>
      </c>
      <c r="H87" s="682" t="s">
        <v>1173</v>
      </c>
      <c r="I87" s="683"/>
    </row>
    <row r="88" spans="1:9" x14ac:dyDescent="0.2">
      <c r="B88" s="682" t="str">
        <f>IF(A88="*","",NT_TRP!B97)</f>
        <v>TFHCV7ELC-N</v>
      </c>
      <c r="C88" s="682" t="s">
        <v>1364</v>
      </c>
      <c r="D88" s="684"/>
      <c r="E88" s="684"/>
      <c r="F88" s="682" t="s">
        <v>1122</v>
      </c>
      <c r="G88" s="682" t="s">
        <v>1121</v>
      </c>
      <c r="H88" s="682" t="s">
        <v>1173</v>
      </c>
      <c r="I88" s="683"/>
    </row>
    <row r="89" spans="1:9" x14ac:dyDescent="0.2">
      <c r="B89" s="682" t="str">
        <f>IF(A89="*","",NT_TRP!B98)</f>
        <v>TFHCV8ELC-N</v>
      </c>
      <c r="C89" s="682" t="s">
        <v>1365</v>
      </c>
      <c r="D89" s="684"/>
      <c r="E89" s="684"/>
      <c r="F89" s="682" t="s">
        <v>1122</v>
      </c>
      <c r="G89" s="682" t="s">
        <v>1121</v>
      </c>
      <c r="H89" s="682" t="s">
        <v>1173</v>
      </c>
      <c r="I89" s="683"/>
    </row>
    <row r="90" spans="1:9" x14ac:dyDescent="0.2">
      <c r="B90" s="682" t="str">
        <f>IF(A90="*","",NT_TRP!B99)</f>
        <v>TFHCV9ELC-N</v>
      </c>
      <c r="C90" s="682" t="s">
        <v>1366</v>
      </c>
      <c r="D90" s="684"/>
      <c r="E90" s="684"/>
      <c r="F90" s="682" t="s">
        <v>1122</v>
      </c>
      <c r="G90" s="682" t="s">
        <v>1121</v>
      </c>
      <c r="H90" s="682" t="s">
        <v>1173</v>
      </c>
      <c r="I90" s="683"/>
    </row>
    <row r="91" spans="1:9" x14ac:dyDescent="0.2">
      <c r="A91" s="682" t="str">
        <f>IF(LEFT(NT_TRP!A100,2)="\I","*","")</f>
        <v/>
      </c>
      <c r="B91" s="682" t="str">
        <f>IF(A91="*","",NT_TRP!B100)</f>
        <v>TFHCV2HGN-N</v>
      </c>
      <c r="C91" s="682" t="s">
        <v>1271</v>
      </c>
      <c r="D91" s="684"/>
      <c r="E91" s="684"/>
      <c r="F91" s="682" t="s">
        <v>1122</v>
      </c>
      <c r="G91" s="682" t="s">
        <v>1121</v>
      </c>
      <c r="H91" s="682" t="s">
        <v>1173</v>
      </c>
    </row>
    <row r="92" spans="1:9" x14ac:dyDescent="0.2">
      <c r="A92" s="682" t="str">
        <f>IF(LEFT(NT_TRP!A101,2)="\I","*","")</f>
        <v/>
      </c>
      <c r="B92" s="682" t="str">
        <f>IF(A92="*","",NT_TRP!B101)</f>
        <v>TFHCV3HGN-N</v>
      </c>
      <c r="C92" s="682" t="s">
        <v>1272</v>
      </c>
      <c r="D92" s="684"/>
      <c r="E92" s="684"/>
      <c r="F92" s="682" t="s">
        <v>1122</v>
      </c>
      <c r="G92" s="682" t="s">
        <v>1121</v>
      </c>
      <c r="H92" s="682" t="s">
        <v>1173</v>
      </c>
    </row>
    <row r="93" spans="1:9" x14ac:dyDescent="0.2">
      <c r="A93" s="682" t="str">
        <f>IF(LEFT(NT_TRP!A102,2)="\I","*","")</f>
        <v/>
      </c>
      <c r="B93" s="682" t="str">
        <f>IF(A93="*","",NT_TRP!B102)</f>
        <v>TFHCV4HGN-N</v>
      </c>
      <c r="C93" s="682" t="s">
        <v>1273</v>
      </c>
      <c r="D93" s="684"/>
      <c r="E93" s="684"/>
      <c r="F93" s="682" t="s">
        <v>1122</v>
      </c>
      <c r="G93" s="682" t="s">
        <v>1121</v>
      </c>
      <c r="H93" s="682" t="s">
        <v>1173</v>
      </c>
    </row>
    <row r="94" spans="1:9" x14ac:dyDescent="0.2">
      <c r="A94" s="682" t="str">
        <f>IF(LEFT(NT_TRP!A103,2)="\I","*","")</f>
        <v/>
      </c>
      <c r="B94" s="682" t="str">
        <f>IF(A94="*","",NT_TRP!B103)</f>
        <v>TFHCV5HGN-N</v>
      </c>
      <c r="C94" s="682" t="s">
        <v>1274</v>
      </c>
      <c r="D94" s="684"/>
      <c r="E94" s="684"/>
      <c r="F94" s="682" t="s">
        <v>1122</v>
      </c>
      <c r="G94" s="682" t="s">
        <v>1121</v>
      </c>
      <c r="H94" s="682" t="s">
        <v>1173</v>
      </c>
    </row>
    <row r="95" spans="1:9" x14ac:dyDescent="0.2">
      <c r="A95" s="682" t="str">
        <f>IF(LEFT(NT_TRP!A104,2)="\I","*","")</f>
        <v/>
      </c>
      <c r="B95" s="682" t="str">
        <f>IF(A95="*","",NT_TRP!B104)</f>
        <v>TFHCV6HGN-N</v>
      </c>
      <c r="C95" s="682" t="s">
        <v>1275</v>
      </c>
      <c r="D95" s="684"/>
      <c r="E95" s="684"/>
      <c r="F95" s="682" t="s">
        <v>1122</v>
      </c>
      <c r="G95" s="682" t="s">
        <v>1121</v>
      </c>
      <c r="H95" s="682" t="s">
        <v>1173</v>
      </c>
    </row>
    <row r="96" spans="1:9" x14ac:dyDescent="0.2">
      <c r="A96" s="682" t="str">
        <f>IF(LEFT(NT_TRP!A105,2)="\I","*","")</f>
        <v/>
      </c>
      <c r="B96" s="682" t="str">
        <f>IF(A96="*","",NT_TRP!B105)</f>
        <v>TFHCV7HGN-N</v>
      </c>
      <c r="C96" s="682" t="s">
        <v>1276</v>
      </c>
      <c r="D96" s="684"/>
      <c r="E96" s="684"/>
      <c r="F96" s="682" t="s">
        <v>1122</v>
      </c>
      <c r="G96" s="682" t="s">
        <v>1121</v>
      </c>
      <c r="H96" s="682" t="s">
        <v>1173</v>
      </c>
    </row>
    <row r="97" spans="1:8" x14ac:dyDescent="0.2">
      <c r="A97" s="682" t="str">
        <f>IF(LEFT(NT_TRP!A106,2)="\I","*","")</f>
        <v/>
      </c>
      <c r="B97" s="682" t="str">
        <f>IF(A97="*","",NT_TRP!B106)</f>
        <v>TFHCV8HGN-N</v>
      </c>
      <c r="C97" s="682" t="s">
        <v>1277</v>
      </c>
      <c r="D97" s="684"/>
      <c r="E97" s="684"/>
      <c r="F97" s="682" t="s">
        <v>1122</v>
      </c>
      <c r="G97" s="682" t="s">
        <v>1121</v>
      </c>
      <c r="H97" s="682" t="s">
        <v>1173</v>
      </c>
    </row>
    <row r="98" spans="1:8" x14ac:dyDescent="0.2">
      <c r="A98" s="682" t="str">
        <f>IF(LEFT(NT_TRP!A107,2)="\I","*","")</f>
        <v/>
      </c>
      <c r="B98" s="682" t="str">
        <f>IF(A98="*","",NT_TRP!B107)</f>
        <v>TFHCV9HGN-N</v>
      </c>
      <c r="C98" s="682" t="s">
        <v>1278</v>
      </c>
      <c r="D98" s="684"/>
      <c r="E98" s="684"/>
      <c r="F98" s="682" t="s">
        <v>1122</v>
      </c>
      <c r="G98" s="682" t="s">
        <v>1121</v>
      </c>
      <c r="H98" s="682" t="s">
        <v>1173</v>
      </c>
    </row>
    <row r="99" spans="1:8" x14ac:dyDescent="0.2">
      <c r="A99" s="682" t="str">
        <f>IF(LEFT(NT_TRP!A108,2)="\I","*","")</f>
        <v/>
      </c>
      <c r="C99" s="682" t="s">
        <v>815</v>
      </c>
      <c r="D99" s="684"/>
      <c r="E99" s="684"/>
    </row>
    <row r="100" spans="1:8" x14ac:dyDescent="0.2">
      <c r="A100" s="682" t="str">
        <f>IF(LEFT(NT_TRP!A109,2)="\I","*","")</f>
        <v/>
      </c>
      <c r="B100" s="682" t="str">
        <f>IF(A100="*","",NT_TRP!B109)</f>
        <v>TFRCOGAS-N</v>
      </c>
      <c r="C100" s="682" t="s">
        <v>1279</v>
      </c>
      <c r="D100" s="684" t="s">
        <v>1188</v>
      </c>
      <c r="E100" s="684" t="s">
        <v>1189</v>
      </c>
      <c r="F100" s="682" t="s">
        <v>1122</v>
      </c>
      <c r="G100" s="682" t="s">
        <v>1121</v>
      </c>
    </row>
    <row r="101" spans="1:8" x14ac:dyDescent="0.2">
      <c r="A101" s="682" t="str">
        <f>IF(LEFT(NT_TRP!A110,2)="\I","*","")</f>
        <v/>
      </c>
      <c r="C101" s="682" t="s">
        <v>815</v>
      </c>
      <c r="D101" s="684"/>
      <c r="E101" s="684"/>
    </row>
    <row r="102" spans="1:8" x14ac:dyDescent="0.2">
      <c r="A102" s="682" t="str">
        <f>IF(LEFT(NT_TRP!A111,2)="\I","*","")</f>
        <v/>
      </c>
      <c r="B102" s="682" t="str">
        <f>IF(A102="*","",NT_TRP!B111)</f>
        <v>TFRCOELC-N</v>
      </c>
      <c r="C102" s="682" t="s">
        <v>1280</v>
      </c>
      <c r="D102" s="684" t="s">
        <v>1188</v>
      </c>
      <c r="E102" s="684" t="s">
        <v>1189</v>
      </c>
      <c r="F102" s="682" t="s">
        <v>1122</v>
      </c>
      <c r="G102" s="682" t="s">
        <v>1121</v>
      </c>
    </row>
    <row r="103" spans="1:8" x14ac:dyDescent="0.2">
      <c r="A103" s="682" t="str">
        <f>IF(LEFT(NT_TRP!A112,2)="\I","*","")</f>
        <v/>
      </c>
      <c r="C103" s="682" t="s">
        <v>815</v>
      </c>
      <c r="D103" s="684"/>
      <c r="E103" s="684"/>
    </row>
    <row r="104" spans="1:8" x14ac:dyDescent="0.2">
      <c r="A104" s="682" t="str">
        <f>IF(LEFT(NT_TRP!A113,2)="\I","*","")</f>
        <v/>
      </c>
      <c r="B104" s="682" t="str">
        <f>IF(A104="*","",NT_TRP!B113)</f>
        <v>TFROTELC-N</v>
      </c>
      <c r="C104" s="682" t="s">
        <v>1281</v>
      </c>
      <c r="D104" s="684" t="s">
        <v>1188</v>
      </c>
      <c r="E104" s="684" t="s">
        <v>1189</v>
      </c>
      <c r="F104" s="682" t="s">
        <v>1122</v>
      </c>
      <c r="G104" s="682" t="s">
        <v>1121</v>
      </c>
    </row>
    <row r="105" spans="1:8" x14ac:dyDescent="0.2">
      <c r="A105" s="682" t="str">
        <f>IF(LEFT(NT_TRP!A114,2)="\I","*","")</f>
        <v/>
      </c>
      <c r="C105" s="682" t="s">
        <v>815</v>
      </c>
      <c r="D105" s="684"/>
      <c r="E105" s="684"/>
    </row>
    <row r="106" spans="1:8" x14ac:dyDescent="0.2">
      <c r="A106" s="682" t="str">
        <f>IF(LEFT(NT_TRP!A115,2)="\I","*","")</f>
        <v/>
      </c>
      <c r="B106" s="682" t="str">
        <f>IF(A106="*","",NT_TRP!B115)</f>
        <v>TFREXELC-N</v>
      </c>
      <c r="C106" s="682" t="s">
        <v>1282</v>
      </c>
      <c r="D106" s="684" t="s">
        <v>1188</v>
      </c>
      <c r="E106" s="684" t="s">
        <v>1189</v>
      </c>
      <c r="F106" s="682" t="s">
        <v>1122</v>
      </c>
      <c r="G106" s="682" t="s">
        <v>1121</v>
      </c>
    </row>
    <row r="107" spans="1:8" x14ac:dyDescent="0.2">
      <c r="A107" s="682" t="str">
        <f>IF(LEFT(NT_TRP!A116,2)="\I","*","")</f>
        <v/>
      </c>
      <c r="C107" s="682" t="s">
        <v>815</v>
      </c>
      <c r="D107" s="684"/>
      <c r="E107" s="684"/>
    </row>
    <row r="108" spans="1:8" x14ac:dyDescent="0.2">
      <c r="A108" s="682" t="str">
        <f>IF(LEFT(NT_TRP!A117,2)="\I","*","")</f>
        <v/>
      </c>
      <c r="C108" s="682" t="s">
        <v>815</v>
      </c>
      <c r="D108" s="684"/>
      <c r="E108" s="684"/>
    </row>
    <row r="109" spans="1:8" x14ac:dyDescent="0.2">
      <c r="A109" s="682" t="str">
        <f>IF(LEFT(NT_TRP!A118,2)="\I","*","")</f>
        <v/>
      </c>
      <c r="B109" s="682" t="str">
        <f>IF(A109="*","",NT_TRP!B118)</f>
        <v>TFPIPELC-N</v>
      </c>
      <c r="C109" s="682" t="s">
        <v>1283</v>
      </c>
      <c r="D109" s="684" t="s">
        <v>20</v>
      </c>
      <c r="E109" s="684" t="s">
        <v>1187</v>
      </c>
      <c r="F109" s="682" t="s">
        <v>1122</v>
      </c>
      <c r="G109" s="682" t="s">
        <v>1121</v>
      </c>
    </row>
    <row r="110" spans="1:8" x14ac:dyDescent="0.2">
      <c r="A110" s="682" t="str">
        <f>IF(LEFT(NT_TRP!A119,2)="\I","*","")</f>
        <v/>
      </c>
      <c r="B110" s="682" t="str">
        <f>IF(A110="*","",NT_TRP!B119)</f>
        <v>TAIJETOKE-N</v>
      </c>
      <c r="C110" s="682" t="s">
        <v>1284</v>
      </c>
      <c r="D110" s="684" t="s">
        <v>20</v>
      </c>
      <c r="E110" s="684" t="s">
        <v>1187</v>
      </c>
      <c r="F110" s="682" t="s">
        <v>1122</v>
      </c>
      <c r="G110" s="682" t="s">
        <v>1121</v>
      </c>
    </row>
    <row r="111" spans="1:8" x14ac:dyDescent="0.2">
      <c r="A111" s="682" t="str">
        <f>IF(LEFT(NT_TRP!A120,2)="\I","*","")</f>
        <v/>
      </c>
      <c r="B111" s="682" t="str">
        <f>IF(A111="*","",NT_TRP!B120)</f>
        <v>TADJETOKE-N</v>
      </c>
      <c r="C111" s="682" t="s">
        <v>1285</v>
      </c>
      <c r="D111" s="684" t="s">
        <v>20</v>
      </c>
      <c r="E111" s="684" t="s">
        <v>1187</v>
      </c>
      <c r="F111" s="682" t="s">
        <v>1122</v>
      </c>
      <c r="G111" s="682" t="s">
        <v>1121</v>
      </c>
    </row>
    <row r="112" spans="1:8" x14ac:dyDescent="0.2">
      <c r="A112" s="682" t="str">
        <f>IF(LEFT(NT_TRP!A121,2)="\I","*","")</f>
        <v/>
      </c>
      <c r="B112" s="682" t="str">
        <f>IF(A112="*","",NT_TRP!B121)</f>
        <v>TAOAGOAG-N</v>
      </c>
      <c r="C112" s="682" t="s">
        <v>1286</v>
      </c>
      <c r="D112" s="684" t="s">
        <v>20</v>
      </c>
      <c r="E112" s="684" t="s">
        <v>1187</v>
      </c>
      <c r="F112" s="682" t="s">
        <v>1122</v>
      </c>
      <c r="G112" s="682" t="s">
        <v>1121</v>
      </c>
    </row>
    <row r="113" spans="1:7" x14ac:dyDescent="0.2">
      <c r="A113" s="682" t="str">
        <f>IF(LEFT(NT_TRP!A122,2)="\I","*","")</f>
        <v/>
      </c>
      <c r="B113" s="682" t="str">
        <f>IF(A113="*","",NT_TRP!B122)</f>
        <v>TSHFOOHF-N</v>
      </c>
      <c r="C113" s="682" t="s">
        <v>1287</v>
      </c>
      <c r="D113" s="684" t="s">
        <v>20</v>
      </c>
      <c r="E113" s="684" t="s">
        <v>1187</v>
      </c>
      <c r="F113" s="682" t="s">
        <v>1122</v>
      </c>
      <c r="G113" s="682" t="s">
        <v>1121</v>
      </c>
    </row>
    <row r="114" spans="1:7" x14ac:dyDescent="0.2">
      <c r="A114" s="682" t="str">
        <f>IF(LEFT(NT_TRP!A123,2)="\I","*","")</f>
        <v/>
      </c>
      <c r="D114" s="684"/>
      <c r="E114" s="684"/>
    </row>
    <row r="115" spans="1:7" x14ac:dyDescent="0.2">
      <c r="A115" s="682" t="str">
        <f>IF(LEFT(NT_TRP!A124,2)="\I","*","")</f>
        <v/>
      </c>
      <c r="D115" s="684"/>
      <c r="E115" s="684"/>
    </row>
    <row r="116" spans="1:7" x14ac:dyDescent="0.2">
      <c r="D116" s="684"/>
      <c r="E116" s="684"/>
    </row>
    <row r="117" spans="1:7" x14ac:dyDescent="0.2">
      <c r="D117" s="684"/>
      <c r="E117" s="684"/>
    </row>
    <row r="118" spans="1:7" x14ac:dyDescent="0.2">
      <c r="D118" s="684"/>
      <c r="E118" s="684"/>
    </row>
    <row r="119" spans="1:7" x14ac:dyDescent="0.2">
      <c r="D119" s="684"/>
      <c r="E119" s="684"/>
    </row>
    <row r="120" spans="1:7" x14ac:dyDescent="0.2">
      <c r="D120" s="684"/>
      <c r="E120" s="684"/>
    </row>
    <row r="121" spans="1:7" x14ac:dyDescent="0.2">
      <c r="D121" s="684"/>
      <c r="E121" s="684"/>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8DB9-2459-4984-A177-5CB1302665F6}">
  <sheetPr codeName="Sheet6">
    <tabColor theme="4"/>
  </sheetPr>
  <dimension ref="A1:J73"/>
  <sheetViews>
    <sheetView workbookViewId="0">
      <selection activeCell="J14" sqref="J14"/>
    </sheetView>
  </sheetViews>
  <sheetFormatPr defaultColWidth="9.140625" defaultRowHeight="11.25" x14ac:dyDescent="0.2"/>
  <cols>
    <col min="1" max="1" width="12.42578125" style="683" customWidth="1"/>
    <col min="2" max="2" width="11" style="683" customWidth="1"/>
    <col min="3" max="3" width="27.42578125" style="683" customWidth="1"/>
    <col min="4" max="4" width="10.140625" style="683" customWidth="1"/>
    <col min="5" max="5" width="12.85546875" style="683" customWidth="1"/>
    <col min="6" max="8" width="9.140625" style="683"/>
    <col min="9" max="9" width="23.7109375" style="683" bestFit="1" customWidth="1"/>
    <col min="10" max="16384" width="9.140625" style="683"/>
  </cols>
  <sheetData>
    <row r="1" spans="1:10" x14ac:dyDescent="0.2">
      <c r="A1" s="769"/>
    </row>
    <row r="3" spans="1:10" ht="18.75" customHeight="1" thickBot="1" x14ac:dyDescent="0.35">
      <c r="B3" s="773" t="s">
        <v>1203</v>
      </c>
      <c r="C3" s="773"/>
      <c r="D3" s="773"/>
    </row>
    <row r="4" spans="1:10" ht="12" thickTop="1" x14ac:dyDescent="0.2"/>
    <row r="6" spans="1:10" ht="15" x14ac:dyDescent="0.25">
      <c r="B6" s="772" t="s">
        <v>1194</v>
      </c>
      <c r="H6" s="772"/>
      <c r="I6" s="772" t="s">
        <v>1039</v>
      </c>
      <c r="J6" s="772"/>
    </row>
    <row r="7" spans="1:10" ht="15" x14ac:dyDescent="0.25">
      <c r="B7" s="772" t="s">
        <v>1191</v>
      </c>
      <c r="C7" s="772" t="s">
        <v>1195</v>
      </c>
      <c r="D7" s="772" t="s">
        <v>1196</v>
      </c>
      <c r="E7" s="772" t="s">
        <v>1197</v>
      </c>
      <c r="F7" s="772" t="s">
        <v>1198</v>
      </c>
      <c r="H7" s="772" t="s">
        <v>1190</v>
      </c>
      <c r="I7" s="772" t="s">
        <v>1191</v>
      </c>
      <c r="J7" s="772">
        <v>2017</v>
      </c>
    </row>
    <row r="8" spans="1:10" ht="12.75" x14ac:dyDescent="0.2">
      <c r="A8" s="683" t="s">
        <v>1124</v>
      </c>
      <c r="B8" s="769" t="s">
        <v>1171</v>
      </c>
      <c r="C8" s="769"/>
      <c r="D8" s="769"/>
      <c r="E8" s="769"/>
      <c r="F8" s="769"/>
      <c r="H8" s="728" t="s">
        <v>1124</v>
      </c>
      <c r="I8" s="1" t="s">
        <v>1192</v>
      </c>
      <c r="J8" s="1" t="s">
        <v>1193</v>
      </c>
    </row>
    <row r="9" spans="1:10" ht="15" x14ac:dyDescent="0.25">
      <c r="A9" s="683" t="str">
        <f t="shared" ref="A9:A18" si="0">IF(ISBLANK(B9),"*","")</f>
        <v/>
      </c>
      <c r="B9" s="683" t="s">
        <v>516</v>
      </c>
      <c r="C9" s="683" t="s">
        <v>1089</v>
      </c>
      <c r="D9" s="683" t="s">
        <v>1199</v>
      </c>
      <c r="E9" s="683" t="s">
        <v>1202</v>
      </c>
      <c r="F9" s="683" t="s">
        <v>1122</v>
      </c>
      <c r="H9" s="61" t="s">
        <v>1090</v>
      </c>
      <c r="I9" s="61" t="str">
        <f>B9</f>
        <v>TPPRSUV</v>
      </c>
      <c r="J9" s="61">
        <f>SUMIF(TRP!$D$62:$D$115,I9,TRP!$Z$62:$Z$115)</f>
        <v>17.75419180206795</v>
      </c>
    </row>
    <row r="10" spans="1:10" ht="15" x14ac:dyDescent="0.25">
      <c r="A10" s="683" t="str">
        <f t="shared" si="0"/>
        <v/>
      </c>
      <c r="B10" s="683" t="s">
        <v>554</v>
      </c>
      <c r="C10" s="683" t="s">
        <v>1088</v>
      </c>
      <c r="D10" s="683" t="s">
        <v>1199</v>
      </c>
      <c r="E10" s="683" t="s">
        <v>1202</v>
      </c>
      <c r="F10" s="683" t="s">
        <v>1122</v>
      </c>
      <c r="H10" s="61" t="str">
        <f>$H$9</f>
        <v>Demand</v>
      </c>
      <c r="I10" s="61" t="str">
        <f t="shared" ref="I10:I36" si="1">B10</f>
        <v>TPPRCAR</v>
      </c>
      <c r="J10" s="61">
        <f>SUMIF(TRP!$D$62:$D$115,I10,TRP!$Z$62:$Z$115)</f>
        <v>81.138603134850243</v>
      </c>
    </row>
    <row r="11" spans="1:10" ht="15" x14ac:dyDescent="0.25">
      <c r="A11" s="683" t="str">
        <f t="shared" si="0"/>
        <v/>
      </c>
      <c r="B11" s="683" t="s">
        <v>512</v>
      </c>
      <c r="C11" s="683" t="s">
        <v>1087</v>
      </c>
      <c r="D11" s="683" t="s">
        <v>1199</v>
      </c>
      <c r="E11" s="683" t="s">
        <v>1202</v>
      </c>
      <c r="F11" s="683" t="s">
        <v>1122</v>
      </c>
      <c r="H11" s="61" t="str">
        <f t="shared" ref="H11:H36" si="2">$H$9</f>
        <v>Demand</v>
      </c>
      <c r="I11" s="61" t="str">
        <f t="shared" si="1"/>
        <v>TPPRMOT</v>
      </c>
      <c r="J11" s="61">
        <f>SUMIF(TRP!$D$62:$D$115,I11,TRP!$Z$62:$Z$115)</f>
        <v>5.9227912022632543</v>
      </c>
    </row>
    <row r="12" spans="1:10" ht="15" x14ac:dyDescent="0.25">
      <c r="A12" s="683" t="str">
        <f t="shared" si="0"/>
        <v/>
      </c>
      <c r="B12" s="683" t="s">
        <v>565</v>
      </c>
      <c r="C12" s="683" t="s">
        <v>1086</v>
      </c>
      <c r="D12" s="683" t="s">
        <v>1199</v>
      </c>
      <c r="E12" s="683" t="s">
        <v>1202</v>
      </c>
      <c r="F12" s="683" t="s">
        <v>1122</v>
      </c>
      <c r="H12" s="61" t="str">
        <f t="shared" si="2"/>
        <v>Demand</v>
      </c>
      <c r="I12" s="61" t="str">
        <f t="shared" si="1"/>
        <v>TPPUBUS</v>
      </c>
      <c r="J12" s="61">
        <f>SUMIF(TRP!$D$62:$D$115,I12,TRP!$Z$62:$Z$115)</f>
        <v>0.64296697178877849</v>
      </c>
    </row>
    <row r="13" spans="1:10" ht="15" x14ac:dyDescent="0.25">
      <c r="A13" s="683" t="str">
        <f t="shared" si="0"/>
        <v/>
      </c>
      <c r="B13" s="683" t="s">
        <v>523</v>
      </c>
      <c r="C13" s="683" t="s">
        <v>1085</v>
      </c>
      <c r="D13" s="683" t="s">
        <v>1199</v>
      </c>
      <c r="E13" s="683" t="s">
        <v>1202</v>
      </c>
      <c r="F13" s="683" t="s">
        <v>1122</v>
      </c>
      <c r="H13" s="61" t="str">
        <f t="shared" si="2"/>
        <v>Demand</v>
      </c>
      <c r="I13" s="61" t="str">
        <f t="shared" si="1"/>
        <v>TPPUMBT</v>
      </c>
      <c r="J13" s="61">
        <f>SUMIF(TRP!$D$62:$D$115,I13,TRP!$Z$62:$Z$115)</f>
        <v>7.2130505455454887</v>
      </c>
    </row>
    <row r="14" spans="1:10" ht="15" x14ac:dyDescent="0.25">
      <c r="A14" s="683" t="str">
        <f t="shared" si="0"/>
        <v/>
      </c>
      <c r="B14" s="683" t="s">
        <v>503</v>
      </c>
      <c r="C14" s="683" t="s">
        <v>1084</v>
      </c>
      <c r="D14" s="683" t="s">
        <v>1199</v>
      </c>
      <c r="E14" s="683" t="s">
        <v>1202</v>
      </c>
      <c r="F14" s="683" t="s">
        <v>1122</v>
      </c>
      <c r="H14" s="61" t="str">
        <f t="shared" si="2"/>
        <v>Demand</v>
      </c>
      <c r="I14" s="61" t="str">
        <f t="shared" si="1"/>
        <v>TPPUBRT</v>
      </c>
      <c r="J14" s="168">
        <v>7.2799982901224289E-2</v>
      </c>
    </row>
    <row r="15" spans="1:10" ht="15" x14ac:dyDescent="0.25">
      <c r="A15" s="683" t="str">
        <f t="shared" si="0"/>
        <v/>
      </c>
      <c r="B15" s="683" t="s">
        <v>1082</v>
      </c>
      <c r="C15" s="683" t="s">
        <v>1083</v>
      </c>
      <c r="D15" s="683" t="s">
        <v>1200</v>
      </c>
      <c r="E15" s="683" t="s">
        <v>1202</v>
      </c>
      <c r="F15" s="683" t="s">
        <v>1122</v>
      </c>
      <c r="H15" s="61" t="str">
        <f t="shared" si="2"/>
        <v>Demand</v>
      </c>
      <c r="I15" s="61" t="str">
        <f t="shared" si="1"/>
        <v>TPPUMER</v>
      </c>
      <c r="J15" s="61">
        <f>SUMIF(TRP!$D$62:$D$115,I15,TRP!$Z$62:$Z$115)</f>
        <v>8.7048317578401644</v>
      </c>
    </row>
    <row r="16" spans="1:10" ht="15" x14ac:dyDescent="0.25">
      <c r="A16" s="683" t="str">
        <f t="shared" si="0"/>
        <v/>
      </c>
      <c r="B16" s="683" t="s">
        <v>1080</v>
      </c>
      <c r="C16" s="683" t="s">
        <v>1081</v>
      </c>
      <c r="D16" s="683" t="s">
        <v>1200</v>
      </c>
      <c r="E16" s="683" t="s">
        <v>1202</v>
      </c>
      <c r="F16" s="683" t="s">
        <v>1122</v>
      </c>
      <c r="H16" s="61" t="str">
        <f t="shared" si="2"/>
        <v>Demand</v>
      </c>
      <c r="I16" s="61" t="str">
        <f t="shared" si="1"/>
        <v>TPPUGAT</v>
      </c>
      <c r="J16" s="168">
        <v>0.64854136839212595</v>
      </c>
    </row>
    <row r="17" spans="1:10" ht="15" x14ac:dyDescent="0.25">
      <c r="A17" s="683" t="str">
        <f t="shared" si="0"/>
        <v>*</v>
      </c>
      <c r="H17" s="61" t="s">
        <v>1124</v>
      </c>
      <c r="I17" s="61"/>
      <c r="J17" s="61"/>
    </row>
    <row r="18" spans="1:10" ht="15" x14ac:dyDescent="0.25">
      <c r="A18" s="683" t="str">
        <f t="shared" si="0"/>
        <v/>
      </c>
      <c r="B18" s="683" t="s">
        <v>527</v>
      </c>
      <c r="C18" s="683" t="s">
        <v>1079</v>
      </c>
      <c r="D18" s="683" t="s">
        <v>1199</v>
      </c>
      <c r="E18" s="683" t="s">
        <v>1202</v>
      </c>
      <c r="F18" s="683" t="s">
        <v>1122</v>
      </c>
      <c r="H18" s="61" t="str">
        <f t="shared" si="2"/>
        <v>Demand</v>
      </c>
      <c r="I18" s="61" t="str">
        <f t="shared" si="1"/>
        <v>TFLCV</v>
      </c>
      <c r="J18" s="61">
        <f>SUMIF(TRP!$D$62:$D$115,I18,TRP!$Z$62:$Z$115)</f>
        <v>47.584820585749924</v>
      </c>
    </row>
    <row r="19" spans="1:10" ht="15" x14ac:dyDescent="0.25">
      <c r="B19" s="683" t="s">
        <v>551</v>
      </c>
      <c r="C19" s="683" t="s">
        <v>1078</v>
      </c>
      <c r="D19" s="683" t="s">
        <v>1199</v>
      </c>
      <c r="E19" s="683" t="s">
        <v>1202</v>
      </c>
      <c r="F19" s="683" t="s">
        <v>1122</v>
      </c>
      <c r="H19" s="61" t="str">
        <f t="shared" si="2"/>
        <v>Demand</v>
      </c>
      <c r="I19" s="61" t="str">
        <f t="shared" si="1"/>
        <v>TFHCV1</v>
      </c>
      <c r="J19" s="61">
        <f>SUMIF(TRP!$D$62:$D$115,I19,TRP!$Z$62:$Z$115)</f>
        <v>3.6514783707452807</v>
      </c>
    </row>
    <row r="20" spans="1:10" ht="15" x14ac:dyDescent="0.25">
      <c r="B20" s="683" t="s">
        <v>549</v>
      </c>
      <c r="C20" s="683" t="s">
        <v>1077</v>
      </c>
      <c r="D20" s="683" t="s">
        <v>1199</v>
      </c>
      <c r="E20" s="683" t="s">
        <v>1202</v>
      </c>
      <c r="F20" s="683" t="s">
        <v>1122</v>
      </c>
      <c r="H20" s="61" t="str">
        <f t="shared" si="2"/>
        <v>Demand</v>
      </c>
      <c r="I20" s="61" t="str">
        <f t="shared" si="1"/>
        <v>TFHCV2</v>
      </c>
      <c r="J20" s="61">
        <f>SUMIF(TRP!$D$62:$D$115,I20,TRP!$Z$62:$Z$115)</f>
        <v>1.0030192144974721</v>
      </c>
    </row>
    <row r="21" spans="1:10" ht="15" x14ac:dyDescent="0.25">
      <c r="B21" s="683" t="s">
        <v>547</v>
      </c>
      <c r="C21" s="683" t="s">
        <v>1076</v>
      </c>
      <c r="D21" s="683" t="s">
        <v>1199</v>
      </c>
      <c r="E21" s="683" t="s">
        <v>1202</v>
      </c>
      <c r="F21" s="683" t="s">
        <v>1122</v>
      </c>
      <c r="H21" s="61" t="str">
        <f t="shared" si="2"/>
        <v>Demand</v>
      </c>
      <c r="I21" s="61" t="str">
        <f t="shared" si="1"/>
        <v>TFHCV3</v>
      </c>
      <c r="J21" s="61">
        <f>SUMIF(TRP!$D$62:$D$115,I21,TRP!$Z$62:$Z$115)</f>
        <v>3.2993543784220805</v>
      </c>
    </row>
    <row r="22" spans="1:10" ht="15" x14ac:dyDescent="0.25">
      <c r="B22" s="683" t="s">
        <v>545</v>
      </c>
      <c r="C22" s="683" t="s">
        <v>1075</v>
      </c>
      <c r="D22" s="683" t="s">
        <v>1199</v>
      </c>
      <c r="E22" s="683" t="s">
        <v>1202</v>
      </c>
      <c r="F22" s="683" t="s">
        <v>1122</v>
      </c>
      <c r="H22" s="61" t="str">
        <f t="shared" si="2"/>
        <v>Demand</v>
      </c>
      <c r="I22" s="61" t="str">
        <f t="shared" si="1"/>
        <v>TFHCV4</v>
      </c>
      <c r="J22" s="61">
        <f>SUMIF(TRP!$D$62:$D$115,I22,TRP!$Z$62:$Z$115)</f>
        <v>0.5984069891061613</v>
      </c>
    </row>
    <row r="23" spans="1:10" ht="15" x14ac:dyDescent="0.25">
      <c r="B23" s="683" t="s">
        <v>543</v>
      </c>
      <c r="C23" s="683" t="s">
        <v>1074</v>
      </c>
      <c r="D23" s="683" t="s">
        <v>1199</v>
      </c>
      <c r="E23" s="683" t="s">
        <v>1202</v>
      </c>
      <c r="F23" s="683" t="s">
        <v>1122</v>
      </c>
      <c r="H23" s="61" t="str">
        <f t="shared" si="2"/>
        <v>Demand</v>
      </c>
      <c r="I23" s="61" t="str">
        <f t="shared" si="1"/>
        <v>TFHCV5</v>
      </c>
      <c r="J23" s="61">
        <f>SUMIF(TRP!$D$62:$D$115,I23,TRP!$Z$62:$Z$115)</f>
        <v>0.29798809605332649</v>
      </c>
    </row>
    <row r="24" spans="1:10" ht="15" x14ac:dyDescent="0.25">
      <c r="B24" s="683" t="s">
        <v>541</v>
      </c>
      <c r="C24" s="683" t="s">
        <v>1073</v>
      </c>
      <c r="D24" s="683" t="s">
        <v>1199</v>
      </c>
      <c r="E24" s="683" t="s">
        <v>1202</v>
      </c>
      <c r="F24" s="683" t="s">
        <v>1122</v>
      </c>
      <c r="H24" s="61" t="str">
        <f t="shared" si="2"/>
        <v>Demand</v>
      </c>
      <c r="I24" s="61" t="str">
        <f t="shared" si="1"/>
        <v>TFHCV6</v>
      </c>
      <c r="J24" s="61">
        <f>SUMIF(TRP!$D$62:$D$115,I24,TRP!$Z$62:$Z$115)</f>
        <v>6.6621877646371193</v>
      </c>
    </row>
    <row r="25" spans="1:10" ht="15" x14ac:dyDescent="0.25">
      <c r="B25" s="683" t="s">
        <v>539</v>
      </c>
      <c r="C25" s="683" t="s">
        <v>1072</v>
      </c>
      <c r="D25" s="683" t="s">
        <v>1199</v>
      </c>
      <c r="E25" s="683" t="s">
        <v>1202</v>
      </c>
      <c r="F25" s="683" t="s">
        <v>1122</v>
      </c>
      <c r="H25" s="61" t="str">
        <f t="shared" si="2"/>
        <v>Demand</v>
      </c>
      <c r="I25" s="61" t="str">
        <f t="shared" si="1"/>
        <v>TFHCV7</v>
      </c>
      <c r="J25" s="61">
        <f>SUMIF(TRP!$D$62:$D$115,I25,TRP!$Z$62:$Z$115)</f>
        <v>2.2261566306639859</v>
      </c>
    </row>
    <row r="26" spans="1:10" ht="15" x14ac:dyDescent="0.25">
      <c r="A26" s="683" t="str">
        <f t="shared" ref="A26:A36" si="3">IF(ISBLANK(B26),"*","")</f>
        <v/>
      </c>
      <c r="B26" s="683" t="s">
        <v>537</v>
      </c>
      <c r="C26" s="683" t="s">
        <v>1071</v>
      </c>
      <c r="D26" s="683" t="s">
        <v>1199</v>
      </c>
      <c r="E26" s="683" t="s">
        <v>1202</v>
      </c>
      <c r="F26" s="683" t="s">
        <v>1122</v>
      </c>
      <c r="H26" s="61" t="str">
        <f t="shared" si="2"/>
        <v>Demand</v>
      </c>
      <c r="I26" s="61" t="str">
        <f t="shared" si="1"/>
        <v>TFHCV8</v>
      </c>
      <c r="J26" s="61">
        <f>SUMIF(TRP!$D$62:$D$115,I26,TRP!$Z$62:$Z$115)</f>
        <v>0.12221367884983668</v>
      </c>
    </row>
    <row r="27" spans="1:10" ht="15" x14ac:dyDescent="0.25">
      <c r="A27" s="683" t="str">
        <f t="shared" si="3"/>
        <v/>
      </c>
      <c r="B27" s="683" t="s">
        <v>535</v>
      </c>
      <c r="C27" s="683" t="s">
        <v>1070</v>
      </c>
      <c r="D27" s="683" t="s">
        <v>1199</v>
      </c>
      <c r="E27" s="683" t="s">
        <v>1202</v>
      </c>
      <c r="F27" s="683" t="s">
        <v>1122</v>
      </c>
      <c r="H27" s="61" t="str">
        <f t="shared" si="2"/>
        <v>Demand</v>
      </c>
      <c r="I27" s="61" t="str">
        <f t="shared" si="1"/>
        <v>TFHCV9</v>
      </c>
      <c r="J27" s="61">
        <f>SUMIF(TRP!$D$62:$D$115,I27,TRP!$Z$62:$Z$115)</f>
        <v>2.9412068148240243E-2</v>
      </c>
    </row>
    <row r="28" spans="1:10" ht="15" x14ac:dyDescent="0.25">
      <c r="A28" s="683" t="str">
        <f t="shared" si="3"/>
        <v/>
      </c>
      <c r="B28" s="683" t="s">
        <v>1068</v>
      </c>
      <c r="C28" s="683" t="s">
        <v>1069</v>
      </c>
      <c r="D28" s="683" t="s">
        <v>1201</v>
      </c>
      <c r="E28" s="683" t="s">
        <v>1202</v>
      </c>
      <c r="F28" s="683" t="s">
        <v>1122</v>
      </c>
      <c r="H28" s="61" t="str">
        <f t="shared" si="2"/>
        <v>Demand</v>
      </c>
      <c r="I28" s="61" t="str">
        <f t="shared" si="1"/>
        <v>TFRCO</v>
      </c>
      <c r="J28" s="61">
        <f>SUMIF(TRP!$D$62:$D$115,I28,TRP!$Z$62:$Z$115)</f>
        <v>22</v>
      </c>
    </row>
    <row r="29" spans="1:10" ht="15" x14ac:dyDescent="0.25">
      <c r="A29" s="683" t="str">
        <f t="shared" si="3"/>
        <v/>
      </c>
      <c r="B29" s="683" t="s">
        <v>1066</v>
      </c>
      <c r="C29" s="683" t="s">
        <v>1067</v>
      </c>
      <c r="D29" s="683" t="s">
        <v>1201</v>
      </c>
      <c r="E29" s="683" t="s">
        <v>1202</v>
      </c>
      <c r="F29" s="683" t="s">
        <v>1122</v>
      </c>
      <c r="H29" s="61" t="str">
        <f t="shared" si="2"/>
        <v>Demand</v>
      </c>
      <c r="I29" s="61" t="str">
        <f t="shared" si="1"/>
        <v>TFROT</v>
      </c>
      <c r="J29" s="61">
        <f>SUMIF(TRP!$D$62:$D$115,I29,TRP!$Z$62:$Z$115)</f>
        <v>27.142505514316674</v>
      </c>
    </row>
    <row r="30" spans="1:10" ht="15" x14ac:dyDescent="0.25">
      <c r="A30" s="683" t="str">
        <f t="shared" si="3"/>
        <v/>
      </c>
      <c r="B30" s="683" t="s">
        <v>1064</v>
      </c>
      <c r="C30" s="683" t="s">
        <v>1065</v>
      </c>
      <c r="D30" s="683" t="s">
        <v>1201</v>
      </c>
      <c r="E30" s="683" t="s">
        <v>1202</v>
      </c>
      <c r="F30" s="683" t="s">
        <v>1122</v>
      </c>
      <c r="H30" s="61" t="str">
        <f t="shared" si="2"/>
        <v>Demand</v>
      </c>
      <c r="I30" s="61" t="str">
        <f t="shared" si="1"/>
        <v>TFREX</v>
      </c>
      <c r="J30" s="61">
        <f>SUMIF(TRP!$D$62:$D$115,I30,TRP!$Z$62:$Z$115)</f>
        <v>88.67272717824568</v>
      </c>
    </row>
    <row r="31" spans="1:10" ht="15" x14ac:dyDescent="0.25">
      <c r="A31" s="683" t="str">
        <f t="shared" si="3"/>
        <v>*</v>
      </c>
      <c r="H31" s="61" t="s">
        <v>1124</v>
      </c>
      <c r="I31" s="61"/>
      <c r="J31" s="61"/>
    </row>
    <row r="32" spans="1:10" ht="15" x14ac:dyDescent="0.25">
      <c r="A32" s="683" t="str">
        <f t="shared" si="3"/>
        <v/>
      </c>
      <c r="B32" s="683" t="s">
        <v>1062</v>
      </c>
      <c r="C32" s="683" t="s">
        <v>1063</v>
      </c>
      <c r="D32" s="683" t="s">
        <v>20</v>
      </c>
      <c r="E32" s="683" t="s">
        <v>1202</v>
      </c>
      <c r="F32" s="683" t="s">
        <v>1122</v>
      </c>
      <c r="H32" s="61" t="str">
        <f t="shared" si="2"/>
        <v>Demand</v>
      </c>
      <c r="I32" s="61" t="str">
        <f t="shared" si="1"/>
        <v>TFPIP</v>
      </c>
      <c r="J32" s="61">
        <f>SUMIF(TRP!$D$62:$D$115,I32,TRP!$Z$62:$Z$115)</f>
        <v>1.641128256</v>
      </c>
    </row>
    <row r="33" spans="1:10" ht="15" x14ac:dyDescent="0.25">
      <c r="A33" s="683" t="str">
        <f t="shared" si="3"/>
        <v/>
      </c>
      <c r="B33" s="683" t="s">
        <v>1060</v>
      </c>
      <c r="C33" s="683" t="s">
        <v>1061</v>
      </c>
      <c r="D33" s="683" t="s">
        <v>20</v>
      </c>
      <c r="E33" s="683" t="s">
        <v>1202</v>
      </c>
      <c r="F33" s="683" t="s">
        <v>1122</v>
      </c>
      <c r="H33" s="61" t="str">
        <f t="shared" si="2"/>
        <v>Demand</v>
      </c>
      <c r="I33" s="61" t="str">
        <f t="shared" si="1"/>
        <v>TAIJET</v>
      </c>
      <c r="J33" s="61">
        <f>SUMIF(TRP!$D$62:$D$115,I33,TRP!$Z$62:$Z$115)</f>
        <v>68.938999999999993</v>
      </c>
    </row>
    <row r="34" spans="1:10" ht="15" x14ac:dyDescent="0.25">
      <c r="A34" s="683" t="str">
        <f t="shared" si="3"/>
        <v/>
      </c>
      <c r="B34" s="683" t="s">
        <v>1058</v>
      </c>
      <c r="C34" s="683" t="s">
        <v>1059</v>
      </c>
      <c r="D34" s="683" t="s">
        <v>20</v>
      </c>
      <c r="E34" s="683" t="s">
        <v>1202</v>
      </c>
      <c r="F34" s="683" t="s">
        <v>1122</v>
      </c>
      <c r="H34" s="61" t="str">
        <f t="shared" si="2"/>
        <v>Demand</v>
      </c>
      <c r="I34" s="61" t="str">
        <f t="shared" si="1"/>
        <v>TADJET</v>
      </c>
      <c r="J34" s="61">
        <f>SUMIF(TRP!$D$62:$D$115,I34,TRP!$Z$62:$Z$115)</f>
        <v>20.483000000000001</v>
      </c>
    </row>
    <row r="35" spans="1:10" ht="15" x14ac:dyDescent="0.25">
      <c r="A35" s="683" t="str">
        <f t="shared" si="3"/>
        <v/>
      </c>
      <c r="B35" s="683" t="s">
        <v>1056</v>
      </c>
      <c r="C35" s="683" t="s">
        <v>1057</v>
      </c>
      <c r="D35" s="683" t="s">
        <v>20</v>
      </c>
      <c r="E35" s="683" t="s">
        <v>1202</v>
      </c>
      <c r="F35" s="683" t="s">
        <v>1122</v>
      </c>
      <c r="H35" s="61" t="str">
        <f t="shared" si="2"/>
        <v>Demand</v>
      </c>
      <c r="I35" s="61" t="str">
        <f t="shared" si="1"/>
        <v>TAOAG</v>
      </c>
      <c r="J35" s="61">
        <f>SUMIF(TRP!$D$62:$D$115,I35,TRP!$Z$62:$Z$115)</f>
        <v>0.82199999999999995</v>
      </c>
    </row>
    <row r="36" spans="1:10" ht="15" x14ac:dyDescent="0.25">
      <c r="A36" s="683" t="str">
        <f t="shared" si="3"/>
        <v/>
      </c>
      <c r="B36" s="683" t="s">
        <v>1054</v>
      </c>
      <c r="C36" s="683" t="s">
        <v>1055</v>
      </c>
      <c r="D36" s="683" t="s">
        <v>20</v>
      </c>
      <c r="E36" s="683" t="s">
        <v>1202</v>
      </c>
      <c r="F36" s="683" t="s">
        <v>1122</v>
      </c>
      <c r="H36" s="61" t="str">
        <f t="shared" si="2"/>
        <v>Demand</v>
      </c>
      <c r="I36" s="61" t="str">
        <f t="shared" si="1"/>
        <v>TSHFO</v>
      </c>
      <c r="J36" s="61">
        <f>SUMIF(TRP!$D$62:$D$115,I36,TRP!$Z$62:$Z$115)</f>
        <v>2.77</v>
      </c>
    </row>
    <row r="37" spans="1:10" x14ac:dyDescent="0.2">
      <c r="D37" s="768"/>
      <c r="E37" s="768"/>
    </row>
    <row r="38" spans="1:10" x14ac:dyDescent="0.2">
      <c r="D38" s="768"/>
      <c r="E38" s="768"/>
    </row>
    <row r="39" spans="1:10" x14ac:dyDescent="0.2">
      <c r="D39" s="768"/>
      <c r="E39" s="768"/>
    </row>
    <row r="40" spans="1:10" x14ac:dyDescent="0.2">
      <c r="D40" s="768"/>
      <c r="E40" s="768"/>
    </row>
    <row r="41" spans="1:10" x14ac:dyDescent="0.2">
      <c r="D41" s="768"/>
      <c r="E41" s="768"/>
    </row>
    <row r="42" spans="1:10" x14ac:dyDescent="0.2">
      <c r="D42" s="768"/>
      <c r="E42" s="768"/>
    </row>
    <row r="43" spans="1:10" x14ac:dyDescent="0.2">
      <c r="D43" s="768"/>
      <c r="E43" s="768"/>
    </row>
    <row r="44" spans="1:10" x14ac:dyDescent="0.2">
      <c r="D44" s="768"/>
      <c r="E44" s="768"/>
    </row>
    <row r="45" spans="1:10" x14ac:dyDescent="0.2">
      <c r="D45" s="768"/>
      <c r="E45" s="768"/>
    </row>
    <row r="46" spans="1:10" x14ac:dyDescent="0.2">
      <c r="D46" s="768"/>
      <c r="E46" s="768"/>
    </row>
    <row r="47" spans="1:10" x14ac:dyDescent="0.2">
      <c r="D47" s="768"/>
      <c r="E47" s="768"/>
    </row>
    <row r="48" spans="1:10" x14ac:dyDescent="0.2">
      <c r="D48" s="768"/>
      <c r="E48" s="768"/>
    </row>
    <row r="49" spans="4:5" x14ac:dyDescent="0.2">
      <c r="D49" s="768"/>
      <c r="E49" s="768"/>
    </row>
    <row r="50" spans="4:5" x14ac:dyDescent="0.2">
      <c r="D50" s="768"/>
      <c r="E50" s="768"/>
    </row>
    <row r="51" spans="4:5" x14ac:dyDescent="0.2">
      <c r="D51" s="768"/>
      <c r="E51" s="768"/>
    </row>
    <row r="52" spans="4:5" x14ac:dyDescent="0.2">
      <c r="D52" s="768"/>
      <c r="E52" s="768"/>
    </row>
    <row r="53" spans="4:5" x14ac:dyDescent="0.2">
      <c r="D53" s="768"/>
      <c r="E53" s="768"/>
    </row>
    <row r="54" spans="4:5" x14ac:dyDescent="0.2">
      <c r="D54" s="768"/>
      <c r="E54" s="768"/>
    </row>
    <row r="55" spans="4:5" x14ac:dyDescent="0.2">
      <c r="D55" s="768"/>
      <c r="E55" s="768"/>
    </row>
    <row r="56" spans="4:5" x14ac:dyDescent="0.2">
      <c r="D56" s="768"/>
      <c r="E56" s="768"/>
    </row>
    <row r="57" spans="4:5" x14ac:dyDescent="0.2">
      <c r="D57" s="768"/>
      <c r="E57" s="768"/>
    </row>
    <row r="58" spans="4:5" x14ac:dyDescent="0.2">
      <c r="D58" s="768"/>
      <c r="E58" s="768"/>
    </row>
    <row r="59" spans="4:5" x14ac:dyDescent="0.2">
      <c r="D59" s="768"/>
      <c r="E59" s="768"/>
    </row>
    <row r="60" spans="4:5" x14ac:dyDescent="0.2">
      <c r="D60" s="768"/>
      <c r="E60" s="768"/>
    </row>
    <row r="61" spans="4:5" x14ac:dyDescent="0.2">
      <c r="D61" s="768"/>
      <c r="E61" s="768"/>
    </row>
    <row r="62" spans="4:5" x14ac:dyDescent="0.2">
      <c r="D62" s="768"/>
      <c r="E62" s="768"/>
    </row>
    <row r="63" spans="4:5" x14ac:dyDescent="0.2">
      <c r="D63" s="768"/>
      <c r="E63" s="768"/>
    </row>
    <row r="64" spans="4:5" x14ac:dyDescent="0.2">
      <c r="D64" s="768"/>
      <c r="E64" s="768"/>
    </row>
    <row r="65" spans="4:5" x14ac:dyDescent="0.2">
      <c r="D65" s="768"/>
      <c r="E65" s="768"/>
    </row>
    <row r="66" spans="4:5" x14ac:dyDescent="0.2">
      <c r="D66" s="768"/>
      <c r="E66" s="768"/>
    </row>
    <row r="67" spans="4:5" x14ac:dyDescent="0.2">
      <c r="D67" s="768"/>
      <c r="E67" s="768"/>
    </row>
    <row r="68" spans="4:5" x14ac:dyDescent="0.2">
      <c r="D68" s="768"/>
      <c r="E68" s="768"/>
    </row>
    <row r="69" spans="4:5" x14ac:dyDescent="0.2">
      <c r="D69" s="768"/>
      <c r="E69" s="768"/>
    </row>
    <row r="70" spans="4:5" x14ac:dyDescent="0.2">
      <c r="D70" s="768"/>
      <c r="E70" s="768"/>
    </row>
    <row r="71" spans="4:5" x14ac:dyDescent="0.2">
      <c r="D71" s="768"/>
      <c r="E71" s="768"/>
    </row>
    <row r="72" spans="4:5" x14ac:dyDescent="0.2">
      <c r="D72" s="768"/>
      <c r="E72" s="768"/>
    </row>
    <row r="73" spans="4:5" x14ac:dyDescent="0.2">
      <c r="D73" s="768"/>
      <c r="E73" s="768"/>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49BB0-796B-41A4-8B48-861A37C5740F}">
  <sheetPr codeName="Sheet9"/>
  <dimension ref="A1:T89"/>
  <sheetViews>
    <sheetView workbookViewId="0">
      <selection activeCell="T5" sqref="T5"/>
    </sheetView>
  </sheetViews>
  <sheetFormatPr defaultRowHeight="15" x14ac:dyDescent="0.25"/>
  <cols>
    <col min="2" max="2" width="15" bestFit="1" customWidth="1"/>
    <col min="7" max="7" width="14.28515625" bestFit="1" customWidth="1"/>
  </cols>
  <sheetData>
    <row r="1" spans="1:20" x14ac:dyDescent="0.25">
      <c r="F1" s="1" t="s">
        <v>1039</v>
      </c>
    </row>
    <row r="2" spans="1:20" x14ac:dyDescent="0.25">
      <c r="A2" t="s">
        <v>1373</v>
      </c>
      <c r="B2" t="s">
        <v>1374</v>
      </c>
      <c r="C2" t="s">
        <v>1375</v>
      </c>
      <c r="D2" t="s">
        <v>1376</v>
      </c>
      <c r="F2" s="776" t="s">
        <v>1190</v>
      </c>
      <c r="G2" s="776" t="s">
        <v>1291</v>
      </c>
      <c r="H2" s="776" t="s">
        <v>201</v>
      </c>
      <c r="I2" s="776" t="s">
        <v>200</v>
      </c>
    </row>
    <row r="3" spans="1:20" x14ac:dyDescent="0.25">
      <c r="A3" s="61">
        <v>1</v>
      </c>
      <c r="B3" t="str">
        <f>INDEX(NT_TRP!$B$18:$B$107,MATCH(A3,NT_TRP!$N$18:$N$107,0))</f>
        <v>TPPRSUVODS-N</v>
      </c>
      <c r="C3" t="str">
        <f>INDEX($S$5:$S$89,MATCH(B3,$T$5:$T$89,0))</f>
        <v>SUV</v>
      </c>
      <c r="D3" s="61">
        <f>INDEX($Q$5:$Q$18,MATCH(C3,$P$5:$P$18,0))</f>
        <v>0.04</v>
      </c>
      <c r="F3" s="776" t="s">
        <v>1292</v>
      </c>
      <c r="G3" s="776" t="s">
        <v>1293</v>
      </c>
      <c r="H3" s="776">
        <v>1</v>
      </c>
      <c r="I3" s="776">
        <f>(EXP(-((D3)*H3)))</f>
        <v>0.96078943915232318</v>
      </c>
      <c r="P3" s="61" t="s">
        <v>1465</v>
      </c>
      <c r="Q3" s="61"/>
    </row>
    <row r="4" spans="1:20" x14ac:dyDescent="0.25">
      <c r="A4" s="61">
        <v>1</v>
      </c>
      <c r="B4" t="str">
        <f>INDEX(NT_TRP!$B$18:$B$107,MATCH(A4,NT_TRP!$N$18:$N$107,0))</f>
        <v>TPPRSUVODS-N</v>
      </c>
      <c r="C4" t="str">
        <f t="shared" ref="C4:C7" si="0">INDEX($S$5:$S$89,MATCH(B4,$T$5:$T$89,0))</f>
        <v>SUV</v>
      </c>
      <c r="D4" s="61">
        <f t="shared" ref="D4:D7" si="1">INDEX($Q$5:$Q$18,MATCH(C4,$P$5:$P$18,0))</f>
        <v>0.04</v>
      </c>
      <c r="F4" s="776" t="s">
        <v>1292</v>
      </c>
      <c r="G4" s="776" t="s">
        <v>1293</v>
      </c>
      <c r="H4" s="776">
        <v>5</v>
      </c>
      <c r="I4" s="776">
        <f t="shared" ref="I4:I7" si="2">(EXP(-((D4)*H4)))</f>
        <v>0.81873075307798182</v>
      </c>
      <c r="P4" s="61" t="s">
        <v>1375</v>
      </c>
      <c r="Q4" s="61" t="s">
        <v>1464</v>
      </c>
      <c r="S4" t="s">
        <v>1375</v>
      </c>
      <c r="T4" t="s">
        <v>1374</v>
      </c>
    </row>
    <row r="5" spans="1:20" x14ac:dyDescent="0.25">
      <c r="A5" s="61">
        <v>1</v>
      </c>
      <c r="B5" t="str">
        <f>INDEX(NT_TRP!$B$18:$B$107,MATCH(A5,NT_TRP!$N$18:$N$107,0))</f>
        <v>TPPRSUVODS-N</v>
      </c>
      <c r="C5" t="str">
        <f t="shared" si="0"/>
        <v>SUV</v>
      </c>
      <c r="D5" s="61">
        <f t="shared" si="1"/>
        <v>0.04</v>
      </c>
      <c r="F5" s="776" t="s">
        <v>1292</v>
      </c>
      <c r="G5" s="776" t="s">
        <v>1293</v>
      </c>
      <c r="H5" s="776">
        <v>10</v>
      </c>
      <c r="I5" s="776">
        <f t="shared" si="2"/>
        <v>0.67032004603563933</v>
      </c>
      <c r="P5" s="61" t="s">
        <v>563</v>
      </c>
      <c r="Q5" s="61">
        <v>9.8299999999999998E-2</v>
      </c>
      <c r="S5" t="str">
        <f>MID(T5,5,3)</f>
        <v>SUV</v>
      </c>
      <c r="T5" t="s">
        <v>1386</v>
      </c>
    </row>
    <row r="6" spans="1:20" x14ac:dyDescent="0.25">
      <c r="A6" s="61">
        <v>1</v>
      </c>
      <c r="B6" t="str">
        <f>INDEX(NT_TRP!$B$18:$B$107,MATCH(A6,NT_TRP!$N$18:$N$107,0))</f>
        <v>TPPRSUVODS-N</v>
      </c>
      <c r="C6" t="str">
        <f t="shared" si="0"/>
        <v>SUV</v>
      </c>
      <c r="D6" s="61">
        <f t="shared" si="1"/>
        <v>0.04</v>
      </c>
      <c r="F6" s="776" t="s">
        <v>1292</v>
      </c>
      <c r="G6" s="776" t="s">
        <v>1293</v>
      </c>
      <c r="H6" s="776">
        <v>30</v>
      </c>
      <c r="I6" s="776">
        <f t="shared" si="2"/>
        <v>0.30119421191220214</v>
      </c>
      <c r="P6" s="61" t="s">
        <v>555</v>
      </c>
      <c r="Q6" s="61">
        <v>0.04</v>
      </c>
      <c r="S6" t="str">
        <f t="shared" ref="S6:S46" si="3">MID(T6,5,3)</f>
        <v>SUV</v>
      </c>
      <c r="T6" t="s">
        <v>1387</v>
      </c>
    </row>
    <row r="7" spans="1:20" x14ac:dyDescent="0.25">
      <c r="A7" s="61">
        <v>1</v>
      </c>
      <c r="B7" t="str">
        <f>INDEX(NT_TRP!$B$18:$B$107,MATCH(A7,NT_TRP!$N$18:$N$107,0))</f>
        <v>TPPRSUVODS-N</v>
      </c>
      <c r="C7" t="str">
        <f t="shared" si="0"/>
        <v>SUV</v>
      </c>
      <c r="D7" s="61">
        <f t="shared" si="1"/>
        <v>0.04</v>
      </c>
      <c r="F7" s="776" t="s">
        <v>1292</v>
      </c>
      <c r="G7" s="776" t="s">
        <v>1293</v>
      </c>
      <c r="H7" s="776">
        <v>50</v>
      </c>
      <c r="I7" s="776">
        <f t="shared" si="2"/>
        <v>0.1353352832366127</v>
      </c>
      <c r="P7" s="61" t="s">
        <v>1377</v>
      </c>
      <c r="Q7" s="61">
        <v>8.8800000000000004E-2</v>
      </c>
      <c r="S7" t="str">
        <f t="shared" si="3"/>
        <v>SUV</v>
      </c>
      <c r="T7" t="s">
        <v>1388</v>
      </c>
    </row>
    <row r="8" spans="1:20" x14ac:dyDescent="0.25">
      <c r="P8" s="61" t="s">
        <v>1378</v>
      </c>
      <c r="Q8" s="61">
        <v>6.1800000000000001E-2</v>
      </c>
      <c r="S8" t="str">
        <f t="shared" si="3"/>
        <v>SUV</v>
      </c>
      <c r="T8" t="s">
        <v>1389</v>
      </c>
    </row>
    <row r="9" spans="1:20" x14ac:dyDescent="0.25">
      <c r="P9" s="61" t="s">
        <v>1379</v>
      </c>
      <c r="Q9" s="61">
        <v>6.5600000000000006E-2</v>
      </c>
      <c r="S9" t="str">
        <f t="shared" si="3"/>
        <v>SUV</v>
      </c>
      <c r="T9" t="s">
        <v>1390</v>
      </c>
    </row>
    <row r="10" spans="1:20" x14ac:dyDescent="0.25">
      <c r="P10" s="61" t="s">
        <v>1380</v>
      </c>
      <c r="Q10" s="61">
        <v>6.5600000000000006E-2</v>
      </c>
      <c r="S10" t="str">
        <f t="shared" si="3"/>
        <v>SUV</v>
      </c>
      <c r="T10" t="s">
        <v>1391</v>
      </c>
    </row>
    <row r="11" spans="1:20" x14ac:dyDescent="0.25">
      <c r="P11" s="61" t="s">
        <v>1381</v>
      </c>
      <c r="Q11" s="61">
        <v>6.5600000000000006E-2</v>
      </c>
      <c r="S11" t="str">
        <f t="shared" si="3"/>
        <v>SUV</v>
      </c>
      <c r="T11" t="s">
        <v>1392</v>
      </c>
    </row>
    <row r="12" spans="1:20" x14ac:dyDescent="0.25">
      <c r="P12" s="61" t="s">
        <v>1382</v>
      </c>
      <c r="Q12" s="61">
        <v>9.8299999999999998E-2</v>
      </c>
      <c r="S12" t="str">
        <f t="shared" si="3"/>
        <v>SUV</v>
      </c>
      <c r="T12" t="s">
        <v>1393</v>
      </c>
    </row>
    <row r="13" spans="1:20" x14ac:dyDescent="0.25">
      <c r="P13" s="61" t="s">
        <v>1383</v>
      </c>
      <c r="Q13" s="61">
        <v>9.8000000000000004E-2</v>
      </c>
      <c r="S13" t="str">
        <f t="shared" si="3"/>
        <v/>
      </c>
    </row>
    <row r="14" spans="1:20" x14ac:dyDescent="0.25">
      <c r="P14" s="61" t="s">
        <v>1384</v>
      </c>
      <c r="Q14" s="61">
        <v>9.8000000000000004E-2</v>
      </c>
      <c r="S14" t="str">
        <f t="shared" si="3"/>
        <v>CAR</v>
      </c>
      <c r="T14" t="s">
        <v>1394</v>
      </c>
    </row>
    <row r="15" spans="1:20" x14ac:dyDescent="0.25">
      <c r="P15" s="61" t="s">
        <v>1385</v>
      </c>
      <c r="Q15" s="61">
        <v>9.8000000000000004E-2</v>
      </c>
      <c r="S15" t="str">
        <f t="shared" si="3"/>
        <v>CAR</v>
      </c>
      <c r="T15" t="s">
        <v>1395</v>
      </c>
    </row>
    <row r="16" spans="1:20" x14ac:dyDescent="0.25">
      <c r="P16" s="61" t="s">
        <v>63</v>
      </c>
      <c r="Q16" s="61">
        <v>7.4999999999999997E-2</v>
      </c>
      <c r="S16" t="str">
        <f t="shared" si="3"/>
        <v>CAR</v>
      </c>
      <c r="T16" t="s">
        <v>1396</v>
      </c>
    </row>
    <row r="17" spans="16:20" x14ac:dyDescent="0.25">
      <c r="P17" s="61" t="s">
        <v>61</v>
      </c>
      <c r="Q17" s="61">
        <v>0.04</v>
      </c>
      <c r="S17" t="str">
        <f t="shared" si="3"/>
        <v>CAR</v>
      </c>
      <c r="T17" t="s">
        <v>1397</v>
      </c>
    </row>
    <row r="18" spans="16:20" x14ac:dyDescent="0.25">
      <c r="P18" s="61" t="s">
        <v>460</v>
      </c>
      <c r="Q18" s="61">
        <v>0.04</v>
      </c>
      <c r="S18" t="str">
        <f t="shared" si="3"/>
        <v>CAR</v>
      </c>
      <c r="T18" t="s">
        <v>1398</v>
      </c>
    </row>
    <row r="19" spans="16:20" x14ac:dyDescent="0.25">
      <c r="P19" s="61"/>
      <c r="Q19" s="61"/>
      <c r="S19" t="str">
        <f t="shared" si="3"/>
        <v>CAR</v>
      </c>
      <c r="T19" t="s">
        <v>1399</v>
      </c>
    </row>
    <row r="20" spans="16:20" x14ac:dyDescent="0.25">
      <c r="P20" s="61"/>
      <c r="Q20" s="61"/>
      <c r="S20" t="str">
        <f t="shared" si="3"/>
        <v>CAR</v>
      </c>
      <c r="T20" t="s">
        <v>1400</v>
      </c>
    </row>
    <row r="21" spans="16:20" x14ac:dyDescent="0.25">
      <c r="S21" t="str">
        <f t="shared" si="3"/>
        <v>CAR</v>
      </c>
      <c r="T21" t="s">
        <v>1401</v>
      </c>
    </row>
    <row r="22" spans="16:20" x14ac:dyDescent="0.25">
      <c r="S22" t="str">
        <f t="shared" si="3"/>
        <v/>
      </c>
    </row>
    <row r="23" spans="16:20" x14ac:dyDescent="0.25">
      <c r="S23" t="str">
        <f t="shared" si="3"/>
        <v>MOT</v>
      </c>
      <c r="T23" t="s">
        <v>514</v>
      </c>
    </row>
    <row r="24" spans="16:20" x14ac:dyDescent="0.25">
      <c r="S24" t="str">
        <f t="shared" si="3"/>
        <v>MOT</v>
      </c>
      <c r="T24" t="s">
        <v>1402</v>
      </c>
    </row>
    <row r="25" spans="16:20" x14ac:dyDescent="0.25">
      <c r="S25" t="str">
        <f t="shared" si="3"/>
        <v/>
      </c>
    </row>
    <row r="26" spans="16:20" x14ac:dyDescent="0.25">
      <c r="S26" t="str">
        <f t="shared" si="3"/>
        <v>BUS</v>
      </c>
      <c r="T26" t="s">
        <v>1403</v>
      </c>
    </row>
    <row r="27" spans="16:20" x14ac:dyDescent="0.25">
      <c r="S27" t="str">
        <f t="shared" si="3"/>
        <v>BUS</v>
      </c>
      <c r="T27" t="s">
        <v>1404</v>
      </c>
    </row>
    <row r="28" spans="16:20" x14ac:dyDescent="0.25">
      <c r="S28" t="str">
        <f t="shared" si="3"/>
        <v>BUS</v>
      </c>
      <c r="T28" t="s">
        <v>1405</v>
      </c>
    </row>
    <row r="29" spans="16:20" x14ac:dyDescent="0.25">
      <c r="S29" t="str">
        <f t="shared" si="3"/>
        <v>BUS</v>
      </c>
      <c r="T29" t="s">
        <v>1406</v>
      </c>
    </row>
    <row r="30" spans="16:20" x14ac:dyDescent="0.25">
      <c r="S30" t="str">
        <f t="shared" si="3"/>
        <v>BUS</v>
      </c>
      <c r="T30" t="s">
        <v>1407</v>
      </c>
    </row>
    <row r="31" spans="16:20" x14ac:dyDescent="0.25">
      <c r="S31" t="str">
        <f t="shared" si="3"/>
        <v/>
      </c>
    </row>
    <row r="32" spans="16:20" x14ac:dyDescent="0.25">
      <c r="S32" t="str">
        <f t="shared" si="3"/>
        <v>MBT</v>
      </c>
      <c r="T32" t="s">
        <v>1408</v>
      </c>
    </row>
    <row r="33" spans="19:20" x14ac:dyDescent="0.25">
      <c r="S33" t="str">
        <f t="shared" si="3"/>
        <v>MBT</v>
      </c>
      <c r="T33" t="s">
        <v>1409</v>
      </c>
    </row>
    <row r="34" spans="19:20" x14ac:dyDescent="0.25">
      <c r="S34" t="str">
        <f t="shared" si="3"/>
        <v>MBT</v>
      </c>
      <c r="T34" t="s">
        <v>1410</v>
      </c>
    </row>
    <row r="35" spans="19:20" x14ac:dyDescent="0.25">
      <c r="S35" t="str">
        <f t="shared" si="3"/>
        <v>MBT</v>
      </c>
      <c r="T35" t="s">
        <v>1411</v>
      </c>
    </row>
    <row r="36" spans="19:20" x14ac:dyDescent="0.25">
      <c r="S36" t="str">
        <f t="shared" si="3"/>
        <v>MBT</v>
      </c>
      <c r="T36" t="s">
        <v>1412</v>
      </c>
    </row>
    <row r="37" spans="19:20" x14ac:dyDescent="0.25">
      <c r="S37" t="str">
        <f t="shared" si="3"/>
        <v>MBT</v>
      </c>
      <c r="T37" t="s">
        <v>1413</v>
      </c>
    </row>
    <row r="38" spans="19:20" x14ac:dyDescent="0.25">
      <c r="S38" t="str">
        <f t="shared" si="3"/>
        <v>MBT</v>
      </c>
      <c r="T38" t="s">
        <v>1414</v>
      </c>
    </row>
    <row r="39" spans="19:20" x14ac:dyDescent="0.25">
      <c r="S39" t="str">
        <f t="shared" si="3"/>
        <v/>
      </c>
    </row>
    <row r="40" spans="19:20" x14ac:dyDescent="0.25">
      <c r="S40" t="str">
        <f t="shared" si="3"/>
        <v>BRT</v>
      </c>
      <c r="T40" t="s">
        <v>650</v>
      </c>
    </row>
    <row r="41" spans="19:20" x14ac:dyDescent="0.25">
      <c r="S41" t="str">
        <f t="shared" si="3"/>
        <v>BRT</v>
      </c>
      <c r="T41" t="s">
        <v>1415</v>
      </c>
    </row>
    <row r="42" spans="19:20" x14ac:dyDescent="0.25">
      <c r="S42" t="str">
        <f t="shared" si="3"/>
        <v>BRT</v>
      </c>
      <c r="T42" t="s">
        <v>1416</v>
      </c>
    </row>
    <row r="43" spans="19:20" x14ac:dyDescent="0.25">
      <c r="S43" t="str">
        <f t="shared" si="3"/>
        <v>BRT</v>
      </c>
      <c r="T43" t="s">
        <v>1417</v>
      </c>
    </row>
    <row r="44" spans="19:20" x14ac:dyDescent="0.25">
      <c r="S44" t="str">
        <f t="shared" si="3"/>
        <v>BRT</v>
      </c>
      <c r="T44" t="s">
        <v>1418</v>
      </c>
    </row>
    <row r="45" spans="19:20" x14ac:dyDescent="0.25">
      <c r="S45" t="str">
        <f t="shared" si="3"/>
        <v/>
      </c>
    </row>
    <row r="46" spans="19:20" x14ac:dyDescent="0.25">
      <c r="S46" t="str">
        <f t="shared" si="3"/>
        <v/>
      </c>
    </row>
    <row r="47" spans="19:20" x14ac:dyDescent="0.25">
      <c r="S47" t="str">
        <f>MID(T47,3,3)</f>
        <v>LCV</v>
      </c>
      <c r="T47" t="s">
        <v>1419</v>
      </c>
    </row>
    <row r="48" spans="19:20" x14ac:dyDescent="0.25">
      <c r="S48" t="str">
        <f t="shared" ref="S48:S53" si="4">MID(T48,3,3)</f>
        <v>LCV</v>
      </c>
      <c r="T48" t="s">
        <v>1420</v>
      </c>
    </row>
    <row r="49" spans="19:20" x14ac:dyDescent="0.25">
      <c r="S49" t="str">
        <f t="shared" si="4"/>
        <v>LCV</v>
      </c>
      <c r="T49" t="s">
        <v>1421</v>
      </c>
    </row>
    <row r="50" spans="19:20" x14ac:dyDescent="0.25">
      <c r="S50" t="str">
        <f t="shared" si="4"/>
        <v>LCV</v>
      </c>
      <c r="T50" t="s">
        <v>1422</v>
      </c>
    </row>
    <row r="51" spans="19:20" x14ac:dyDescent="0.25">
      <c r="S51" t="str">
        <f t="shared" si="4"/>
        <v>LCV</v>
      </c>
      <c r="T51" t="s">
        <v>1423</v>
      </c>
    </row>
    <row r="52" spans="19:20" x14ac:dyDescent="0.25">
      <c r="S52" t="str">
        <f t="shared" si="4"/>
        <v>LCV</v>
      </c>
      <c r="T52" t="s">
        <v>1424</v>
      </c>
    </row>
    <row r="53" spans="19:20" x14ac:dyDescent="0.25">
      <c r="S53" t="str">
        <f t="shared" si="4"/>
        <v/>
      </c>
    </row>
    <row r="54" spans="19:20" x14ac:dyDescent="0.25">
      <c r="S54" t="str">
        <f>MID(T54,3,4)</f>
        <v>HCV1</v>
      </c>
      <c r="T54" t="s">
        <v>1425</v>
      </c>
    </row>
    <row r="55" spans="19:20" x14ac:dyDescent="0.25">
      <c r="S55" t="str">
        <f t="shared" ref="S55:S89" si="5">MID(T55,3,4)</f>
        <v>HCV1</v>
      </c>
      <c r="T55" t="s">
        <v>1426</v>
      </c>
    </row>
    <row r="56" spans="19:20" x14ac:dyDescent="0.25">
      <c r="S56" t="str">
        <f t="shared" si="5"/>
        <v>HCV2</v>
      </c>
      <c r="T56" t="s">
        <v>1427</v>
      </c>
    </row>
    <row r="57" spans="19:20" x14ac:dyDescent="0.25">
      <c r="S57" t="str">
        <f t="shared" si="5"/>
        <v>HCV3</v>
      </c>
      <c r="T57" t="s">
        <v>1428</v>
      </c>
    </row>
    <row r="58" spans="19:20" x14ac:dyDescent="0.25">
      <c r="S58" t="str">
        <f t="shared" si="5"/>
        <v>HCV4</v>
      </c>
      <c r="T58" t="s">
        <v>1429</v>
      </c>
    </row>
    <row r="59" spans="19:20" x14ac:dyDescent="0.25">
      <c r="S59" t="str">
        <f t="shared" si="5"/>
        <v>HCV5</v>
      </c>
      <c r="T59" t="s">
        <v>1430</v>
      </c>
    </row>
    <row r="60" spans="19:20" x14ac:dyDescent="0.25">
      <c r="S60" t="str">
        <f t="shared" si="5"/>
        <v>HCV6</v>
      </c>
      <c r="T60" t="s">
        <v>1431</v>
      </c>
    </row>
    <row r="61" spans="19:20" x14ac:dyDescent="0.25">
      <c r="S61" t="str">
        <f t="shared" si="5"/>
        <v>HCV7</v>
      </c>
      <c r="T61" t="s">
        <v>1432</v>
      </c>
    </row>
    <row r="62" spans="19:20" x14ac:dyDescent="0.25">
      <c r="S62" t="str">
        <f t="shared" si="5"/>
        <v>HCV8</v>
      </c>
      <c r="T62" t="s">
        <v>1433</v>
      </c>
    </row>
    <row r="63" spans="19:20" x14ac:dyDescent="0.25">
      <c r="S63" t="str">
        <f t="shared" si="5"/>
        <v>HCV9</v>
      </c>
      <c r="T63" t="s">
        <v>1434</v>
      </c>
    </row>
    <row r="64" spans="19:20" x14ac:dyDescent="0.25">
      <c r="S64" t="str">
        <f t="shared" si="5"/>
        <v>HCV1</v>
      </c>
      <c r="T64" t="s">
        <v>1435</v>
      </c>
    </row>
    <row r="65" spans="19:20" x14ac:dyDescent="0.25">
      <c r="S65" t="str">
        <f t="shared" si="5"/>
        <v>HCV2</v>
      </c>
      <c r="T65" t="s">
        <v>1436</v>
      </c>
    </row>
    <row r="66" spans="19:20" x14ac:dyDescent="0.25">
      <c r="S66" t="str">
        <f t="shared" si="5"/>
        <v>HCV3</v>
      </c>
      <c r="T66" t="s">
        <v>1437</v>
      </c>
    </row>
    <row r="67" spans="19:20" x14ac:dyDescent="0.25">
      <c r="S67" t="str">
        <f t="shared" si="5"/>
        <v>HCV4</v>
      </c>
      <c r="T67" t="s">
        <v>1438</v>
      </c>
    </row>
    <row r="68" spans="19:20" x14ac:dyDescent="0.25">
      <c r="S68" t="str">
        <f t="shared" si="5"/>
        <v>HCV5</v>
      </c>
      <c r="T68" t="s">
        <v>1439</v>
      </c>
    </row>
    <row r="69" spans="19:20" x14ac:dyDescent="0.25">
      <c r="S69" t="str">
        <f t="shared" si="5"/>
        <v>HCV6</v>
      </c>
      <c r="T69" t="s">
        <v>1440</v>
      </c>
    </row>
    <row r="70" spans="19:20" x14ac:dyDescent="0.25">
      <c r="S70" t="str">
        <f t="shared" si="5"/>
        <v>HCV7</v>
      </c>
      <c r="T70" t="s">
        <v>1441</v>
      </c>
    </row>
    <row r="71" spans="19:20" x14ac:dyDescent="0.25">
      <c r="S71" t="str">
        <f t="shared" si="5"/>
        <v>HCV8</v>
      </c>
      <c r="T71" t="s">
        <v>1442</v>
      </c>
    </row>
    <row r="72" spans="19:20" x14ac:dyDescent="0.25">
      <c r="S72" t="str">
        <f t="shared" si="5"/>
        <v>HCV9</v>
      </c>
      <c r="T72" t="s">
        <v>1443</v>
      </c>
    </row>
    <row r="73" spans="19:20" x14ac:dyDescent="0.25">
      <c r="S73" t="str">
        <f t="shared" si="5"/>
        <v>HCV1</v>
      </c>
      <c r="T73" t="s">
        <v>1444</v>
      </c>
    </row>
    <row r="74" spans="19:20" x14ac:dyDescent="0.25">
      <c r="S74" t="str">
        <f t="shared" si="5"/>
        <v>HCV2</v>
      </c>
      <c r="T74" t="s">
        <v>1445</v>
      </c>
    </row>
    <row r="75" spans="19:20" x14ac:dyDescent="0.25">
      <c r="S75" t="str">
        <f t="shared" si="5"/>
        <v>HCV3</v>
      </c>
      <c r="T75" t="s">
        <v>1446</v>
      </c>
    </row>
    <row r="76" spans="19:20" x14ac:dyDescent="0.25">
      <c r="S76" t="str">
        <f t="shared" si="5"/>
        <v>HCV4</v>
      </c>
      <c r="T76" t="s">
        <v>1447</v>
      </c>
    </row>
    <row r="77" spans="19:20" x14ac:dyDescent="0.25">
      <c r="S77" t="str">
        <f t="shared" si="5"/>
        <v>HCV5</v>
      </c>
      <c r="T77" t="s">
        <v>1448</v>
      </c>
    </row>
    <row r="78" spans="19:20" x14ac:dyDescent="0.25">
      <c r="S78" t="str">
        <f t="shared" si="5"/>
        <v>HCV6</v>
      </c>
      <c r="T78" t="s">
        <v>1449</v>
      </c>
    </row>
    <row r="79" spans="19:20" x14ac:dyDescent="0.25">
      <c r="S79" t="str">
        <f t="shared" si="5"/>
        <v>HCV7</v>
      </c>
      <c r="T79" t="s">
        <v>1450</v>
      </c>
    </row>
    <row r="80" spans="19:20" x14ac:dyDescent="0.25">
      <c r="S80" t="str">
        <f t="shared" si="5"/>
        <v>HCV8</v>
      </c>
      <c r="T80" t="s">
        <v>1451</v>
      </c>
    </row>
    <row r="81" spans="19:20" x14ac:dyDescent="0.25">
      <c r="S81" t="str">
        <f t="shared" si="5"/>
        <v>HCV9</v>
      </c>
      <c r="T81" t="s">
        <v>1452</v>
      </c>
    </row>
    <row r="82" spans="19:20" x14ac:dyDescent="0.25">
      <c r="S82" t="str">
        <f t="shared" si="5"/>
        <v>HCV2</v>
      </c>
      <c r="T82" t="s">
        <v>1453</v>
      </c>
    </row>
    <row r="83" spans="19:20" x14ac:dyDescent="0.25">
      <c r="S83" t="str">
        <f t="shared" si="5"/>
        <v>HCV3</v>
      </c>
      <c r="T83" t="s">
        <v>1454</v>
      </c>
    </row>
    <row r="84" spans="19:20" x14ac:dyDescent="0.25">
      <c r="S84" t="str">
        <f t="shared" si="5"/>
        <v>HCV4</v>
      </c>
      <c r="T84" t="s">
        <v>1455</v>
      </c>
    </row>
    <row r="85" spans="19:20" x14ac:dyDescent="0.25">
      <c r="S85" t="str">
        <f t="shared" si="5"/>
        <v>HCV5</v>
      </c>
      <c r="T85" t="s">
        <v>1456</v>
      </c>
    </row>
    <row r="86" spans="19:20" x14ac:dyDescent="0.25">
      <c r="S86" t="str">
        <f t="shared" si="5"/>
        <v>HCV6</v>
      </c>
      <c r="T86" t="s">
        <v>1457</v>
      </c>
    </row>
    <row r="87" spans="19:20" x14ac:dyDescent="0.25">
      <c r="S87" t="str">
        <f t="shared" si="5"/>
        <v>HCV7</v>
      </c>
      <c r="T87" t="s">
        <v>1458</v>
      </c>
    </row>
    <row r="88" spans="19:20" x14ac:dyDescent="0.25">
      <c r="S88" t="str">
        <f t="shared" si="5"/>
        <v>HCV8</v>
      </c>
      <c r="T88" t="s">
        <v>1459</v>
      </c>
    </row>
    <row r="89" spans="19:20" x14ac:dyDescent="0.25">
      <c r="S89" t="str">
        <f t="shared" si="5"/>
        <v>HCV9</v>
      </c>
      <c r="T89" t="s">
        <v>1460</v>
      </c>
    </row>
  </sheetData>
  <phoneticPr fontId="129"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7321-D5C5-41B6-8923-530F0F7CCFF0}">
  <sheetPr codeName="Sheet8">
    <tabColor theme="5"/>
  </sheetPr>
  <dimension ref="A1:AO172"/>
  <sheetViews>
    <sheetView topLeftCell="B55" workbookViewId="0">
      <selection activeCell="J24" sqref="J24"/>
    </sheetView>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2:39" x14ac:dyDescent="0.25">
      <c r="B1" t="s">
        <v>496</v>
      </c>
    </row>
    <row r="2" spans="2:39" x14ac:dyDescent="0.25">
      <c r="B2" t="s">
        <v>495</v>
      </c>
    </row>
    <row r="3" spans="2:39" x14ac:dyDescent="0.25">
      <c r="B3" t="s">
        <v>494</v>
      </c>
    </row>
    <row r="5" spans="2:39" x14ac:dyDescent="0.25">
      <c r="P5">
        <f>242/320</f>
        <v>0.75624999999999998</v>
      </c>
    </row>
    <row r="7" spans="2:39" x14ac:dyDescent="0.25">
      <c r="C7" t="s">
        <v>493</v>
      </c>
      <c r="D7" t="s">
        <v>489</v>
      </c>
      <c r="E7" s="61">
        <v>34.200000000000003</v>
      </c>
      <c r="F7" t="s">
        <v>492</v>
      </c>
      <c r="H7" s="160"/>
      <c r="I7" s="161" t="s">
        <v>491</v>
      </c>
    </row>
    <row r="8" spans="2:39" x14ac:dyDescent="0.25">
      <c r="C8" t="s">
        <v>490</v>
      </c>
      <c r="D8" t="s">
        <v>489</v>
      </c>
      <c r="E8" s="61">
        <v>38.1</v>
      </c>
      <c r="F8" t="s">
        <v>488</v>
      </c>
      <c r="H8" s="160"/>
      <c r="I8" s="137">
        <f>(SUMPRODUCT(J18:J20,N18:N20)+SUMPRODUCT(C18:C21,F18:F21))/(SUM(F18:F21)+SUM(N18:N20))</f>
        <v>13715.678991362722</v>
      </c>
    </row>
    <row r="9" spans="2:39" x14ac:dyDescent="0.25">
      <c r="G9" t="s">
        <v>487</v>
      </c>
      <c r="H9" s="67">
        <v>0.98651860575392236</v>
      </c>
      <c r="I9" s="67"/>
      <c r="J9" s="67"/>
      <c r="K9" s="67"/>
    </row>
    <row r="10" spans="2:39" x14ac:dyDescent="0.25">
      <c r="B10" s="69" t="s">
        <v>486</v>
      </c>
      <c r="G10" t="s">
        <v>485</v>
      </c>
      <c r="H10" s="67">
        <v>1.0234574055512917</v>
      </c>
      <c r="I10" s="67"/>
      <c r="J10" s="67"/>
      <c r="K10" s="67"/>
    </row>
    <row r="11" spans="2:39" x14ac:dyDescent="0.25">
      <c r="D11" s="69" t="s">
        <v>484</v>
      </c>
      <c r="L11" s="69" t="s">
        <v>477</v>
      </c>
      <c r="R11" s="69" t="s">
        <v>140</v>
      </c>
      <c r="T11" s="69" t="s">
        <v>483</v>
      </c>
      <c r="U11" s="69"/>
      <c r="AF11" t="s">
        <v>477</v>
      </c>
      <c r="AG11" t="s">
        <v>140</v>
      </c>
      <c r="AL11" t="s">
        <v>477</v>
      </c>
      <c r="AM11" t="s">
        <v>140</v>
      </c>
    </row>
    <row r="12" spans="2: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2: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2:39" ht="15.75" thickTop="1" x14ac:dyDescent="0.25">
      <c r="B14" s="15" t="s">
        <v>463</v>
      </c>
      <c r="H14" s="159">
        <f>EB_2017!AF71</f>
        <v>381580</v>
      </c>
      <c r="L14" s="112"/>
      <c r="M14" s="112"/>
      <c r="N14" s="112"/>
      <c r="O14" s="112"/>
      <c r="P14" s="131">
        <v>333000</v>
      </c>
      <c r="Q14" s="131"/>
      <c r="S14" s="159">
        <v>71.063999999999993</v>
      </c>
      <c r="AD14" s="67"/>
      <c r="AF14" s="158"/>
      <c r="AG14" s="157"/>
      <c r="AL14" s="156"/>
      <c r="AM14" s="155"/>
    </row>
    <row r="15" spans="2:39" x14ac:dyDescent="0.25">
      <c r="B15" s="154" t="s">
        <v>462</v>
      </c>
      <c r="H15" s="153">
        <f>SUM(H17:H36)</f>
        <v>381637.9829411988</v>
      </c>
      <c r="L15" s="112"/>
      <c r="M15" s="112"/>
      <c r="N15" s="112"/>
      <c r="O15" s="112"/>
      <c r="P15" s="153">
        <f>SUM(P17:P41)-P37</f>
        <v>402494.4371791642</v>
      </c>
      <c r="Q15" s="131"/>
      <c r="S15" s="132">
        <f>SUM(S17:S41)-S37</f>
        <v>11809.512000000001</v>
      </c>
      <c r="AD15" s="67"/>
      <c r="AF15" s="122"/>
      <c r="AG15" s="121"/>
      <c r="AL15" s="120"/>
      <c r="AM15" s="119"/>
    </row>
    <row r="16" spans="2:39" x14ac:dyDescent="0.25">
      <c r="B16" s="15" t="s">
        <v>297</v>
      </c>
      <c r="H16" s="151">
        <f>H15/H14-1</f>
        <v>1.5195487499020111E-4</v>
      </c>
      <c r="L16" s="152">
        <f>H16/H14</f>
        <v>3.9822547038681562E-10</v>
      </c>
      <c r="M16" s="112"/>
      <c r="N16" s="112"/>
      <c r="O16" s="112"/>
      <c r="P16" s="151">
        <f>P15/P14-1</f>
        <v>0.20869200354103357</v>
      </c>
      <c r="Q16" s="131"/>
      <c r="S16" s="150">
        <f>P16/P14</f>
        <v>6.2670271333643711E-7</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SUMIF(Analytica!$B$17:$B$41,$A18,Analytica!$J$17:$J$41)</f>
        <v>19247.904422146901</v>
      </c>
      <c r="D18" s="139">
        <f>SUMIF(Analytica!$B$17:$B$41,$A18,Analytica!$V$17:$V$41)</f>
        <v>13.551554667779801</v>
      </c>
      <c r="E18" s="74">
        <f t="shared" ref="E18:E23" si="0">D18*E$7/100</f>
        <v>4.6346316963806924</v>
      </c>
      <c r="F18" s="137">
        <f>SUMIF(Analytica!$B$17:$B$41,$A18,Analytica!$AI$17:$AI$41)*1000</f>
        <v>476243.90014438698</v>
      </c>
      <c r="G18" s="90">
        <f t="shared" ref="G18:G23" si="1">F18*C18/1000000000</f>
        <v>9.166697071609633</v>
      </c>
      <c r="H18" s="136">
        <f t="shared" ref="H18:H23" si="2">G18*E18*1000</f>
        <v>42484.264799202079</v>
      </c>
      <c r="I18" t="s">
        <v>459</v>
      </c>
      <c r="J18" s="137">
        <f>SUMIF(Analytica!$B$17:$B$41,$I18,Analytica!$J$17:$J$41)</f>
        <v>19511.180861952002</v>
      </c>
      <c r="L18" s="139">
        <f>SUMIF(Analytica!$B$17:$B$41,$I18,Analytica!$V$17:$V$41)</f>
        <v>11.2619098186515</v>
      </c>
      <c r="M18" s="74">
        <f>L18*E$8/100</f>
        <v>4.2907876409062213</v>
      </c>
      <c r="N18" s="137">
        <f>SUMIF(Analytica!$B$17:$B$41,$I18,Analytica!$AI$17:$AI$41)*1000</f>
        <v>439316.08188194199</v>
      </c>
      <c r="O18" s="90">
        <f>N18*J18/1000000000</f>
        <v>8.5715755291626863</v>
      </c>
      <c r="P18" s="136">
        <f>O18*M18*1000</f>
        <v>36778.810343625461</v>
      </c>
      <c r="Q18" s="147">
        <f>P18/$P$15</f>
        <v>9.1377189213807539E-2</v>
      </c>
      <c r="S18" s="134"/>
      <c r="AD18" s="67"/>
      <c r="AF18" s="122"/>
      <c r="AG18" s="121"/>
      <c r="AL18" s="120"/>
      <c r="AM18" s="119"/>
      <c r="AO18" t="s">
        <v>110</v>
      </c>
    </row>
    <row r="19" spans="1:41" x14ac:dyDescent="0.25">
      <c r="A19" t="s">
        <v>458</v>
      </c>
      <c r="B19" s="26" t="s">
        <v>457</v>
      </c>
      <c r="C19" s="137">
        <f>SUMIF(Analytica!$B$17:$B$41,$A19,Analytica!$J$17:$J$41)</f>
        <v>19821.569272195698</v>
      </c>
      <c r="D19" s="139">
        <f>SUMIF(Analytica!$B$17:$B$41,$A19,Analytica!$V$17:$V$41)</f>
        <v>6.8382247609900997</v>
      </c>
      <c r="E19" s="74">
        <f t="shared" si="0"/>
        <v>2.3386728682586142</v>
      </c>
      <c r="F19" s="137">
        <f>SUMIF(Analytica!$B$17:$B$41,$A19,Analytica!$AI$17:$AI$41)*1000</f>
        <v>803.12517525851206</v>
      </c>
      <c r="G19" s="90">
        <f t="shared" si="1"/>
        <v>1.5919201295630906E-2</v>
      </c>
      <c r="H19" s="136">
        <f t="shared" si="2"/>
        <v>37.229804154439378</v>
      </c>
      <c r="J19" s="137"/>
      <c r="L19" s="139"/>
      <c r="M19" s="74"/>
      <c r="N19" s="137">
        <f>SUMIF(Analytica!$B$17:$B$41,$I19,Analytica!$AI$17:$AI$41)*1000</f>
        <v>0</v>
      </c>
      <c r="O19" s="90"/>
      <c r="P19" s="136"/>
      <c r="Q19" s="147"/>
      <c r="S19" s="134"/>
      <c r="AD19" s="67"/>
      <c r="AF19" s="122"/>
      <c r="AG19" s="121"/>
      <c r="AL19" s="120"/>
      <c r="AM19" s="119"/>
    </row>
    <row r="20" spans="1:41" x14ac:dyDescent="0.25">
      <c r="A20" t="s">
        <v>456</v>
      </c>
      <c r="B20" s="26" t="s">
        <v>62</v>
      </c>
      <c r="C20" s="137">
        <f>SUMIF(Analytica!$B$17:$B$41,$A20,Analytica!$J$17:$J$41)</f>
        <v>12637.1850755821</v>
      </c>
      <c r="D20" s="139">
        <f>SUMIF(Analytica!$B$17:$B$41,$A20,Analytica!$V$17:$V$41)</f>
        <v>8.1935839212683703</v>
      </c>
      <c r="E20" s="74">
        <f t="shared" si="0"/>
        <v>2.8022057010737829</v>
      </c>
      <c r="F20" s="137">
        <f>SUMIF(Analytica!$B$17:$B$41,$A20,Analytica!$AI$17:$AI$41)*1000</f>
        <v>5902057.2972451197</v>
      </c>
      <c r="G20" s="90">
        <f t="shared" si="1"/>
        <v>74.58539039197646</v>
      </c>
      <c r="H20" s="136">
        <f t="shared" si="2"/>
        <v>209003.6061732102</v>
      </c>
      <c r="I20" t="s">
        <v>455</v>
      </c>
      <c r="J20" s="137">
        <f>SUMIF(Analytica!$B$17:$B$41,$I20,Analytica!$J$17:$J$41)</f>
        <v>16729.5435106636</v>
      </c>
      <c r="L20" s="139">
        <f>SUMIF(Analytica!$B$17:$B$41,$I20,Analytica!$V$17:$V$41)</f>
        <v>7.9055959462827703</v>
      </c>
      <c r="M20" s="74">
        <f>L20*E$8/100</f>
        <v>3.0120320555337354</v>
      </c>
      <c r="N20" s="137">
        <f>SUMIF(Analytica!$B$17:$B$41,$I20,Analytica!$AI$17:$AI$41)*1000</f>
        <v>387586.46835565299</v>
      </c>
      <c r="O20" s="90">
        <f>N20*J20/1000000000</f>
        <v>6.4841446865003363</v>
      </c>
      <c r="P20" s="136">
        <f>O20*M20*1000</f>
        <v>19530.451648457754</v>
      </c>
      <c r="Q20" s="144">
        <f>P20/$P$15</f>
        <v>4.8523531866265457E-2</v>
      </c>
      <c r="S20" s="134"/>
      <c r="AD20" s="67"/>
      <c r="AF20" s="122"/>
      <c r="AG20" s="121"/>
      <c r="AL20" s="120"/>
      <c r="AM20" s="119"/>
    </row>
    <row r="21" spans="1:41" x14ac:dyDescent="0.25">
      <c r="A21" t="s">
        <v>454</v>
      </c>
      <c r="B21" s="26" t="s">
        <v>453</v>
      </c>
      <c r="C21" s="137">
        <f>SUMIF(Analytica!$B$17:$B$41,$A21,Analytica!$J$17:$J$41)</f>
        <v>16469.932811344399</v>
      </c>
      <c r="D21" s="139">
        <f>SUMIF(Analytica!$B$17:$B$41,$A21,Analytica!$V$17:$V$41)</f>
        <v>6.0121796481091199</v>
      </c>
      <c r="E21" s="74">
        <f t="shared" si="0"/>
        <v>2.0561654396533191</v>
      </c>
      <c r="F21" s="137">
        <f>SUMIF(Analytica!$B$17:$B$41,$A21,Analytica!$AI$17:$AI$41)*1000</f>
        <v>4193.5845862024998</v>
      </c>
      <c r="G21" s="90">
        <f t="shared" si="1"/>
        <v>6.9068056373444681E-2</v>
      </c>
      <c r="H21" s="136">
        <f t="shared" si="2"/>
        <v>142.0153504991041</v>
      </c>
      <c r="J21" s="137"/>
      <c r="L21" s="139"/>
      <c r="M21" s="74"/>
      <c r="N21" s="137">
        <f>SUMIF(Analytica!$B$17:$B$41,$I21,Analytica!$AI$17:$AI$41)*1000</f>
        <v>0</v>
      </c>
      <c r="O21" s="90"/>
      <c r="P21" s="136"/>
      <c r="Q21" s="144"/>
      <c r="S21" s="134"/>
      <c r="AD21" s="67"/>
      <c r="AF21" s="122"/>
      <c r="AG21" s="121"/>
      <c r="AL21" s="120"/>
      <c r="AM21" s="119"/>
    </row>
    <row r="22" spans="1:41" x14ac:dyDescent="0.25">
      <c r="A22" t="s">
        <v>452</v>
      </c>
      <c r="B22" s="26" t="s">
        <v>451</v>
      </c>
      <c r="C22" s="137">
        <f>SUMIF(Analytica!$B$17:$B$41,$A22,Analytica!$J$17:$J$41)</f>
        <v>11116.953059764701</v>
      </c>
      <c r="D22" s="139">
        <f>SUMIF(Analytica!$B$17:$B$41,$A22,Analytica!$V$17:$V$41)</f>
        <v>4.9995594866529798</v>
      </c>
      <c r="E22" s="74">
        <f t="shared" si="0"/>
        <v>1.7098493444353193</v>
      </c>
      <c r="F22" s="137">
        <f>SUMIF(Analytica!$B$17:$B$41,$A22,Analytica!$AI$17:$AI$41)*1000</f>
        <v>532771.09028187394</v>
      </c>
      <c r="G22" s="90">
        <f t="shared" si="1"/>
        <v>5.9227912022632543</v>
      </c>
      <c r="H22" s="136">
        <f t="shared" si="2"/>
        <v>10127.080654417103</v>
      </c>
      <c r="J22" s="137"/>
      <c r="L22" s="139"/>
      <c r="M22" s="74"/>
      <c r="N22" s="137">
        <f>SUMIF(Analytica!$B$17:$B$41,$I22,Analytica!$AI$17:$AI$41)*1000</f>
        <v>0</v>
      </c>
      <c r="O22" s="90"/>
      <c r="P22" s="136"/>
      <c r="Q22" s="144">
        <f>P22/$P$15</f>
        <v>0</v>
      </c>
      <c r="S22" s="134"/>
      <c r="AD22" s="67"/>
      <c r="AF22" s="122"/>
      <c r="AG22" s="121"/>
      <c r="AL22" s="120"/>
      <c r="AM22" s="119"/>
    </row>
    <row r="23" spans="1:41" x14ac:dyDescent="0.25">
      <c r="A23" t="s">
        <v>450</v>
      </c>
      <c r="B23" s="26" t="s">
        <v>61</v>
      </c>
      <c r="C23" s="137">
        <f>SUMIF(Analytica!$B$17:$B$41,$A23,Analytica!$J$17:$J$41)</f>
        <v>20011.348468624099</v>
      </c>
      <c r="D23" s="139">
        <f>SUMIF(Analytica!$B$17:$B$41,$A23,Analytica!$V$17:$V$41)</f>
        <v>14.5644836562465</v>
      </c>
      <c r="E23" s="74">
        <f t="shared" si="0"/>
        <v>4.9810534104363038</v>
      </c>
      <c r="F23" s="137">
        <f>SUMIF(Analytica!$B$17:$B$41,$A23,Analytica!$AI$17:$AI$41)*1000</f>
        <v>253885.003628612</v>
      </c>
      <c r="G23" s="90">
        <f t="shared" si="1"/>
        <v>5.0805812785700484</v>
      </c>
      <c r="H23" s="136">
        <f t="shared" si="2"/>
        <v>25306.64670462018</v>
      </c>
      <c r="I23" t="s">
        <v>449</v>
      </c>
      <c r="J23" s="137">
        <f>SUMIF(Analytica!$B$17:$B$41,$I23,Analytica!$J$17:$J$41)</f>
        <v>30532.953139957201</v>
      </c>
      <c r="L23" s="139">
        <f>SUMIF(Analytica!$B$17:$B$41,$I23,Analytica!$V$17:$V$41)</f>
        <v>11.0775109229247</v>
      </c>
      <c r="M23" s="74">
        <f>L23*E$8/100</f>
        <v>4.2205316616343111</v>
      </c>
      <c r="N23" s="137">
        <f>SUMIF(Analytica!$B$17:$B$41,$I23,Analytica!$AI$17:$AI$41)*1000</f>
        <v>69841.5661662536</v>
      </c>
      <c r="O23" s="90">
        <f>N23*J23/1000000000</f>
        <v>2.1324692669754413</v>
      </c>
      <c r="P23" s="136">
        <f>O23*M23*1000</f>
        <v>9000.1540587319596</v>
      </c>
      <c r="Q23" s="144">
        <f>P23/$P$15</f>
        <v>2.2360940245059038E-2</v>
      </c>
      <c r="S23" s="134"/>
      <c r="AD23" s="67"/>
      <c r="AF23" s="122"/>
      <c r="AG23" s="121"/>
      <c r="AL23" s="120"/>
      <c r="AM23" s="119"/>
    </row>
    <row r="24" spans="1:41" x14ac:dyDescent="0.25">
      <c r="B24" s="26" t="s">
        <v>60</v>
      </c>
      <c r="D24" s="146"/>
      <c r="F24" s="145"/>
      <c r="H24" s="136"/>
      <c r="I24" t="s">
        <v>448</v>
      </c>
      <c r="J24" s="137">
        <f>SUMIF(Analytica!$B$17:$B$41,$I24,Analytica!$J$17:$J$41)</f>
        <v>25519.3702773902</v>
      </c>
      <c r="L24" s="139">
        <f>SUMIF(Analytica!$B$17:$B$41,$I24,Analytica!$V$17:$V$41)</f>
        <v>40.788494972334703</v>
      </c>
      <c r="M24" s="74">
        <f>L24*E$8/100</f>
        <v>15.540416584459521</v>
      </c>
      <c r="N24" s="137">
        <f>SUMIF(Analytica!$B$17:$B$41,$I24,Analytica!$AI$17:$AI$41)*1000</f>
        <v>25195.2522652347</v>
      </c>
      <c r="O24" s="90">
        <f>N24*J24/1000000000</f>
        <v>0.6429669717887786</v>
      </c>
      <c r="P24" s="136">
        <f>O24*M24*1000</f>
        <v>9991.9745916460524</v>
      </c>
      <c r="Q24" s="144">
        <f>P24/$P$15</f>
        <v>2.4825124694079385E-2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SUMIF(Analytica!$B$17:$B$41,$I25,Analytica!$AI$17:$AI$41)*1000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SUMIF(Analytica!$B$17:$B$41,$I26,Analytica!$AI$17:$AI$41)*1000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SUMIF(Analytica!$B$17:$B$41,$I27,Analytica!$J$17:$J$41)</f>
        <v>29561.999562574299</v>
      </c>
      <c r="K27" s="112"/>
      <c r="L27" s="139">
        <f>SUMIF(Analytica!$B$17:$B$41,$I27,Analytica!$V$17:$V$41)</f>
        <v>19.237973630069799</v>
      </c>
      <c r="M27" s="138">
        <f t="shared" ref="M27:M36" si="3">L27*E$8/100</f>
        <v>7.3296679530565942</v>
      </c>
      <c r="N27" s="137">
        <f>SUMIF(Analytica!$B$17:$B$41,$I27,Analytica!$AI$17:$AI$41)*1000</f>
        <v>33929.342714939405</v>
      </c>
      <c r="O27" s="90">
        <f t="shared" ref="O27:O36" si="4">N27*J27/1000000000</f>
        <v>1.0030192144974721</v>
      </c>
      <c r="P27" s="136">
        <f t="shared" ref="P27:P36" si="5">O27*M27*1000</f>
        <v>7351.7977928021191</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2.5085510554581778</v>
      </c>
      <c r="AF27" s="122"/>
      <c r="AG27" s="121"/>
      <c r="AL27" s="120"/>
      <c r="AM27" s="119"/>
    </row>
    <row r="28" spans="1:41" x14ac:dyDescent="0.25">
      <c r="B28" s="26" t="s">
        <v>442</v>
      </c>
      <c r="H28" s="124"/>
      <c r="I28" t="s">
        <v>441</v>
      </c>
      <c r="J28" s="137">
        <f>SUMIF(Analytica!$B$17:$B$41,$I28,Analytica!$J$17:$J$41)</f>
        <v>52619.682956395503</v>
      </c>
      <c r="K28" s="112"/>
      <c r="L28" s="139">
        <f>SUMIF(Analytica!$B$17:$B$41,$I28,Analytica!$V$17:$V$41)</f>
        <v>22.0039654914689</v>
      </c>
      <c r="M28" s="138">
        <f t="shared" si="3"/>
        <v>8.3835108522496515</v>
      </c>
      <c r="N28" s="137">
        <f>SUMIF(Analytica!$B$17:$B$41,$I28,Analytica!$AI$17:$AI$41)*1000</f>
        <v>62701.905314712101</v>
      </c>
      <c r="O28" s="90">
        <f t="shared" si="4"/>
        <v>3.2993543784220809</v>
      </c>
      <c r="P28" s="136">
        <f t="shared" si="5"/>
        <v>27660.173236918919</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16.520182703280057</v>
      </c>
      <c r="AF28" s="122"/>
      <c r="AG28" s="121"/>
      <c r="AL28" s="120"/>
      <c r="AM28" s="119"/>
    </row>
    <row r="29" spans="1:41" x14ac:dyDescent="0.25">
      <c r="B29" s="26" t="s">
        <v>440</v>
      </c>
      <c r="H29" s="124"/>
      <c r="I29" t="s">
        <v>439</v>
      </c>
      <c r="J29" s="137">
        <f>SUMIF(Analytica!$B$17:$B$41,$I29,Analytica!$J$17:$J$41)</f>
        <v>49633.5682573101</v>
      </c>
      <c r="K29" s="112"/>
      <c r="L29" s="139">
        <f>SUMIF(Analytica!$B$17:$B$41,$I29,Analytica!$V$17:$V$41)</f>
        <v>25.603686211102399</v>
      </c>
      <c r="M29" s="138">
        <f t="shared" si="3"/>
        <v>9.7550044464300143</v>
      </c>
      <c r="N29" s="137">
        <f>SUMIF(Analytica!$B$17:$B$41,$I29,Analytica!$AI$17:$AI$41)*1000</f>
        <v>12056.497449546701</v>
      </c>
      <c r="O29" s="90">
        <f t="shared" si="4"/>
        <v>0.5984069891061613</v>
      </c>
      <c r="P29" s="136">
        <f t="shared" si="5"/>
        <v>5837.4628395054006</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4.7389994637867572</v>
      </c>
      <c r="AF29" s="122"/>
      <c r="AG29" s="121"/>
      <c r="AL29" s="120"/>
      <c r="AM29" s="119"/>
    </row>
    <row r="30" spans="1:41" x14ac:dyDescent="0.25">
      <c r="B30" s="26" t="s">
        <v>438</v>
      </c>
      <c r="H30" s="124"/>
      <c r="I30" t="s">
        <v>437</v>
      </c>
      <c r="J30" s="137">
        <f>SUMIF(Analytica!$B$17:$B$41,$I30,Analytica!$J$17:$J$41)</f>
        <v>54633.576505741999</v>
      </c>
      <c r="K30" s="112"/>
      <c r="L30" s="139">
        <f>SUMIF(Analytica!$B$17:$B$41,$I30,Analytica!$V$17:$V$41)</f>
        <v>27.792076201905399</v>
      </c>
      <c r="M30" s="138">
        <f t="shared" si="3"/>
        <v>10.588781032925958</v>
      </c>
      <c r="N30" s="137">
        <f>SUMIF(Analytica!$B$17:$B$41,$I30,Analytica!$AI$17:$AI$41)*1000</f>
        <v>5454.3032895166198</v>
      </c>
      <c r="O30" s="90">
        <f t="shared" si="4"/>
        <v>0.29798809605332649</v>
      </c>
      <c r="P30" s="136">
        <f t="shared" si="5"/>
        <v>3155.3306995271823</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3.2441770761137696</v>
      </c>
      <c r="AF30" s="122"/>
      <c r="AG30" s="121"/>
      <c r="AL30" s="120"/>
      <c r="AM30" s="119"/>
    </row>
    <row r="31" spans="1:41" x14ac:dyDescent="0.25">
      <c r="B31" s="26" t="s">
        <v>436</v>
      </c>
      <c r="H31" s="124"/>
      <c r="I31" t="s">
        <v>435</v>
      </c>
      <c r="J31" s="137">
        <f>SUMIF(Analytica!$B$17:$B$41,$I31,Analytica!$J$17:$J$41)</f>
        <v>62778.924850520401</v>
      </c>
      <c r="K31" s="112"/>
      <c r="L31" s="139">
        <f>SUMIF(Analytica!$B$17:$B$41,$I31,Analytica!$V$17:$V$41)</f>
        <v>40.292737614575302</v>
      </c>
      <c r="M31" s="138">
        <f t="shared" si="3"/>
        <v>15.35153303115319</v>
      </c>
      <c r="N31" s="137">
        <f>SUMIF(Analytica!$B$17:$B$41,$I31,Analytica!$AI$17:$AI$41)*1000</f>
        <v>106121.40587784999</v>
      </c>
      <c r="O31" s="90">
        <f t="shared" si="4"/>
        <v>6.6621877646371184</v>
      </c>
      <c r="P31" s="136">
        <f t="shared" si="5"/>
        <v>102274.79552857135</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130.05107807184953</v>
      </c>
      <c r="AF31" s="122"/>
      <c r="AG31" s="121"/>
      <c r="AL31" s="120"/>
      <c r="AM31" s="119"/>
    </row>
    <row r="32" spans="1:41" x14ac:dyDescent="0.25">
      <c r="B32" s="26" t="s">
        <v>434</v>
      </c>
      <c r="H32" s="124"/>
      <c r="I32" t="s">
        <v>433</v>
      </c>
      <c r="J32" s="137">
        <f>SUMIF(Analytica!$B$17:$B$41,$I32,Analytica!$J$17:$J$41)</f>
        <v>86037.431296970695</v>
      </c>
      <c r="K32" s="112"/>
      <c r="L32" s="139">
        <f>SUMIF(Analytica!$B$17:$B$41,$I32,Analytica!$V$17:$V$41)</f>
        <v>37.3258316657572</v>
      </c>
      <c r="M32" s="138">
        <f t="shared" si="3"/>
        <v>14.221141864653493</v>
      </c>
      <c r="N32" s="137">
        <f>SUMIF(Analytica!$B$17:$B$41,$I32,Analytica!$AI$17:$AI$41)*1000</f>
        <v>25874.2804975207</v>
      </c>
      <c r="O32" s="90">
        <f t="shared" si="4"/>
        <v>2.2261566306639859</v>
      </c>
      <c r="P32" s="136">
        <f t="shared" si="5"/>
        <v>31658.489257611574</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39.825760684889005</v>
      </c>
      <c r="AF32" s="122"/>
      <c r="AG32" s="121"/>
      <c r="AL32" s="120"/>
      <c r="AM32" s="119"/>
    </row>
    <row r="33" spans="1:39" x14ac:dyDescent="0.25">
      <c r="B33" s="26" t="s">
        <v>432</v>
      </c>
      <c r="H33" s="124"/>
      <c r="I33" t="s">
        <v>431</v>
      </c>
      <c r="J33" s="137">
        <f>SUMIF(Analytica!$B$17:$B$41,$I33,Analytica!$J$17:$J$41)</f>
        <v>108321.14497488301</v>
      </c>
      <c r="K33" s="112"/>
      <c r="L33" s="139">
        <f>SUMIF(Analytica!$B$17:$B$41,$I33,Analytica!$V$17:$V$41)</f>
        <v>37.932288748919603</v>
      </c>
      <c r="M33" s="138">
        <f t="shared" si="3"/>
        <v>14.45220201333837</v>
      </c>
      <c r="N33" s="137">
        <f>SUMIF(Analytica!$B$17:$B$41,$I33,Analytica!$AI$17:$AI$41)*1000</f>
        <v>1128.25320373206</v>
      </c>
      <c r="O33" s="90">
        <f t="shared" si="4"/>
        <v>0.12221367884983668</v>
      </c>
      <c r="P33" s="136">
        <f t="shared" si="5"/>
        <v>1766.2567755310988</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2.2490953086010199</v>
      </c>
      <c r="AF33" s="122"/>
      <c r="AG33" s="121"/>
      <c r="AL33" s="120"/>
      <c r="AM33" s="119"/>
    </row>
    <row r="34" spans="1:39" x14ac:dyDescent="0.25">
      <c r="B34" s="26" t="s">
        <v>430</v>
      </c>
      <c r="H34" s="124"/>
      <c r="I34" t="s">
        <v>429</v>
      </c>
      <c r="J34" s="137">
        <f>SUMIF(Analytica!$B$17:$B$41,$I34,Analytica!$J$17:$J$41)</f>
        <v>69373.326398147998</v>
      </c>
      <c r="K34" s="112"/>
      <c r="L34" s="139">
        <f>SUMIF(Analytica!$B$17:$B$41,$I34,Analytica!$V$17:$V$41)</f>
        <v>48.273056219283099</v>
      </c>
      <c r="M34" s="138">
        <f t="shared" si="3"/>
        <v>18.392034419546864</v>
      </c>
      <c r="N34" s="137">
        <f>SUMIF(Analytica!$B$17:$B$41,$I34,Analytica!$AI$17:$AI$41)*1000</f>
        <v>423.96796687300599</v>
      </c>
      <c r="O34" s="90">
        <f t="shared" si="4"/>
        <v>2.9412068148240243E-2</v>
      </c>
      <c r="P34" s="136">
        <f t="shared" si="5"/>
        <v>540.94776973249247</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0.64433067785501541</v>
      </c>
      <c r="AF34" s="122"/>
      <c r="AG34" s="121"/>
      <c r="AL34" s="120"/>
      <c r="AM34" s="119"/>
    </row>
    <row r="35" spans="1:39" x14ac:dyDescent="0.25">
      <c r="A35" t="s">
        <v>428</v>
      </c>
      <c r="B35" s="26" t="s">
        <v>427</v>
      </c>
      <c r="C35" s="137">
        <f>SUMIF(Analytica!$B$17:$B$41,$A35,Analytica!$J$17:$J$41)</f>
        <v>13782.969469301601</v>
      </c>
      <c r="D35" s="139">
        <f>SUMIF(Analytica!$B$17:$B$41,$A35,Analytica!$V$17:$V$41)</f>
        <v>19.628700201694802</v>
      </c>
      <c r="E35" s="74">
        <f>D35*E$7/100</f>
        <v>6.7130154689796226</v>
      </c>
      <c r="F35" s="137">
        <f>SUMIF(Analytica!$B$17:$B$41,$A35,Analytica!$AI$17:$AI$41)*1000</f>
        <v>2333.55548599952</v>
      </c>
      <c r="G35" s="90">
        <f>F35*C35/1000000000</f>
        <v>3.2163324018452642E-2</v>
      </c>
      <c r="H35" s="136">
        <f>G35*E35*1000</f>
        <v>215.91289166967641</v>
      </c>
      <c r="I35" t="s">
        <v>426</v>
      </c>
      <c r="J35" s="137">
        <f>SUMIF(Analytica!$B$17:$B$41,$I35,Analytica!$J$17:$J$41)</f>
        <v>28672.905293975698</v>
      </c>
      <c r="K35" s="112"/>
      <c r="L35" s="139">
        <f>SUMIF(Analytica!$B$17:$B$41,$I35,Analytica!$V$17:$V$41)</f>
        <v>15.4098612224773</v>
      </c>
      <c r="M35" s="138">
        <f t="shared" si="3"/>
        <v>5.8711571257638511</v>
      </c>
      <c r="N35" s="137">
        <f>SUMIF(Analytica!$B$17:$B$41,$I35,Analytica!$AI$17:$AI$41)*1000</f>
        <v>126227.705550552</v>
      </c>
      <c r="O35" s="90">
        <f t="shared" si="4"/>
        <v>3.619315046726828</v>
      </c>
      <c r="P35" s="136">
        <f t="shared" si="5"/>
        <v>21249.567326974542</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5.3714254608472851</v>
      </c>
      <c r="AE35" s="101">
        <f>SOL!L16+SOL!L17</f>
        <v>152</v>
      </c>
      <c r="AF35" s="133">
        <f>P35/AD35/1000</f>
        <v>3.9560387613798609</v>
      </c>
      <c r="AG35" s="121"/>
      <c r="AL35" s="120"/>
      <c r="AM35" s="119"/>
    </row>
    <row r="36" spans="1:39" x14ac:dyDescent="0.25">
      <c r="A36" t="s">
        <v>425</v>
      </c>
      <c r="B36" s="26" t="s">
        <v>424</v>
      </c>
      <c r="C36" s="137">
        <f>SUMIF(Analytica!$B$17:$B$41,$A36,Analytica!$J$17:$J$41)</f>
        <v>15002.6868469618</v>
      </c>
      <c r="D36" s="139">
        <f>SUMIF(Analytica!$B$17:$B$41,$A36,Analytica!$V$17:$V$41)</f>
        <v>14.176565003733501</v>
      </c>
      <c r="E36" s="74">
        <f>D36*E$7/100</f>
        <v>4.8483852312768576</v>
      </c>
      <c r="F36" s="137">
        <f>SUMIF(Analytica!$B$17:$B$41,$A36,Analytica!$AI$17:$AI$41)*1000</f>
        <v>1296711.2413349801</v>
      </c>
      <c r="G36" s="90">
        <f>F36*C36/1000000000</f>
        <v>19.454152684683816</v>
      </c>
      <c r="H36" s="136">
        <f>G36*E36*1000</f>
        <v>94321.22656342604</v>
      </c>
      <c r="I36" t="s">
        <v>423</v>
      </c>
      <c r="J36" s="137">
        <f>SUMIF(Analytica!$B$17:$B$41,$I36,Analytica!$J$17:$J$41)</f>
        <v>24428.944976716801</v>
      </c>
      <c r="K36" s="112"/>
      <c r="L36" s="139">
        <f>SUMIF(Analytica!$B$17:$B$41,$I36,Analytica!$V$17:$V$41)</f>
        <v>11.124053535325499</v>
      </c>
      <c r="M36" s="138">
        <f t="shared" si="3"/>
        <v>4.2382643969590159</v>
      </c>
      <c r="N36" s="137">
        <f>SUMIF(Analytica!$B$17:$B$41,$I36,Analytica!$AI$17:$AI$41)*1000</f>
        <v>1151530.20025537</v>
      </c>
      <c r="O36" s="90">
        <f t="shared" si="4"/>
        <v>28.130667901066111</v>
      </c>
      <c r="P36" s="136">
        <f t="shared" si="5"/>
        <v>119225.2082277663</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11.191504917760142</v>
      </c>
      <c r="AE36" s="90"/>
      <c r="AF36" s="133">
        <f>P36/AD36/1000</f>
        <v>10.653188208724652</v>
      </c>
      <c r="AG36" s="121"/>
      <c r="AL36" s="120"/>
      <c r="AM36" s="119"/>
    </row>
    <row r="37" spans="1:39" x14ac:dyDescent="0.25">
      <c r="B37" s="15" t="s">
        <v>421</v>
      </c>
      <c r="D37" t="s">
        <v>110</v>
      </c>
      <c r="H37" s="124"/>
      <c r="K37" s="112"/>
      <c r="L37" s="112"/>
      <c r="M37" s="112"/>
      <c r="N37" s="112"/>
      <c r="O37" s="112"/>
      <c r="P37" s="132">
        <f>EB_2017!AK85</f>
        <v>6473.0170817620256</v>
      </c>
      <c r="Q37" s="131"/>
      <c r="S37" s="130">
        <v>11809.512000000001</v>
      </c>
      <c r="V37" t="s">
        <v>265</v>
      </c>
      <c r="W37" s="127" t="e">
        <f t="shared" si="6"/>
        <v>#DIV/0!</v>
      </c>
      <c r="X37" s="127" t="e">
        <f t="shared" si="7"/>
        <v>#DIV/0!</v>
      </c>
      <c r="Y37" s="126">
        <v>0.45</v>
      </c>
      <c r="Z37" s="129">
        <v>3.0019999999999998</v>
      </c>
      <c r="AD37" s="67">
        <f>Y37*Z37*G35</f>
        <v>4.3449434416527676E-2</v>
      </c>
      <c r="AE37" s="67">
        <f>SUM(AD35:AD36)</f>
        <v>16.562930378607426</v>
      </c>
      <c r="AF37" s="122"/>
      <c r="AG37" s="121"/>
      <c r="AL37" s="120"/>
      <c r="AM37" s="119"/>
    </row>
    <row r="38" spans="1:39" x14ac:dyDescent="0.25">
      <c r="B38" s="24" t="s">
        <v>55</v>
      </c>
      <c r="H38" s="124"/>
      <c r="K38" s="112"/>
      <c r="L38" s="112"/>
      <c r="M38" s="112"/>
      <c r="N38" s="112"/>
      <c r="O38" s="112"/>
      <c r="P38" s="124"/>
      <c r="Q38" s="112"/>
      <c r="S38" s="128">
        <f>S37-S41</f>
        <v>2509.7852160000002</v>
      </c>
      <c r="V38" t="s">
        <v>246</v>
      </c>
      <c r="W38" s="127" t="e">
        <f t="shared" si="6"/>
        <v>#DIV/0!</v>
      </c>
      <c r="X38" s="127" t="e">
        <f t="shared" si="7"/>
        <v>#DIV/0!</v>
      </c>
      <c r="Y38" s="126">
        <v>0.4</v>
      </c>
      <c r="Z38" s="125">
        <v>0.99590000000000001</v>
      </c>
      <c r="AD38" s="67">
        <f>Y38*Z38*G36</f>
        <v>7.7497562634706458</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EB_2017!BD85</f>
        <v>9299.7267840000004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3678.7586919604651</v>
      </c>
      <c r="V42" s="110"/>
      <c r="W42" s="110"/>
      <c r="AD42" s="107">
        <f>SOL!L19</f>
        <v>22</v>
      </c>
      <c r="AE42" s="109">
        <f>1-SUM(AE43:AE44)</f>
        <v>0.39557707203718051</v>
      </c>
      <c r="AF42" s="108">
        <f>AD42/(S41/P41*S42/1000+P42/1000)</f>
        <v>2.8040417913534488</v>
      </c>
      <c r="AG42" s="108">
        <f>AF42*S41/P41</f>
        <v>4.0285422116338081</v>
      </c>
      <c r="AL42" s="67">
        <f>P42*AF42/1000</f>
        <v>7.1799653230224925</v>
      </c>
      <c r="AM42" s="67">
        <f>S42*AG42/1000</f>
        <v>14.820034676977507</v>
      </c>
    </row>
    <row r="43" spans="1:39" x14ac:dyDescent="0.25">
      <c r="B43" s="26" t="s">
        <v>419</v>
      </c>
      <c r="H43" s="112"/>
      <c r="I43" s="112"/>
      <c r="J43" s="112"/>
      <c r="K43" s="112"/>
      <c r="L43" s="112"/>
      <c r="M43" s="112"/>
      <c r="N43" s="112"/>
      <c r="O43" s="112"/>
      <c r="P43" s="111">
        <f>$AE43*P$41</f>
        <v>1258.5029337895187</v>
      </c>
      <c r="Q43" s="111"/>
      <c r="S43" s="111">
        <f>$AE43*S$41</f>
        <v>1808.0801105995356</v>
      </c>
      <c r="V43" s="110"/>
      <c r="W43" s="110"/>
      <c r="AD43" s="107">
        <f>SUM(SOL!L20:L21)</f>
        <v>25.1</v>
      </c>
      <c r="AE43" s="109">
        <f>AD43/$AD$41</f>
        <v>0.19442292796281954</v>
      </c>
      <c r="AF43" s="108">
        <f t="shared" ref="AF43:AF44" si="10">AD43/(S42/P42*S43/1000+P43/1000)</f>
        <v>6.5090731928467855</v>
      </c>
      <c r="AG43" s="108">
        <f t="shared" ref="AG43:AG44" si="11">AF43*S42/P42</f>
        <v>9.3515282820875871</v>
      </c>
      <c r="AL43" s="67">
        <f>P43*AF43/1000</f>
        <v>8.1916877094483898</v>
      </c>
      <c r="AM43" s="67">
        <f>S43*AG43/1000</f>
        <v>16.90831229055161</v>
      </c>
    </row>
    <row r="44" spans="1:39" x14ac:dyDescent="0.25">
      <c r="B44" s="26" t="s">
        <v>418</v>
      </c>
      <c r="H44" s="112"/>
      <c r="I44" s="112"/>
      <c r="J44" s="112"/>
      <c r="K44" s="112"/>
      <c r="L44" s="112"/>
      <c r="M44" s="112"/>
      <c r="N44" s="112"/>
      <c r="O44" s="112"/>
      <c r="P44" s="111">
        <f>$AE44*P$41</f>
        <v>2653.9370035224301</v>
      </c>
      <c r="Q44" s="111"/>
      <c r="S44" s="111">
        <f>$AE44*S$41</f>
        <v>3812.8879814399997</v>
      </c>
      <c r="V44" s="110"/>
      <c r="W44" s="110"/>
      <c r="AD44" s="107">
        <f>SOL!L22</f>
        <v>82</v>
      </c>
      <c r="AE44" s="109">
        <v>0.41</v>
      </c>
      <c r="AF44" s="108">
        <f t="shared" si="10"/>
        <v>10.083769469940801</v>
      </c>
      <c r="AG44" s="108">
        <f t="shared" si="11"/>
        <v>14.487263024148088</v>
      </c>
      <c r="AL44" s="67">
        <f>P44*AF44/1000</f>
        <v>26.761688931265653</v>
      </c>
      <c r="AM44" s="67">
        <f>S44*AG44/1000</f>
        <v>55.238311068734347</v>
      </c>
    </row>
    <row r="45" spans="1:39" x14ac:dyDescent="0.25">
      <c r="U45" t="s">
        <v>417</v>
      </c>
      <c r="V45" t="s">
        <v>416</v>
      </c>
      <c r="W45" t="s">
        <v>297</v>
      </c>
      <c r="AD45" s="107">
        <f>SUM(AD27:AD41)</f>
        <v>353.23831111832794</v>
      </c>
      <c r="AE45" s="106"/>
      <c r="AI45" t="s">
        <v>110</v>
      </c>
    </row>
    <row r="46" spans="1:39" x14ac:dyDescent="0.25">
      <c r="F46" s="104">
        <f>SUM(F18:F44)</f>
        <v>8468998.7978824321</v>
      </c>
      <c r="G46" s="105" t="s">
        <v>110</v>
      </c>
      <c r="N46" s="104">
        <f>SUM(N18:N44)</f>
        <v>2447387.2307896959</v>
      </c>
      <c r="U46" s="103">
        <f>N46+F46</f>
        <v>10916386.028672129</v>
      </c>
      <c r="V46" s="103">
        <v>7653045</v>
      </c>
      <c r="W46" s="102">
        <f>V46/U46-1</f>
        <v>-0.29893968755785039</v>
      </c>
      <c r="AC46" t="s">
        <v>415</v>
      </c>
      <c r="AD46" s="101">
        <f>SOL!L23</f>
        <v>430.1</v>
      </c>
      <c r="AE46" s="100">
        <f>1-AD45/AD46</f>
        <v>0.1787065540145828</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6:15" x14ac:dyDescent="0.25">
      <c r="M65" t="s">
        <v>110</v>
      </c>
    </row>
    <row r="69" spans="6:15" x14ac:dyDescent="0.25">
      <c r="F69" s="69" t="s">
        <v>413</v>
      </c>
      <c r="G69" s="69" t="s">
        <v>412</v>
      </c>
      <c r="H69" s="69" t="s">
        <v>411</v>
      </c>
      <c r="I69" s="69" t="s">
        <v>410</v>
      </c>
      <c r="J69" s="69" t="s">
        <v>409</v>
      </c>
      <c r="K69" s="69" t="s">
        <v>408</v>
      </c>
      <c r="L69" s="69" t="s">
        <v>407</v>
      </c>
      <c r="M69" s="69" t="s">
        <v>406</v>
      </c>
      <c r="N69" s="69" t="s">
        <v>385</v>
      </c>
      <c r="O69" s="69" t="s">
        <v>405</v>
      </c>
    </row>
    <row r="70" spans="6:15" x14ac:dyDescent="0.25">
      <c r="G70" t="s">
        <v>330</v>
      </c>
      <c r="H70" t="s">
        <v>335</v>
      </c>
      <c r="I70" s="73" t="s">
        <v>404</v>
      </c>
      <c r="J70" t="s">
        <v>403</v>
      </c>
      <c r="K70" t="s">
        <v>333</v>
      </c>
      <c r="L70" t="s">
        <v>338</v>
      </c>
      <c r="O70" t="s">
        <v>402</v>
      </c>
    </row>
    <row r="71" spans="6:15" x14ac:dyDescent="0.25">
      <c r="F71" t="s">
        <v>401</v>
      </c>
      <c r="G71" s="67">
        <f>(N24/1000000)</f>
        <v>2.51952522652347E-2</v>
      </c>
      <c r="H71" s="67">
        <f>O24</f>
        <v>0.6429669717887786</v>
      </c>
      <c r="I71" s="67">
        <f>H71/G71</f>
        <v>25.519370277390202</v>
      </c>
      <c r="K71" s="98">
        <v>25</v>
      </c>
      <c r="L71" s="67">
        <f>K71*H71</f>
        <v>16.074174294719466</v>
      </c>
      <c r="M71" s="100">
        <f>L71/$L$75</f>
        <v>0.12781452974087851</v>
      </c>
      <c r="N71" s="63">
        <f>L71/L$81</f>
        <v>5.9530575562900638E-2</v>
      </c>
      <c r="O71" s="63">
        <v>0.1</v>
      </c>
    </row>
    <row r="72" spans="6:15" x14ac:dyDescent="0.25">
      <c r="F72" t="s">
        <v>400</v>
      </c>
      <c r="G72" s="67">
        <f>(F23+N23)/1000000</f>
        <v>0.32372656979486564</v>
      </c>
      <c r="H72" s="67">
        <f>G23+O23</f>
        <v>7.2130505455454896</v>
      </c>
      <c r="I72" s="67">
        <f>H72/G72</f>
        <v>22.281305331583226</v>
      </c>
      <c r="K72" s="98">
        <v>14</v>
      </c>
      <c r="L72" s="67">
        <f>K72*H72</f>
        <v>100.98270763763685</v>
      </c>
      <c r="M72" s="100">
        <f>L72/$L$75</f>
        <v>0.80296860367535494</v>
      </c>
      <c r="N72" s="63">
        <f>L72/L$81</f>
        <v>0.3739886477119701</v>
      </c>
      <c r="O72" s="63">
        <v>0.4</v>
      </c>
    </row>
    <row r="73" spans="6:15" x14ac:dyDescent="0.25">
      <c r="F73" t="s">
        <v>399</v>
      </c>
      <c r="G73" s="67"/>
      <c r="L73" s="67">
        <f>TRP!Y79</f>
        <v>8.7048317578401644</v>
      </c>
      <c r="M73" s="102">
        <f>L73/$L$75</f>
        <v>6.921686658376644E-2</v>
      </c>
      <c r="N73" s="63">
        <f>L73/L$81</f>
        <v>3.2238274590109202E-2</v>
      </c>
      <c r="O73" s="63">
        <v>0.08</v>
      </c>
    </row>
    <row r="74" spans="6:15" x14ac:dyDescent="0.25">
      <c r="F74" t="s">
        <v>398</v>
      </c>
      <c r="G74" s="67"/>
      <c r="J74" s="67">
        <v>14.3</v>
      </c>
      <c r="K74" s="97">
        <v>0.8</v>
      </c>
      <c r="L74" s="67">
        <f>K74*J74</f>
        <v>11.440000000000001</v>
      </c>
      <c r="M74" s="63"/>
      <c r="O74" s="63">
        <v>0.01</v>
      </c>
    </row>
    <row r="75" spans="6:15" x14ac:dyDescent="0.25">
      <c r="F75" s="69" t="s">
        <v>397</v>
      </c>
      <c r="G75" s="67"/>
      <c r="L75" s="95">
        <f>SUM(L71:L73)</f>
        <v>125.76171369019649</v>
      </c>
    </row>
    <row r="76" spans="6:15" x14ac:dyDescent="0.25">
      <c r="F76" s="69" t="s">
        <v>396</v>
      </c>
      <c r="G76" s="67"/>
    </row>
    <row r="77" spans="6:15" x14ac:dyDescent="0.25">
      <c r="F77" t="s">
        <v>395</v>
      </c>
      <c r="G77" s="67">
        <f>(F20+N20+F21)/1000000</f>
        <v>6.2938373501869744</v>
      </c>
      <c r="H77" s="67">
        <f>G20+O20</f>
        <v>81.069535078476804</v>
      </c>
      <c r="I77" s="67">
        <f>H77/G77</f>
        <v>12.880780129481488</v>
      </c>
      <c r="K77" s="96">
        <v>1.4</v>
      </c>
      <c r="L77" s="67">
        <f>K77*H77</f>
        <v>113.49734910986751</v>
      </c>
      <c r="M77" s="63">
        <f>L77/$L$80</f>
        <v>0.78678974499306031</v>
      </c>
      <c r="N77" s="63">
        <f>SUM(L77:L79)/L81</f>
        <v>0.53424250213502</v>
      </c>
      <c r="O77" s="63">
        <v>0.4</v>
      </c>
    </row>
    <row r="78" spans="6:15" x14ac:dyDescent="0.25">
      <c r="F78" t="s">
        <v>394</v>
      </c>
      <c r="G78" s="67">
        <f>(F18+N18)/1000000</f>
        <v>0.91555998202632904</v>
      </c>
      <c r="H78" s="67">
        <f>G18+O18</f>
        <v>17.738272600772319</v>
      </c>
      <c r="I78" s="67">
        <f>H78/G78</f>
        <v>19.374233200443893</v>
      </c>
      <c r="K78" s="96">
        <v>1.4</v>
      </c>
      <c r="L78" s="67">
        <f>K78*H78</f>
        <v>24.833581641081246</v>
      </c>
      <c r="M78" s="63">
        <f>L78/$L$80</f>
        <v>0.1721521032860136</v>
      </c>
    </row>
    <row r="79" spans="6:15" x14ac:dyDescent="0.25">
      <c r="F79" t="s">
        <v>393</v>
      </c>
      <c r="G79" s="67">
        <f>F22/1000000</f>
        <v>0.53277109028187397</v>
      </c>
      <c r="H79" s="67">
        <f>G22</f>
        <v>5.9227912022632543</v>
      </c>
      <c r="I79" s="67">
        <f>H79/G79</f>
        <v>11.1169530597647</v>
      </c>
      <c r="K79" s="96">
        <v>1</v>
      </c>
      <c r="L79" s="67">
        <f>K79*H79</f>
        <v>5.9227912022632543</v>
      </c>
      <c r="M79" s="63">
        <f>L79/$L$80</f>
        <v>4.1058151720926007E-2</v>
      </c>
    </row>
    <row r="80" spans="6:15" x14ac:dyDescent="0.25">
      <c r="G80" s="95">
        <f>SUM(G77:G79)</f>
        <v>7.742168422495177</v>
      </c>
      <c r="H80" s="95">
        <f>SUM(H77:H79)</f>
        <v>104.73059888151238</v>
      </c>
      <c r="I80" s="67">
        <f>SUMPRODUCT(G77:G79,I77:I79)/G80</f>
        <v>13.527295347542877</v>
      </c>
      <c r="L80" s="95">
        <f>SUM(L77:L79)</f>
        <v>144.25372195321202</v>
      </c>
    </row>
    <row r="81" spans="5:24" x14ac:dyDescent="0.25">
      <c r="L81" s="67">
        <f>L80+L75</f>
        <v>270.01543564340852</v>
      </c>
    </row>
    <row r="82" spans="5:24" x14ac:dyDescent="0.25">
      <c r="H82" s="67">
        <f>H86*H85</f>
        <v>0.56520000000000004</v>
      </c>
      <c r="I82" s="67">
        <f>I86*I85</f>
        <v>8.9866799999999998</v>
      </c>
      <c r="J82" s="67">
        <f>J86*J85</f>
        <v>8.859891891891893</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2017</v>
      </c>
    </row>
    <row r="85" spans="5:24" x14ac:dyDescent="0.25">
      <c r="E85" s="67">
        <f>SUM(H82:J82)</f>
        <v>18.411771891891895</v>
      </c>
      <c r="F85" s="69" t="s">
        <v>381</v>
      </c>
      <c r="G85" t="s">
        <v>380</v>
      </c>
      <c r="H85" s="67">
        <f>H84*$K$85</f>
        <v>28.26</v>
      </c>
      <c r="I85" s="67">
        <f>I84*$K$85</f>
        <v>16.956</v>
      </c>
      <c r="J85" s="67">
        <f>J84*$K$85</f>
        <v>11.304000000000002</v>
      </c>
      <c r="K85" s="67">
        <v>56.52</v>
      </c>
      <c r="L85" s="67">
        <f>SUM(H85:J85)</f>
        <v>56.52</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0.14130000000000001</v>
      </c>
      <c r="I88" s="67">
        <f>I87*I86*I85</f>
        <v>2.6960039999999998</v>
      </c>
      <c r="J88" s="67">
        <f>J87*J86*J85</f>
        <v>3.5474286194727078</v>
      </c>
      <c r="K88" s="67">
        <f>M88-SUM(H88:J88)</f>
        <v>0.82466471274059572</v>
      </c>
      <c r="L88" s="67">
        <f>SUM(H88:K88)</f>
        <v>7.2093973322133031</v>
      </c>
      <c r="M88" s="67">
        <f>SUM(G77:G78)</f>
        <v>7.2093973322133031</v>
      </c>
      <c r="N88" s="63">
        <f>K88/M88</f>
        <v>0.11438746884650088</v>
      </c>
    </row>
    <row r="89" spans="5:24" x14ac:dyDescent="0.25">
      <c r="F89" s="69" t="s">
        <v>373</v>
      </c>
      <c r="G89" t="s">
        <v>372</v>
      </c>
      <c r="H89" s="92">
        <f>H86*0.11/4</f>
        <v>5.5000000000000003E-4</v>
      </c>
      <c r="I89" s="92">
        <f t="shared" ref="I89:J89" si="12">I86*0.11/4</f>
        <v>1.4575000000000001E-2</v>
      </c>
      <c r="J89" s="92">
        <f t="shared" si="12"/>
        <v>2.1554054054054052E-2</v>
      </c>
    </row>
    <row r="90" spans="5:24" x14ac:dyDescent="0.25">
      <c r="F90" s="69" t="s">
        <v>371</v>
      </c>
      <c r="G90" t="s">
        <v>370</v>
      </c>
      <c r="H90" s="67">
        <f>H89*H85</f>
        <v>1.5543000000000001E-2</v>
      </c>
      <c r="I90" s="67">
        <f>I89*I85</f>
        <v>0.24713370000000001</v>
      </c>
      <c r="J90" s="67">
        <f>J89*J85</f>
        <v>0.24364702702702706</v>
      </c>
      <c r="K90" s="67">
        <f>M90-SUM(H90:J90)</f>
        <v>2.6447363254846867E-2</v>
      </c>
      <c r="L90" s="67">
        <f>SUM(H90:K90)</f>
        <v>0.53277109028187397</v>
      </c>
      <c r="M90" s="67">
        <f>G79</f>
        <v>0.53277109028187397</v>
      </c>
    </row>
    <row r="91" spans="5:24" x14ac:dyDescent="0.25">
      <c r="F91" s="69" t="s">
        <v>369</v>
      </c>
      <c r="H91" s="85">
        <v>0</v>
      </c>
      <c r="I91" s="85">
        <v>0.2</v>
      </c>
      <c r="J91" s="85">
        <v>0.3</v>
      </c>
    </row>
    <row r="92" spans="5:24" x14ac:dyDescent="0.25">
      <c r="F92" s="69" t="s">
        <v>368</v>
      </c>
      <c r="H92" s="91">
        <f>H89*(1-H91)+H86</f>
        <v>2.0549999999999999E-2</v>
      </c>
      <c r="I92" s="91">
        <f>I89*(1-I91)+I86</f>
        <v>0.54166000000000003</v>
      </c>
      <c r="J92" s="91">
        <f>J89*(1-J91)+J86</f>
        <v>0.79887162162162162</v>
      </c>
      <c r="L92" s="67">
        <f>SUM(H94:J94)</f>
        <v>18.795574770810813</v>
      </c>
      <c r="W92" s="73"/>
      <c r="X92" s="90"/>
    </row>
    <row r="93" spans="5:24" x14ac:dyDescent="0.25">
      <c r="F93" s="69" t="s">
        <v>367</v>
      </c>
      <c r="G93" t="s">
        <v>366</v>
      </c>
      <c r="H93" s="67">
        <f>H87</f>
        <v>0.25</v>
      </c>
      <c r="I93" s="67">
        <f>(I90+I88)/(I92*I85)</f>
        <v>0.32045009784735812</v>
      </c>
      <c r="J93" s="67">
        <f>(J90+J88)/(J92*J85)</f>
        <v>0.41981051054774643</v>
      </c>
      <c r="W93" s="73"/>
      <c r="X93" s="90"/>
    </row>
    <row r="94" spans="5:24" x14ac:dyDescent="0.25">
      <c r="F94" s="69" t="s">
        <v>365</v>
      </c>
      <c r="G94" t="s">
        <v>363</v>
      </c>
      <c r="H94" s="67">
        <f>H92*H85</f>
        <v>0.58074300000000001</v>
      </c>
      <c r="I94" s="67">
        <f>I92*I85</f>
        <v>9.1843869599999994</v>
      </c>
      <c r="J94" s="67">
        <f>J92*J85</f>
        <v>9.0304448108108133</v>
      </c>
      <c r="L94" s="67">
        <f>SUM(H95:J95)</f>
        <v>37.724425229189187</v>
      </c>
    </row>
    <row r="95" spans="5:24" x14ac:dyDescent="0.25">
      <c r="F95" s="69" t="s">
        <v>364</v>
      </c>
      <c r="G95" t="s">
        <v>363</v>
      </c>
      <c r="H95" s="67">
        <f>H85-H94</f>
        <v>27.679257</v>
      </c>
      <c r="I95" s="67">
        <f>I85-I94</f>
        <v>7.7716130400000001</v>
      </c>
      <c r="J95" s="67">
        <f>J85-J94</f>
        <v>2.2735551891891888</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9325.8000000000011</v>
      </c>
      <c r="I99" s="86">
        <f>I98*I85</f>
        <v>5595.48</v>
      </c>
      <c r="J99" s="86">
        <f>J98*J85</f>
        <v>3730.3200000000006</v>
      </c>
      <c r="L99" s="86">
        <f>SUM(H99:J99)</f>
        <v>18651.600000000002</v>
      </c>
      <c r="N99" s="67">
        <f>H98/365</f>
        <v>0.90410958904109584</v>
      </c>
      <c r="O99" s="67">
        <f>34/20.9</f>
        <v>1.6267942583732058</v>
      </c>
    </row>
    <row r="100" spans="6:25" x14ac:dyDescent="0.25">
      <c r="F100" s="69" t="s">
        <v>354</v>
      </c>
      <c r="G100" t="s">
        <v>353</v>
      </c>
      <c r="H100" s="85">
        <v>0.55000000000000004</v>
      </c>
      <c r="I100" s="84">
        <f t="shared" ref="I100:J102" si="13">H100</f>
        <v>0.55000000000000004</v>
      </c>
      <c r="J100" s="84">
        <f t="shared" si="13"/>
        <v>0.55000000000000004</v>
      </c>
      <c r="L100" s="67"/>
    </row>
    <row r="101" spans="6:25" x14ac:dyDescent="0.25">
      <c r="F101" s="69" t="s">
        <v>352</v>
      </c>
      <c r="G101" t="s">
        <v>350</v>
      </c>
      <c r="H101" s="83">
        <v>21.5</v>
      </c>
      <c r="I101" s="82">
        <f t="shared" si="13"/>
        <v>21.5</v>
      </c>
      <c r="J101" s="82">
        <f t="shared" si="13"/>
        <v>21.5</v>
      </c>
      <c r="L101" s="67"/>
    </row>
    <row r="102" spans="6:25" x14ac:dyDescent="0.25">
      <c r="F102" s="69" t="s">
        <v>351</v>
      </c>
      <c r="G102" t="s">
        <v>350</v>
      </c>
      <c r="H102" s="83">
        <v>33.5</v>
      </c>
      <c r="I102" s="82">
        <f t="shared" si="13"/>
        <v>33.5</v>
      </c>
      <c r="J102" s="82">
        <f t="shared" si="13"/>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89.763573196687489</v>
      </c>
      <c r="I106" s="67">
        <f>I103*I95+I105*I94</f>
        <v>38.888074237399195</v>
      </c>
      <c r="J106" s="67">
        <f>J103*J95+J105*J94</f>
        <v>13.025283864227024</v>
      </c>
      <c r="L106" s="80">
        <f>SUM(H106:K106)</f>
        <v>141.67693129831369</v>
      </c>
      <c r="M106" s="80">
        <f>L75</f>
        <v>125.76171369019649</v>
      </c>
      <c r="N106" s="70">
        <f>L106/M106-1</f>
        <v>0.12655057840037887</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18.211278337005723</v>
      </c>
      <c r="M107" s="67"/>
      <c r="P107" s="67"/>
    </row>
    <row r="108" spans="6:25" x14ac:dyDescent="0.25">
      <c r="F108" s="69" t="s">
        <v>343</v>
      </c>
      <c r="G108" t="s">
        <v>338</v>
      </c>
      <c r="H108" s="67">
        <f>H107*H94</f>
        <v>1.6050284662500001</v>
      </c>
      <c r="I108" s="67">
        <f>I107*I94</f>
        <v>52.797366878256</v>
      </c>
      <c r="J108" s="67">
        <f>J107*J94</f>
        <v>79.865253906810821</v>
      </c>
      <c r="L108" s="67">
        <f>SUM(H108:K108)</f>
        <v>134.26764925131681</v>
      </c>
      <c r="M108" s="67">
        <f>L80</f>
        <v>144.25372195321202</v>
      </c>
      <c r="N108" s="70">
        <f>L108/M108-1</f>
        <v>-6.9225754224450098E-2</v>
      </c>
      <c r="P108" s="67"/>
      <c r="Q108" s="67"/>
      <c r="X108" s="63"/>
      <c r="Y108" s="63"/>
    </row>
    <row r="109" spans="6:25" x14ac:dyDescent="0.25">
      <c r="F109" s="69" t="s">
        <v>342</v>
      </c>
      <c r="G109" t="s">
        <v>338</v>
      </c>
      <c r="H109" s="79">
        <f>H90*H110/(H90*$H$110+H88*$H$113)*H108*H104*(1-H91)</f>
        <v>3.1921177583210066E-2</v>
      </c>
      <c r="I109" s="79">
        <f>I90*I110/(I90*$I$110+I88*$I$113)*I108*I104*(1-I91)</f>
        <v>1.4756292388583536</v>
      </c>
      <c r="J109" s="79">
        <f>J90*J110/(J90*$J$110+J88*$J$113)*J108*J104*(1-J91)</f>
        <v>2.2899806851298328</v>
      </c>
      <c r="K109" s="67">
        <f>M109-SUM(H109:J109)</f>
        <v>2.1252601006918579</v>
      </c>
      <c r="L109" s="67">
        <f>SUM(H109:K109)</f>
        <v>5.9227912022632543</v>
      </c>
      <c r="M109" s="67">
        <f>L79</f>
        <v>5.9227912022632543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1.1000000000000003</v>
      </c>
      <c r="L110" s="74">
        <f>SUMPRODUCT(H109:K109,H110:K110)/SUM(H109:K109)</f>
        <v>1.1000000000000003</v>
      </c>
      <c r="X110" s="63"/>
      <c r="Y110" s="63"/>
    </row>
    <row r="111" spans="6:25" x14ac:dyDescent="0.25">
      <c r="F111" s="69" t="s">
        <v>340</v>
      </c>
      <c r="G111" t="s">
        <v>335</v>
      </c>
      <c r="H111" s="67">
        <f>H109/H110</f>
        <v>2.9019252348372784E-2</v>
      </c>
      <c r="I111" s="67">
        <f>I109/I110</f>
        <v>1.3414811262348669</v>
      </c>
      <c r="J111" s="67">
        <f>J109/J110</f>
        <v>2.0818006228453023</v>
      </c>
      <c r="K111" s="67">
        <f>K109/K110</f>
        <v>1.9320546369925975</v>
      </c>
      <c r="L111" s="67">
        <f>SUM(H111:K111)</f>
        <v>5.3843556384211393</v>
      </c>
      <c r="M111" s="67">
        <f>H79</f>
        <v>5.9227912022632543</v>
      </c>
      <c r="X111" s="63"/>
      <c r="Y111" s="63"/>
    </row>
    <row r="112" spans="6:25" x14ac:dyDescent="0.25">
      <c r="F112" s="69" t="s">
        <v>339</v>
      </c>
      <c r="G112" t="s">
        <v>338</v>
      </c>
      <c r="H112" s="67">
        <f>H108-H109</f>
        <v>1.5731072886667901</v>
      </c>
      <c r="I112" s="67">
        <f>I108-I109</f>
        <v>51.321737639397647</v>
      </c>
      <c r="J112" s="67">
        <f>J108-J109</f>
        <v>77.575273221680987</v>
      </c>
      <c r="K112" s="67">
        <f>K113*K114</f>
        <v>16.086018236313866</v>
      </c>
      <c r="L112" s="67">
        <f>SUM(H112:K112)</f>
        <v>146.55613638605928</v>
      </c>
      <c r="M112" s="67">
        <f>SUM(L77:L78)</f>
        <v>138.33093075094877</v>
      </c>
      <c r="N112" s="70">
        <f>L112/M112-1</f>
        <v>5.9460350555431418E-2</v>
      </c>
      <c r="X112" s="63"/>
      <c r="Y112" s="63"/>
    </row>
    <row r="113" spans="1:33" x14ac:dyDescent="0.25">
      <c r="F113" s="69" t="s">
        <v>337</v>
      </c>
      <c r="G113" t="s">
        <v>333</v>
      </c>
      <c r="H113" s="71">
        <v>1.4</v>
      </c>
      <c r="I113" s="71">
        <v>1.4</v>
      </c>
      <c r="J113" s="71">
        <v>1.4</v>
      </c>
      <c r="K113" s="77">
        <v>1.4</v>
      </c>
      <c r="L113" s="74">
        <f>SUMPRODUCT(H112:K112,H113:K113)/SUM(H112:K112)</f>
        <v>1.4</v>
      </c>
      <c r="M113" s="67">
        <f>M108/M117</f>
        <v>1.377378946495039</v>
      </c>
      <c r="X113" s="76"/>
      <c r="Y113" s="76"/>
    </row>
    <row r="114" spans="1:33" x14ac:dyDescent="0.25">
      <c r="F114" s="69" t="s">
        <v>336</v>
      </c>
      <c r="G114" t="s">
        <v>335</v>
      </c>
      <c r="H114" s="67">
        <f>H107*H94/H113</f>
        <v>1.1464489044642858</v>
      </c>
      <c r="I114" s="67">
        <f>I107*I94/I113</f>
        <v>37.712404913040004</v>
      </c>
      <c r="J114" s="67">
        <f>J107*J94/J113</f>
        <v>57.046609933436308</v>
      </c>
      <c r="K114" s="67">
        <f>K118*(K88+K90)</f>
        <v>11.490013025938476</v>
      </c>
      <c r="L114" s="67">
        <f>SUM(H114:K114)</f>
        <v>107.39547677687908</v>
      </c>
      <c r="M114" s="67">
        <f>SUM(H77:H78)</f>
        <v>98.807807679249123</v>
      </c>
      <c r="N114" s="70">
        <f>L114/M114-1</f>
        <v>8.6912859411953924E-2</v>
      </c>
    </row>
    <row r="115" spans="1:33" x14ac:dyDescent="0.25">
      <c r="F115" s="69" t="s">
        <v>334</v>
      </c>
      <c r="G115" t="s">
        <v>333</v>
      </c>
      <c r="H115" s="75">
        <f>(H113*H112+H110*H109)/(H112+H109)</f>
        <v>1.3940335305719922</v>
      </c>
      <c r="I115" s="75">
        <f>(I113*I112+I110*I109)/(I112+I109)</f>
        <v>1.3916153248195446</v>
      </c>
      <c r="J115" s="75">
        <f>(J113*J112+J110*J109)/(J112+J109)</f>
        <v>1.3913980839985738</v>
      </c>
      <c r="K115" s="75">
        <f>(K113*K112+K110*K109)/(K112+K109)</f>
        <v>1.3649899354450048</v>
      </c>
      <c r="L115" s="74">
        <f>SUMPRODUCT(H108:K108,H115:K115)/SUM(H108:K108)</f>
        <v>1.3915150124633595</v>
      </c>
      <c r="M115" s="67"/>
    </row>
    <row r="116" spans="1:33" x14ac:dyDescent="0.25">
      <c r="E116" s="69" t="s">
        <v>332</v>
      </c>
      <c r="F116" s="69" t="s">
        <v>331</v>
      </c>
      <c r="G116" t="s">
        <v>330</v>
      </c>
      <c r="H116" s="67">
        <f>H94*H93</f>
        <v>0.14518575</v>
      </c>
      <c r="I116" s="67">
        <f>I94*I93</f>
        <v>2.9431376999999999</v>
      </c>
      <c r="J116" s="67">
        <f>J94*J93</f>
        <v>3.7910756464997348</v>
      </c>
      <c r="K116" s="67">
        <f>K88+K90</f>
        <v>0.85111207599544259</v>
      </c>
      <c r="L116" s="67">
        <f>SUM(H116:K116)</f>
        <v>7.7305111724951772</v>
      </c>
      <c r="M116" s="67">
        <f>G80</f>
        <v>7.742168422495177</v>
      </c>
      <c r="N116" s="70">
        <f>L116/M116-1</f>
        <v>-1.5056828221573504E-3</v>
      </c>
    </row>
    <row r="117" spans="1:33" x14ac:dyDescent="0.25">
      <c r="F117" s="69" t="s">
        <v>329</v>
      </c>
      <c r="G117" t="str">
        <f>G114</f>
        <v>billion veh-km</v>
      </c>
      <c r="H117" s="67">
        <f>H114+H111</f>
        <v>1.1754681568126586</v>
      </c>
      <c r="I117" s="67">
        <f>I114+I111</f>
        <v>39.053886039274872</v>
      </c>
      <c r="J117" s="67">
        <f>J114+J111</f>
        <v>59.128410556281608</v>
      </c>
      <c r="K117" s="67">
        <f>K114+K111</f>
        <v>13.422067662931074</v>
      </c>
      <c r="L117" s="67">
        <f>SUM(H117:K117)</f>
        <v>112.77983241530021</v>
      </c>
      <c r="M117" s="67">
        <f>H80</f>
        <v>104.73059888151238</v>
      </c>
      <c r="N117" s="70">
        <f>L117/M117-1</f>
        <v>7.6856559780531519E-2</v>
      </c>
    </row>
    <row r="118" spans="1:33" x14ac:dyDescent="0.25">
      <c r="F118" s="69" t="s">
        <v>328</v>
      </c>
      <c r="G118" s="73" t="s">
        <v>327</v>
      </c>
      <c r="H118" s="72">
        <v>7.3852190250507794</v>
      </c>
      <c r="I118" s="72">
        <v>12.3446275646806</v>
      </c>
      <c r="J118" s="72">
        <v>13.330035321564491</v>
      </c>
      <c r="K118" s="71">
        <v>13.5</v>
      </c>
      <c r="L118" s="67">
        <f>SUMPRODUCT(H116:K116,H118:K118)/SUM(H116:K116)</f>
        <v>12.861937642028787</v>
      </c>
      <c r="M118" s="67">
        <f>I80</f>
        <v>13.527295347542877</v>
      </c>
      <c r="N118" s="70">
        <f>L118/M118-1</f>
        <v>-4.9186307271316232E-2</v>
      </c>
    </row>
    <row r="120" spans="1:33" x14ac:dyDescent="0.25">
      <c r="F120" s="69" t="s">
        <v>326</v>
      </c>
      <c r="H120" s="63">
        <f>H118*1000*H115*H87/H102/H98</f>
        <v>0.23281870084891415</v>
      </c>
      <c r="I120" s="63">
        <f>I118*1000*I115*I87/I102/I98</f>
        <v>0.4661865101275251</v>
      </c>
      <c r="J120" s="63">
        <f>J118*1000*J115*J87/J102/J98</f>
        <v>0.67175235407374456</v>
      </c>
      <c r="M120" s="69" t="s">
        <v>294</v>
      </c>
      <c r="N120" s="68">
        <f>ABS(N118)+ABS(N117)+ABS(N116)+ABS(N108)+ABS(N106)</f>
        <v>0.32332488249883407</v>
      </c>
    </row>
    <row r="122" spans="1:33" x14ac:dyDescent="0.25">
      <c r="H122" s="67">
        <f>H104*H98*H102/H115/H87/1000</f>
        <v>7.9302253192317211</v>
      </c>
      <c r="I122" s="67">
        <f>I104*I98*I102/I115/I87/1000</f>
        <v>13.769609789605328</v>
      </c>
      <c r="J122" s="67">
        <f>J104*J98*J102/J115/J87/1000</f>
        <v>15.874939912872867</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F3CD-9BC7-4D0A-B05B-B0B84846456F}">
  <sheetPr codeName="Sheet2"/>
  <dimension ref="A1:BO147"/>
  <sheetViews>
    <sheetView workbookViewId="0"/>
  </sheetViews>
  <sheetFormatPr defaultColWidth="8.85546875" defaultRowHeight="12.75" outlineLevelRow="1" outlineLevelCol="1" x14ac:dyDescent="0.2"/>
  <cols>
    <col min="1" max="1" width="34.85546875" style="1" customWidth="1"/>
    <col min="2" max="2" width="19.42578125" style="1" hidden="1" customWidth="1" outlineLevel="1"/>
    <col min="3" max="3" width="12.140625" style="1" hidden="1" customWidth="1" outlineLevel="1"/>
    <col min="4" max="4" width="14.42578125" style="1" hidden="1" customWidth="1" outlineLevel="1"/>
    <col min="5" max="5" width="16.42578125" style="1" hidden="1" customWidth="1" outlineLevel="1"/>
    <col min="6" max="8" width="8.85546875" style="1" hidden="1" customWidth="1" outlineLevel="1"/>
    <col min="9" max="9" width="0" style="1" hidden="1" customWidth="1" outlineLevel="1"/>
    <col min="10" max="10" width="15.42578125" style="1" hidden="1" customWidth="1" outlineLevel="1"/>
    <col min="11" max="16" width="0" style="1" hidden="1" customWidth="1" outlineLevel="1"/>
    <col min="17" max="17" width="17" style="1" hidden="1" customWidth="1" outlineLevel="1"/>
    <col min="18" max="21" width="0" style="1" hidden="1" customWidth="1" outlineLevel="1"/>
    <col min="22" max="22" width="11.42578125" style="1" hidden="1" customWidth="1" outlineLevel="1"/>
    <col min="23" max="23" width="16" style="1" hidden="1" customWidth="1" outlineLevel="1"/>
    <col min="24" max="24" width="12.42578125" style="1" hidden="1" customWidth="1" outlineLevel="1"/>
    <col min="25" max="27" width="0" style="1" hidden="1" customWidth="1" outlineLevel="1"/>
    <col min="28" max="28" width="15.85546875" style="1" hidden="1" customWidth="1" outlineLevel="1"/>
    <col min="29" max="31" width="0" style="1" hidden="1" customWidth="1" outlineLevel="1"/>
    <col min="32" max="32" width="15.42578125" style="1" customWidth="1" collapsed="1"/>
    <col min="33" max="33" width="10.28515625" style="1" bestFit="1" customWidth="1"/>
    <col min="34" max="34" width="8.85546875" style="1"/>
    <col min="35" max="35" width="9.140625" style="1" bestFit="1" customWidth="1"/>
    <col min="36" max="36" width="8.85546875" style="1"/>
    <col min="37" max="37" width="14.85546875" style="1" customWidth="1"/>
    <col min="38" max="41" width="8.85546875" style="1"/>
    <col min="42" max="44" width="0" style="1" hidden="1" customWidth="1" outlineLevel="1"/>
    <col min="45" max="45" width="15" style="1" hidden="1" customWidth="1" outlineLevel="1"/>
    <col min="46" max="46" width="0" style="1" hidden="1" customWidth="1" outlineLevel="1"/>
    <col min="47" max="47" width="11.85546875" style="1" hidden="1" customWidth="1" outlineLevel="1"/>
    <col min="48" max="48" width="14.42578125" style="1" hidden="1" customWidth="1" outlineLevel="1"/>
    <col min="49" max="49" width="0" style="1" hidden="1" customWidth="1" outlineLevel="1"/>
    <col min="50" max="50" width="13" style="1" hidden="1" customWidth="1" outlineLevel="1"/>
    <col min="51" max="55" width="0" style="1" hidden="1" customWidth="1" outlineLevel="1"/>
    <col min="56" max="56" width="19.42578125" style="1" customWidth="1" collapsed="1"/>
    <col min="57" max="57" width="16.42578125" style="1" hidden="1" customWidth="1"/>
    <col min="58" max="59" width="8.85546875" style="1"/>
    <col min="60" max="60" width="14.5703125" style="1" bestFit="1" customWidth="1"/>
    <col min="61" max="62" width="10" style="1" bestFit="1" customWidth="1"/>
    <col min="63" max="63" width="8.28515625" style="1" customWidth="1"/>
    <col min="64" max="64" width="9.140625" style="1" customWidth="1"/>
    <col min="65" max="65" width="10.28515625" style="1" bestFit="1" customWidth="1"/>
    <col min="66" max="16384" width="8.85546875" style="1"/>
  </cols>
  <sheetData>
    <row r="1" spans="1:63" s="56" customFormat="1" ht="23.25" x14ac:dyDescent="0.35">
      <c r="A1" s="60" t="s">
        <v>1290</v>
      </c>
      <c r="B1" s="60"/>
      <c r="C1" s="59"/>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G1" s="57"/>
      <c r="BH1" s="57"/>
      <c r="BI1" s="57"/>
      <c r="BJ1" s="57"/>
      <c r="BK1" s="57"/>
    </row>
    <row r="2" spans="1:63" x14ac:dyDescent="0.2">
      <c r="A2" s="55" t="s">
        <v>190</v>
      </c>
      <c r="B2" s="52" t="s">
        <v>189</v>
      </c>
      <c r="C2" s="52" t="s">
        <v>188</v>
      </c>
      <c r="D2" s="52" t="s">
        <v>187</v>
      </c>
      <c r="E2" s="52" t="s">
        <v>138</v>
      </c>
      <c r="F2" s="52" t="s">
        <v>186</v>
      </c>
      <c r="G2" s="52" t="s">
        <v>185</v>
      </c>
      <c r="H2" s="52" t="s">
        <v>184</v>
      </c>
      <c r="I2" s="51" t="s">
        <v>183</v>
      </c>
      <c r="J2" s="51" t="s">
        <v>179</v>
      </c>
      <c r="K2" s="51" t="s">
        <v>182</v>
      </c>
      <c r="L2" s="51" t="s">
        <v>181</v>
      </c>
      <c r="M2" s="49" t="s">
        <v>180</v>
      </c>
      <c r="N2" s="46" t="s">
        <v>179</v>
      </c>
      <c r="O2" s="46" t="s">
        <v>178</v>
      </c>
      <c r="P2" s="46" t="s">
        <v>177</v>
      </c>
      <c r="Q2" s="50" t="s">
        <v>176</v>
      </c>
      <c r="R2" s="50" t="s">
        <v>175</v>
      </c>
      <c r="S2" s="50" t="s">
        <v>174</v>
      </c>
      <c r="T2" s="50" t="s">
        <v>173</v>
      </c>
      <c r="U2" s="50" t="s">
        <v>172</v>
      </c>
      <c r="V2" s="49" t="s">
        <v>171</v>
      </c>
      <c r="W2" s="48" t="s">
        <v>170</v>
      </c>
      <c r="X2" s="48" t="s">
        <v>169</v>
      </c>
      <c r="Y2" s="48" t="s">
        <v>168</v>
      </c>
      <c r="Z2" s="48" t="s">
        <v>165</v>
      </c>
      <c r="AA2" s="48" t="s">
        <v>167</v>
      </c>
      <c r="AB2" s="48" t="s">
        <v>166</v>
      </c>
      <c r="AC2" s="46" t="s">
        <v>165</v>
      </c>
      <c r="AD2" s="46" t="s">
        <v>164</v>
      </c>
      <c r="AE2" s="46" t="s">
        <v>163</v>
      </c>
      <c r="AF2" s="46" t="s">
        <v>162</v>
      </c>
      <c r="AG2" s="46" t="s">
        <v>161</v>
      </c>
      <c r="AH2" s="46" t="s">
        <v>160</v>
      </c>
      <c r="AI2" s="46" t="s">
        <v>160</v>
      </c>
      <c r="AJ2" s="46" t="s">
        <v>141</v>
      </c>
      <c r="AK2" s="46" t="s">
        <v>159</v>
      </c>
      <c r="AL2" s="46" t="s">
        <v>158</v>
      </c>
      <c r="AM2" s="46" t="s">
        <v>157</v>
      </c>
      <c r="AN2" s="46" t="s">
        <v>156</v>
      </c>
      <c r="AO2" s="46" t="s">
        <v>155</v>
      </c>
      <c r="AP2" s="46" t="s">
        <v>154</v>
      </c>
      <c r="AQ2" s="46" t="s">
        <v>153</v>
      </c>
      <c r="AR2" s="46" t="s">
        <v>152</v>
      </c>
      <c r="AS2" s="46" t="s">
        <v>151</v>
      </c>
      <c r="AT2" s="46" t="s">
        <v>150</v>
      </c>
      <c r="AU2" s="47" t="s">
        <v>149</v>
      </c>
      <c r="AV2" s="47" t="s">
        <v>148</v>
      </c>
      <c r="AW2" s="47" t="s">
        <v>147</v>
      </c>
      <c r="AX2" s="47" t="s">
        <v>146</v>
      </c>
      <c r="AY2" s="47" t="s">
        <v>145</v>
      </c>
      <c r="AZ2" s="47" t="s">
        <v>144</v>
      </c>
      <c r="BA2" s="46" t="s">
        <v>143</v>
      </c>
      <c r="BB2" s="46" t="s">
        <v>142</v>
      </c>
      <c r="BC2" s="46" t="s">
        <v>141</v>
      </c>
      <c r="BD2" s="45" t="s">
        <v>140</v>
      </c>
      <c r="BE2" s="54" t="s">
        <v>139</v>
      </c>
    </row>
    <row r="3" spans="1:63" x14ac:dyDescent="0.2">
      <c r="A3" s="53"/>
      <c r="B3" s="52" t="s">
        <v>121</v>
      </c>
      <c r="C3" s="52" t="s">
        <v>121</v>
      </c>
      <c r="D3" s="52" t="s">
        <v>121</v>
      </c>
      <c r="E3" s="52" t="s">
        <v>121</v>
      </c>
      <c r="F3" s="52" t="s">
        <v>138</v>
      </c>
      <c r="G3" s="52"/>
      <c r="H3" s="52"/>
      <c r="I3" s="51" t="s">
        <v>127</v>
      </c>
      <c r="J3" s="51" t="s">
        <v>137</v>
      </c>
      <c r="K3" s="51"/>
      <c r="L3" s="51"/>
      <c r="M3" s="49" t="s">
        <v>130</v>
      </c>
      <c r="N3" s="46" t="s">
        <v>130</v>
      </c>
      <c r="O3" s="46" t="s">
        <v>136</v>
      </c>
      <c r="P3" s="46" t="s">
        <v>136</v>
      </c>
      <c r="Q3" s="50" t="s">
        <v>135</v>
      </c>
      <c r="R3" s="50"/>
      <c r="S3" s="50" t="s">
        <v>134</v>
      </c>
      <c r="T3" s="50" t="s">
        <v>134</v>
      </c>
      <c r="U3" s="50"/>
      <c r="V3" s="49" t="s">
        <v>130</v>
      </c>
      <c r="W3" s="48" t="s">
        <v>133</v>
      </c>
      <c r="X3" s="48"/>
      <c r="Y3" s="48"/>
      <c r="Z3" s="48" t="s">
        <v>132</v>
      </c>
      <c r="AA3" s="48"/>
      <c r="AB3" s="48" t="s">
        <v>131</v>
      </c>
      <c r="AC3" s="46" t="s">
        <v>130</v>
      </c>
      <c r="AD3" s="46"/>
      <c r="AE3" s="46"/>
      <c r="AF3" s="46" t="s">
        <v>129</v>
      </c>
      <c r="AG3" s="46" t="s">
        <v>129</v>
      </c>
      <c r="AH3" s="46" t="s">
        <v>129</v>
      </c>
      <c r="AI3" s="46" t="s">
        <v>128</v>
      </c>
      <c r="AJ3" s="46" t="s">
        <v>128</v>
      </c>
      <c r="AK3" s="46"/>
      <c r="AL3" s="46" t="s">
        <v>127</v>
      </c>
      <c r="AM3" s="46"/>
      <c r="AN3" s="46" t="s">
        <v>126</v>
      </c>
      <c r="AO3" s="46"/>
      <c r="AP3" s="46"/>
      <c r="AQ3" s="46" t="s">
        <v>125</v>
      </c>
      <c r="AR3" s="46" t="s">
        <v>124</v>
      </c>
      <c r="AS3" s="46" t="s">
        <v>123</v>
      </c>
      <c r="AT3" s="46"/>
      <c r="AU3" s="47"/>
      <c r="AV3" s="47"/>
      <c r="AW3" s="47"/>
      <c r="AX3" s="47"/>
      <c r="AY3" s="47"/>
      <c r="AZ3" s="47"/>
      <c r="BA3" s="46"/>
      <c r="BB3" s="46"/>
      <c r="BC3" s="46"/>
      <c r="BD3" s="45"/>
      <c r="BE3" s="44"/>
    </row>
    <row r="4" spans="1:63" x14ac:dyDescent="0.2">
      <c r="A4" s="43" t="s">
        <v>122</v>
      </c>
      <c r="B4" s="42"/>
      <c r="C4" s="42"/>
      <c r="D4" s="42"/>
      <c r="E4" s="42"/>
      <c r="F4" s="42" t="s">
        <v>121</v>
      </c>
      <c r="G4" s="42"/>
      <c r="H4" s="42"/>
      <c r="I4" s="41"/>
      <c r="J4" s="41"/>
      <c r="K4" s="41"/>
      <c r="L4" s="41"/>
      <c r="M4" s="39"/>
      <c r="N4" s="36"/>
      <c r="O4" s="36"/>
      <c r="P4" s="36"/>
      <c r="Q4" s="40"/>
      <c r="R4" s="40"/>
      <c r="S4" s="40"/>
      <c r="T4" s="40"/>
      <c r="U4" s="40"/>
      <c r="V4" s="39"/>
      <c r="W4" s="38"/>
      <c r="X4" s="38"/>
      <c r="Y4" s="38"/>
      <c r="Z4" s="38"/>
      <c r="AA4" s="38"/>
      <c r="AB4" s="38" t="s">
        <v>120</v>
      </c>
      <c r="AC4" s="36"/>
      <c r="AD4" s="36"/>
      <c r="AE4" s="36"/>
      <c r="AF4" s="36"/>
      <c r="AG4" s="36"/>
      <c r="AH4" s="36"/>
      <c r="AI4" s="36"/>
      <c r="AJ4" s="36"/>
      <c r="AK4" s="36"/>
      <c r="AL4" s="36"/>
      <c r="AM4" s="36"/>
      <c r="AN4" s="36"/>
      <c r="AO4" s="36"/>
      <c r="AP4" s="36"/>
      <c r="AQ4" s="36"/>
      <c r="AR4" s="36"/>
      <c r="AS4" s="36"/>
      <c r="AT4" s="36"/>
      <c r="AU4" s="37"/>
      <c r="AV4" s="37"/>
      <c r="AW4" s="37"/>
      <c r="AX4" s="37"/>
      <c r="AY4" s="37"/>
      <c r="AZ4" s="37"/>
      <c r="BA4" s="36"/>
      <c r="BB4" s="36"/>
      <c r="BC4" s="36"/>
      <c r="BD4" s="35"/>
      <c r="BE4" s="34"/>
    </row>
    <row r="5" spans="1:63" x14ac:dyDescent="0.2">
      <c r="A5" s="33">
        <v>1</v>
      </c>
      <c r="B5" s="32"/>
      <c r="C5" s="32"/>
      <c r="D5" s="32"/>
      <c r="E5" s="32"/>
      <c r="F5" s="32"/>
      <c r="G5" s="32"/>
      <c r="H5" s="32"/>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row>
    <row r="6" spans="1:63" hidden="1" outlineLevel="1" x14ac:dyDescent="0.2">
      <c r="A6" s="15" t="s">
        <v>119</v>
      </c>
      <c r="B6" s="12">
        <v>5788410.7964000003</v>
      </c>
      <c r="C6" s="12">
        <v>0</v>
      </c>
      <c r="D6" s="12">
        <v>49117.144</v>
      </c>
      <c r="E6" s="12">
        <v>5739293.6524</v>
      </c>
      <c r="F6" s="12">
        <v>0</v>
      </c>
      <c r="G6" s="12">
        <v>0</v>
      </c>
      <c r="H6" s="12">
        <v>0</v>
      </c>
      <c r="I6" s="30"/>
      <c r="J6" s="12"/>
      <c r="K6" s="12"/>
      <c r="L6" s="12"/>
      <c r="M6" s="14"/>
      <c r="N6" s="12"/>
      <c r="O6" s="12"/>
      <c r="P6" s="12"/>
      <c r="Q6" s="12">
        <v>428396</v>
      </c>
      <c r="R6" s="12">
        <v>0</v>
      </c>
      <c r="S6" s="12">
        <v>0</v>
      </c>
      <c r="T6" s="12">
        <v>0</v>
      </c>
      <c r="U6" s="12">
        <v>0</v>
      </c>
      <c r="V6" s="14">
        <v>72313.597500000003</v>
      </c>
      <c r="W6" s="12">
        <v>0</v>
      </c>
      <c r="X6" s="12">
        <v>0</v>
      </c>
      <c r="Y6" s="12">
        <v>0</v>
      </c>
      <c r="Z6" s="12">
        <v>0</v>
      </c>
      <c r="AA6" s="12">
        <v>0</v>
      </c>
      <c r="AB6" s="12">
        <v>0</v>
      </c>
      <c r="AC6" s="30"/>
      <c r="AD6" s="12"/>
      <c r="AE6" s="12"/>
      <c r="AF6" s="12"/>
      <c r="AG6" s="12"/>
      <c r="AH6" s="12"/>
      <c r="AI6" s="12"/>
      <c r="AJ6" s="12"/>
      <c r="AK6" s="12"/>
      <c r="AL6" s="12"/>
      <c r="AM6" s="12"/>
      <c r="AN6" s="12"/>
      <c r="AO6" s="12"/>
      <c r="AP6" s="12"/>
      <c r="AQ6" s="12"/>
      <c r="AR6" s="12"/>
      <c r="AS6" s="12"/>
      <c r="AT6" s="12">
        <v>0</v>
      </c>
      <c r="AU6" s="12">
        <v>109374.5454545454</v>
      </c>
      <c r="AV6" s="12">
        <v>9894.6540000000005</v>
      </c>
      <c r="AW6" s="12">
        <v>0</v>
      </c>
      <c r="AX6" s="12">
        <v>1915.2</v>
      </c>
      <c r="AY6" s="12">
        <v>0</v>
      </c>
      <c r="AZ6" s="12">
        <v>116.02079999999999</v>
      </c>
      <c r="BA6" s="12">
        <v>0</v>
      </c>
      <c r="BB6" s="12">
        <v>0</v>
      </c>
      <c r="BC6" s="12">
        <v>0</v>
      </c>
      <c r="BD6" s="12">
        <v>844563.02400000009</v>
      </c>
      <c r="BE6" s="12">
        <v>0</v>
      </c>
    </row>
    <row r="7" spans="1:63" hidden="1" outlineLevel="1" x14ac:dyDescent="0.2">
      <c r="A7" s="15" t="s">
        <v>118</v>
      </c>
      <c r="B7" s="12">
        <v>0</v>
      </c>
      <c r="C7" s="12">
        <v>0</v>
      </c>
      <c r="D7" s="12">
        <v>0</v>
      </c>
      <c r="E7" s="12">
        <v>0</v>
      </c>
      <c r="F7" s="12">
        <v>0</v>
      </c>
      <c r="G7" s="12">
        <v>0</v>
      </c>
      <c r="H7" s="12">
        <v>0</v>
      </c>
      <c r="I7" s="12"/>
      <c r="J7" s="12"/>
      <c r="K7" s="12"/>
      <c r="L7" s="12"/>
      <c r="M7" s="14"/>
      <c r="N7" s="12"/>
      <c r="O7" s="12"/>
      <c r="P7" s="12"/>
      <c r="Q7" s="12">
        <v>0</v>
      </c>
      <c r="R7" s="12">
        <v>0</v>
      </c>
      <c r="S7" s="12">
        <v>0</v>
      </c>
      <c r="T7" s="12">
        <v>0</v>
      </c>
      <c r="U7" s="12">
        <v>0</v>
      </c>
      <c r="V7" s="14">
        <v>35802.400000000001</v>
      </c>
      <c r="W7" s="12">
        <v>308603.56728538277</v>
      </c>
      <c r="X7" s="12">
        <v>0</v>
      </c>
      <c r="Y7" s="12">
        <v>0</v>
      </c>
      <c r="Z7" s="30"/>
      <c r="AA7" s="12">
        <v>0</v>
      </c>
      <c r="AB7" s="12">
        <v>308603.56728538277</v>
      </c>
      <c r="AC7" s="12"/>
      <c r="AD7" s="12"/>
      <c r="AE7" s="12"/>
      <c r="AF7" s="12"/>
      <c r="AG7" s="12"/>
      <c r="AH7" s="12"/>
      <c r="AI7" s="12"/>
      <c r="AJ7" s="12"/>
      <c r="AK7" s="12"/>
      <c r="AL7" s="12"/>
      <c r="AM7" s="12"/>
      <c r="AN7" s="12"/>
      <c r="AO7" s="12"/>
      <c r="AP7" s="12"/>
      <c r="AQ7" s="12"/>
      <c r="AR7" s="12"/>
      <c r="AS7" s="12"/>
      <c r="AT7" s="12">
        <v>0</v>
      </c>
      <c r="AU7" s="12"/>
      <c r="AV7" s="12"/>
      <c r="AW7" s="12"/>
      <c r="AX7" s="12"/>
      <c r="AY7" s="12"/>
      <c r="AZ7" s="12"/>
      <c r="BA7" s="12">
        <v>0</v>
      </c>
      <c r="BB7" s="12">
        <v>0</v>
      </c>
      <c r="BC7" s="12">
        <v>0</v>
      </c>
      <c r="BD7" s="12">
        <v>0</v>
      </c>
      <c r="BE7" s="12">
        <v>0</v>
      </c>
    </row>
    <row r="8" spans="1:63" hidden="1" outlineLevel="1" x14ac:dyDescent="0.2">
      <c r="A8" s="15" t="s">
        <v>117</v>
      </c>
      <c r="B8" s="12">
        <v>57428.12</v>
      </c>
      <c r="C8" s="12">
        <v>0</v>
      </c>
      <c r="D8" s="12">
        <v>57428.12</v>
      </c>
      <c r="E8" s="12">
        <v>0</v>
      </c>
      <c r="F8" s="12">
        <v>0</v>
      </c>
      <c r="G8" s="12">
        <v>0</v>
      </c>
      <c r="H8" s="12">
        <v>0</v>
      </c>
      <c r="I8" s="12">
        <v>0</v>
      </c>
      <c r="J8" s="12">
        <v>0</v>
      </c>
      <c r="K8" s="12">
        <v>0</v>
      </c>
      <c r="L8" s="12">
        <v>0</v>
      </c>
      <c r="M8" s="14">
        <v>0</v>
      </c>
      <c r="N8" s="12">
        <v>0</v>
      </c>
      <c r="O8" s="12">
        <v>0</v>
      </c>
      <c r="P8" s="12">
        <v>0</v>
      </c>
      <c r="Q8" s="12">
        <v>0</v>
      </c>
      <c r="R8" s="12">
        <v>0</v>
      </c>
      <c r="S8" s="12">
        <v>0</v>
      </c>
      <c r="T8" s="12">
        <v>0</v>
      </c>
      <c r="U8" s="12">
        <v>0</v>
      </c>
      <c r="V8" s="14">
        <v>52201.61</v>
      </c>
      <c r="W8" s="12">
        <v>926356.32638568</v>
      </c>
      <c r="X8" s="12">
        <v>926356.32638568</v>
      </c>
      <c r="Y8" s="12">
        <v>0</v>
      </c>
      <c r="Z8" s="12">
        <v>0</v>
      </c>
      <c r="AA8" s="12">
        <v>0</v>
      </c>
      <c r="AB8" s="12">
        <v>0</v>
      </c>
      <c r="AC8" s="12">
        <v>0</v>
      </c>
      <c r="AD8" s="12">
        <v>0</v>
      </c>
      <c r="AE8" s="12">
        <v>105.13174444444449</v>
      </c>
      <c r="AF8" s="12">
        <v>14986.755471891889</v>
      </c>
      <c r="AG8" s="12">
        <v>1394.321535205479</v>
      </c>
      <c r="AH8" s="12">
        <v>0</v>
      </c>
      <c r="AI8" s="12">
        <v>9321.3474623456787</v>
      </c>
      <c r="AJ8" s="12">
        <v>1.8485839506172841</v>
      </c>
      <c r="AK8" s="12">
        <v>74844.069916896566</v>
      </c>
      <c r="AL8" s="12">
        <v>4206.3969178947364</v>
      </c>
      <c r="AM8" s="12">
        <v>0</v>
      </c>
      <c r="AN8" s="12">
        <v>215.03208296296299</v>
      </c>
      <c r="AO8" s="12">
        <v>9424.2159353333336</v>
      </c>
      <c r="AP8" s="12">
        <v>6.1492471153846147</v>
      </c>
      <c r="AQ8" s="12">
        <v>1466.8191075</v>
      </c>
      <c r="AR8" s="12">
        <v>0</v>
      </c>
      <c r="AS8" s="12">
        <v>19291.431292087909</v>
      </c>
      <c r="AT8" s="12">
        <v>0</v>
      </c>
      <c r="AU8" s="12"/>
      <c r="AV8" s="12"/>
      <c r="AW8" s="12"/>
      <c r="AX8" s="12"/>
      <c r="AY8" s="12"/>
      <c r="AZ8" s="12"/>
      <c r="BA8" s="12">
        <v>0</v>
      </c>
      <c r="BB8" s="12">
        <v>0</v>
      </c>
      <c r="BC8" s="12">
        <v>0</v>
      </c>
      <c r="BD8" s="12">
        <v>38246.400000000001</v>
      </c>
      <c r="BE8" s="12">
        <v>0</v>
      </c>
    </row>
    <row r="9" spans="1:63" hidden="1" outlineLevel="1" x14ac:dyDescent="0.2">
      <c r="A9" s="15" t="s">
        <v>116</v>
      </c>
      <c r="B9" s="12">
        <v>-1926941.6869999999</v>
      </c>
      <c r="C9" s="12">
        <v>0</v>
      </c>
      <c r="D9" s="12">
        <v>-20834.014999999999</v>
      </c>
      <c r="E9" s="12">
        <v>-1906107.672</v>
      </c>
      <c r="F9" s="12">
        <v>0</v>
      </c>
      <c r="G9" s="12">
        <v>0</v>
      </c>
      <c r="H9" s="12">
        <v>0</v>
      </c>
      <c r="I9" s="12">
        <v>0</v>
      </c>
      <c r="J9" s="12">
        <v>0</v>
      </c>
      <c r="K9" s="12">
        <v>0</v>
      </c>
      <c r="L9" s="12">
        <v>0</v>
      </c>
      <c r="M9" s="14">
        <v>0</v>
      </c>
      <c r="N9" s="12">
        <v>0</v>
      </c>
      <c r="O9" s="12">
        <v>0</v>
      </c>
      <c r="P9" s="12">
        <v>0</v>
      </c>
      <c r="Q9" s="12">
        <v>0</v>
      </c>
      <c r="R9" s="12">
        <v>0</v>
      </c>
      <c r="S9" s="12">
        <v>0</v>
      </c>
      <c r="T9" s="12">
        <v>0</v>
      </c>
      <c r="U9" s="12">
        <v>0</v>
      </c>
      <c r="V9" s="14">
        <v>0</v>
      </c>
      <c r="W9" s="12">
        <v>-20838.03412968</v>
      </c>
      <c r="X9" s="12">
        <v>-20838.03412968</v>
      </c>
      <c r="Y9" s="12">
        <v>0</v>
      </c>
      <c r="Z9" s="12">
        <v>0</v>
      </c>
      <c r="AA9" s="12">
        <v>0</v>
      </c>
      <c r="AB9" s="12">
        <v>0</v>
      </c>
      <c r="AC9" s="12">
        <v>0</v>
      </c>
      <c r="AD9" s="12">
        <v>0</v>
      </c>
      <c r="AE9" s="12">
        <v>-549.93525222222218</v>
      </c>
      <c r="AF9" s="12">
        <v>-3548.8458656756761</v>
      </c>
      <c r="AG9" s="12">
        <v>-225.64281164383561</v>
      </c>
      <c r="AH9" s="12">
        <v>0</v>
      </c>
      <c r="AI9" s="12">
        <v>-4821.5598079012334</v>
      </c>
      <c r="AJ9" s="12">
        <v>-205.79623827160489</v>
      </c>
      <c r="AK9" s="12">
        <v>-28736.592522758619</v>
      </c>
      <c r="AL9" s="12">
        <v>-61887.355098947359</v>
      </c>
      <c r="AM9" s="12">
        <v>0</v>
      </c>
      <c r="AN9" s="12">
        <v>-793.93625259259261</v>
      </c>
      <c r="AO9" s="12">
        <v>-4708.9429099999988</v>
      </c>
      <c r="AP9" s="12">
        <v>-8587.6355936538457</v>
      </c>
      <c r="AQ9" s="12">
        <v>-5299.0486762500004</v>
      </c>
      <c r="AR9" s="12">
        <v>0</v>
      </c>
      <c r="AS9" s="12">
        <v>-6507.4773553846162</v>
      </c>
      <c r="AT9" s="12">
        <v>0</v>
      </c>
      <c r="AU9" s="12"/>
      <c r="AV9" s="12"/>
      <c r="AW9" s="12"/>
      <c r="AX9" s="12"/>
      <c r="AY9" s="12"/>
      <c r="AZ9" s="12"/>
      <c r="BA9" s="12">
        <v>0</v>
      </c>
      <c r="BB9" s="12">
        <v>0</v>
      </c>
      <c r="BC9" s="12">
        <v>0</v>
      </c>
      <c r="BD9" s="12">
        <v>-48920.4</v>
      </c>
      <c r="BE9" s="12">
        <v>0</v>
      </c>
    </row>
    <row r="10" spans="1:63" hidden="1" outlineLevel="1" x14ac:dyDescent="0.2">
      <c r="A10" s="15" t="s">
        <v>115</v>
      </c>
      <c r="B10" s="12">
        <v>0</v>
      </c>
      <c r="C10" s="12">
        <v>0</v>
      </c>
      <c r="D10" s="12">
        <v>0</v>
      </c>
      <c r="E10" s="12">
        <v>0</v>
      </c>
      <c r="F10" s="12">
        <v>0</v>
      </c>
      <c r="G10" s="12">
        <v>0</v>
      </c>
      <c r="H10" s="12">
        <v>0</v>
      </c>
      <c r="I10" s="12">
        <v>0</v>
      </c>
      <c r="J10" s="12">
        <v>0</v>
      </c>
      <c r="K10" s="12">
        <v>0</v>
      </c>
      <c r="L10" s="12">
        <v>0</v>
      </c>
      <c r="M10" s="14">
        <v>0</v>
      </c>
      <c r="N10" s="12">
        <v>0</v>
      </c>
      <c r="O10" s="12">
        <v>0</v>
      </c>
      <c r="P10" s="12">
        <v>0</v>
      </c>
      <c r="Q10" s="12">
        <v>0</v>
      </c>
      <c r="R10" s="12">
        <v>0</v>
      </c>
      <c r="S10" s="12">
        <v>0</v>
      </c>
      <c r="T10" s="12">
        <v>0</v>
      </c>
      <c r="U10" s="12">
        <v>0</v>
      </c>
      <c r="V10" s="14">
        <v>0</v>
      </c>
      <c r="W10" s="12">
        <v>0</v>
      </c>
      <c r="X10" s="12">
        <v>0</v>
      </c>
      <c r="Y10" s="12">
        <v>0</v>
      </c>
      <c r="Z10" s="12">
        <v>0</v>
      </c>
      <c r="AA10" s="12">
        <v>0</v>
      </c>
      <c r="AB10" s="12">
        <v>0</v>
      </c>
      <c r="AC10" s="12">
        <v>0</v>
      </c>
      <c r="AD10" s="12">
        <v>0</v>
      </c>
      <c r="AE10" s="12">
        <v>0</v>
      </c>
      <c r="AF10" s="12">
        <v>0</v>
      </c>
      <c r="AG10" s="12">
        <v>0</v>
      </c>
      <c r="AH10" s="12">
        <v>0</v>
      </c>
      <c r="AI10" s="12">
        <v>0</v>
      </c>
      <c r="AJ10" s="12">
        <v>0</v>
      </c>
      <c r="AK10" s="12">
        <v>-9921.7739333999998</v>
      </c>
      <c r="AL10" s="12">
        <v>-97592.864054399994</v>
      </c>
      <c r="AM10" s="12">
        <v>0</v>
      </c>
      <c r="AN10" s="12">
        <v>0</v>
      </c>
      <c r="AO10" s="12">
        <v>0</v>
      </c>
      <c r="AP10" s="12">
        <v>0</v>
      </c>
      <c r="AQ10" s="12">
        <v>0</v>
      </c>
      <c r="AR10" s="12">
        <v>0</v>
      </c>
      <c r="AS10" s="12">
        <v>0</v>
      </c>
      <c r="AT10" s="12">
        <v>0</v>
      </c>
      <c r="AU10" s="12"/>
      <c r="AV10" s="12"/>
      <c r="AW10" s="12"/>
      <c r="AX10" s="12"/>
      <c r="AY10" s="12"/>
      <c r="AZ10" s="12"/>
      <c r="BA10" s="12">
        <v>0</v>
      </c>
      <c r="BB10" s="12">
        <v>0</v>
      </c>
      <c r="BC10" s="12">
        <v>0</v>
      </c>
      <c r="BD10" s="12">
        <v>0</v>
      </c>
      <c r="BE10" s="12">
        <v>0</v>
      </c>
    </row>
    <row r="11" spans="1:63" hidden="1" outlineLevel="1" x14ac:dyDescent="0.2">
      <c r="A11" s="15" t="s">
        <v>114</v>
      </c>
      <c r="B11" s="12">
        <v>-197740.92600000001</v>
      </c>
      <c r="C11" s="12">
        <v>0</v>
      </c>
      <c r="D11" s="12">
        <v>0</v>
      </c>
      <c r="E11" s="12">
        <v>-197740.92600000001</v>
      </c>
      <c r="F11" s="12">
        <v>0</v>
      </c>
      <c r="G11" s="12">
        <v>0</v>
      </c>
      <c r="H11" s="12">
        <v>0</v>
      </c>
      <c r="I11" s="12">
        <v>0</v>
      </c>
      <c r="J11" s="12">
        <v>0</v>
      </c>
      <c r="K11" s="12">
        <v>0</v>
      </c>
      <c r="L11" s="12">
        <v>0</v>
      </c>
      <c r="M11" s="14">
        <v>0</v>
      </c>
      <c r="N11" s="12">
        <v>0</v>
      </c>
      <c r="O11" s="12">
        <v>0</v>
      </c>
      <c r="P11" s="12">
        <v>0</v>
      </c>
      <c r="Q11" s="12">
        <v>0</v>
      </c>
      <c r="R11" s="12">
        <v>0</v>
      </c>
      <c r="S11" s="12">
        <v>0</v>
      </c>
      <c r="T11" s="12">
        <v>0</v>
      </c>
      <c r="U11" s="12">
        <v>0</v>
      </c>
      <c r="V11" s="14">
        <v>0</v>
      </c>
      <c r="W11" s="12">
        <v>0</v>
      </c>
      <c r="X11" s="12">
        <v>0</v>
      </c>
      <c r="Y11" s="12">
        <v>0</v>
      </c>
      <c r="Z11" s="12">
        <v>0</v>
      </c>
      <c r="AA11" s="12">
        <v>0</v>
      </c>
      <c r="AB11" s="12">
        <v>0</v>
      </c>
      <c r="AC11" s="12">
        <v>0</v>
      </c>
      <c r="AD11" s="12">
        <v>0</v>
      </c>
      <c r="AE11" s="12">
        <v>0</v>
      </c>
      <c r="AF11" s="12">
        <v>0</v>
      </c>
      <c r="AG11" s="12">
        <v>-423.93247116164378</v>
      </c>
      <c r="AH11" s="12">
        <v>0</v>
      </c>
      <c r="AI11" s="12">
        <v>0</v>
      </c>
      <c r="AJ11" s="12">
        <v>0</v>
      </c>
      <c r="AK11" s="12">
        <v>0</v>
      </c>
      <c r="AL11" s="12">
        <v>0</v>
      </c>
      <c r="AM11" s="12">
        <v>0</v>
      </c>
      <c r="AN11" s="12">
        <v>0</v>
      </c>
      <c r="AO11" s="12">
        <v>0</v>
      </c>
      <c r="AP11" s="12">
        <v>0</v>
      </c>
      <c r="AQ11" s="12">
        <v>0</v>
      </c>
      <c r="AR11" s="12">
        <v>0</v>
      </c>
      <c r="AS11" s="12">
        <v>0</v>
      </c>
      <c r="AT11" s="12">
        <v>0</v>
      </c>
      <c r="AU11" s="12"/>
      <c r="AV11" s="12"/>
      <c r="AW11" s="12"/>
      <c r="AX11" s="12"/>
      <c r="AY11" s="12"/>
      <c r="AZ11" s="12"/>
      <c r="BA11" s="12">
        <v>0</v>
      </c>
      <c r="BB11" s="12">
        <v>0</v>
      </c>
      <c r="BC11" s="12">
        <v>0</v>
      </c>
      <c r="BD11" s="12">
        <v>0</v>
      </c>
      <c r="BE11" s="12">
        <v>0</v>
      </c>
    </row>
    <row r="12" spans="1:63" hidden="1" outlineLevel="1" x14ac:dyDescent="0.2">
      <c r="A12" s="18" t="s">
        <v>113</v>
      </c>
      <c r="B12" s="16">
        <v>3721156.3034000001</v>
      </c>
      <c r="C12" s="16">
        <v>0</v>
      </c>
      <c r="D12" s="16">
        <v>85711.248999999996</v>
      </c>
      <c r="E12" s="16">
        <v>3635445.0543999998</v>
      </c>
      <c r="F12" s="16">
        <v>0</v>
      </c>
      <c r="G12" s="16">
        <v>0</v>
      </c>
      <c r="H12" s="16">
        <v>0</v>
      </c>
      <c r="I12" s="16">
        <v>0</v>
      </c>
      <c r="J12" s="16">
        <v>0</v>
      </c>
      <c r="K12" s="16">
        <v>0</v>
      </c>
      <c r="L12" s="16">
        <v>0</v>
      </c>
      <c r="M12" s="17">
        <v>0</v>
      </c>
      <c r="N12" s="16">
        <v>0</v>
      </c>
      <c r="O12" s="16">
        <v>0</v>
      </c>
      <c r="P12" s="16">
        <v>0</v>
      </c>
      <c r="Q12" s="16">
        <v>428396</v>
      </c>
      <c r="R12" s="16">
        <v>0</v>
      </c>
      <c r="S12" s="16">
        <v>0</v>
      </c>
      <c r="T12" s="16">
        <v>0</v>
      </c>
      <c r="U12" s="16">
        <v>0</v>
      </c>
      <c r="V12" s="17">
        <v>160317.60750000001</v>
      </c>
      <c r="W12" s="16">
        <v>1214121.8595413801</v>
      </c>
      <c r="X12" s="16">
        <v>905518.29225599999</v>
      </c>
      <c r="Y12" s="16">
        <v>0</v>
      </c>
      <c r="Z12" s="16">
        <v>0</v>
      </c>
      <c r="AA12" s="16">
        <v>0</v>
      </c>
      <c r="AB12" s="16">
        <v>308603.56728538277</v>
      </c>
      <c r="AC12" s="16">
        <v>0</v>
      </c>
      <c r="AD12" s="16">
        <v>0</v>
      </c>
      <c r="AE12" s="16">
        <v>-444.80350777777772</v>
      </c>
      <c r="AF12" s="16">
        <v>11437.909606216221</v>
      </c>
      <c r="AG12" s="16">
        <v>744.74625240000012</v>
      </c>
      <c r="AH12" s="16">
        <v>0</v>
      </c>
      <c r="AI12" s="16">
        <v>4499.7876544444453</v>
      </c>
      <c r="AJ12" s="16">
        <v>-203.94765432098771</v>
      </c>
      <c r="AK12" s="16">
        <v>36185.703460737939</v>
      </c>
      <c r="AL12" s="16">
        <v>-155273.82223545259</v>
      </c>
      <c r="AM12" s="16">
        <v>0</v>
      </c>
      <c r="AN12" s="16">
        <v>-578.90416962962968</v>
      </c>
      <c r="AO12" s="16">
        <v>4715.2730253333339</v>
      </c>
      <c r="AP12" s="16">
        <v>-8581.4863465384606</v>
      </c>
      <c r="AQ12" s="16">
        <v>-3832.22956875</v>
      </c>
      <c r="AR12" s="16">
        <v>0</v>
      </c>
      <c r="AS12" s="16">
        <v>12783.953936703299</v>
      </c>
      <c r="AT12" s="16">
        <v>0</v>
      </c>
      <c r="AU12" s="16">
        <v>109374.5454545454</v>
      </c>
      <c r="AV12" s="16">
        <v>9894.6540000000005</v>
      </c>
      <c r="AW12" s="16">
        <v>0</v>
      </c>
      <c r="AX12" s="16">
        <v>1915.2</v>
      </c>
      <c r="AY12" s="16">
        <v>0</v>
      </c>
      <c r="AZ12" s="16">
        <v>116.02079999999999</v>
      </c>
      <c r="BA12" s="16">
        <v>0</v>
      </c>
      <c r="BB12" s="16">
        <v>0</v>
      </c>
      <c r="BC12" s="16">
        <v>0</v>
      </c>
      <c r="BD12" s="16">
        <v>833889.02400000009</v>
      </c>
      <c r="BE12" s="16">
        <v>0</v>
      </c>
    </row>
    <row r="13" spans="1:63" hidden="1" outlineLevel="1" x14ac:dyDescent="0.2">
      <c r="A13" s="15"/>
      <c r="B13" s="12"/>
      <c r="C13" s="12"/>
      <c r="D13" s="12"/>
      <c r="E13" s="12"/>
      <c r="F13" s="12"/>
      <c r="G13" s="12"/>
      <c r="H13" s="12"/>
      <c r="I13" s="12"/>
      <c r="J13" s="12"/>
      <c r="K13" s="12"/>
      <c r="L13" s="12"/>
      <c r="M13" s="14"/>
      <c r="N13" s="12"/>
      <c r="O13" s="12"/>
      <c r="P13" s="12"/>
      <c r="Q13" s="12"/>
      <c r="R13" s="12"/>
      <c r="S13" s="12"/>
      <c r="T13" s="12"/>
      <c r="U13" s="12"/>
      <c r="V13" s="14"/>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spans="1:63" hidden="1" outlineLevel="1" x14ac:dyDescent="0.2">
      <c r="A14" s="15" t="s">
        <v>112</v>
      </c>
      <c r="B14" s="12">
        <v>0</v>
      </c>
      <c r="C14" s="12" t="s">
        <v>110</v>
      </c>
      <c r="D14" s="12">
        <v>0</v>
      </c>
      <c r="E14" s="12">
        <v>0</v>
      </c>
      <c r="F14" s="12">
        <v>0</v>
      </c>
      <c r="G14" s="12">
        <v>0</v>
      </c>
      <c r="H14" s="12">
        <v>0</v>
      </c>
      <c r="I14" s="12">
        <v>0</v>
      </c>
      <c r="J14" s="12">
        <v>0</v>
      </c>
      <c r="K14" s="12">
        <v>0</v>
      </c>
      <c r="L14" s="12">
        <v>0</v>
      </c>
      <c r="M14" s="14">
        <v>0</v>
      </c>
      <c r="N14" s="12">
        <v>0</v>
      </c>
      <c r="O14" s="12">
        <v>0</v>
      </c>
      <c r="P14" s="12">
        <v>0</v>
      </c>
      <c r="Q14" s="12">
        <v>0</v>
      </c>
      <c r="R14" s="12">
        <v>0</v>
      </c>
      <c r="S14" s="12">
        <v>0</v>
      </c>
      <c r="T14" s="12">
        <v>0</v>
      </c>
      <c r="U14" s="12">
        <v>0</v>
      </c>
      <c r="V14" s="14">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c r="AV14" s="12"/>
      <c r="AW14" s="12"/>
      <c r="AX14" s="12"/>
      <c r="AY14" s="12"/>
      <c r="AZ14" s="12"/>
      <c r="BA14" s="12">
        <v>0</v>
      </c>
      <c r="BB14" s="12">
        <v>0</v>
      </c>
      <c r="BC14" s="12">
        <v>0</v>
      </c>
      <c r="BD14" s="12">
        <v>0</v>
      </c>
      <c r="BE14" s="12">
        <v>0</v>
      </c>
    </row>
    <row r="15" spans="1:63" hidden="1" outlineLevel="1" x14ac:dyDescent="0.2">
      <c r="A15" s="15" t="s">
        <v>111</v>
      </c>
      <c r="B15" s="12">
        <v>164306.04149999889</v>
      </c>
      <c r="C15" s="12" t="s">
        <v>110</v>
      </c>
      <c r="D15" s="12">
        <v>7822.0749999999971</v>
      </c>
      <c r="E15" s="12">
        <v>156483.96649999969</v>
      </c>
      <c r="F15" s="12">
        <v>0</v>
      </c>
      <c r="G15" s="12">
        <v>0</v>
      </c>
      <c r="H15" s="12">
        <v>0</v>
      </c>
      <c r="I15" s="12">
        <v>0</v>
      </c>
      <c r="J15" s="12">
        <v>0</v>
      </c>
      <c r="K15" s="12">
        <v>0</v>
      </c>
      <c r="L15" s="12">
        <v>0</v>
      </c>
      <c r="M15" s="12">
        <v>88004.01</v>
      </c>
      <c r="N15" s="12">
        <v>0</v>
      </c>
      <c r="O15" s="12">
        <v>-3309</v>
      </c>
      <c r="P15" s="12">
        <v>0</v>
      </c>
      <c r="Q15" s="12">
        <v>0</v>
      </c>
      <c r="R15" s="12">
        <v>0</v>
      </c>
      <c r="S15" s="12">
        <v>0</v>
      </c>
      <c r="T15" s="12">
        <v>0</v>
      </c>
      <c r="U15" s="12">
        <v>0</v>
      </c>
      <c r="V15" s="12">
        <v>-88004.01</v>
      </c>
      <c r="W15" s="12">
        <v>-308603.56728538289</v>
      </c>
      <c r="X15" s="12">
        <v>0</v>
      </c>
      <c r="Y15" s="12">
        <v>0</v>
      </c>
      <c r="Z15" s="12">
        <v>0</v>
      </c>
      <c r="AA15" s="12">
        <v>0</v>
      </c>
      <c r="AB15" s="12">
        <v>-308603.56728538277</v>
      </c>
      <c r="AC15" s="12">
        <v>-3.0275800000000002E-3</v>
      </c>
      <c r="AD15" s="12">
        <v>0</v>
      </c>
      <c r="AE15" s="12">
        <v>1.8189894035458601E-12</v>
      </c>
      <c r="AF15" s="12">
        <v>1.16415321826935E-10</v>
      </c>
      <c r="AG15" s="12">
        <v>-1.13686837721616E-13</v>
      </c>
      <c r="AH15" s="12">
        <v>0</v>
      </c>
      <c r="AI15" s="12">
        <v>0</v>
      </c>
      <c r="AJ15" s="12">
        <v>0</v>
      </c>
      <c r="AK15" s="12">
        <v>-5.8207660913467401E-11</v>
      </c>
      <c r="AL15" s="12">
        <v>3.6379788070917101E-12</v>
      </c>
      <c r="AM15" s="12">
        <v>0</v>
      </c>
      <c r="AN15" s="12">
        <v>4253.9954766000001</v>
      </c>
      <c r="AO15" s="12">
        <v>17195.366607600001</v>
      </c>
      <c r="AP15" s="12">
        <v>-1.8189894035458601E-12</v>
      </c>
      <c r="AQ15" s="12">
        <v>2.8421709430404002E-13</v>
      </c>
      <c r="AR15" s="12">
        <v>0</v>
      </c>
      <c r="AS15" s="12">
        <v>-1.7670329725660801E-4</v>
      </c>
      <c r="AT15" s="12">
        <v>0</v>
      </c>
      <c r="AU15" s="12">
        <v>0</v>
      </c>
      <c r="AV15" s="12">
        <v>0</v>
      </c>
      <c r="AW15" s="12">
        <v>0</v>
      </c>
      <c r="AX15" s="12">
        <v>0</v>
      </c>
      <c r="AY15" s="12">
        <v>0</v>
      </c>
      <c r="AZ15" s="12">
        <v>0</v>
      </c>
      <c r="BA15" s="12">
        <v>0</v>
      </c>
      <c r="BB15" s="12">
        <v>0</v>
      </c>
      <c r="BC15" s="12">
        <v>0</v>
      </c>
      <c r="BD15" s="12">
        <v>14760831.3961032</v>
      </c>
      <c r="BE15" s="12">
        <v>0</v>
      </c>
    </row>
    <row r="16" spans="1:63" hidden="1" outlineLevel="1" x14ac:dyDescent="0.2">
      <c r="A16" s="15"/>
      <c r="B16" s="12"/>
      <c r="C16" s="12"/>
      <c r="D16" s="12"/>
      <c r="E16" s="12"/>
      <c r="F16" s="12"/>
      <c r="G16" s="12"/>
      <c r="H16" s="12"/>
      <c r="I16" s="12"/>
      <c r="J16" s="12"/>
      <c r="K16" s="12"/>
      <c r="L16" s="12"/>
      <c r="M16" s="14"/>
      <c r="N16" s="12"/>
      <c r="O16" s="12"/>
      <c r="P16" s="12"/>
      <c r="Q16" s="12"/>
      <c r="R16" s="12"/>
      <c r="S16" s="12"/>
      <c r="T16" s="12"/>
      <c r="U16" s="12"/>
      <c r="V16" s="14"/>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spans="1:57" hidden="1" outlineLevel="1" x14ac:dyDescent="0.2">
      <c r="A17" s="18" t="s">
        <v>109</v>
      </c>
      <c r="B17" s="12">
        <v>-3221727.6258999999</v>
      </c>
      <c r="C17" s="12">
        <v>0</v>
      </c>
      <c r="D17" s="12">
        <v>-68315.691999999995</v>
      </c>
      <c r="E17" s="12">
        <v>-3153411.9339000001</v>
      </c>
      <c r="F17" s="12">
        <v>0</v>
      </c>
      <c r="G17" s="12">
        <v>0</v>
      </c>
      <c r="H17" s="12">
        <v>0</v>
      </c>
      <c r="I17" s="12">
        <v>0</v>
      </c>
      <c r="J17" s="12">
        <v>50250.383099999992</v>
      </c>
      <c r="K17" s="12">
        <v>0</v>
      </c>
      <c r="L17" s="12">
        <v>0</v>
      </c>
      <c r="M17" s="14">
        <v>17680.580000000002</v>
      </c>
      <c r="N17" s="12">
        <v>0</v>
      </c>
      <c r="O17" s="12">
        <v>19054</v>
      </c>
      <c r="P17" s="12">
        <v>0</v>
      </c>
      <c r="Q17" s="12">
        <v>-237996</v>
      </c>
      <c r="R17" s="12">
        <v>0</v>
      </c>
      <c r="S17" s="12">
        <v>0</v>
      </c>
      <c r="T17" s="12">
        <v>0</v>
      </c>
      <c r="U17" s="12">
        <v>0</v>
      </c>
      <c r="V17" s="14">
        <v>-72313.597500000003</v>
      </c>
      <c r="W17" s="12">
        <v>-905518.29225599999</v>
      </c>
      <c r="X17" s="12">
        <v>-905518.29225599999</v>
      </c>
      <c r="Y17" s="12">
        <v>0</v>
      </c>
      <c r="Z17" s="12">
        <v>0</v>
      </c>
      <c r="AA17" s="12">
        <v>0</v>
      </c>
      <c r="AB17" s="12">
        <v>0</v>
      </c>
      <c r="AC17" s="12">
        <v>0.02</v>
      </c>
      <c r="AD17" s="12">
        <v>0</v>
      </c>
      <c r="AE17" s="12">
        <v>13823.28781537778</v>
      </c>
      <c r="AF17" s="12">
        <v>374654.65872658382</v>
      </c>
      <c r="AG17" s="12">
        <v>0</v>
      </c>
      <c r="AH17" s="12">
        <v>0</v>
      </c>
      <c r="AI17" s="12">
        <v>73443.15394795555</v>
      </c>
      <c r="AJ17" s="12">
        <v>27522.878340320989</v>
      </c>
      <c r="AK17" s="12">
        <v>284146.83222546207</v>
      </c>
      <c r="AL17" s="12">
        <v>175074.86987065259</v>
      </c>
      <c r="AM17" s="12">
        <v>0</v>
      </c>
      <c r="AN17" s="12">
        <v>4832.8996462296291</v>
      </c>
      <c r="AO17" s="12">
        <v>12480.09358226666</v>
      </c>
      <c r="AP17" s="12">
        <v>20868.561513738459</v>
      </c>
      <c r="AQ17" s="12">
        <v>4156.6356091500002</v>
      </c>
      <c r="AR17" s="12">
        <v>0</v>
      </c>
      <c r="AS17" s="12">
        <v>0</v>
      </c>
      <c r="AT17" s="12">
        <v>0</v>
      </c>
      <c r="AU17" s="12">
        <v>-109374.5454545454</v>
      </c>
      <c r="AV17" s="12">
        <v>-9894.6540000000005</v>
      </c>
      <c r="AW17" s="12">
        <v>0</v>
      </c>
      <c r="AX17" s="12">
        <v>-1915.2</v>
      </c>
      <c r="AY17" s="12">
        <v>0</v>
      </c>
      <c r="AZ17" s="12">
        <v>-116.02079999999999</v>
      </c>
      <c r="BA17" s="12">
        <v>0</v>
      </c>
      <c r="BB17" s="12">
        <v>0</v>
      </c>
      <c r="BC17" s="12">
        <v>0</v>
      </c>
      <c r="BD17" s="12">
        <v>-844563.02400000009</v>
      </c>
      <c r="BE17" s="12">
        <v>0</v>
      </c>
    </row>
    <row r="18" spans="1:57" hidden="1" outlineLevel="1" x14ac:dyDescent="0.2">
      <c r="A18" s="15" t="s">
        <v>108</v>
      </c>
      <c r="B18" s="12">
        <v>-2155476.5438999999</v>
      </c>
      <c r="C18" s="12">
        <v>0</v>
      </c>
      <c r="D18" s="12">
        <v>0</v>
      </c>
      <c r="E18" s="12">
        <v>-2155476.5438999999</v>
      </c>
      <c r="F18" s="12">
        <v>0</v>
      </c>
      <c r="G18" s="12">
        <v>0</v>
      </c>
      <c r="H18" s="12">
        <v>0</v>
      </c>
      <c r="I18" s="12">
        <v>0</v>
      </c>
      <c r="J18" s="12">
        <v>0</v>
      </c>
      <c r="K18" s="12">
        <v>0</v>
      </c>
      <c r="L18" s="12">
        <v>0</v>
      </c>
      <c r="M18" s="14">
        <v>0</v>
      </c>
      <c r="N18" s="12">
        <v>0</v>
      </c>
      <c r="O18" s="12">
        <v>0</v>
      </c>
      <c r="P18" s="12">
        <v>0</v>
      </c>
      <c r="Q18" s="12">
        <v>0</v>
      </c>
      <c r="R18" s="12">
        <v>0</v>
      </c>
      <c r="S18" s="12">
        <v>0</v>
      </c>
      <c r="T18" s="12">
        <v>0</v>
      </c>
      <c r="U18" s="12">
        <v>0</v>
      </c>
      <c r="V18" s="14">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-109374.5454545454</v>
      </c>
      <c r="AV18" s="12">
        <v>-9255.2219999999998</v>
      </c>
      <c r="AW18" s="12">
        <v>0</v>
      </c>
      <c r="AX18" s="12">
        <v>-1915.2</v>
      </c>
      <c r="AY18" s="12">
        <v>0</v>
      </c>
      <c r="AZ18" s="12">
        <v>-116.02079999999999</v>
      </c>
      <c r="BA18" s="12">
        <v>0</v>
      </c>
      <c r="BB18" s="12">
        <v>0</v>
      </c>
      <c r="BC18" s="12">
        <v>0</v>
      </c>
      <c r="BD18" s="12">
        <v>-819169.64280000003</v>
      </c>
      <c r="BE18" s="12"/>
    </row>
    <row r="19" spans="1:57" hidden="1" outlineLevel="1" x14ac:dyDescent="0.2">
      <c r="A19" s="15" t="s">
        <v>107</v>
      </c>
      <c r="B19" s="12">
        <v>-39627.30599999999</v>
      </c>
      <c r="C19" s="12">
        <v>0</v>
      </c>
      <c r="D19" s="12">
        <v>0</v>
      </c>
      <c r="E19" s="12">
        <v>-39627.30599999999</v>
      </c>
      <c r="F19" s="12">
        <v>0</v>
      </c>
      <c r="G19" s="12">
        <v>0</v>
      </c>
      <c r="H19" s="12">
        <v>0</v>
      </c>
      <c r="I19" s="12">
        <v>0</v>
      </c>
      <c r="J19" s="12">
        <v>0</v>
      </c>
      <c r="K19" s="12">
        <v>0</v>
      </c>
      <c r="L19" s="12">
        <v>0</v>
      </c>
      <c r="M19" s="14">
        <v>0</v>
      </c>
      <c r="N19" s="12">
        <v>0</v>
      </c>
      <c r="O19" s="12">
        <v>0</v>
      </c>
      <c r="P19" s="12">
        <v>0</v>
      </c>
      <c r="Q19" s="12">
        <v>0</v>
      </c>
      <c r="R19" s="12">
        <v>0</v>
      </c>
      <c r="S19" s="12">
        <v>0</v>
      </c>
      <c r="T19" s="12">
        <v>0</v>
      </c>
      <c r="U19" s="12">
        <v>0</v>
      </c>
      <c r="V19" s="14">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-639.43200000000002</v>
      </c>
      <c r="AW19" s="12">
        <v>0</v>
      </c>
      <c r="AX19" s="12">
        <v>0</v>
      </c>
      <c r="AY19" s="12">
        <v>0</v>
      </c>
      <c r="AZ19" s="12">
        <v>0</v>
      </c>
      <c r="BA19" s="12">
        <v>0</v>
      </c>
      <c r="BB19" s="12">
        <v>0</v>
      </c>
      <c r="BC19" s="12">
        <v>0</v>
      </c>
      <c r="BD19" s="12">
        <v>-24659.049599999998</v>
      </c>
      <c r="BE19" s="12"/>
    </row>
    <row r="20" spans="1:57" hidden="1" outlineLevel="1" x14ac:dyDescent="0.2">
      <c r="A20" s="15" t="s">
        <v>106</v>
      </c>
      <c r="B20" s="12">
        <v>0</v>
      </c>
      <c r="C20" s="12">
        <v>0</v>
      </c>
      <c r="D20" s="12">
        <v>0</v>
      </c>
      <c r="E20" s="12">
        <v>0</v>
      </c>
      <c r="F20" s="12">
        <v>0</v>
      </c>
      <c r="G20" s="12">
        <v>0</v>
      </c>
      <c r="H20" s="12">
        <v>0</v>
      </c>
      <c r="I20" s="12">
        <v>0</v>
      </c>
      <c r="J20" s="12">
        <v>0</v>
      </c>
      <c r="K20" s="12">
        <v>0</v>
      </c>
      <c r="L20" s="12">
        <v>0</v>
      </c>
      <c r="M20" s="14">
        <v>0</v>
      </c>
      <c r="N20" s="12">
        <v>0</v>
      </c>
      <c r="O20" s="12">
        <v>0</v>
      </c>
      <c r="P20" s="12">
        <v>0</v>
      </c>
      <c r="Q20" s="12">
        <v>0</v>
      </c>
      <c r="R20" s="12">
        <v>0</v>
      </c>
      <c r="S20" s="12">
        <v>0</v>
      </c>
      <c r="T20" s="12">
        <v>0</v>
      </c>
      <c r="U20" s="12">
        <v>0</v>
      </c>
      <c r="V20" s="14">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row>
    <row r="21" spans="1:57" hidden="1" outlineLevel="1" x14ac:dyDescent="0.2">
      <c r="A21" s="15" t="s">
        <v>105</v>
      </c>
      <c r="B21" s="12">
        <v>0</v>
      </c>
      <c r="C21" s="12">
        <v>0</v>
      </c>
      <c r="D21" s="12">
        <v>0</v>
      </c>
      <c r="E21" s="12">
        <v>0</v>
      </c>
      <c r="F21" s="12">
        <v>0</v>
      </c>
      <c r="G21" s="12">
        <v>0</v>
      </c>
      <c r="H21" s="12">
        <v>0</v>
      </c>
      <c r="I21" s="12">
        <v>0</v>
      </c>
      <c r="J21" s="12">
        <v>0</v>
      </c>
      <c r="K21" s="12">
        <v>0</v>
      </c>
      <c r="L21" s="12">
        <v>0</v>
      </c>
      <c r="M21" s="14">
        <v>0</v>
      </c>
      <c r="N21" s="12">
        <v>0</v>
      </c>
      <c r="O21" s="12">
        <v>0</v>
      </c>
      <c r="P21" s="12">
        <v>0</v>
      </c>
      <c r="Q21" s="12">
        <v>-237996</v>
      </c>
      <c r="R21" s="12">
        <v>0</v>
      </c>
      <c r="S21" s="12">
        <v>0</v>
      </c>
      <c r="T21" s="12">
        <v>0</v>
      </c>
      <c r="U21" s="12">
        <v>0</v>
      </c>
      <c r="V21" s="14">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-734.33159999999998</v>
      </c>
      <c r="BE21" s="12">
        <v>0</v>
      </c>
    </row>
    <row r="22" spans="1:57" hidden="1" outlineLevel="1" x14ac:dyDescent="0.2">
      <c r="A22" s="15" t="s">
        <v>104</v>
      </c>
      <c r="B22" s="12">
        <v>0</v>
      </c>
      <c r="C22" s="12">
        <v>0</v>
      </c>
      <c r="D22" s="12">
        <v>0</v>
      </c>
      <c r="E22" s="12">
        <v>0</v>
      </c>
      <c r="F22" s="12">
        <v>0</v>
      </c>
      <c r="G22" s="12">
        <v>0</v>
      </c>
      <c r="H22" s="12">
        <v>0</v>
      </c>
      <c r="I22" s="12">
        <v>0</v>
      </c>
      <c r="J22" s="12">
        <v>0</v>
      </c>
      <c r="K22" s="12">
        <v>0</v>
      </c>
      <c r="L22" s="12">
        <v>0</v>
      </c>
      <c r="M22" s="14">
        <v>0</v>
      </c>
      <c r="N22" s="12">
        <v>0</v>
      </c>
      <c r="O22" s="12">
        <v>0</v>
      </c>
      <c r="P22" s="12">
        <v>0</v>
      </c>
      <c r="Q22" s="12">
        <v>0</v>
      </c>
      <c r="R22" s="12">
        <v>0</v>
      </c>
      <c r="S22" s="12">
        <v>0</v>
      </c>
      <c r="T22" s="12">
        <v>0</v>
      </c>
      <c r="U22" s="12">
        <v>0</v>
      </c>
      <c r="V22" s="14">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c r="AV22" s="12"/>
      <c r="AW22" s="12"/>
      <c r="AX22" s="12"/>
      <c r="AY22" s="12"/>
      <c r="AZ22" s="12"/>
      <c r="BA22" s="12">
        <v>0</v>
      </c>
      <c r="BB22" s="12">
        <v>0</v>
      </c>
      <c r="BC22" s="12">
        <v>0</v>
      </c>
      <c r="BD22" s="12">
        <v>0</v>
      </c>
      <c r="BE22" s="12">
        <v>0</v>
      </c>
    </row>
    <row r="23" spans="1:57" hidden="1" outlineLevel="1" x14ac:dyDescent="0.2">
      <c r="A23" s="15" t="s">
        <v>103</v>
      </c>
      <c r="B23" s="12">
        <v>0</v>
      </c>
      <c r="C23" s="12">
        <v>0</v>
      </c>
      <c r="D23" s="12">
        <v>0</v>
      </c>
      <c r="E23" s="12">
        <v>0</v>
      </c>
      <c r="F23" s="12">
        <v>0</v>
      </c>
      <c r="G23" s="12">
        <v>0</v>
      </c>
      <c r="H23" s="12">
        <v>0</v>
      </c>
      <c r="I23" s="12">
        <v>0</v>
      </c>
      <c r="J23" s="12">
        <v>0</v>
      </c>
      <c r="K23" s="12">
        <v>0</v>
      </c>
      <c r="L23" s="12">
        <v>0</v>
      </c>
      <c r="M23" s="14">
        <v>0</v>
      </c>
      <c r="N23" s="12">
        <v>0</v>
      </c>
      <c r="O23" s="12">
        <v>0</v>
      </c>
      <c r="P23" s="12">
        <v>0</v>
      </c>
      <c r="Q23" s="12">
        <v>0</v>
      </c>
      <c r="R23" s="12">
        <v>0</v>
      </c>
      <c r="S23" s="12">
        <v>0</v>
      </c>
      <c r="T23" s="12">
        <v>0</v>
      </c>
      <c r="U23" s="12">
        <v>0</v>
      </c>
      <c r="V23" s="14">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c r="AV23" s="12"/>
      <c r="AW23" s="12"/>
      <c r="AX23" s="12"/>
      <c r="AY23" s="12"/>
      <c r="AZ23" s="12"/>
      <c r="BA23" s="12">
        <v>0</v>
      </c>
      <c r="BB23" s="12">
        <v>0</v>
      </c>
      <c r="BC23" s="12">
        <v>0</v>
      </c>
      <c r="BD23" s="12">
        <v>0</v>
      </c>
      <c r="BE23" s="12">
        <v>0</v>
      </c>
    </row>
    <row r="24" spans="1:57" hidden="1" outlineLevel="1" x14ac:dyDescent="0.2">
      <c r="A24" s="15" t="s">
        <v>102</v>
      </c>
      <c r="B24" s="12">
        <v>0</v>
      </c>
      <c r="C24" s="12">
        <v>0</v>
      </c>
      <c r="D24" s="12">
        <v>0</v>
      </c>
      <c r="E24" s="12">
        <v>0</v>
      </c>
      <c r="F24" s="12">
        <v>0</v>
      </c>
      <c r="G24" s="12">
        <v>0</v>
      </c>
      <c r="H24" s="12">
        <v>0</v>
      </c>
      <c r="I24" s="12">
        <v>0</v>
      </c>
      <c r="J24" s="12">
        <v>0</v>
      </c>
      <c r="K24" s="12">
        <v>0</v>
      </c>
      <c r="L24" s="12">
        <v>0</v>
      </c>
      <c r="M24" s="14">
        <v>0</v>
      </c>
      <c r="N24" s="12">
        <v>0</v>
      </c>
      <c r="O24" s="12">
        <v>0</v>
      </c>
      <c r="P24" s="12">
        <v>0</v>
      </c>
      <c r="Q24" s="12">
        <v>0</v>
      </c>
      <c r="R24" s="12">
        <v>0</v>
      </c>
      <c r="S24" s="12">
        <v>0</v>
      </c>
      <c r="T24" s="12">
        <v>0</v>
      </c>
      <c r="U24" s="12">
        <v>0</v>
      </c>
      <c r="V24" s="14">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c r="AV24" s="12"/>
      <c r="AW24" s="12"/>
      <c r="AX24" s="12"/>
      <c r="AY24" s="12"/>
      <c r="AZ24" s="12"/>
      <c r="BA24" s="12">
        <v>0</v>
      </c>
      <c r="BB24" s="12">
        <v>0</v>
      </c>
      <c r="BC24" s="12">
        <v>0</v>
      </c>
      <c r="BD24" s="12">
        <v>0</v>
      </c>
      <c r="BE24" s="12">
        <v>0</v>
      </c>
    </row>
    <row r="25" spans="1:57" hidden="1" outlineLevel="1" x14ac:dyDescent="0.2">
      <c r="A25" s="15" t="s">
        <v>101</v>
      </c>
      <c r="B25" s="12">
        <v>0</v>
      </c>
      <c r="C25" s="12">
        <v>0</v>
      </c>
      <c r="D25" s="12">
        <v>0</v>
      </c>
      <c r="E25" s="12">
        <v>0</v>
      </c>
      <c r="F25" s="12">
        <v>0</v>
      </c>
      <c r="G25" s="12">
        <v>0</v>
      </c>
      <c r="H25" s="12">
        <v>0</v>
      </c>
      <c r="I25" s="12">
        <v>0</v>
      </c>
      <c r="J25" s="12">
        <v>0</v>
      </c>
      <c r="K25" s="12">
        <v>0</v>
      </c>
      <c r="L25" s="12">
        <v>0</v>
      </c>
      <c r="M25" s="14">
        <v>0</v>
      </c>
      <c r="N25" s="12">
        <v>0</v>
      </c>
      <c r="O25" s="12">
        <v>0</v>
      </c>
      <c r="P25" s="12">
        <v>0</v>
      </c>
      <c r="Q25" s="12">
        <v>0</v>
      </c>
      <c r="R25" s="12">
        <v>0</v>
      </c>
      <c r="S25" s="12">
        <v>0</v>
      </c>
      <c r="T25" s="12">
        <v>0</v>
      </c>
      <c r="U25" s="12">
        <v>0</v>
      </c>
      <c r="V25" s="14">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c r="AV25" s="12"/>
      <c r="AW25" s="12"/>
      <c r="AX25" s="12"/>
      <c r="AY25" s="12"/>
      <c r="AZ25" s="12"/>
      <c r="BA25" s="12">
        <v>0</v>
      </c>
      <c r="BB25" s="12">
        <v>0</v>
      </c>
      <c r="BC25" s="12">
        <v>0</v>
      </c>
      <c r="BD25" s="12">
        <v>0</v>
      </c>
      <c r="BE25" s="12">
        <v>0</v>
      </c>
    </row>
    <row r="26" spans="1:57" hidden="1" outlineLevel="1" x14ac:dyDescent="0.2">
      <c r="A26" s="15" t="s">
        <v>92</v>
      </c>
      <c r="B26" s="12">
        <v>0</v>
      </c>
      <c r="C26" s="12">
        <v>0</v>
      </c>
      <c r="D26" s="12">
        <v>0</v>
      </c>
      <c r="E26" s="12">
        <v>0</v>
      </c>
      <c r="F26" s="12">
        <v>0</v>
      </c>
      <c r="G26" s="12">
        <v>0</v>
      </c>
      <c r="H26" s="12">
        <v>0</v>
      </c>
      <c r="I26" s="12">
        <v>0</v>
      </c>
      <c r="J26" s="12">
        <v>0</v>
      </c>
      <c r="K26" s="12">
        <v>0</v>
      </c>
      <c r="L26" s="12">
        <v>0</v>
      </c>
      <c r="M26" s="14">
        <v>0</v>
      </c>
      <c r="N26" s="12">
        <v>0</v>
      </c>
      <c r="O26" s="12">
        <v>0</v>
      </c>
      <c r="P26" s="12">
        <v>0</v>
      </c>
      <c r="Q26" s="12">
        <v>0</v>
      </c>
      <c r="R26" s="12">
        <v>0</v>
      </c>
      <c r="S26" s="12">
        <v>0</v>
      </c>
      <c r="T26" s="12">
        <v>0</v>
      </c>
      <c r="U26" s="12">
        <v>0</v>
      </c>
      <c r="V26" s="14">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c r="AV26" s="12"/>
      <c r="AW26" s="12"/>
      <c r="AX26" s="12"/>
      <c r="AY26" s="12"/>
      <c r="AZ26" s="12"/>
      <c r="BA26" s="12">
        <v>0</v>
      </c>
      <c r="BB26" s="12">
        <v>0</v>
      </c>
      <c r="BC26" s="12">
        <v>0</v>
      </c>
      <c r="BD26" s="12">
        <v>0</v>
      </c>
      <c r="BE26" s="12">
        <v>0</v>
      </c>
    </row>
    <row r="27" spans="1:57" hidden="1" outlineLevel="1" x14ac:dyDescent="0.2">
      <c r="A27" s="15" t="s">
        <v>91</v>
      </c>
      <c r="B27" s="12">
        <v>-68315.691999999995</v>
      </c>
      <c r="C27" s="12">
        <v>0</v>
      </c>
      <c r="D27" s="12">
        <v>-68315.691999999995</v>
      </c>
      <c r="E27" s="12">
        <v>0</v>
      </c>
      <c r="F27" s="12">
        <v>0</v>
      </c>
      <c r="G27" s="12">
        <v>0</v>
      </c>
      <c r="H27" s="12">
        <v>0</v>
      </c>
      <c r="I27" s="12">
        <v>0</v>
      </c>
      <c r="J27" s="12">
        <v>59823.793799999999</v>
      </c>
      <c r="K27" s="12">
        <v>0</v>
      </c>
      <c r="L27" s="12">
        <v>0</v>
      </c>
      <c r="M27" s="14">
        <v>0</v>
      </c>
      <c r="N27" s="12">
        <v>0</v>
      </c>
      <c r="O27" s="12">
        <v>0</v>
      </c>
      <c r="P27" s="12">
        <v>0</v>
      </c>
      <c r="Q27" s="12">
        <v>0</v>
      </c>
      <c r="R27" s="12">
        <v>0</v>
      </c>
      <c r="S27" s="12">
        <v>0</v>
      </c>
      <c r="T27" s="12">
        <v>0</v>
      </c>
      <c r="U27" s="12">
        <v>0</v>
      </c>
      <c r="V27" s="14">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c r="AV27" s="12"/>
      <c r="AW27" s="12"/>
      <c r="AX27" s="12"/>
      <c r="AY27" s="12"/>
      <c r="AZ27" s="12"/>
      <c r="BA27" s="12">
        <v>0</v>
      </c>
      <c r="BB27" s="12">
        <v>0</v>
      </c>
      <c r="BC27" s="12">
        <v>0</v>
      </c>
      <c r="BD27" s="12">
        <v>0</v>
      </c>
      <c r="BE27" s="12">
        <v>0</v>
      </c>
    </row>
    <row r="28" spans="1:57" hidden="1" outlineLevel="1" x14ac:dyDescent="0.2">
      <c r="A28" s="15" t="s">
        <v>90</v>
      </c>
      <c r="B28" s="12">
        <v>0</v>
      </c>
      <c r="C28" s="12">
        <v>0</v>
      </c>
      <c r="D28" s="12">
        <v>0</v>
      </c>
      <c r="E28" s="12">
        <v>0</v>
      </c>
      <c r="F28" s="12">
        <v>0</v>
      </c>
      <c r="G28" s="12">
        <v>0</v>
      </c>
      <c r="H28" s="12">
        <v>0</v>
      </c>
      <c r="I28" s="12">
        <v>0</v>
      </c>
      <c r="J28" s="12">
        <v>0</v>
      </c>
      <c r="K28" s="12">
        <v>0</v>
      </c>
      <c r="L28" s="12">
        <v>0</v>
      </c>
      <c r="M28" s="14">
        <v>17680.580000000002</v>
      </c>
      <c r="N28" s="12">
        <v>0</v>
      </c>
      <c r="O28" s="12">
        <v>0</v>
      </c>
      <c r="P28" s="12">
        <v>0</v>
      </c>
      <c r="Q28" s="12">
        <v>0</v>
      </c>
      <c r="R28" s="12">
        <v>0</v>
      </c>
      <c r="S28" s="12">
        <v>0</v>
      </c>
      <c r="T28" s="12">
        <v>0</v>
      </c>
      <c r="U28" s="12">
        <v>0</v>
      </c>
      <c r="V28" s="14">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c r="AV28" s="12"/>
      <c r="AW28" s="12"/>
      <c r="AX28" s="12"/>
      <c r="AY28" s="12"/>
      <c r="AZ28" s="12"/>
      <c r="BA28" s="12">
        <v>0</v>
      </c>
      <c r="BB28" s="12">
        <v>0</v>
      </c>
      <c r="BC28" s="12">
        <v>0</v>
      </c>
      <c r="BD28" s="12">
        <v>0</v>
      </c>
      <c r="BE28" s="12">
        <v>0</v>
      </c>
    </row>
    <row r="29" spans="1:57" hidden="1" outlineLevel="1" x14ac:dyDescent="0.2">
      <c r="A29" s="15" t="s">
        <v>100</v>
      </c>
      <c r="B29" s="12">
        <v>0</v>
      </c>
      <c r="C29" s="12">
        <v>0</v>
      </c>
      <c r="D29" s="12">
        <v>0</v>
      </c>
      <c r="E29" s="12">
        <v>0</v>
      </c>
      <c r="F29" s="12">
        <v>0</v>
      </c>
      <c r="G29" s="12">
        <v>0</v>
      </c>
      <c r="H29" s="12">
        <v>0</v>
      </c>
      <c r="I29" s="12">
        <v>0</v>
      </c>
      <c r="J29" s="12">
        <v>-9573.4107000000004</v>
      </c>
      <c r="K29" s="12">
        <v>0</v>
      </c>
      <c r="L29" s="12">
        <v>0</v>
      </c>
      <c r="M29" s="14">
        <v>0</v>
      </c>
      <c r="N29" s="12">
        <v>0</v>
      </c>
      <c r="O29" s="12">
        <v>19054</v>
      </c>
      <c r="P29" s="12">
        <v>0</v>
      </c>
      <c r="Q29" s="12">
        <v>0</v>
      </c>
      <c r="R29" s="12">
        <v>0</v>
      </c>
      <c r="S29" s="12">
        <v>0</v>
      </c>
      <c r="T29" s="12">
        <v>0</v>
      </c>
      <c r="U29" s="12">
        <v>0</v>
      </c>
      <c r="V29" s="14">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c r="AV29" s="12"/>
      <c r="AW29" s="12"/>
      <c r="AX29" s="12"/>
      <c r="AY29" s="12"/>
      <c r="AZ29" s="12"/>
      <c r="BA29" s="12">
        <v>0</v>
      </c>
      <c r="BB29" s="12">
        <v>0</v>
      </c>
      <c r="BC29" s="12">
        <v>0</v>
      </c>
      <c r="BD29" s="12">
        <v>0</v>
      </c>
      <c r="BE29" s="12">
        <v>0</v>
      </c>
    </row>
    <row r="30" spans="1:57" hidden="1" outlineLevel="1" x14ac:dyDescent="0.2">
      <c r="A30" s="15" t="s">
        <v>99</v>
      </c>
      <c r="B30" s="12">
        <v>0</v>
      </c>
      <c r="C30" s="12">
        <v>0</v>
      </c>
      <c r="D30" s="12">
        <v>0</v>
      </c>
      <c r="E30" s="12">
        <v>0</v>
      </c>
      <c r="F30" s="12">
        <v>0</v>
      </c>
      <c r="G30" s="12">
        <v>0</v>
      </c>
      <c r="H30" s="12">
        <v>0</v>
      </c>
      <c r="I30" s="12">
        <v>0</v>
      </c>
      <c r="J30" s="12">
        <v>0</v>
      </c>
      <c r="K30" s="12">
        <v>0</v>
      </c>
      <c r="L30" s="12">
        <v>0</v>
      </c>
      <c r="M30" s="14">
        <v>0</v>
      </c>
      <c r="N30" s="12">
        <v>0</v>
      </c>
      <c r="O30" s="12">
        <v>0</v>
      </c>
      <c r="P30" s="12">
        <v>0</v>
      </c>
      <c r="Q30" s="12">
        <v>0</v>
      </c>
      <c r="R30" s="12">
        <v>0</v>
      </c>
      <c r="S30" s="12">
        <v>0</v>
      </c>
      <c r="T30" s="12">
        <v>0</v>
      </c>
      <c r="U30" s="12">
        <v>0</v>
      </c>
      <c r="V30" s="14">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c r="AV30" s="12"/>
      <c r="AW30" s="12"/>
      <c r="AX30" s="12"/>
      <c r="AY30" s="12"/>
      <c r="AZ30" s="12"/>
      <c r="BA30" s="12">
        <v>0</v>
      </c>
      <c r="BB30" s="12">
        <v>0</v>
      </c>
      <c r="BC30" s="12">
        <v>0</v>
      </c>
      <c r="BD30" s="12">
        <v>0</v>
      </c>
      <c r="BE30" s="12">
        <v>0</v>
      </c>
    </row>
    <row r="31" spans="1:57" hidden="1" outlineLevel="1" x14ac:dyDescent="0.2">
      <c r="A31" s="15" t="s">
        <v>98</v>
      </c>
      <c r="B31" s="12">
        <v>0</v>
      </c>
      <c r="C31" s="12">
        <v>0</v>
      </c>
      <c r="D31" s="12">
        <v>0</v>
      </c>
      <c r="E31" s="12">
        <v>0</v>
      </c>
      <c r="F31" s="12">
        <v>0</v>
      </c>
      <c r="G31" s="12">
        <v>0</v>
      </c>
      <c r="H31" s="12">
        <v>0</v>
      </c>
      <c r="I31" s="12">
        <v>0</v>
      </c>
      <c r="J31" s="12">
        <v>0</v>
      </c>
      <c r="K31" s="12">
        <v>0</v>
      </c>
      <c r="L31" s="12">
        <v>0</v>
      </c>
      <c r="M31" s="14">
        <v>0</v>
      </c>
      <c r="N31" s="12">
        <v>0</v>
      </c>
      <c r="O31" s="12">
        <v>0</v>
      </c>
      <c r="P31" s="12">
        <v>0</v>
      </c>
      <c r="Q31" s="12">
        <v>0</v>
      </c>
      <c r="R31" s="12">
        <v>0</v>
      </c>
      <c r="S31" s="12">
        <v>0</v>
      </c>
      <c r="T31" s="12">
        <v>0</v>
      </c>
      <c r="U31" s="12">
        <v>0</v>
      </c>
      <c r="V31" s="14">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c r="AV31" s="12"/>
      <c r="AW31" s="12"/>
      <c r="AX31" s="12"/>
      <c r="AY31" s="12"/>
      <c r="AZ31" s="12"/>
      <c r="BA31" s="12">
        <v>0</v>
      </c>
      <c r="BB31" s="12">
        <v>0</v>
      </c>
      <c r="BC31" s="12">
        <v>0</v>
      </c>
      <c r="BD31" s="12">
        <v>0</v>
      </c>
      <c r="BE31" s="12">
        <v>0</v>
      </c>
    </row>
    <row r="32" spans="1:57" hidden="1" outlineLevel="1" x14ac:dyDescent="0.2">
      <c r="A32" s="15" t="s">
        <v>88</v>
      </c>
      <c r="B32" s="12">
        <v>0</v>
      </c>
      <c r="C32" s="12">
        <v>0</v>
      </c>
      <c r="D32" s="12">
        <v>0</v>
      </c>
      <c r="E32" s="12">
        <v>0</v>
      </c>
      <c r="F32" s="12">
        <v>0</v>
      </c>
      <c r="G32" s="12">
        <v>0</v>
      </c>
      <c r="H32" s="12">
        <v>0</v>
      </c>
      <c r="I32" s="12">
        <v>0</v>
      </c>
      <c r="J32" s="12">
        <v>0</v>
      </c>
      <c r="K32" s="12">
        <v>0</v>
      </c>
      <c r="L32" s="12">
        <v>0</v>
      </c>
      <c r="M32" s="14">
        <v>0</v>
      </c>
      <c r="N32" s="12">
        <v>0</v>
      </c>
      <c r="O32" s="12">
        <v>0</v>
      </c>
      <c r="P32" s="12">
        <v>0</v>
      </c>
      <c r="Q32" s="12">
        <v>0</v>
      </c>
      <c r="R32" s="12">
        <v>0</v>
      </c>
      <c r="S32" s="12">
        <v>0</v>
      </c>
      <c r="T32" s="12">
        <v>0</v>
      </c>
      <c r="U32" s="12">
        <v>0</v>
      </c>
      <c r="V32" s="14">
        <v>0</v>
      </c>
      <c r="W32" s="12">
        <v>-905518.29225599999</v>
      </c>
      <c r="X32" s="12">
        <v>-905518.29225599999</v>
      </c>
      <c r="Y32" s="12">
        <v>0</v>
      </c>
      <c r="Z32" s="12">
        <v>0</v>
      </c>
      <c r="AA32" s="12">
        <v>0</v>
      </c>
      <c r="AB32" s="12">
        <v>0</v>
      </c>
      <c r="AC32" s="12">
        <v>0.02</v>
      </c>
      <c r="AD32" s="12">
        <v>0</v>
      </c>
      <c r="AE32" s="12">
        <v>13823.28781537778</v>
      </c>
      <c r="AF32" s="12">
        <v>374654.65872658382</v>
      </c>
      <c r="AG32" s="12">
        <v>0</v>
      </c>
      <c r="AH32" s="12">
        <v>0</v>
      </c>
      <c r="AI32" s="12">
        <v>73443.15394795555</v>
      </c>
      <c r="AJ32" s="12">
        <v>27522.878340320989</v>
      </c>
      <c r="AK32" s="12">
        <v>284146.83222546207</v>
      </c>
      <c r="AL32" s="12">
        <v>175074.86987065259</v>
      </c>
      <c r="AM32" s="12">
        <v>0</v>
      </c>
      <c r="AN32" s="12">
        <v>4832.8996462296291</v>
      </c>
      <c r="AO32" s="12">
        <v>12480.09358226666</v>
      </c>
      <c r="AP32" s="12">
        <v>20868.561513738459</v>
      </c>
      <c r="AQ32" s="12">
        <v>4156.6356091500002</v>
      </c>
      <c r="AR32" s="12">
        <v>0</v>
      </c>
      <c r="AS32" s="12">
        <v>0</v>
      </c>
      <c r="AT32" s="12">
        <v>0</v>
      </c>
      <c r="AU32" s="12"/>
      <c r="AV32" s="12"/>
      <c r="AW32" s="12"/>
      <c r="AX32" s="12"/>
      <c r="AY32" s="12"/>
      <c r="AZ32" s="12"/>
      <c r="BA32" s="12">
        <v>0</v>
      </c>
      <c r="BB32" s="12">
        <v>0</v>
      </c>
      <c r="BC32" s="12">
        <v>0</v>
      </c>
      <c r="BD32" s="12">
        <v>0</v>
      </c>
      <c r="BE32" s="12">
        <v>0</v>
      </c>
    </row>
    <row r="33" spans="1:57" hidden="1" outlineLevel="1" x14ac:dyDescent="0.2">
      <c r="A33" s="15" t="s">
        <v>97</v>
      </c>
      <c r="B33" s="12">
        <v>-958308.08399999992</v>
      </c>
      <c r="C33" s="12">
        <v>0</v>
      </c>
      <c r="D33" s="12">
        <v>0</v>
      </c>
      <c r="E33" s="12">
        <v>-958308.08399999992</v>
      </c>
      <c r="F33" s="12">
        <v>0</v>
      </c>
      <c r="G33" s="12">
        <v>0</v>
      </c>
      <c r="H33" s="12">
        <v>0</v>
      </c>
      <c r="I33" s="12">
        <v>0</v>
      </c>
      <c r="J33" s="12">
        <v>0</v>
      </c>
      <c r="K33" s="12">
        <v>0</v>
      </c>
      <c r="L33" s="12">
        <v>0</v>
      </c>
      <c r="M33" s="14">
        <v>0</v>
      </c>
      <c r="N33" s="12">
        <v>0</v>
      </c>
      <c r="O33" s="12">
        <v>0</v>
      </c>
      <c r="P33" s="12">
        <v>0</v>
      </c>
      <c r="Q33" s="12">
        <v>0</v>
      </c>
      <c r="R33" s="12">
        <v>0</v>
      </c>
      <c r="S33" s="12">
        <v>0</v>
      </c>
      <c r="T33" s="12">
        <v>0</v>
      </c>
      <c r="U33" s="12">
        <v>0</v>
      </c>
      <c r="V33" s="14">
        <v>-72313.597500000003</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c r="AV33" s="12"/>
      <c r="AW33" s="12"/>
      <c r="AX33" s="12"/>
      <c r="AY33" s="12"/>
      <c r="AZ33" s="12"/>
      <c r="BA33" s="12">
        <v>0</v>
      </c>
      <c r="BB33" s="12">
        <v>0</v>
      </c>
      <c r="BC33" s="12">
        <v>0</v>
      </c>
      <c r="BD33" s="12">
        <v>0</v>
      </c>
      <c r="BE33" s="12">
        <v>0</v>
      </c>
    </row>
    <row r="34" spans="1:57" hidden="1" outlineLevel="1" x14ac:dyDescent="0.2">
      <c r="A34" s="15" t="s">
        <v>96</v>
      </c>
      <c r="B34" s="12">
        <v>0</v>
      </c>
      <c r="C34" s="12">
        <v>0</v>
      </c>
      <c r="D34" s="12">
        <v>0</v>
      </c>
      <c r="E34" s="12">
        <v>0</v>
      </c>
      <c r="F34" s="12">
        <v>0</v>
      </c>
      <c r="G34" s="12">
        <v>0</v>
      </c>
      <c r="H34" s="12">
        <v>0</v>
      </c>
      <c r="I34" s="12">
        <v>0</v>
      </c>
      <c r="J34" s="12">
        <v>0</v>
      </c>
      <c r="K34" s="12">
        <v>0</v>
      </c>
      <c r="L34" s="12">
        <v>0</v>
      </c>
      <c r="M34" s="14">
        <v>0</v>
      </c>
      <c r="N34" s="12">
        <v>0</v>
      </c>
      <c r="O34" s="12">
        <v>0</v>
      </c>
      <c r="P34" s="12">
        <v>0</v>
      </c>
      <c r="Q34" s="12">
        <v>0</v>
      </c>
      <c r="R34" s="12">
        <v>0</v>
      </c>
      <c r="S34" s="12">
        <v>0</v>
      </c>
      <c r="T34" s="12">
        <v>0</v>
      </c>
      <c r="U34" s="12">
        <v>0</v>
      </c>
      <c r="V34" s="14">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c r="AV34" s="12"/>
      <c r="AW34" s="12"/>
      <c r="AX34" s="12"/>
      <c r="AY34" s="12"/>
      <c r="AZ34" s="12"/>
      <c r="BA34" s="12">
        <v>0</v>
      </c>
      <c r="BB34" s="12">
        <v>0</v>
      </c>
      <c r="BC34" s="12">
        <v>0</v>
      </c>
      <c r="BD34" s="12">
        <v>0</v>
      </c>
      <c r="BE34" s="12">
        <v>0</v>
      </c>
    </row>
    <row r="35" spans="1:57" hidden="1" outlineLevel="1" x14ac:dyDescent="0.2">
      <c r="A35" s="15"/>
      <c r="B35" s="19"/>
      <c r="C35" s="12"/>
      <c r="D35" s="12"/>
      <c r="E35" s="12"/>
      <c r="F35" s="12"/>
      <c r="G35" s="12"/>
      <c r="H35" s="12"/>
      <c r="I35" s="12"/>
      <c r="J35" s="12"/>
      <c r="K35" s="12"/>
      <c r="L35" s="12"/>
      <c r="M35" s="14"/>
      <c r="N35" s="12"/>
      <c r="O35" s="12"/>
      <c r="P35" s="12"/>
      <c r="Q35" s="12"/>
      <c r="R35" s="12"/>
      <c r="S35" s="12"/>
      <c r="T35" s="12"/>
      <c r="U35" s="12"/>
      <c r="V35" s="14"/>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spans="1:57" hidden="1" outlineLevel="1" x14ac:dyDescent="0.2">
      <c r="A36" s="18" t="s">
        <v>95</v>
      </c>
      <c r="B36" s="28">
        <v>0</v>
      </c>
      <c r="C36" s="28">
        <v>0</v>
      </c>
      <c r="D36" s="28">
        <v>0</v>
      </c>
      <c r="E36" s="28">
        <v>0</v>
      </c>
      <c r="F36" s="28">
        <v>0</v>
      </c>
      <c r="G36" s="28">
        <v>0</v>
      </c>
      <c r="H36" s="28">
        <v>0</v>
      </c>
      <c r="I36" s="28">
        <v>0</v>
      </c>
      <c r="J36" s="28">
        <v>0</v>
      </c>
      <c r="K36" s="28">
        <v>0</v>
      </c>
      <c r="L36" s="28">
        <v>0</v>
      </c>
      <c r="M36" s="29">
        <v>0</v>
      </c>
      <c r="N36" s="28">
        <v>0</v>
      </c>
      <c r="O36" s="28">
        <v>0</v>
      </c>
      <c r="P36" s="28">
        <v>0</v>
      </c>
      <c r="Q36" s="28">
        <v>0</v>
      </c>
      <c r="R36" s="28">
        <v>0</v>
      </c>
      <c r="S36" s="28">
        <v>0</v>
      </c>
      <c r="T36" s="28">
        <v>0</v>
      </c>
      <c r="U36" s="28">
        <v>0</v>
      </c>
      <c r="V36" s="29">
        <v>0</v>
      </c>
      <c r="W36" s="16">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c r="AV36" s="28"/>
      <c r="AW36" s="28"/>
      <c r="AX36" s="28"/>
      <c r="AY36" s="28"/>
      <c r="AZ36" s="28"/>
      <c r="BA36" s="28">
        <v>0</v>
      </c>
      <c r="BB36" s="28">
        <v>0</v>
      </c>
      <c r="BC36" s="28">
        <v>0</v>
      </c>
      <c r="BD36" s="28">
        <v>-14784414.0228</v>
      </c>
      <c r="BE36" s="28">
        <v>0</v>
      </c>
    </row>
    <row r="37" spans="1:57" hidden="1" outlineLevel="1" x14ac:dyDescent="0.2">
      <c r="A37" s="15" t="s">
        <v>94</v>
      </c>
      <c r="B37" s="12">
        <v>0</v>
      </c>
      <c r="C37" s="12">
        <v>0</v>
      </c>
      <c r="D37" s="12">
        <v>0</v>
      </c>
      <c r="E37" s="12">
        <v>0</v>
      </c>
      <c r="F37" s="12">
        <v>0</v>
      </c>
      <c r="G37" s="12">
        <v>0</v>
      </c>
      <c r="H37" s="12">
        <v>0</v>
      </c>
      <c r="I37" s="12">
        <v>0</v>
      </c>
      <c r="J37" s="12">
        <v>0</v>
      </c>
      <c r="K37" s="12">
        <v>0</v>
      </c>
      <c r="L37" s="12">
        <v>0</v>
      </c>
      <c r="M37" s="14">
        <v>0</v>
      </c>
      <c r="N37" s="12">
        <v>0</v>
      </c>
      <c r="O37" s="12">
        <v>0</v>
      </c>
      <c r="P37" s="12">
        <v>0</v>
      </c>
      <c r="Q37" s="12">
        <v>0</v>
      </c>
      <c r="R37" s="12">
        <v>0</v>
      </c>
      <c r="S37" s="12">
        <v>0</v>
      </c>
      <c r="T37" s="12">
        <v>0</v>
      </c>
      <c r="U37" s="12">
        <v>0</v>
      </c>
      <c r="V37" s="14">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c r="AV37" s="12"/>
      <c r="AW37" s="12"/>
      <c r="AX37" s="12"/>
      <c r="AY37" s="12"/>
      <c r="AZ37" s="12"/>
      <c r="BA37" s="12">
        <v>0</v>
      </c>
      <c r="BB37" s="12">
        <v>0</v>
      </c>
      <c r="BC37" s="12">
        <v>0</v>
      </c>
      <c r="BD37" s="12">
        <v>0</v>
      </c>
      <c r="BE37" s="12">
        <v>0</v>
      </c>
    </row>
    <row r="38" spans="1:57" hidden="1" outlineLevel="1" x14ac:dyDescent="0.2">
      <c r="A38" s="15" t="s">
        <v>93</v>
      </c>
      <c r="B38" s="12">
        <v>0</v>
      </c>
      <c r="C38" s="12">
        <v>0</v>
      </c>
      <c r="D38" s="12">
        <v>0</v>
      </c>
      <c r="E38" s="12">
        <v>0</v>
      </c>
      <c r="F38" s="12">
        <v>0</v>
      </c>
      <c r="G38" s="12">
        <v>0</v>
      </c>
      <c r="H38" s="12">
        <v>0</v>
      </c>
      <c r="I38" s="12">
        <v>0</v>
      </c>
      <c r="J38" s="12">
        <v>0</v>
      </c>
      <c r="K38" s="12">
        <v>0</v>
      </c>
      <c r="L38" s="12">
        <v>0</v>
      </c>
      <c r="M38" s="14">
        <v>0</v>
      </c>
      <c r="N38" s="12">
        <v>0</v>
      </c>
      <c r="O38" s="12">
        <v>0</v>
      </c>
      <c r="P38" s="12">
        <v>0</v>
      </c>
      <c r="Q38" s="12">
        <v>0</v>
      </c>
      <c r="R38" s="12">
        <v>0</v>
      </c>
      <c r="S38" s="12">
        <v>0</v>
      </c>
      <c r="T38" s="12">
        <v>0</v>
      </c>
      <c r="U38" s="12">
        <v>0</v>
      </c>
      <c r="V38" s="14">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c r="AV38" s="12"/>
      <c r="AW38" s="12"/>
      <c r="AX38" s="12"/>
      <c r="AY38" s="12"/>
      <c r="AZ38" s="12"/>
      <c r="BA38" s="12">
        <v>0</v>
      </c>
      <c r="BB38" s="12">
        <v>0</v>
      </c>
      <c r="BC38" s="12">
        <v>0</v>
      </c>
      <c r="BD38" s="12">
        <v>0</v>
      </c>
      <c r="BE38" s="12">
        <v>0</v>
      </c>
    </row>
    <row r="39" spans="1:57" hidden="1" outlineLevel="1" x14ac:dyDescent="0.2">
      <c r="A39" s="15" t="s">
        <v>92</v>
      </c>
      <c r="B39" s="12">
        <v>0</v>
      </c>
      <c r="C39" s="12">
        <v>0</v>
      </c>
      <c r="D39" s="12">
        <v>0</v>
      </c>
      <c r="E39" s="12">
        <v>0</v>
      </c>
      <c r="F39" s="12">
        <v>0</v>
      </c>
      <c r="G39" s="12">
        <v>0</v>
      </c>
      <c r="H39" s="12">
        <v>0</v>
      </c>
      <c r="I39" s="12">
        <v>0</v>
      </c>
      <c r="J39" s="12">
        <v>0</v>
      </c>
      <c r="K39" s="12">
        <v>0</v>
      </c>
      <c r="L39" s="12">
        <v>0</v>
      </c>
      <c r="M39" s="14">
        <v>0</v>
      </c>
      <c r="N39" s="12">
        <v>0</v>
      </c>
      <c r="O39" s="12">
        <v>0</v>
      </c>
      <c r="P39" s="12">
        <v>0</v>
      </c>
      <c r="Q39" s="12">
        <v>0</v>
      </c>
      <c r="R39" s="12">
        <v>0</v>
      </c>
      <c r="S39" s="12">
        <v>0</v>
      </c>
      <c r="T39" s="12">
        <v>0</v>
      </c>
      <c r="U39" s="12">
        <v>0</v>
      </c>
      <c r="V39" s="14">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c r="AV39" s="12"/>
      <c r="AW39" s="12"/>
      <c r="AX39" s="12"/>
      <c r="AY39" s="12"/>
      <c r="AZ39" s="12"/>
      <c r="BA39" s="12">
        <v>0</v>
      </c>
      <c r="BB39" s="12">
        <v>0</v>
      </c>
      <c r="BC39" s="12">
        <v>0</v>
      </c>
      <c r="BD39" s="12">
        <v>0</v>
      </c>
      <c r="BE39" s="12">
        <v>0</v>
      </c>
    </row>
    <row r="40" spans="1:57" hidden="1" outlineLevel="1" x14ac:dyDescent="0.2">
      <c r="A40" s="15" t="s">
        <v>91</v>
      </c>
      <c r="B40" s="12">
        <v>0</v>
      </c>
      <c r="C40" s="12">
        <v>0</v>
      </c>
      <c r="D40" s="12">
        <v>0</v>
      </c>
      <c r="E40" s="12">
        <v>0</v>
      </c>
      <c r="F40" s="12">
        <v>0</v>
      </c>
      <c r="G40" s="12">
        <v>0</v>
      </c>
      <c r="H40" s="12">
        <v>0</v>
      </c>
      <c r="I40" s="12">
        <v>0</v>
      </c>
      <c r="J40" s="12">
        <v>0</v>
      </c>
      <c r="K40" s="12">
        <v>0</v>
      </c>
      <c r="L40" s="12">
        <v>0</v>
      </c>
      <c r="M40" s="14">
        <v>0</v>
      </c>
      <c r="N40" s="12">
        <v>0</v>
      </c>
      <c r="O40" s="12">
        <v>0</v>
      </c>
      <c r="P40" s="12">
        <v>0</v>
      </c>
      <c r="Q40" s="12">
        <v>0</v>
      </c>
      <c r="R40" s="12">
        <v>0</v>
      </c>
      <c r="S40" s="12">
        <v>0</v>
      </c>
      <c r="T40" s="12">
        <v>0</v>
      </c>
      <c r="U40" s="12">
        <v>0</v>
      </c>
      <c r="V40" s="14">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c r="AV40" s="12"/>
      <c r="AW40" s="12"/>
      <c r="AX40" s="12"/>
      <c r="AY40" s="12"/>
      <c r="AZ40" s="12"/>
      <c r="BA40" s="12">
        <v>0</v>
      </c>
      <c r="BB40" s="12">
        <v>0</v>
      </c>
      <c r="BC40" s="12">
        <v>0</v>
      </c>
      <c r="BD40" s="12">
        <v>0</v>
      </c>
      <c r="BE40" s="12">
        <v>0</v>
      </c>
    </row>
    <row r="41" spans="1:57" hidden="1" outlineLevel="1" x14ac:dyDescent="0.2">
      <c r="A41" s="15" t="s">
        <v>90</v>
      </c>
      <c r="B41" s="12">
        <v>0</v>
      </c>
      <c r="C41" s="12">
        <v>0</v>
      </c>
      <c r="D41" s="12">
        <v>0</v>
      </c>
      <c r="E41" s="12">
        <v>0</v>
      </c>
      <c r="F41" s="12">
        <v>0</v>
      </c>
      <c r="G41" s="12">
        <v>0</v>
      </c>
      <c r="H41" s="12">
        <v>0</v>
      </c>
      <c r="I41" s="12">
        <v>0</v>
      </c>
      <c r="J41" s="12">
        <v>0</v>
      </c>
      <c r="K41" s="12">
        <v>0</v>
      </c>
      <c r="L41" s="12">
        <v>0</v>
      </c>
      <c r="M41" s="14">
        <v>0</v>
      </c>
      <c r="N41" s="12">
        <v>0</v>
      </c>
      <c r="O41" s="12">
        <v>0</v>
      </c>
      <c r="P41" s="12">
        <v>0</v>
      </c>
      <c r="Q41" s="12">
        <v>0</v>
      </c>
      <c r="R41" s="12">
        <v>0</v>
      </c>
      <c r="S41" s="12">
        <v>0</v>
      </c>
      <c r="T41" s="12">
        <v>0</v>
      </c>
      <c r="U41" s="12">
        <v>0</v>
      </c>
      <c r="V41" s="14">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c r="AV41" s="12"/>
      <c r="AW41" s="12"/>
      <c r="AX41" s="12"/>
      <c r="AY41" s="12"/>
      <c r="AZ41" s="12"/>
      <c r="BA41" s="12">
        <v>0</v>
      </c>
      <c r="BB41" s="12">
        <v>0</v>
      </c>
      <c r="BC41" s="12">
        <v>0</v>
      </c>
      <c r="BD41" s="12">
        <v>0</v>
      </c>
      <c r="BE41" s="12">
        <v>0</v>
      </c>
    </row>
    <row r="42" spans="1:57" hidden="1" outlineLevel="1" x14ac:dyDescent="0.2">
      <c r="A42" s="15" t="s">
        <v>89</v>
      </c>
      <c r="B42" s="12">
        <v>0</v>
      </c>
      <c r="C42" s="12">
        <v>0</v>
      </c>
      <c r="D42" s="12">
        <v>0</v>
      </c>
      <c r="E42" s="12">
        <v>0</v>
      </c>
      <c r="F42" s="12">
        <v>0</v>
      </c>
      <c r="G42" s="12">
        <v>0</v>
      </c>
      <c r="H42" s="12">
        <v>0</v>
      </c>
      <c r="I42" s="12">
        <v>0</v>
      </c>
      <c r="J42" s="12">
        <v>0</v>
      </c>
      <c r="K42" s="12">
        <v>0</v>
      </c>
      <c r="L42" s="12">
        <v>0</v>
      </c>
      <c r="M42" s="14">
        <v>0</v>
      </c>
      <c r="N42" s="12">
        <v>0</v>
      </c>
      <c r="O42" s="12">
        <v>0</v>
      </c>
      <c r="P42" s="12">
        <v>0</v>
      </c>
      <c r="Q42" s="12">
        <v>0</v>
      </c>
      <c r="R42" s="12">
        <v>0</v>
      </c>
      <c r="S42" s="12">
        <v>0</v>
      </c>
      <c r="T42" s="12">
        <v>0</v>
      </c>
      <c r="U42" s="12">
        <v>0</v>
      </c>
      <c r="V42" s="14">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c r="AV42" s="12"/>
      <c r="AW42" s="12"/>
      <c r="AX42" s="12"/>
      <c r="AY42" s="12"/>
      <c r="AZ42" s="12"/>
      <c r="BA42" s="12">
        <v>0</v>
      </c>
      <c r="BB42" s="12">
        <v>0</v>
      </c>
      <c r="BC42" s="12">
        <v>0</v>
      </c>
      <c r="BD42" s="12">
        <v>0</v>
      </c>
      <c r="BE42" s="12">
        <v>0</v>
      </c>
    </row>
    <row r="43" spans="1:57" hidden="1" outlineLevel="1" x14ac:dyDescent="0.2">
      <c r="A43" s="15" t="s">
        <v>88</v>
      </c>
      <c r="B43" s="12">
        <v>0</v>
      </c>
      <c r="C43" s="12">
        <v>0</v>
      </c>
      <c r="D43" s="12">
        <v>0</v>
      </c>
      <c r="E43" s="12">
        <v>0</v>
      </c>
      <c r="F43" s="12">
        <v>0</v>
      </c>
      <c r="G43" s="12">
        <v>0</v>
      </c>
      <c r="H43" s="12">
        <v>0</v>
      </c>
      <c r="I43" s="12">
        <v>0</v>
      </c>
      <c r="J43" s="12">
        <v>0</v>
      </c>
      <c r="K43" s="12">
        <v>0</v>
      </c>
      <c r="L43" s="12">
        <v>0</v>
      </c>
      <c r="M43" s="14">
        <v>0</v>
      </c>
      <c r="N43" s="12">
        <v>0</v>
      </c>
      <c r="O43" s="12">
        <v>0</v>
      </c>
      <c r="P43" s="12">
        <v>0</v>
      </c>
      <c r="Q43" s="12">
        <v>0</v>
      </c>
      <c r="R43" s="12">
        <v>0</v>
      </c>
      <c r="S43" s="12">
        <v>0</v>
      </c>
      <c r="T43" s="12">
        <v>0</v>
      </c>
      <c r="U43" s="12">
        <v>0</v>
      </c>
      <c r="V43" s="14">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c r="AV43" s="12"/>
      <c r="AW43" s="12"/>
      <c r="AX43" s="12"/>
      <c r="AY43" s="12"/>
      <c r="AZ43" s="12"/>
      <c r="BA43" s="12">
        <v>0</v>
      </c>
      <c r="BB43" s="12">
        <v>0</v>
      </c>
      <c r="BC43" s="12">
        <v>0</v>
      </c>
      <c r="BD43" s="12">
        <v>-29226.337200000002</v>
      </c>
      <c r="BE43" s="12">
        <v>0</v>
      </c>
    </row>
    <row r="44" spans="1:57" hidden="1" outlineLevel="1" x14ac:dyDescent="0.2">
      <c r="A44" s="15" t="s">
        <v>87</v>
      </c>
      <c r="B44" s="12">
        <v>0</v>
      </c>
      <c r="C44" s="12">
        <v>0</v>
      </c>
      <c r="D44" s="12">
        <v>0</v>
      </c>
      <c r="E44" s="12">
        <v>0</v>
      </c>
      <c r="F44" s="12">
        <v>0</v>
      </c>
      <c r="G44" s="12">
        <v>0</v>
      </c>
      <c r="H44" s="12">
        <v>0</v>
      </c>
      <c r="I44" s="12">
        <v>0</v>
      </c>
      <c r="J44" s="12">
        <v>0</v>
      </c>
      <c r="K44" s="12">
        <v>0</v>
      </c>
      <c r="L44" s="12">
        <v>0</v>
      </c>
      <c r="M44" s="14">
        <v>0</v>
      </c>
      <c r="N44" s="12">
        <v>0</v>
      </c>
      <c r="O44" s="12">
        <v>0</v>
      </c>
      <c r="P44" s="12">
        <v>0</v>
      </c>
      <c r="Q44" s="12">
        <v>0</v>
      </c>
      <c r="R44" s="12">
        <v>0</v>
      </c>
      <c r="S44" s="12">
        <v>0</v>
      </c>
      <c r="T44" s="12">
        <v>0</v>
      </c>
      <c r="U44" s="12">
        <v>0</v>
      </c>
      <c r="V44" s="14">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c r="AV44" s="12"/>
      <c r="AW44" s="12"/>
      <c r="AX44" s="12"/>
      <c r="AY44" s="12"/>
      <c r="AZ44" s="12"/>
      <c r="BA44" s="12">
        <v>0</v>
      </c>
      <c r="BB44" s="12">
        <v>0</v>
      </c>
      <c r="BC44" s="12">
        <v>0</v>
      </c>
      <c r="BD44" s="12">
        <v>-1.2636000000000001</v>
      </c>
      <c r="BE44" s="12">
        <v>0</v>
      </c>
    </row>
    <row r="45" spans="1:57" hidden="1" outlineLevel="1" x14ac:dyDescent="0.2">
      <c r="A45" s="15" t="s">
        <v>86</v>
      </c>
      <c r="B45" s="12">
        <v>0</v>
      </c>
      <c r="C45" s="12">
        <v>0</v>
      </c>
      <c r="D45" s="12">
        <v>0</v>
      </c>
      <c r="E45" s="12">
        <v>0</v>
      </c>
      <c r="F45" s="12">
        <v>0</v>
      </c>
      <c r="G45" s="12">
        <v>0</v>
      </c>
      <c r="H45" s="12">
        <v>0</v>
      </c>
      <c r="I45" s="12">
        <v>0</v>
      </c>
      <c r="J45" s="12">
        <v>0</v>
      </c>
      <c r="K45" s="12">
        <v>0</v>
      </c>
      <c r="L45" s="12">
        <v>0</v>
      </c>
      <c r="M45" s="14">
        <v>0</v>
      </c>
      <c r="N45" s="12">
        <v>0</v>
      </c>
      <c r="O45" s="12">
        <v>0</v>
      </c>
      <c r="P45" s="12">
        <v>0</v>
      </c>
      <c r="Q45" s="12">
        <v>0</v>
      </c>
      <c r="R45" s="12">
        <v>0</v>
      </c>
      <c r="S45" s="12">
        <v>0</v>
      </c>
      <c r="T45" s="12">
        <v>0</v>
      </c>
      <c r="U45" s="12">
        <v>0</v>
      </c>
      <c r="V45" s="14">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c r="AV45" s="12"/>
      <c r="AW45" s="12"/>
      <c r="AX45" s="12"/>
      <c r="AY45" s="12"/>
      <c r="AZ45" s="12"/>
      <c r="BA45" s="12">
        <v>0</v>
      </c>
      <c r="BB45" s="12">
        <v>0</v>
      </c>
      <c r="BC45" s="12">
        <v>0</v>
      </c>
      <c r="BD45" s="12">
        <v>-14755186.422</v>
      </c>
      <c r="BE45" s="12">
        <v>0</v>
      </c>
    </row>
    <row r="46" spans="1:57" hidden="1" outlineLevel="1" x14ac:dyDescent="0.2">
      <c r="A46" s="15" t="s">
        <v>85</v>
      </c>
      <c r="B46" s="12">
        <v>0</v>
      </c>
      <c r="C46" s="12">
        <v>0</v>
      </c>
      <c r="D46" s="12">
        <v>0</v>
      </c>
      <c r="E46" s="12">
        <v>0</v>
      </c>
      <c r="F46" s="12">
        <v>0</v>
      </c>
      <c r="G46" s="12">
        <v>0</v>
      </c>
      <c r="H46" s="12">
        <v>0</v>
      </c>
      <c r="I46" s="12">
        <v>0</v>
      </c>
      <c r="J46" s="12">
        <v>0</v>
      </c>
      <c r="K46" s="12">
        <v>0</v>
      </c>
      <c r="L46" s="12">
        <v>0</v>
      </c>
      <c r="M46" s="14">
        <v>0</v>
      </c>
      <c r="N46" s="12">
        <v>0</v>
      </c>
      <c r="O46" s="12">
        <v>0</v>
      </c>
      <c r="P46" s="12">
        <v>0</v>
      </c>
      <c r="Q46" s="12">
        <v>0</v>
      </c>
      <c r="R46" s="12">
        <v>0</v>
      </c>
      <c r="S46" s="12">
        <v>0</v>
      </c>
      <c r="T46" s="12">
        <v>0</v>
      </c>
      <c r="U46" s="12">
        <v>0</v>
      </c>
      <c r="V46" s="14">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c r="AV46" s="12"/>
      <c r="AW46" s="12"/>
      <c r="AX46" s="12"/>
      <c r="AY46" s="12"/>
      <c r="AZ46" s="12"/>
      <c r="BA46" s="12">
        <v>0</v>
      </c>
      <c r="BB46" s="12">
        <v>0</v>
      </c>
      <c r="BC46" s="12">
        <v>0</v>
      </c>
      <c r="BD46" s="12">
        <v>0</v>
      </c>
      <c r="BE46" s="12">
        <v>0</v>
      </c>
    </row>
    <row r="47" spans="1:57" hidden="1" outlineLevel="1" x14ac:dyDescent="0.2">
      <c r="A47" s="15" t="s">
        <v>84</v>
      </c>
      <c r="B47" s="12">
        <v>0</v>
      </c>
      <c r="C47" s="12">
        <v>0</v>
      </c>
      <c r="D47" s="12">
        <v>0</v>
      </c>
      <c r="E47" s="12">
        <v>0</v>
      </c>
      <c r="F47" s="12">
        <v>0</v>
      </c>
      <c r="G47" s="12">
        <v>0</v>
      </c>
      <c r="H47" s="12">
        <v>0</v>
      </c>
      <c r="I47" s="12">
        <v>0</v>
      </c>
      <c r="J47" s="12">
        <v>0</v>
      </c>
      <c r="K47" s="12">
        <v>0</v>
      </c>
      <c r="L47" s="12">
        <v>0</v>
      </c>
      <c r="M47" s="14">
        <v>0</v>
      </c>
      <c r="N47" s="12">
        <v>0</v>
      </c>
      <c r="O47" s="12">
        <v>0</v>
      </c>
      <c r="P47" s="12">
        <v>0</v>
      </c>
      <c r="Q47" s="12">
        <v>0</v>
      </c>
      <c r="R47" s="12">
        <v>0</v>
      </c>
      <c r="S47" s="12">
        <v>0</v>
      </c>
      <c r="T47" s="12">
        <v>0</v>
      </c>
      <c r="U47" s="12">
        <v>0</v>
      </c>
      <c r="V47" s="14">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c r="AV47" s="12"/>
      <c r="AW47" s="12"/>
      <c r="AX47" s="12"/>
      <c r="AY47" s="12"/>
      <c r="AZ47" s="12"/>
      <c r="BA47" s="12">
        <v>0</v>
      </c>
      <c r="BB47" s="12">
        <v>0</v>
      </c>
      <c r="BC47" s="12">
        <v>0</v>
      </c>
      <c r="BD47" s="12">
        <v>0</v>
      </c>
      <c r="BE47" s="12">
        <v>0</v>
      </c>
    </row>
    <row r="48" spans="1:57" hidden="1" outlineLevel="1" x14ac:dyDescent="0.2">
      <c r="A48" s="15"/>
      <c r="B48" s="12"/>
      <c r="C48" s="12"/>
      <c r="D48" s="12"/>
      <c r="E48" s="12"/>
      <c r="F48" s="12"/>
      <c r="G48" s="12"/>
      <c r="H48" s="12"/>
      <c r="I48" s="12"/>
      <c r="J48" s="12"/>
      <c r="K48" s="12"/>
      <c r="L48" s="12"/>
      <c r="M48" s="14"/>
      <c r="N48" s="12"/>
      <c r="O48" s="12"/>
      <c r="P48" s="12"/>
      <c r="Q48" s="12"/>
      <c r="R48" s="12"/>
      <c r="S48" s="12"/>
      <c r="T48" s="12"/>
      <c r="U48" s="12"/>
      <c r="V48" s="14"/>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spans="1:57" hidden="1" outlineLevel="1" x14ac:dyDescent="0.2">
      <c r="A49" s="15" t="s">
        <v>83</v>
      </c>
      <c r="B49" s="12">
        <v>0</v>
      </c>
      <c r="C49" s="12">
        <v>0</v>
      </c>
      <c r="D49" s="12">
        <v>0</v>
      </c>
      <c r="E49" s="12">
        <v>0</v>
      </c>
      <c r="F49" s="12">
        <v>0</v>
      </c>
      <c r="G49" s="12">
        <v>0</v>
      </c>
      <c r="H49" s="12">
        <v>0</v>
      </c>
      <c r="I49" s="12">
        <v>0</v>
      </c>
      <c r="J49" s="12">
        <v>0</v>
      </c>
      <c r="K49" s="12">
        <v>0</v>
      </c>
      <c r="L49" s="12">
        <v>0</v>
      </c>
      <c r="M49" s="14">
        <v>0</v>
      </c>
      <c r="N49" s="12">
        <v>0</v>
      </c>
      <c r="O49" s="12">
        <v>0</v>
      </c>
      <c r="P49" s="12">
        <v>0</v>
      </c>
      <c r="Q49" s="12">
        <v>0</v>
      </c>
      <c r="R49" s="12">
        <v>0</v>
      </c>
      <c r="S49" s="12">
        <v>0</v>
      </c>
      <c r="T49" s="12">
        <v>0</v>
      </c>
      <c r="U49" s="12">
        <v>0</v>
      </c>
      <c r="V49" s="14">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c r="AV49" s="12"/>
      <c r="AW49" s="12"/>
      <c r="AX49" s="12"/>
      <c r="AY49" s="12"/>
      <c r="AZ49" s="12"/>
      <c r="BA49" s="12">
        <v>0</v>
      </c>
      <c r="BB49" s="12">
        <v>0</v>
      </c>
      <c r="BC49" s="12">
        <v>0</v>
      </c>
      <c r="BD49" s="12">
        <v>-33645.599999999999</v>
      </c>
      <c r="BE49" s="12">
        <v>0</v>
      </c>
    </row>
    <row r="50" spans="1:57" hidden="1" outlineLevel="1" x14ac:dyDescent="0.2">
      <c r="A50" s="15"/>
      <c r="B50" s="12"/>
      <c r="C50" s="12"/>
      <c r="D50" s="12"/>
      <c r="E50" s="12"/>
      <c r="F50" s="12"/>
      <c r="G50" s="12"/>
      <c r="H50" s="12"/>
      <c r="I50" s="12"/>
      <c r="J50" s="12"/>
      <c r="K50" s="12"/>
      <c r="L50" s="12"/>
      <c r="M50" s="14"/>
      <c r="N50" s="12"/>
      <c r="O50" s="12"/>
      <c r="P50" s="12"/>
      <c r="Q50" s="12"/>
      <c r="R50" s="12"/>
      <c r="S50" s="12"/>
      <c r="T50" s="12"/>
      <c r="U50" s="12"/>
      <c r="V50" s="14"/>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spans="1:57" hidden="1" outlineLevel="1" x14ac:dyDescent="0.2">
      <c r="A51" s="18" t="s">
        <v>82</v>
      </c>
      <c r="B51" s="16">
        <v>663734.71900000004</v>
      </c>
      <c r="C51" s="16">
        <v>0</v>
      </c>
      <c r="D51" s="16">
        <v>25217.632000000001</v>
      </c>
      <c r="E51" s="16">
        <v>638517.08699999994</v>
      </c>
      <c r="F51" s="16">
        <v>0</v>
      </c>
      <c r="G51" s="16">
        <v>0</v>
      </c>
      <c r="H51" s="16">
        <v>0</v>
      </c>
      <c r="I51" s="16">
        <v>0</v>
      </c>
      <c r="J51" s="16">
        <v>50250.383099999992</v>
      </c>
      <c r="K51" s="16">
        <v>0</v>
      </c>
      <c r="L51" s="16">
        <v>0</v>
      </c>
      <c r="M51" s="17">
        <v>105684.59</v>
      </c>
      <c r="N51" s="16">
        <v>0</v>
      </c>
      <c r="O51" s="16">
        <v>15745</v>
      </c>
      <c r="P51" s="16">
        <v>0</v>
      </c>
      <c r="Q51" s="16">
        <v>190400</v>
      </c>
      <c r="R51" s="16">
        <v>0</v>
      </c>
      <c r="S51" s="16">
        <v>0</v>
      </c>
      <c r="T51" s="16">
        <v>0</v>
      </c>
      <c r="U51" s="16">
        <v>0</v>
      </c>
      <c r="V51" s="17">
        <v>0</v>
      </c>
      <c r="W51" s="16">
        <v>0</v>
      </c>
      <c r="X51" s="16">
        <v>0</v>
      </c>
      <c r="Y51" s="16">
        <v>0</v>
      </c>
      <c r="Z51" s="16">
        <v>0</v>
      </c>
      <c r="AA51" s="16">
        <v>0</v>
      </c>
      <c r="AB51" s="16">
        <v>0</v>
      </c>
      <c r="AC51" s="16">
        <v>1.6972419999999998E-2</v>
      </c>
      <c r="AD51" s="16">
        <v>0</v>
      </c>
      <c r="AE51" s="16">
        <v>13378.4843076</v>
      </c>
      <c r="AF51" s="16">
        <v>386092.56833280012</v>
      </c>
      <c r="AG51" s="16">
        <v>744.7462524</v>
      </c>
      <c r="AH51" s="16">
        <v>0</v>
      </c>
      <c r="AI51" s="16">
        <v>77942.941602399995</v>
      </c>
      <c r="AJ51" s="16">
        <v>27318.930686</v>
      </c>
      <c r="AK51" s="16">
        <v>320332.53568620002</v>
      </c>
      <c r="AL51" s="16">
        <v>19801.047635200001</v>
      </c>
      <c r="AM51" s="16">
        <v>0</v>
      </c>
      <c r="AN51" s="16">
        <v>8507.9909532000001</v>
      </c>
      <c r="AO51" s="16">
        <v>34390.733215200002</v>
      </c>
      <c r="AP51" s="16">
        <v>12287.075167200001</v>
      </c>
      <c r="AQ51" s="16">
        <v>324.40604039999999</v>
      </c>
      <c r="AR51" s="16">
        <v>0</v>
      </c>
      <c r="AS51" s="16">
        <v>12783.95376</v>
      </c>
      <c r="AT51" s="16">
        <v>0</v>
      </c>
      <c r="AU51" s="16"/>
      <c r="AV51" s="16"/>
      <c r="AW51" s="16"/>
      <c r="AX51" s="16"/>
      <c r="AY51" s="16"/>
      <c r="AZ51" s="16"/>
      <c r="BA51" s="16">
        <v>0</v>
      </c>
      <c r="BB51" s="16">
        <v>0</v>
      </c>
      <c r="BC51" s="16">
        <v>0</v>
      </c>
      <c r="BD51" s="16">
        <v>776660.7973032</v>
      </c>
      <c r="BE51" s="16">
        <v>0</v>
      </c>
    </row>
    <row r="52" spans="1:57" hidden="1" outlineLevel="1" x14ac:dyDescent="0.2">
      <c r="A52" s="15"/>
      <c r="B52" s="12"/>
      <c r="C52" s="12"/>
      <c r="D52" s="12"/>
      <c r="E52" s="12"/>
      <c r="F52" s="12"/>
      <c r="G52" s="12"/>
      <c r="H52" s="12"/>
      <c r="I52" s="12"/>
      <c r="J52" s="12"/>
      <c r="K52" s="12"/>
      <c r="L52" s="12"/>
      <c r="M52" s="14"/>
      <c r="N52" s="12"/>
      <c r="O52" s="12"/>
      <c r="P52" s="12"/>
      <c r="Q52" s="12"/>
      <c r="R52" s="12"/>
      <c r="S52" s="12"/>
      <c r="T52" s="12"/>
      <c r="U52" s="12"/>
      <c r="V52" s="14"/>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spans="1:57" hidden="1" outlineLevel="1" x14ac:dyDescent="0.2">
      <c r="A53" s="15" t="s">
        <v>81</v>
      </c>
      <c r="B53" s="12">
        <v>433968.5</v>
      </c>
      <c r="C53" s="12">
        <v>0</v>
      </c>
      <c r="D53" s="12">
        <v>20677.960999999999</v>
      </c>
      <c r="E53" s="12">
        <v>413290.53899999999</v>
      </c>
      <c r="F53" s="12">
        <v>0</v>
      </c>
      <c r="G53" s="12">
        <v>0</v>
      </c>
      <c r="H53" s="12">
        <v>0</v>
      </c>
      <c r="I53" s="12">
        <v>0</v>
      </c>
      <c r="J53" s="12">
        <v>50250.383099999992</v>
      </c>
      <c r="K53" s="12">
        <v>0</v>
      </c>
      <c r="L53" s="12">
        <v>0</v>
      </c>
      <c r="M53" s="14">
        <v>104820.36</v>
      </c>
      <c r="N53" s="12">
        <v>0</v>
      </c>
      <c r="O53" s="12">
        <v>15745</v>
      </c>
      <c r="P53" s="12">
        <v>0</v>
      </c>
      <c r="Q53" s="12">
        <v>0</v>
      </c>
      <c r="R53" s="12">
        <v>0</v>
      </c>
      <c r="S53" s="12">
        <v>0</v>
      </c>
      <c r="T53" s="12">
        <v>0</v>
      </c>
      <c r="U53" s="12">
        <v>0</v>
      </c>
      <c r="V53" s="14">
        <v>0</v>
      </c>
      <c r="W53" s="12">
        <v>0</v>
      </c>
      <c r="X53" s="12">
        <v>0</v>
      </c>
      <c r="Y53" s="12">
        <v>0</v>
      </c>
      <c r="Z53" s="12">
        <v>0</v>
      </c>
      <c r="AA53" s="12">
        <v>0</v>
      </c>
      <c r="AB53" s="12">
        <v>0</v>
      </c>
      <c r="AC53" s="12">
        <v>0</v>
      </c>
      <c r="AD53" s="12">
        <v>0</v>
      </c>
      <c r="AE53" s="12">
        <v>3.8634099000000002</v>
      </c>
      <c r="AF53" s="12">
        <v>529.19315280000001</v>
      </c>
      <c r="AG53" s="12">
        <v>0</v>
      </c>
      <c r="AH53" s="12">
        <v>0</v>
      </c>
      <c r="AI53" s="12">
        <v>0</v>
      </c>
      <c r="AJ53" s="12">
        <v>598.82638899999995</v>
      </c>
      <c r="AK53" s="12">
        <v>36014.976280800001</v>
      </c>
      <c r="AL53" s="12">
        <v>167.0164704</v>
      </c>
      <c r="AM53" s="12">
        <v>0</v>
      </c>
      <c r="AN53" s="12">
        <v>27.6729162</v>
      </c>
      <c r="AO53" s="12">
        <v>3461.8092918000002</v>
      </c>
      <c r="AP53" s="12">
        <v>7051.7770679999994</v>
      </c>
      <c r="AQ53" s="12">
        <v>2.6431499999999999</v>
      </c>
      <c r="AR53" s="12">
        <v>0</v>
      </c>
      <c r="AS53" s="12">
        <v>0</v>
      </c>
      <c r="AT53" s="12">
        <v>0</v>
      </c>
      <c r="AU53" s="12"/>
      <c r="AV53" s="12"/>
      <c r="AW53" s="12"/>
      <c r="AX53" s="12"/>
      <c r="AY53" s="12"/>
      <c r="AZ53" s="12"/>
      <c r="BA53" s="12">
        <v>0</v>
      </c>
      <c r="BB53" s="12">
        <v>0</v>
      </c>
      <c r="BC53" s="12">
        <v>0</v>
      </c>
      <c r="BD53" s="12">
        <v>419871.14640000003</v>
      </c>
      <c r="BE53" s="12">
        <v>0</v>
      </c>
    </row>
    <row r="54" spans="1:57" hidden="1" outlineLevel="1" x14ac:dyDescent="0.2">
      <c r="A54" s="15" t="s">
        <v>80</v>
      </c>
      <c r="B54" s="12">
        <v>128621.87300000001</v>
      </c>
      <c r="C54" s="12">
        <v>0</v>
      </c>
      <c r="D54" s="12">
        <v>11227.115</v>
      </c>
      <c r="E54" s="12">
        <v>117394.758</v>
      </c>
      <c r="F54" s="12">
        <v>0</v>
      </c>
      <c r="G54" s="12">
        <v>0</v>
      </c>
      <c r="H54" s="12">
        <v>0</v>
      </c>
      <c r="I54" s="12">
        <v>0</v>
      </c>
      <c r="J54" s="12">
        <v>50250.383099999992</v>
      </c>
      <c r="K54" s="12">
        <v>0</v>
      </c>
      <c r="L54" s="12">
        <v>0</v>
      </c>
      <c r="M54" s="14">
        <v>21976.1</v>
      </c>
      <c r="N54" s="12">
        <v>0</v>
      </c>
      <c r="O54" s="12">
        <v>15745</v>
      </c>
      <c r="P54" s="12">
        <v>0</v>
      </c>
      <c r="Q54" s="12">
        <v>0</v>
      </c>
      <c r="R54" s="12">
        <v>0</v>
      </c>
      <c r="S54" s="12">
        <v>0</v>
      </c>
      <c r="T54" s="12">
        <v>0</v>
      </c>
      <c r="U54" s="12">
        <v>0</v>
      </c>
      <c r="V54" s="14">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c r="AV54" s="12"/>
      <c r="AW54" s="12"/>
      <c r="AX54" s="12"/>
      <c r="AY54" s="12"/>
      <c r="AZ54" s="12"/>
      <c r="BA54" s="12">
        <v>0</v>
      </c>
      <c r="BB54" s="12">
        <v>0</v>
      </c>
      <c r="BC54" s="12">
        <v>0</v>
      </c>
      <c r="BD54" s="12">
        <v>76832.351999999984</v>
      </c>
      <c r="BE54" s="12">
        <v>0</v>
      </c>
    </row>
    <row r="55" spans="1:57" hidden="1" outlineLevel="1" x14ac:dyDescent="0.2">
      <c r="A55" s="15" t="s">
        <v>79</v>
      </c>
      <c r="B55" s="12">
        <v>52210.51</v>
      </c>
      <c r="C55" s="12">
        <v>0</v>
      </c>
      <c r="D55" s="12">
        <v>1368.6189999999999</v>
      </c>
      <c r="E55" s="12">
        <v>50841.890999999989</v>
      </c>
      <c r="F55" s="12">
        <v>0</v>
      </c>
      <c r="G55" s="12">
        <v>0</v>
      </c>
      <c r="H55" s="12">
        <v>0</v>
      </c>
      <c r="I55" s="12">
        <v>0</v>
      </c>
      <c r="J55" s="12">
        <v>0</v>
      </c>
      <c r="K55" s="12">
        <v>0</v>
      </c>
      <c r="L55" s="12">
        <v>0</v>
      </c>
      <c r="M55" s="14">
        <v>59121.91</v>
      </c>
      <c r="N55" s="12">
        <v>0</v>
      </c>
      <c r="O55" s="12">
        <v>0</v>
      </c>
      <c r="P55" s="12">
        <v>0</v>
      </c>
      <c r="Q55" s="12">
        <v>0</v>
      </c>
      <c r="R55" s="12">
        <v>0</v>
      </c>
      <c r="S55" s="12">
        <v>0</v>
      </c>
      <c r="T55" s="12">
        <v>0</v>
      </c>
      <c r="U55" s="12">
        <v>0</v>
      </c>
      <c r="V55" s="14">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c r="AV55" s="12"/>
      <c r="AW55" s="12"/>
      <c r="AX55" s="12"/>
      <c r="AY55" s="12"/>
      <c r="AZ55" s="12"/>
      <c r="BA55" s="12">
        <v>0</v>
      </c>
      <c r="BB55" s="12">
        <v>0</v>
      </c>
      <c r="BC55" s="12">
        <v>0</v>
      </c>
      <c r="BD55" s="12">
        <v>36292.392</v>
      </c>
      <c r="BE55" s="12">
        <v>0</v>
      </c>
    </row>
    <row r="56" spans="1:57" hidden="1" outlineLevel="1" x14ac:dyDescent="0.2">
      <c r="A56" s="15" t="s">
        <v>78</v>
      </c>
      <c r="B56" s="12">
        <v>0</v>
      </c>
      <c r="C56" s="12">
        <v>0</v>
      </c>
      <c r="D56" s="12">
        <v>0</v>
      </c>
      <c r="E56" s="12">
        <v>0</v>
      </c>
      <c r="F56" s="12">
        <v>0</v>
      </c>
      <c r="G56" s="12">
        <v>0</v>
      </c>
      <c r="H56" s="12">
        <v>0</v>
      </c>
      <c r="I56" s="12">
        <v>0</v>
      </c>
      <c r="J56" s="12">
        <v>0</v>
      </c>
      <c r="K56" s="12">
        <v>0</v>
      </c>
      <c r="L56" s="12">
        <v>0</v>
      </c>
      <c r="M56" s="14">
        <v>0</v>
      </c>
      <c r="N56" s="12">
        <v>0</v>
      </c>
      <c r="O56" s="12">
        <v>0</v>
      </c>
      <c r="P56" s="12">
        <v>0</v>
      </c>
      <c r="Q56" s="12">
        <v>0</v>
      </c>
      <c r="R56" s="12">
        <v>0</v>
      </c>
      <c r="S56" s="12">
        <v>0</v>
      </c>
      <c r="T56" s="12">
        <v>0</v>
      </c>
      <c r="U56" s="12">
        <v>0</v>
      </c>
      <c r="V56" s="14">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c r="AV56" s="12"/>
      <c r="AW56" s="12"/>
      <c r="AX56" s="12"/>
      <c r="AY56" s="12"/>
      <c r="AZ56" s="12"/>
      <c r="BA56" s="12">
        <v>0</v>
      </c>
      <c r="BB56" s="12">
        <v>0</v>
      </c>
      <c r="BC56" s="12">
        <v>0</v>
      </c>
      <c r="BD56" s="12">
        <v>67105.584000000003</v>
      </c>
      <c r="BE56" s="12">
        <v>0</v>
      </c>
    </row>
    <row r="57" spans="1:57" hidden="1" outlineLevel="1" x14ac:dyDescent="0.2">
      <c r="A57" s="15" t="s">
        <v>77</v>
      </c>
      <c r="B57" s="12">
        <v>27617.46</v>
      </c>
      <c r="C57" s="12">
        <v>0</v>
      </c>
      <c r="D57" s="12">
        <v>7354.9049999999997</v>
      </c>
      <c r="E57" s="12">
        <v>20262.555</v>
      </c>
      <c r="F57" s="12">
        <v>0</v>
      </c>
      <c r="G57" s="12">
        <v>0</v>
      </c>
      <c r="H57" s="12">
        <v>0</v>
      </c>
      <c r="I57" s="12">
        <v>0</v>
      </c>
      <c r="J57" s="12">
        <v>0</v>
      </c>
      <c r="K57" s="12">
        <v>0</v>
      </c>
      <c r="L57" s="12">
        <v>0</v>
      </c>
      <c r="M57" s="14">
        <v>7868.5</v>
      </c>
      <c r="N57" s="12">
        <v>0</v>
      </c>
      <c r="O57" s="12">
        <v>0</v>
      </c>
      <c r="P57" s="12">
        <v>0</v>
      </c>
      <c r="Q57" s="12">
        <v>0</v>
      </c>
      <c r="R57" s="12">
        <v>0</v>
      </c>
      <c r="S57" s="12">
        <v>0</v>
      </c>
      <c r="T57" s="12">
        <v>0</v>
      </c>
      <c r="U57" s="12">
        <v>0</v>
      </c>
      <c r="V57" s="14">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c r="AV57" s="12"/>
      <c r="AW57" s="12"/>
      <c r="AX57" s="12"/>
      <c r="AY57" s="12"/>
      <c r="AZ57" s="12"/>
      <c r="BA57" s="12">
        <v>0</v>
      </c>
      <c r="BB57" s="12">
        <v>0</v>
      </c>
      <c r="BC57" s="12">
        <v>0</v>
      </c>
      <c r="BD57" s="12">
        <v>9380.6639999999989</v>
      </c>
      <c r="BE57" s="12">
        <v>0</v>
      </c>
    </row>
    <row r="58" spans="1:57" hidden="1" outlineLevel="1" x14ac:dyDescent="0.2">
      <c r="A58" s="15" t="s">
        <v>76</v>
      </c>
      <c r="B58" s="12">
        <v>0</v>
      </c>
      <c r="C58" s="12">
        <v>0</v>
      </c>
      <c r="D58" s="12">
        <v>0</v>
      </c>
      <c r="E58" s="12">
        <v>0</v>
      </c>
      <c r="F58" s="12">
        <v>0</v>
      </c>
      <c r="G58" s="12">
        <v>0</v>
      </c>
      <c r="H58" s="12">
        <v>0</v>
      </c>
      <c r="I58" s="12">
        <v>0</v>
      </c>
      <c r="J58" s="12">
        <v>0</v>
      </c>
      <c r="K58" s="12">
        <v>0</v>
      </c>
      <c r="L58" s="12">
        <v>0</v>
      </c>
      <c r="M58" s="14">
        <v>0</v>
      </c>
      <c r="N58" s="12">
        <v>0</v>
      </c>
      <c r="O58" s="12">
        <v>0</v>
      </c>
      <c r="P58" s="12">
        <v>0</v>
      </c>
      <c r="Q58" s="12">
        <v>0</v>
      </c>
      <c r="R58" s="12">
        <v>0</v>
      </c>
      <c r="S58" s="12">
        <v>0</v>
      </c>
      <c r="T58" s="12">
        <v>0</v>
      </c>
      <c r="U58" s="12">
        <v>0</v>
      </c>
      <c r="V58" s="14">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c r="AV58" s="12"/>
      <c r="AW58" s="12"/>
      <c r="AX58" s="12"/>
      <c r="AY58" s="12"/>
      <c r="AZ58" s="12"/>
      <c r="BA58" s="12">
        <v>0</v>
      </c>
      <c r="BB58" s="12">
        <v>0</v>
      </c>
      <c r="BC58" s="12">
        <v>0</v>
      </c>
      <c r="BD58" s="12">
        <v>329.36399999999998</v>
      </c>
      <c r="BE58" s="12">
        <v>0</v>
      </c>
    </row>
    <row r="59" spans="1:57" hidden="1" outlineLevel="1" x14ac:dyDescent="0.2">
      <c r="A59" s="15" t="s">
        <v>75</v>
      </c>
      <c r="B59" s="12">
        <v>0</v>
      </c>
      <c r="C59" s="12">
        <v>0</v>
      </c>
      <c r="D59" s="12">
        <v>0</v>
      </c>
      <c r="E59" s="12">
        <v>0</v>
      </c>
      <c r="F59" s="12">
        <v>0</v>
      </c>
      <c r="G59" s="12">
        <v>0</v>
      </c>
      <c r="H59" s="12">
        <v>0</v>
      </c>
      <c r="I59" s="12">
        <v>0</v>
      </c>
      <c r="J59" s="12">
        <v>0</v>
      </c>
      <c r="K59" s="12">
        <v>0</v>
      </c>
      <c r="L59" s="12">
        <v>0</v>
      </c>
      <c r="M59" s="14">
        <v>2328.61</v>
      </c>
      <c r="N59" s="12">
        <v>0</v>
      </c>
      <c r="O59" s="12">
        <v>0</v>
      </c>
      <c r="P59" s="12">
        <v>0</v>
      </c>
      <c r="Q59" s="12">
        <v>0</v>
      </c>
      <c r="R59" s="12">
        <v>0</v>
      </c>
      <c r="S59" s="12">
        <v>0</v>
      </c>
      <c r="T59" s="12">
        <v>0</v>
      </c>
      <c r="U59" s="12">
        <v>0</v>
      </c>
      <c r="V59" s="14">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c r="AV59" s="12"/>
      <c r="AW59" s="12"/>
      <c r="AX59" s="12"/>
      <c r="AY59" s="12"/>
      <c r="AZ59" s="12"/>
      <c r="BA59" s="12">
        <v>0</v>
      </c>
      <c r="BB59" s="12">
        <v>0</v>
      </c>
      <c r="BC59" s="12">
        <v>0</v>
      </c>
      <c r="BD59" s="12">
        <v>150.048</v>
      </c>
      <c r="BE59" s="12">
        <v>0</v>
      </c>
    </row>
    <row r="60" spans="1:57" hidden="1" outlineLevel="1" x14ac:dyDescent="0.2">
      <c r="A60" s="15" t="s">
        <v>74</v>
      </c>
      <c r="B60" s="12">
        <v>53282.366999999991</v>
      </c>
      <c r="C60" s="12">
        <v>0</v>
      </c>
      <c r="D60" s="12">
        <v>0</v>
      </c>
      <c r="E60" s="12">
        <v>53282.366999999991</v>
      </c>
      <c r="F60" s="12">
        <v>0</v>
      </c>
      <c r="G60" s="12">
        <v>0</v>
      </c>
      <c r="H60" s="12">
        <v>0</v>
      </c>
      <c r="I60" s="12">
        <v>0</v>
      </c>
      <c r="J60" s="12">
        <v>0</v>
      </c>
      <c r="K60" s="12">
        <v>0</v>
      </c>
      <c r="L60" s="12">
        <v>0</v>
      </c>
      <c r="M60" s="14">
        <v>2899.94</v>
      </c>
      <c r="N60" s="12">
        <v>0</v>
      </c>
      <c r="O60" s="12">
        <v>0</v>
      </c>
      <c r="P60" s="12">
        <v>0</v>
      </c>
      <c r="Q60" s="12">
        <v>0</v>
      </c>
      <c r="R60" s="12">
        <v>0</v>
      </c>
      <c r="S60" s="12">
        <v>0</v>
      </c>
      <c r="T60" s="12">
        <v>0</v>
      </c>
      <c r="U60" s="12">
        <v>0</v>
      </c>
      <c r="V60" s="14">
        <v>0</v>
      </c>
      <c r="W60" s="12">
        <v>0</v>
      </c>
      <c r="X60" s="12">
        <v>0</v>
      </c>
      <c r="Y60" s="12">
        <v>0</v>
      </c>
      <c r="Z60" s="12">
        <v>0</v>
      </c>
      <c r="AA60" s="12">
        <v>0</v>
      </c>
      <c r="AB60" s="12">
        <v>0</v>
      </c>
      <c r="AC60" s="12">
        <v>0</v>
      </c>
      <c r="AD60" s="12">
        <v>0</v>
      </c>
      <c r="AE60" s="12">
        <v>6.1570199999999999E-2</v>
      </c>
      <c r="AF60" s="12">
        <v>464.74479179999997</v>
      </c>
      <c r="AG60" s="12">
        <v>0</v>
      </c>
      <c r="AH60" s="12">
        <v>0</v>
      </c>
      <c r="AI60" s="12">
        <v>0</v>
      </c>
      <c r="AJ60" s="12">
        <v>496.51617199999998</v>
      </c>
      <c r="AK60" s="12">
        <v>28149.155919000001</v>
      </c>
      <c r="AL60" s="12">
        <v>77.266924799999984</v>
      </c>
      <c r="AM60" s="12">
        <v>0</v>
      </c>
      <c r="AN60" s="12">
        <v>27.250896600000001</v>
      </c>
      <c r="AO60" s="12">
        <v>3172.5133685999999</v>
      </c>
      <c r="AP60" s="12">
        <v>0</v>
      </c>
      <c r="AQ60" s="12">
        <v>0</v>
      </c>
      <c r="AR60" s="12">
        <v>0</v>
      </c>
      <c r="AS60" s="12">
        <v>0</v>
      </c>
      <c r="AT60" s="12">
        <v>0</v>
      </c>
      <c r="AU60" s="12"/>
      <c r="AV60" s="12"/>
      <c r="AW60" s="12"/>
      <c r="AX60" s="12"/>
      <c r="AY60" s="12"/>
      <c r="AZ60" s="12"/>
      <c r="BA60" s="12">
        <v>0</v>
      </c>
      <c r="BB60" s="12">
        <v>0</v>
      </c>
      <c r="BC60" s="12">
        <v>0</v>
      </c>
      <c r="BD60" s="12">
        <v>113412.492</v>
      </c>
      <c r="BE60" s="12">
        <v>0</v>
      </c>
    </row>
    <row r="61" spans="1:57" hidden="1" outlineLevel="1" x14ac:dyDescent="0.2">
      <c r="A61" s="15" t="s">
        <v>73</v>
      </c>
      <c r="B61" s="12">
        <v>0</v>
      </c>
      <c r="C61" s="12">
        <v>0</v>
      </c>
      <c r="D61" s="12">
        <v>0</v>
      </c>
      <c r="E61" s="12">
        <v>0</v>
      </c>
      <c r="F61" s="12">
        <v>0</v>
      </c>
      <c r="G61" s="12">
        <v>0</v>
      </c>
      <c r="H61" s="12">
        <v>0</v>
      </c>
      <c r="I61" s="12">
        <v>0</v>
      </c>
      <c r="J61" s="12">
        <v>0</v>
      </c>
      <c r="K61" s="12">
        <v>0</v>
      </c>
      <c r="L61" s="12">
        <v>0</v>
      </c>
      <c r="M61" s="14">
        <v>1396.7</v>
      </c>
      <c r="N61" s="12">
        <v>0</v>
      </c>
      <c r="O61" s="12">
        <v>0</v>
      </c>
      <c r="P61" s="12">
        <v>0</v>
      </c>
      <c r="Q61" s="12">
        <v>0</v>
      </c>
      <c r="R61" s="12">
        <v>0</v>
      </c>
      <c r="S61" s="12">
        <v>0</v>
      </c>
      <c r="T61" s="12">
        <v>0</v>
      </c>
      <c r="U61" s="12">
        <v>0</v>
      </c>
      <c r="V61" s="14">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c r="AV61" s="12"/>
      <c r="AW61" s="12"/>
      <c r="AX61" s="12"/>
      <c r="AY61" s="12"/>
      <c r="AZ61" s="12"/>
      <c r="BA61" s="12">
        <v>0</v>
      </c>
      <c r="BB61" s="12">
        <v>0</v>
      </c>
      <c r="BC61" s="12">
        <v>0</v>
      </c>
      <c r="BD61" s="12">
        <v>2738.4119999999998</v>
      </c>
      <c r="BE61" s="12">
        <v>0</v>
      </c>
    </row>
    <row r="62" spans="1:57" hidden="1" outlineLevel="1" x14ac:dyDescent="0.2">
      <c r="A62" s="15" t="s">
        <v>72</v>
      </c>
      <c r="B62" s="12">
        <v>0</v>
      </c>
      <c r="C62" s="12">
        <v>0</v>
      </c>
      <c r="D62" s="12">
        <v>0</v>
      </c>
      <c r="E62" s="12">
        <v>0</v>
      </c>
      <c r="F62" s="12">
        <v>0</v>
      </c>
      <c r="G62" s="12">
        <v>0</v>
      </c>
      <c r="H62" s="12">
        <v>0</v>
      </c>
      <c r="I62" s="12">
        <v>0</v>
      </c>
      <c r="J62" s="12">
        <v>0</v>
      </c>
      <c r="K62" s="12">
        <v>0</v>
      </c>
      <c r="L62" s="12">
        <v>0</v>
      </c>
      <c r="M62" s="14">
        <v>3120.7</v>
      </c>
      <c r="N62" s="12">
        <v>0</v>
      </c>
      <c r="O62" s="12">
        <v>0</v>
      </c>
      <c r="P62" s="12">
        <v>0</v>
      </c>
      <c r="Q62" s="12">
        <v>0</v>
      </c>
      <c r="R62" s="12">
        <v>0</v>
      </c>
      <c r="S62" s="12">
        <v>0</v>
      </c>
      <c r="T62" s="12">
        <v>0</v>
      </c>
      <c r="U62" s="12">
        <v>0</v>
      </c>
      <c r="V62" s="14">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c r="AV62" s="12"/>
      <c r="AW62" s="12"/>
      <c r="AX62" s="12"/>
      <c r="AY62" s="12"/>
      <c r="AZ62" s="12"/>
      <c r="BA62" s="12">
        <v>0</v>
      </c>
      <c r="BB62" s="12">
        <v>0</v>
      </c>
      <c r="BC62" s="12">
        <v>0</v>
      </c>
      <c r="BD62" s="12">
        <v>6320.5559999999987</v>
      </c>
      <c r="BE62" s="12">
        <v>0</v>
      </c>
    </row>
    <row r="63" spans="1:57" hidden="1" outlineLevel="1" x14ac:dyDescent="0.2">
      <c r="A63" s="15" t="s">
        <v>71</v>
      </c>
      <c r="B63" s="12">
        <v>0</v>
      </c>
      <c r="C63" s="12">
        <v>0</v>
      </c>
      <c r="D63" s="12">
        <v>0</v>
      </c>
      <c r="E63" s="12">
        <v>0</v>
      </c>
      <c r="F63" s="12">
        <v>0</v>
      </c>
      <c r="G63" s="12">
        <v>0</v>
      </c>
      <c r="H63" s="12">
        <v>0</v>
      </c>
      <c r="I63" s="12">
        <v>0</v>
      </c>
      <c r="J63" s="12">
        <v>0</v>
      </c>
      <c r="K63" s="12">
        <v>0</v>
      </c>
      <c r="L63" s="12">
        <v>0</v>
      </c>
      <c r="M63" s="14">
        <v>0</v>
      </c>
      <c r="N63" s="12">
        <v>0</v>
      </c>
      <c r="O63" s="12">
        <v>0</v>
      </c>
      <c r="P63" s="12">
        <v>0</v>
      </c>
      <c r="Q63" s="12">
        <v>0</v>
      </c>
      <c r="R63" s="12">
        <v>0</v>
      </c>
      <c r="S63" s="12">
        <v>0</v>
      </c>
      <c r="T63" s="12">
        <v>0</v>
      </c>
      <c r="U63" s="12">
        <v>0</v>
      </c>
      <c r="V63" s="14">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c r="AV63" s="12"/>
      <c r="AW63" s="12"/>
      <c r="AX63" s="12"/>
      <c r="AY63" s="12"/>
      <c r="AZ63" s="12"/>
      <c r="BA63" s="12">
        <v>0</v>
      </c>
      <c r="BB63" s="12">
        <v>0</v>
      </c>
      <c r="BC63" s="12">
        <v>0</v>
      </c>
      <c r="BD63" s="12">
        <v>1068.8040000000001</v>
      </c>
      <c r="BE63" s="12">
        <v>0</v>
      </c>
    </row>
    <row r="64" spans="1:57" hidden="1" outlineLevel="1" x14ac:dyDescent="0.2">
      <c r="A64" s="15" t="s">
        <v>70</v>
      </c>
      <c r="B64" s="12">
        <v>0</v>
      </c>
      <c r="C64" s="12">
        <v>0</v>
      </c>
      <c r="D64" s="12">
        <v>0</v>
      </c>
      <c r="E64" s="12">
        <v>0</v>
      </c>
      <c r="F64" s="12">
        <v>0</v>
      </c>
      <c r="G64" s="12">
        <v>0</v>
      </c>
      <c r="H64" s="12">
        <v>0</v>
      </c>
      <c r="I64" s="12">
        <v>0</v>
      </c>
      <c r="J64" s="12">
        <v>0</v>
      </c>
      <c r="K64" s="12">
        <v>0</v>
      </c>
      <c r="L64" s="12">
        <v>0</v>
      </c>
      <c r="M64" s="14">
        <v>0</v>
      </c>
      <c r="N64" s="12">
        <v>0</v>
      </c>
      <c r="O64" s="12">
        <v>0</v>
      </c>
      <c r="P64" s="12">
        <v>0</v>
      </c>
      <c r="Q64" s="12">
        <v>0</v>
      </c>
      <c r="R64" s="12">
        <v>0</v>
      </c>
      <c r="S64" s="12">
        <v>0</v>
      </c>
      <c r="T64" s="12">
        <v>0</v>
      </c>
      <c r="U64" s="12">
        <v>0</v>
      </c>
      <c r="V64" s="14">
        <v>0</v>
      </c>
      <c r="W64" s="12">
        <v>0</v>
      </c>
      <c r="X64" s="12">
        <v>0</v>
      </c>
      <c r="Y64" s="12">
        <v>0</v>
      </c>
      <c r="Z64" s="12">
        <v>0</v>
      </c>
      <c r="AA64" s="12">
        <v>0</v>
      </c>
      <c r="AB64" s="12">
        <v>0</v>
      </c>
      <c r="AC64" s="12">
        <v>0</v>
      </c>
      <c r="AD64" s="12">
        <v>0</v>
      </c>
      <c r="AE64" s="12">
        <v>3.8018396999999999</v>
      </c>
      <c r="AF64" s="12">
        <v>64.448361000000006</v>
      </c>
      <c r="AG64" s="12">
        <v>0</v>
      </c>
      <c r="AH64" s="12">
        <v>0</v>
      </c>
      <c r="AI64" s="12">
        <v>0</v>
      </c>
      <c r="AJ64" s="12">
        <v>102.31021699999999</v>
      </c>
      <c r="AK64" s="12">
        <v>7865.8203617999998</v>
      </c>
      <c r="AL64" s="12">
        <v>89.74954559999999</v>
      </c>
      <c r="AM64" s="12">
        <v>0</v>
      </c>
      <c r="AN64" s="12">
        <v>0.42201959999999999</v>
      </c>
      <c r="AO64" s="12">
        <v>289.2959232</v>
      </c>
      <c r="AP64" s="12">
        <v>7051.7770679999994</v>
      </c>
      <c r="AQ64" s="12">
        <v>2.6431499999999999</v>
      </c>
      <c r="AR64" s="12">
        <v>0</v>
      </c>
      <c r="AS64" s="12">
        <v>0</v>
      </c>
      <c r="AT64" s="12">
        <v>0</v>
      </c>
      <c r="AU64" s="12"/>
      <c r="AV64" s="12"/>
      <c r="AW64" s="12"/>
      <c r="AX64" s="12"/>
      <c r="AY64" s="12"/>
      <c r="AZ64" s="12"/>
      <c r="BA64" s="12">
        <v>0</v>
      </c>
      <c r="BB64" s="12">
        <v>0</v>
      </c>
      <c r="BC64" s="12">
        <v>0</v>
      </c>
      <c r="BD64" s="12">
        <v>194.328</v>
      </c>
      <c r="BE64" s="12">
        <v>0</v>
      </c>
    </row>
    <row r="65" spans="1:67" hidden="1" outlineLevel="1" x14ac:dyDescent="0.2">
      <c r="A65" s="15" t="s">
        <v>69</v>
      </c>
      <c r="B65" s="12">
        <v>0</v>
      </c>
      <c r="C65" s="12">
        <v>0</v>
      </c>
      <c r="D65" s="12">
        <v>0</v>
      </c>
      <c r="E65" s="12">
        <v>0</v>
      </c>
      <c r="F65" s="12">
        <v>0</v>
      </c>
      <c r="G65" s="12">
        <v>0</v>
      </c>
      <c r="H65" s="12">
        <v>0</v>
      </c>
      <c r="I65" s="12">
        <v>0</v>
      </c>
      <c r="J65" s="12">
        <v>0</v>
      </c>
      <c r="K65" s="12">
        <v>0</v>
      </c>
      <c r="L65" s="12">
        <v>0</v>
      </c>
      <c r="M65" s="14">
        <v>0</v>
      </c>
      <c r="N65" s="12">
        <v>0</v>
      </c>
      <c r="O65" s="12">
        <v>0</v>
      </c>
      <c r="P65" s="12">
        <v>0</v>
      </c>
      <c r="Q65" s="12">
        <v>0</v>
      </c>
      <c r="R65" s="12">
        <v>0</v>
      </c>
      <c r="S65" s="12">
        <v>0</v>
      </c>
      <c r="T65" s="12">
        <v>0</v>
      </c>
      <c r="U65" s="12">
        <v>0</v>
      </c>
      <c r="V65" s="14">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c r="AV65" s="12"/>
      <c r="AW65" s="12"/>
      <c r="AX65" s="12"/>
      <c r="AY65" s="12"/>
      <c r="AZ65" s="12"/>
      <c r="BA65" s="12">
        <v>0</v>
      </c>
      <c r="BB65" s="12">
        <v>0</v>
      </c>
      <c r="BC65" s="12">
        <v>0</v>
      </c>
      <c r="BD65" s="12">
        <v>1868.22</v>
      </c>
      <c r="BE65" s="12">
        <v>0</v>
      </c>
    </row>
    <row r="66" spans="1:67" hidden="1" outlineLevel="1" x14ac:dyDescent="0.2">
      <c r="A66" s="15" t="s">
        <v>68</v>
      </c>
      <c r="B66" s="12">
        <v>172236.29</v>
      </c>
      <c r="C66" s="12">
        <v>0</v>
      </c>
      <c r="D66" s="12">
        <v>727.322</v>
      </c>
      <c r="E66" s="12">
        <v>171508.96799999999</v>
      </c>
      <c r="F66" s="12">
        <v>0</v>
      </c>
      <c r="G66" s="12">
        <v>0</v>
      </c>
      <c r="H66" s="12">
        <v>0</v>
      </c>
      <c r="I66" s="12">
        <v>0</v>
      </c>
      <c r="J66" s="12">
        <v>0</v>
      </c>
      <c r="K66" s="12">
        <v>0</v>
      </c>
      <c r="L66" s="12">
        <v>0</v>
      </c>
      <c r="M66" s="14">
        <v>6107.8999999999987</v>
      </c>
      <c r="N66" s="12">
        <v>0</v>
      </c>
      <c r="O66" s="12">
        <v>0</v>
      </c>
      <c r="P66" s="12">
        <v>0</v>
      </c>
      <c r="Q66" s="12">
        <v>0</v>
      </c>
      <c r="R66" s="12">
        <v>0</v>
      </c>
      <c r="S66" s="12">
        <v>0</v>
      </c>
      <c r="T66" s="12">
        <v>0</v>
      </c>
      <c r="U66" s="12">
        <v>0</v>
      </c>
      <c r="V66" s="14">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c r="AV66" s="12"/>
      <c r="AW66" s="12"/>
      <c r="AX66" s="12"/>
      <c r="AY66" s="12"/>
      <c r="AZ66" s="12"/>
      <c r="BA66" s="12">
        <v>0</v>
      </c>
      <c r="BB66" s="12">
        <v>0</v>
      </c>
      <c r="BC66" s="12">
        <v>0</v>
      </c>
      <c r="BD66" s="12">
        <v>104177.9304</v>
      </c>
      <c r="BE66" s="12">
        <v>0</v>
      </c>
    </row>
    <row r="67" spans="1:67" collapsed="1" x14ac:dyDescent="0.2">
      <c r="A67" s="15"/>
      <c r="B67" s="19"/>
      <c r="C67" s="12"/>
      <c r="D67" s="12"/>
      <c r="E67" s="12"/>
      <c r="F67" s="12"/>
      <c r="G67" s="12"/>
      <c r="H67" s="12"/>
      <c r="I67" s="12"/>
      <c r="J67" s="12"/>
      <c r="K67" s="12"/>
      <c r="L67" s="12"/>
      <c r="M67" s="14"/>
      <c r="N67" s="12"/>
      <c r="O67" s="12"/>
      <c r="P67" s="12"/>
      <c r="Q67" s="12"/>
      <c r="R67" s="12"/>
      <c r="S67" s="12"/>
      <c r="T67" s="12"/>
      <c r="U67" s="12"/>
      <c r="V67" s="14"/>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spans="1:67" ht="13.5" x14ac:dyDescent="0.25">
      <c r="A68" s="18" t="s">
        <v>67</v>
      </c>
      <c r="B68" s="12">
        <v>0</v>
      </c>
      <c r="C68" s="12">
        <v>0</v>
      </c>
      <c r="D68" s="12">
        <v>0</v>
      </c>
      <c r="E68" s="12">
        <v>0</v>
      </c>
      <c r="F68" s="12">
        <v>0</v>
      </c>
      <c r="G68" s="12">
        <v>0</v>
      </c>
      <c r="H68" s="12">
        <v>0</v>
      </c>
      <c r="I68" s="12">
        <v>0</v>
      </c>
      <c r="J68" s="12">
        <v>0</v>
      </c>
      <c r="K68" s="12">
        <v>0</v>
      </c>
      <c r="L68" s="12">
        <v>0</v>
      </c>
      <c r="M68" s="14">
        <v>0</v>
      </c>
      <c r="N68" s="12">
        <v>0</v>
      </c>
      <c r="O68" s="12">
        <v>0</v>
      </c>
      <c r="P68" s="12">
        <v>0</v>
      </c>
      <c r="Q68" s="12">
        <v>0</v>
      </c>
      <c r="R68" s="12">
        <v>0</v>
      </c>
      <c r="S68" s="12">
        <v>0</v>
      </c>
      <c r="T68" s="12">
        <v>0</v>
      </c>
      <c r="U68" s="12">
        <v>0</v>
      </c>
      <c r="V68" s="14">
        <v>0</v>
      </c>
      <c r="W68" s="12">
        <v>0</v>
      </c>
      <c r="X68" s="12">
        <v>0</v>
      </c>
      <c r="Y68" s="12">
        <v>0</v>
      </c>
      <c r="Z68" s="12">
        <v>0</v>
      </c>
      <c r="AA68" s="12">
        <v>0</v>
      </c>
      <c r="AB68" s="12">
        <v>0</v>
      </c>
      <c r="AC68" s="12">
        <v>0</v>
      </c>
      <c r="AD68" s="12">
        <v>0</v>
      </c>
      <c r="AE68" s="12">
        <v>0</v>
      </c>
      <c r="AF68" s="21">
        <f t="shared" ref="AF68:AL68" si="0">SUM(AF69:AF89)</f>
        <v>381580</v>
      </c>
      <c r="AG68" s="21">
        <f t="shared" si="0"/>
        <v>822</v>
      </c>
      <c r="AH68" s="21">
        <f t="shared" si="0"/>
        <v>0</v>
      </c>
      <c r="AI68" s="27">
        <f t="shared" si="0"/>
        <v>89422</v>
      </c>
      <c r="AJ68" s="21"/>
      <c r="AK68" s="21">
        <f t="shared" si="0"/>
        <v>402193.01708176202</v>
      </c>
      <c r="AL68" s="21">
        <f t="shared" si="0"/>
        <v>2770</v>
      </c>
      <c r="AM68" s="21">
        <f t="shared" ref="AM68:BE68" si="1">SUM(AM69:AM89)</f>
        <v>0</v>
      </c>
      <c r="AN68" s="21">
        <f t="shared" si="1"/>
        <v>0</v>
      </c>
      <c r="AO68" s="21">
        <f t="shared" si="1"/>
        <v>0</v>
      </c>
      <c r="AP68" s="21">
        <f t="shared" si="1"/>
        <v>0</v>
      </c>
      <c r="AQ68" s="21">
        <f t="shared" si="1"/>
        <v>0</v>
      </c>
      <c r="AR68" s="21">
        <f t="shared" si="1"/>
        <v>0</v>
      </c>
      <c r="AS68" s="21">
        <f t="shared" si="1"/>
        <v>0</v>
      </c>
      <c r="AT68" s="21">
        <f t="shared" si="1"/>
        <v>0</v>
      </c>
      <c r="AU68" s="21">
        <f t="shared" si="1"/>
        <v>0</v>
      </c>
      <c r="AV68" s="21">
        <f t="shared" si="1"/>
        <v>0</v>
      </c>
      <c r="AW68" s="21">
        <f t="shared" si="1"/>
        <v>0</v>
      </c>
      <c r="AX68" s="21">
        <f t="shared" si="1"/>
        <v>0</v>
      </c>
      <c r="AY68" s="21">
        <f t="shared" si="1"/>
        <v>0</v>
      </c>
      <c r="AZ68" s="21">
        <f t="shared" si="1"/>
        <v>0</v>
      </c>
      <c r="BA68" s="21">
        <f t="shared" si="1"/>
        <v>0</v>
      </c>
      <c r="BB68" s="21">
        <f t="shared" si="1"/>
        <v>0</v>
      </c>
      <c r="BC68" s="21">
        <f t="shared" si="1"/>
        <v>0</v>
      </c>
      <c r="BD68" s="21">
        <f t="shared" si="1"/>
        <v>15137.528257525879</v>
      </c>
      <c r="BE68" s="21">
        <f t="shared" si="1"/>
        <v>0</v>
      </c>
    </row>
    <row r="69" spans="1:67" ht="13.5" x14ac:dyDescent="0.25">
      <c r="A69" s="15" t="s">
        <v>66</v>
      </c>
      <c r="B69" s="12">
        <v>0</v>
      </c>
      <c r="C69" s="12">
        <v>0</v>
      </c>
      <c r="D69" s="12">
        <v>0</v>
      </c>
      <c r="E69" s="12">
        <v>0</v>
      </c>
      <c r="F69" s="12">
        <v>0</v>
      </c>
      <c r="G69" s="12">
        <v>0</v>
      </c>
      <c r="H69" s="12">
        <v>0</v>
      </c>
      <c r="I69" s="12">
        <v>0</v>
      </c>
      <c r="J69" s="12">
        <v>0</v>
      </c>
      <c r="K69" s="12">
        <v>0</v>
      </c>
      <c r="L69" s="12">
        <v>0</v>
      </c>
      <c r="M69" s="14">
        <v>0</v>
      </c>
      <c r="N69" s="12">
        <v>0</v>
      </c>
      <c r="O69" s="12">
        <v>0</v>
      </c>
      <c r="P69" s="12">
        <v>0</v>
      </c>
      <c r="Q69" s="12">
        <v>0</v>
      </c>
      <c r="R69" s="12">
        <v>0</v>
      </c>
      <c r="S69" s="12">
        <v>0</v>
      </c>
      <c r="T69" s="12">
        <v>0</v>
      </c>
      <c r="U69" s="12">
        <v>0</v>
      </c>
      <c r="V69" s="14">
        <v>0</v>
      </c>
      <c r="W69" s="12">
        <v>0</v>
      </c>
      <c r="X69" s="12">
        <v>0</v>
      </c>
      <c r="Y69" s="12">
        <v>0</v>
      </c>
      <c r="Z69" s="12">
        <v>0</v>
      </c>
      <c r="AA69" s="12">
        <v>0</v>
      </c>
      <c r="AB69" s="12">
        <v>0</v>
      </c>
      <c r="AC69" s="12">
        <v>0</v>
      </c>
      <c r="AD69" s="12">
        <v>0</v>
      </c>
      <c r="AE69" s="12">
        <v>0</v>
      </c>
      <c r="AF69" s="12">
        <v>0</v>
      </c>
      <c r="AG69" s="21">
        <v>0</v>
      </c>
      <c r="AH69" s="12">
        <v>0</v>
      </c>
      <c r="AI69" s="12">
        <v>68939</v>
      </c>
      <c r="AJ69" s="12"/>
      <c r="AK69" s="12">
        <v>0</v>
      </c>
      <c r="AL69" s="12">
        <v>0</v>
      </c>
      <c r="AM69" s="12">
        <v>0</v>
      </c>
      <c r="AN69" s="12">
        <v>0</v>
      </c>
      <c r="AO69" s="12">
        <v>0</v>
      </c>
      <c r="AP69" s="12">
        <v>0</v>
      </c>
      <c r="AQ69" s="12">
        <v>0</v>
      </c>
      <c r="AR69" s="12">
        <v>0</v>
      </c>
      <c r="AS69" s="12">
        <v>0</v>
      </c>
      <c r="AT69" s="12">
        <v>0</v>
      </c>
      <c r="AU69" s="12"/>
      <c r="AV69" s="12"/>
      <c r="AW69" s="12"/>
      <c r="AX69" s="12"/>
      <c r="AY69" s="12"/>
      <c r="AZ69" s="12"/>
      <c r="BA69" s="12">
        <v>0</v>
      </c>
      <c r="BB69" s="12">
        <v>0</v>
      </c>
      <c r="BC69" s="12">
        <v>0</v>
      </c>
      <c r="BD69" s="12">
        <v>0</v>
      </c>
      <c r="BE69" s="12">
        <v>0</v>
      </c>
    </row>
    <row r="70" spans="1:67" ht="15" x14ac:dyDescent="0.25">
      <c r="A70" s="15" t="s">
        <v>65</v>
      </c>
      <c r="B70" s="12">
        <v>0</v>
      </c>
      <c r="C70" s="12">
        <v>0</v>
      </c>
      <c r="D70" s="12">
        <v>0</v>
      </c>
      <c r="E70" s="12">
        <v>0</v>
      </c>
      <c r="F70" s="12">
        <v>0</v>
      </c>
      <c r="G70" s="12">
        <v>0</v>
      </c>
      <c r="H70" s="12">
        <v>0</v>
      </c>
      <c r="I70" s="12">
        <v>0</v>
      </c>
      <c r="J70" s="12">
        <v>0</v>
      </c>
      <c r="K70" s="12">
        <v>0</v>
      </c>
      <c r="L70" s="12">
        <v>0</v>
      </c>
      <c r="M70" s="14">
        <v>0</v>
      </c>
      <c r="N70" s="12">
        <v>0</v>
      </c>
      <c r="O70" s="12">
        <v>0</v>
      </c>
      <c r="P70" s="12">
        <v>0</v>
      </c>
      <c r="Q70" s="12">
        <v>0</v>
      </c>
      <c r="R70" s="12">
        <v>0</v>
      </c>
      <c r="S70" s="12">
        <v>0</v>
      </c>
      <c r="T70" s="12">
        <v>0</v>
      </c>
      <c r="U70" s="12">
        <v>0</v>
      </c>
      <c r="V70" s="14">
        <v>0</v>
      </c>
      <c r="W70" s="12">
        <v>0</v>
      </c>
      <c r="X70" s="12">
        <v>0</v>
      </c>
      <c r="Y70" s="12">
        <v>0</v>
      </c>
      <c r="Z70" s="12">
        <v>0</v>
      </c>
      <c r="AA70" s="12">
        <v>0</v>
      </c>
      <c r="AB70" s="12">
        <v>0</v>
      </c>
      <c r="AC70" s="12">
        <v>0</v>
      </c>
      <c r="AD70" s="12">
        <v>0</v>
      </c>
      <c r="AE70" s="12">
        <v>0</v>
      </c>
      <c r="AF70" s="12">
        <v>0</v>
      </c>
      <c r="AG70" s="12">
        <v>822</v>
      </c>
      <c r="AH70" s="12">
        <v>0</v>
      </c>
      <c r="AI70" s="21">
        <v>20483</v>
      </c>
      <c r="AJ70" s="12"/>
      <c r="AK70" s="12">
        <v>0</v>
      </c>
      <c r="AL70" s="12">
        <v>0</v>
      </c>
      <c r="AM70" s="12">
        <v>0</v>
      </c>
      <c r="AN70" s="12">
        <v>0</v>
      </c>
      <c r="AO70" s="12">
        <v>0</v>
      </c>
      <c r="AP70" s="12">
        <v>0</v>
      </c>
      <c r="AQ70" s="12">
        <v>0</v>
      </c>
      <c r="AR70" s="12">
        <v>0</v>
      </c>
      <c r="AS70" s="12">
        <v>0</v>
      </c>
      <c r="AT70" s="12">
        <v>0</v>
      </c>
      <c r="AU70" s="12"/>
      <c r="AV70" s="12"/>
      <c r="AW70" s="12"/>
      <c r="AX70" s="12"/>
      <c r="AY70" s="12"/>
      <c r="AZ70" s="12"/>
      <c r="BA70" s="12">
        <v>0</v>
      </c>
      <c r="BB70" s="12">
        <v>0</v>
      </c>
      <c r="BC70" s="12">
        <v>0</v>
      </c>
      <c r="BD70" s="12"/>
      <c r="BE70" s="12">
        <v>0</v>
      </c>
      <c r="BL70" s="11"/>
      <c r="BM70" s="11"/>
      <c r="BN70" s="11"/>
      <c r="BO70" s="11"/>
    </row>
    <row r="71" spans="1:67" ht="15" x14ac:dyDescent="0.25">
      <c r="A71" s="15" t="s">
        <v>64</v>
      </c>
      <c r="B71" s="12">
        <v>0</v>
      </c>
      <c r="C71" s="12">
        <v>0</v>
      </c>
      <c r="D71" s="12">
        <v>0</v>
      </c>
      <c r="E71" s="12">
        <v>0</v>
      </c>
      <c r="F71" s="12">
        <v>0</v>
      </c>
      <c r="G71" s="12">
        <v>0</v>
      </c>
      <c r="H71" s="12">
        <v>0</v>
      </c>
      <c r="I71" s="12">
        <v>0</v>
      </c>
      <c r="J71" s="12">
        <v>0</v>
      </c>
      <c r="K71" s="12">
        <v>0</v>
      </c>
      <c r="L71" s="12">
        <v>0</v>
      </c>
      <c r="M71" s="14">
        <v>0</v>
      </c>
      <c r="N71" s="12">
        <v>0</v>
      </c>
      <c r="O71" s="12">
        <v>0</v>
      </c>
      <c r="P71" s="12">
        <v>0</v>
      </c>
      <c r="Q71" s="12">
        <v>0</v>
      </c>
      <c r="R71" s="12">
        <v>0</v>
      </c>
      <c r="S71" s="12">
        <v>0</v>
      </c>
      <c r="T71" s="12">
        <v>0</v>
      </c>
      <c r="U71" s="12">
        <v>0</v>
      </c>
      <c r="V71" s="14">
        <v>0</v>
      </c>
      <c r="W71" s="12">
        <v>0</v>
      </c>
      <c r="X71" s="12">
        <v>0</v>
      </c>
      <c r="Y71" s="12">
        <v>0</v>
      </c>
      <c r="Z71" s="12">
        <v>0</v>
      </c>
      <c r="AA71" s="12">
        <v>0</v>
      </c>
      <c r="AB71" s="12">
        <v>0</v>
      </c>
      <c r="AC71" s="12">
        <v>0</v>
      </c>
      <c r="AD71" s="12">
        <v>0</v>
      </c>
      <c r="AE71" s="12">
        <v>0</v>
      </c>
      <c r="AF71" s="21">
        <v>381580</v>
      </c>
      <c r="AG71" s="12">
        <v>0</v>
      </c>
      <c r="AH71" s="12">
        <v>0</v>
      </c>
      <c r="AI71" s="12">
        <v>0</v>
      </c>
      <c r="AJ71" s="21"/>
      <c r="AK71" s="21">
        <v>395720</v>
      </c>
      <c r="AL71" s="21"/>
      <c r="AM71" s="12">
        <v>0</v>
      </c>
      <c r="AN71" s="12">
        <v>0</v>
      </c>
      <c r="AO71" s="12">
        <v>0</v>
      </c>
      <c r="AP71" s="12">
        <v>0</v>
      </c>
      <c r="AQ71" s="12">
        <v>0</v>
      </c>
      <c r="AR71" s="12">
        <v>0</v>
      </c>
      <c r="AS71" s="12">
        <v>0</v>
      </c>
      <c r="AT71" s="12">
        <v>0</v>
      </c>
      <c r="AU71" s="12"/>
      <c r="AV71" s="12"/>
      <c r="AW71" s="12"/>
      <c r="AX71" s="12"/>
      <c r="AY71" s="12"/>
      <c r="AZ71" s="12"/>
      <c r="BA71" s="12">
        <v>0</v>
      </c>
      <c r="BB71" s="12">
        <v>0</v>
      </c>
      <c r="BC71" s="12">
        <v>0</v>
      </c>
      <c r="BD71" s="21">
        <v>104.40000152587891</v>
      </c>
      <c r="BE71" s="12">
        <v>0</v>
      </c>
      <c r="BL71" s="11"/>
      <c r="BM71" s="11"/>
      <c r="BN71" s="11"/>
      <c r="BO71" s="11"/>
    </row>
    <row r="72" spans="1:67" ht="15" x14ac:dyDescent="0.25">
      <c r="A72" s="24" t="s">
        <v>55</v>
      </c>
      <c r="B72" s="12"/>
      <c r="C72" s="12"/>
      <c r="D72" s="12"/>
      <c r="E72" s="12"/>
      <c r="F72" s="12"/>
      <c r="G72" s="12"/>
      <c r="H72" s="12"/>
      <c r="I72" s="12"/>
      <c r="J72" s="12"/>
      <c r="K72" s="12"/>
      <c r="L72" s="12"/>
      <c r="M72" s="14"/>
      <c r="N72" s="12"/>
      <c r="O72" s="12"/>
      <c r="P72" s="12"/>
      <c r="Q72" s="12"/>
      <c r="R72" s="12"/>
      <c r="S72" s="12"/>
      <c r="T72" s="12"/>
      <c r="U72" s="12"/>
      <c r="V72" s="14"/>
      <c r="W72" s="12"/>
      <c r="X72" s="12"/>
      <c r="Y72" s="12"/>
      <c r="Z72" s="12"/>
      <c r="AA72" s="12"/>
      <c r="AB72" s="12"/>
      <c r="AC72" s="12"/>
      <c r="AD72" s="12"/>
      <c r="AE72" s="12"/>
      <c r="AF72" s="25"/>
      <c r="AG72" s="12"/>
      <c r="AH72" s="12"/>
      <c r="AI72" s="12"/>
      <c r="AJ72" s="12"/>
      <c r="AK72" s="25"/>
      <c r="AL72" s="12"/>
      <c r="AM72" s="12"/>
      <c r="AN72" s="12"/>
      <c r="AO72" s="12"/>
      <c r="AP72" s="12"/>
      <c r="AQ72" s="12"/>
      <c r="AR72" s="12"/>
      <c r="AS72" s="12"/>
      <c r="AT72" s="12"/>
      <c r="AU72" s="12"/>
      <c r="AV72" s="12"/>
      <c r="AW72" s="12"/>
      <c r="AX72" s="12"/>
      <c r="AY72" s="12"/>
      <c r="AZ72" s="12"/>
      <c r="BA72" s="12"/>
      <c r="BB72" s="12"/>
      <c r="BC72" s="12"/>
      <c r="BD72" s="12"/>
      <c r="BE72" s="12"/>
      <c r="BG72" s="22"/>
      <c r="BI72" s="22"/>
      <c r="BL72" s="11"/>
      <c r="BM72" s="11"/>
      <c r="BN72" s="11"/>
      <c r="BO72" s="11"/>
    </row>
    <row r="73" spans="1:67" ht="15" x14ac:dyDescent="0.25">
      <c r="A73" s="26" t="s">
        <v>63</v>
      </c>
      <c r="B73" s="12"/>
      <c r="C73" s="12"/>
      <c r="D73" s="12"/>
      <c r="E73" s="12"/>
      <c r="F73" s="12"/>
      <c r="G73" s="12"/>
      <c r="H73" s="12"/>
      <c r="I73" s="12"/>
      <c r="J73" s="12"/>
      <c r="K73" s="12"/>
      <c r="L73" s="12"/>
      <c r="M73" s="14"/>
      <c r="N73" s="12"/>
      <c r="O73" s="12"/>
      <c r="P73" s="12"/>
      <c r="Q73" s="12"/>
      <c r="R73" s="12"/>
      <c r="S73" s="12"/>
      <c r="T73" s="12"/>
      <c r="U73" s="12"/>
      <c r="V73" s="14"/>
      <c r="W73" s="12"/>
      <c r="X73" s="12"/>
      <c r="Y73" s="12"/>
      <c r="Z73" s="12"/>
      <c r="AA73" s="12"/>
      <c r="AB73" s="12"/>
      <c r="AC73" s="12"/>
      <c r="AD73" s="12"/>
      <c r="AE73" s="12"/>
      <c r="AF73" s="25"/>
      <c r="AG73" s="12"/>
      <c r="AH73" s="12"/>
      <c r="AI73" s="12"/>
      <c r="AJ73" s="12"/>
      <c r="AK73" s="25"/>
      <c r="AL73" s="12"/>
      <c r="AM73" s="12"/>
      <c r="AN73" s="12"/>
      <c r="AO73" s="12"/>
      <c r="AP73" s="12"/>
      <c r="AQ73" s="12"/>
      <c r="AR73" s="12"/>
      <c r="AS73" s="12"/>
      <c r="AT73" s="12"/>
      <c r="AU73" s="12"/>
      <c r="AV73" s="12"/>
      <c r="AW73" s="12"/>
      <c r="AX73" s="12"/>
      <c r="AY73" s="12"/>
      <c r="AZ73" s="12"/>
      <c r="BA73" s="12"/>
      <c r="BB73" s="12"/>
      <c r="BC73" s="12"/>
      <c r="BD73" s="12"/>
      <c r="BE73" s="12"/>
      <c r="BG73" s="22"/>
      <c r="BI73" s="22"/>
      <c r="BL73" s="11"/>
      <c r="BM73" s="11"/>
      <c r="BN73" s="11"/>
      <c r="BO73" s="11"/>
    </row>
    <row r="74" spans="1:67" ht="15" x14ac:dyDescent="0.25">
      <c r="A74" s="26" t="s">
        <v>62</v>
      </c>
      <c r="B74" s="12"/>
      <c r="C74" s="12"/>
      <c r="D74" s="12"/>
      <c r="E74" s="12"/>
      <c r="F74" s="12"/>
      <c r="G74" s="12"/>
      <c r="H74" s="12"/>
      <c r="I74" s="12"/>
      <c r="J74" s="12"/>
      <c r="K74" s="12"/>
      <c r="L74" s="12"/>
      <c r="M74" s="14"/>
      <c r="N74" s="12"/>
      <c r="O74" s="12"/>
      <c r="P74" s="12"/>
      <c r="Q74" s="12"/>
      <c r="R74" s="12"/>
      <c r="S74" s="12"/>
      <c r="T74" s="12"/>
      <c r="U74" s="12"/>
      <c r="V74" s="14"/>
      <c r="W74" s="12"/>
      <c r="X74" s="12"/>
      <c r="Y74" s="12"/>
      <c r="Z74" s="12"/>
      <c r="AA74" s="12"/>
      <c r="AB74" s="12"/>
      <c r="AC74" s="12"/>
      <c r="AD74" s="12"/>
      <c r="AE74" s="12"/>
      <c r="AF74" s="25"/>
      <c r="AG74" s="12"/>
      <c r="AH74" s="12"/>
      <c r="AI74" s="12"/>
      <c r="AJ74" s="12"/>
      <c r="AK74" s="25"/>
      <c r="AL74" s="12"/>
      <c r="AM74" s="12"/>
      <c r="AN74" s="12"/>
      <c r="AO74" s="12"/>
      <c r="AP74" s="12"/>
      <c r="AQ74" s="12"/>
      <c r="AR74" s="12"/>
      <c r="AS74" s="12"/>
      <c r="AT74" s="12"/>
      <c r="AU74" s="12"/>
      <c r="AV74" s="12"/>
      <c r="AW74" s="12"/>
      <c r="AX74" s="12"/>
      <c r="AY74" s="12"/>
      <c r="AZ74" s="12"/>
      <c r="BA74" s="12"/>
      <c r="BB74" s="12"/>
      <c r="BC74" s="12"/>
      <c r="BD74" s="12"/>
      <c r="BE74" s="12"/>
      <c r="BG74" s="22"/>
      <c r="BI74" s="22"/>
      <c r="BL74" s="11"/>
      <c r="BM74" s="11"/>
      <c r="BN74" s="11"/>
      <c r="BO74" s="11"/>
    </row>
    <row r="75" spans="1:67" ht="15" x14ac:dyDescent="0.25">
      <c r="A75" s="26" t="s">
        <v>61</v>
      </c>
      <c r="B75" s="12"/>
      <c r="C75" s="12"/>
      <c r="D75" s="12"/>
      <c r="E75" s="12"/>
      <c r="F75" s="12"/>
      <c r="G75" s="12"/>
      <c r="H75" s="12"/>
      <c r="I75" s="12"/>
      <c r="J75" s="12"/>
      <c r="K75" s="12"/>
      <c r="L75" s="12"/>
      <c r="M75" s="14"/>
      <c r="N75" s="12"/>
      <c r="O75" s="12"/>
      <c r="P75" s="12"/>
      <c r="Q75" s="12"/>
      <c r="R75" s="12"/>
      <c r="S75" s="12"/>
      <c r="T75" s="12"/>
      <c r="U75" s="12"/>
      <c r="V75" s="14"/>
      <c r="W75" s="12"/>
      <c r="X75" s="12"/>
      <c r="Y75" s="12"/>
      <c r="Z75" s="12"/>
      <c r="AA75" s="12"/>
      <c r="AB75" s="12"/>
      <c r="AC75" s="12"/>
      <c r="AD75" s="12"/>
      <c r="AE75" s="12"/>
      <c r="AF75" s="25"/>
      <c r="AG75" s="12"/>
      <c r="AH75" s="12"/>
      <c r="AI75" s="12"/>
      <c r="AJ75" s="12"/>
      <c r="AK75" s="25"/>
      <c r="AL75" s="12"/>
      <c r="AM75" s="12"/>
      <c r="AN75" s="12"/>
      <c r="AO75" s="12"/>
      <c r="AP75" s="12"/>
      <c r="AQ75" s="12"/>
      <c r="AR75" s="12"/>
      <c r="AS75" s="12"/>
      <c r="AT75" s="12"/>
      <c r="AU75" s="12"/>
      <c r="AV75" s="12"/>
      <c r="AW75" s="12"/>
      <c r="AX75" s="12"/>
      <c r="AY75" s="12"/>
      <c r="AZ75" s="12"/>
      <c r="BA75" s="12"/>
      <c r="BB75" s="12"/>
      <c r="BC75" s="12"/>
      <c r="BD75" s="12"/>
      <c r="BE75" s="12"/>
      <c r="BG75" s="22"/>
      <c r="BI75" s="22"/>
      <c r="BL75" s="11"/>
      <c r="BM75" s="11"/>
      <c r="BN75" s="11"/>
      <c r="BO75" s="11"/>
    </row>
    <row r="76" spans="1:67" ht="15" x14ac:dyDescent="0.25">
      <c r="A76" s="26" t="s">
        <v>60</v>
      </c>
      <c r="B76" s="12"/>
      <c r="C76" s="12"/>
      <c r="D76" s="12"/>
      <c r="E76" s="12"/>
      <c r="F76" s="12"/>
      <c r="G76" s="12"/>
      <c r="H76" s="12"/>
      <c r="I76" s="12"/>
      <c r="J76" s="12"/>
      <c r="K76" s="12"/>
      <c r="L76" s="12"/>
      <c r="M76" s="14"/>
      <c r="N76" s="12"/>
      <c r="O76" s="12"/>
      <c r="P76" s="12"/>
      <c r="Q76" s="12"/>
      <c r="R76" s="12"/>
      <c r="S76" s="12"/>
      <c r="T76" s="12"/>
      <c r="U76" s="12"/>
      <c r="V76" s="14"/>
      <c r="W76" s="12"/>
      <c r="X76" s="12"/>
      <c r="Y76" s="12"/>
      <c r="Z76" s="12"/>
      <c r="AA76" s="12"/>
      <c r="AB76" s="12"/>
      <c r="AC76" s="12"/>
      <c r="AD76" s="12"/>
      <c r="AE76" s="12"/>
      <c r="AF76" s="25"/>
      <c r="AG76" s="12"/>
      <c r="AH76" s="12"/>
      <c r="AI76" s="12"/>
      <c r="AJ76" s="12"/>
      <c r="AK76" s="25"/>
      <c r="AL76" s="12"/>
      <c r="AM76" s="12"/>
      <c r="AN76" s="12"/>
      <c r="AO76" s="12"/>
      <c r="AP76" s="12"/>
      <c r="AQ76" s="12"/>
      <c r="AR76" s="12"/>
      <c r="AS76" s="12"/>
      <c r="AT76" s="12"/>
      <c r="AU76" s="12"/>
      <c r="AV76" s="12"/>
      <c r="AW76" s="12"/>
      <c r="AX76" s="12"/>
      <c r="AY76" s="12"/>
      <c r="AZ76" s="12"/>
      <c r="BA76" s="12"/>
      <c r="BB76" s="12"/>
      <c r="BC76" s="12"/>
      <c r="BD76" s="12"/>
      <c r="BE76" s="12"/>
      <c r="BG76" s="22"/>
      <c r="BI76" s="22"/>
      <c r="BL76" s="11"/>
      <c r="BM76" s="11"/>
      <c r="BN76" s="11"/>
      <c r="BO76" s="11"/>
    </row>
    <row r="77" spans="1:67" ht="15" x14ac:dyDescent="0.25">
      <c r="A77" s="26" t="s">
        <v>59</v>
      </c>
      <c r="B77" s="12"/>
      <c r="C77" s="12"/>
      <c r="D77" s="12"/>
      <c r="E77" s="12"/>
      <c r="F77" s="12"/>
      <c r="G77" s="12"/>
      <c r="H77" s="12"/>
      <c r="I77" s="12"/>
      <c r="J77" s="12"/>
      <c r="K77" s="12"/>
      <c r="L77" s="12"/>
      <c r="M77" s="14"/>
      <c r="N77" s="12"/>
      <c r="O77" s="12"/>
      <c r="P77" s="12"/>
      <c r="Q77" s="12"/>
      <c r="R77" s="12"/>
      <c r="S77" s="12"/>
      <c r="T77" s="12"/>
      <c r="U77" s="12"/>
      <c r="V77" s="14"/>
      <c r="W77" s="12"/>
      <c r="X77" s="12"/>
      <c r="Y77" s="12"/>
      <c r="Z77" s="12"/>
      <c r="AA77" s="12"/>
      <c r="AB77" s="12"/>
      <c r="AC77" s="12"/>
      <c r="AD77" s="12"/>
      <c r="AE77" s="12"/>
      <c r="AF77" s="12"/>
      <c r="AG77" s="12"/>
      <c r="AH77" s="12"/>
      <c r="AI77" s="12"/>
      <c r="AJ77" s="12"/>
      <c r="AK77" s="25"/>
      <c r="AL77" s="12"/>
      <c r="AM77" s="12"/>
      <c r="AN77" s="12"/>
      <c r="AO77" s="12"/>
      <c r="AP77" s="12"/>
      <c r="AQ77" s="12"/>
      <c r="AR77" s="12"/>
      <c r="AS77" s="12"/>
      <c r="AT77" s="12"/>
      <c r="AU77" s="12"/>
      <c r="AV77" s="12"/>
      <c r="AW77" s="12"/>
      <c r="AX77" s="12"/>
      <c r="AY77" s="12"/>
      <c r="AZ77" s="12"/>
      <c r="BA77" s="12"/>
      <c r="BB77" s="12"/>
      <c r="BC77" s="12"/>
      <c r="BD77" s="12"/>
      <c r="BE77" s="12"/>
      <c r="BG77" s="22"/>
      <c r="BI77" s="22"/>
      <c r="BL77" s="11"/>
      <c r="BM77" s="11"/>
      <c r="BN77" s="11"/>
      <c r="BO77" s="11"/>
    </row>
    <row r="78" spans="1:67" ht="15" x14ac:dyDescent="0.25">
      <c r="A78" s="24" t="s">
        <v>52</v>
      </c>
      <c r="B78" s="12"/>
      <c r="C78" s="12"/>
      <c r="D78" s="12"/>
      <c r="E78" s="12"/>
      <c r="F78" s="12"/>
      <c r="G78" s="12"/>
      <c r="H78" s="12"/>
      <c r="I78" s="12"/>
      <c r="J78" s="12"/>
      <c r="K78" s="12"/>
      <c r="L78" s="12"/>
      <c r="M78" s="14"/>
      <c r="N78" s="12"/>
      <c r="O78" s="12"/>
      <c r="P78" s="12"/>
      <c r="Q78" s="12"/>
      <c r="R78" s="12"/>
      <c r="S78" s="12"/>
      <c r="T78" s="12"/>
      <c r="U78" s="12"/>
      <c r="V78" s="14"/>
      <c r="W78" s="12"/>
      <c r="X78" s="12"/>
      <c r="Y78" s="12"/>
      <c r="Z78" s="12"/>
      <c r="AA78" s="12"/>
      <c r="AB78" s="12"/>
      <c r="AC78" s="12"/>
      <c r="AD78" s="12"/>
      <c r="AE78" s="12"/>
      <c r="AF78" s="12"/>
      <c r="AG78" s="12"/>
      <c r="AH78" s="12"/>
      <c r="AI78" s="12"/>
      <c r="AJ78" s="12"/>
      <c r="AK78" s="25"/>
      <c r="AL78" s="12"/>
      <c r="AM78" s="12"/>
      <c r="AN78" s="12"/>
      <c r="AO78" s="12"/>
      <c r="AP78" s="12"/>
      <c r="AQ78" s="12"/>
      <c r="AR78" s="12"/>
      <c r="AS78" s="12"/>
      <c r="AT78" s="12"/>
      <c r="AU78" s="12"/>
      <c r="AV78" s="12"/>
      <c r="AW78" s="12"/>
      <c r="AX78" s="12"/>
      <c r="AY78" s="12"/>
      <c r="AZ78" s="12"/>
      <c r="BA78" s="12"/>
      <c r="BB78" s="12"/>
      <c r="BC78" s="12"/>
      <c r="BD78" s="12"/>
      <c r="BE78" s="12"/>
      <c r="BG78" s="22"/>
      <c r="BI78" s="22"/>
      <c r="BL78" s="11"/>
      <c r="BM78" s="11"/>
      <c r="BN78" s="11"/>
      <c r="BO78" s="11"/>
    </row>
    <row r="79" spans="1:67" ht="15" x14ac:dyDescent="0.25">
      <c r="A79" s="26" t="s">
        <v>58</v>
      </c>
      <c r="B79" s="12"/>
      <c r="C79" s="12"/>
      <c r="D79" s="12"/>
      <c r="E79" s="12"/>
      <c r="F79" s="12"/>
      <c r="G79" s="12"/>
      <c r="H79" s="12"/>
      <c r="I79" s="12"/>
      <c r="J79" s="12"/>
      <c r="K79" s="12"/>
      <c r="L79" s="12"/>
      <c r="M79" s="14"/>
      <c r="N79" s="12"/>
      <c r="O79" s="12"/>
      <c r="P79" s="12"/>
      <c r="Q79" s="12"/>
      <c r="R79" s="12"/>
      <c r="S79" s="12"/>
      <c r="T79" s="12"/>
      <c r="U79" s="12"/>
      <c r="V79" s="14"/>
      <c r="W79" s="12"/>
      <c r="X79" s="12"/>
      <c r="Y79" s="12"/>
      <c r="Z79" s="12"/>
      <c r="AA79" s="12"/>
      <c r="AB79" s="12"/>
      <c r="AC79" s="12"/>
      <c r="AD79" s="12"/>
      <c r="AE79" s="12"/>
      <c r="AF79" s="12"/>
      <c r="AG79" s="12"/>
      <c r="AH79" s="12"/>
      <c r="AI79" s="12"/>
      <c r="AJ79" s="12"/>
      <c r="AK79" s="25"/>
      <c r="AL79" s="12"/>
      <c r="AM79" s="12"/>
      <c r="AN79" s="12"/>
      <c r="AO79" s="12"/>
      <c r="AP79" s="12"/>
      <c r="AQ79" s="12"/>
      <c r="AR79" s="12"/>
      <c r="AS79" s="12"/>
      <c r="AT79" s="12"/>
      <c r="AU79" s="12"/>
      <c r="AV79" s="12"/>
      <c r="AW79" s="12"/>
      <c r="AX79" s="12"/>
      <c r="AY79" s="12"/>
      <c r="AZ79" s="12"/>
      <c r="BA79" s="12"/>
      <c r="BB79" s="12"/>
      <c r="BC79" s="12"/>
      <c r="BD79" s="12"/>
      <c r="BE79" s="12"/>
      <c r="BI79" s="22"/>
      <c r="BL79" s="11"/>
      <c r="BM79" s="11"/>
      <c r="BN79" s="11"/>
      <c r="BO79" s="11"/>
    </row>
    <row r="80" spans="1:67" ht="15" x14ac:dyDescent="0.25">
      <c r="A80" s="26" t="s">
        <v>57</v>
      </c>
      <c r="B80" s="12"/>
      <c r="C80" s="12"/>
      <c r="D80" s="12"/>
      <c r="E80" s="12"/>
      <c r="F80" s="12"/>
      <c r="G80" s="12"/>
      <c r="H80" s="12"/>
      <c r="I80" s="12"/>
      <c r="J80" s="12"/>
      <c r="K80" s="12"/>
      <c r="L80" s="12"/>
      <c r="M80" s="14"/>
      <c r="N80" s="12"/>
      <c r="O80" s="12"/>
      <c r="P80" s="12"/>
      <c r="Q80" s="12"/>
      <c r="R80" s="12"/>
      <c r="S80" s="12"/>
      <c r="T80" s="12"/>
      <c r="U80" s="12"/>
      <c r="V80" s="14"/>
      <c r="W80" s="12"/>
      <c r="X80" s="12"/>
      <c r="Y80" s="12"/>
      <c r="Z80" s="12"/>
      <c r="AA80" s="12"/>
      <c r="AB80" s="12"/>
      <c r="AC80" s="12"/>
      <c r="AD80" s="12"/>
      <c r="AE80" s="12"/>
      <c r="AF80" s="12"/>
      <c r="AG80" s="12"/>
      <c r="AH80" s="12"/>
      <c r="AI80" s="12"/>
      <c r="AJ80" s="12"/>
      <c r="AK80" s="25"/>
      <c r="AL80" s="12"/>
      <c r="AM80" s="12"/>
      <c r="AN80" s="12"/>
      <c r="AO80" s="12"/>
      <c r="AP80" s="12"/>
      <c r="AQ80" s="12"/>
      <c r="AR80" s="12"/>
      <c r="AS80" s="12"/>
      <c r="AT80" s="12"/>
      <c r="AU80" s="12"/>
      <c r="AV80" s="12"/>
      <c r="AW80" s="12"/>
      <c r="AX80" s="12"/>
      <c r="AY80" s="12"/>
      <c r="AZ80" s="12"/>
      <c r="BA80" s="12"/>
      <c r="BB80" s="12"/>
      <c r="BC80" s="12"/>
      <c r="BD80" s="12"/>
      <c r="BE80" s="12"/>
      <c r="BI80" s="22"/>
      <c r="BL80" s="11"/>
      <c r="BM80" s="11"/>
      <c r="BN80" s="11"/>
      <c r="BO80" s="11"/>
    </row>
    <row r="81" spans="1:67" ht="15" x14ac:dyDescent="0.25">
      <c r="A81" s="15" t="s">
        <v>56</v>
      </c>
      <c r="B81" s="12">
        <v>0</v>
      </c>
      <c r="C81" s="12">
        <v>0</v>
      </c>
      <c r="D81" s="12">
        <v>0</v>
      </c>
      <c r="E81" s="12">
        <v>0</v>
      </c>
      <c r="F81" s="12">
        <v>0</v>
      </c>
      <c r="G81" s="12">
        <v>0</v>
      </c>
      <c r="H81" s="12">
        <v>0</v>
      </c>
      <c r="I81" s="12">
        <v>0</v>
      </c>
      <c r="J81" s="12">
        <v>0</v>
      </c>
      <c r="K81" s="12">
        <v>0</v>
      </c>
      <c r="L81" s="12">
        <v>0</v>
      </c>
      <c r="M81" s="14">
        <v>0</v>
      </c>
      <c r="N81" s="12">
        <v>0</v>
      </c>
      <c r="O81" s="12">
        <v>0</v>
      </c>
      <c r="P81" s="12">
        <v>0</v>
      </c>
      <c r="Q81" s="12">
        <v>0</v>
      </c>
      <c r="R81" s="12">
        <v>0</v>
      </c>
      <c r="S81" s="12">
        <v>0</v>
      </c>
      <c r="T81" s="12">
        <v>0</v>
      </c>
      <c r="U81" s="12">
        <v>0</v>
      </c>
      <c r="V81" s="14">
        <v>0</v>
      </c>
      <c r="W81" s="12">
        <v>0</v>
      </c>
      <c r="X81" s="12">
        <v>0</v>
      </c>
      <c r="Y81" s="12">
        <v>0</v>
      </c>
      <c r="Z81" s="12">
        <v>0</v>
      </c>
      <c r="AA81" s="12">
        <v>0</v>
      </c>
      <c r="AB81" s="12">
        <v>0</v>
      </c>
      <c r="AC81" s="12">
        <v>0</v>
      </c>
      <c r="AD81" s="12">
        <v>0</v>
      </c>
      <c r="AE81" s="12">
        <v>0</v>
      </c>
      <c r="AF81" s="12"/>
      <c r="AG81" s="12">
        <v>0</v>
      </c>
      <c r="AH81" s="12">
        <v>0</v>
      </c>
      <c r="AI81" s="12">
        <v>0</v>
      </c>
      <c r="AJ81" s="12"/>
      <c r="AK81" s="21"/>
      <c r="AL81" s="12">
        <v>0</v>
      </c>
      <c r="AM81" s="12">
        <v>0</v>
      </c>
      <c r="AN81" s="12">
        <v>0</v>
      </c>
      <c r="AO81" s="12">
        <v>0</v>
      </c>
      <c r="AP81" s="12">
        <v>0</v>
      </c>
      <c r="AQ81" s="12">
        <v>0</v>
      </c>
      <c r="AR81" s="12">
        <v>0</v>
      </c>
      <c r="AS81" s="12">
        <v>0</v>
      </c>
      <c r="AT81" s="12">
        <v>0</v>
      </c>
      <c r="AU81" s="12"/>
      <c r="AV81" s="12"/>
      <c r="AW81" s="12"/>
      <c r="AX81" s="12"/>
      <c r="AY81" s="12"/>
      <c r="AZ81" s="12"/>
      <c r="BA81" s="12">
        <v>0</v>
      </c>
      <c r="BB81" s="12">
        <v>0</v>
      </c>
      <c r="BC81" s="12">
        <v>0</v>
      </c>
      <c r="BD81" s="21"/>
      <c r="BE81" s="12">
        <v>0</v>
      </c>
      <c r="BL81" s="11"/>
      <c r="BM81" s="11"/>
      <c r="BN81" s="11"/>
      <c r="BO81" s="11"/>
    </row>
    <row r="82" spans="1:67" ht="15" x14ac:dyDescent="0.25">
      <c r="A82" s="24" t="s">
        <v>55</v>
      </c>
      <c r="B82" s="12"/>
      <c r="C82" s="12"/>
      <c r="D82" s="12"/>
      <c r="E82" s="12"/>
      <c r="F82" s="12"/>
      <c r="G82" s="12"/>
      <c r="H82" s="12"/>
      <c r="I82" s="12"/>
      <c r="J82" s="12"/>
      <c r="K82" s="12"/>
      <c r="L82" s="12"/>
      <c r="M82" s="14"/>
      <c r="N82" s="12"/>
      <c r="O82" s="12"/>
      <c r="P82" s="12"/>
      <c r="Q82" s="12"/>
      <c r="R82" s="12"/>
      <c r="S82" s="12"/>
      <c r="T82" s="12"/>
      <c r="U82" s="12"/>
      <c r="V82" s="14"/>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3">
        <f>11556-BD85</f>
        <v>2256.2732159999996</v>
      </c>
      <c r="BE82" s="12"/>
      <c r="BK82" s="22"/>
      <c r="BL82" s="11"/>
      <c r="BM82" s="11"/>
      <c r="BN82" s="11"/>
      <c r="BO82" s="11"/>
    </row>
    <row r="83" spans="1:67" ht="15" x14ac:dyDescent="0.25">
      <c r="A83" s="26" t="s">
        <v>54</v>
      </c>
      <c r="B83" s="12"/>
      <c r="C83" s="12"/>
      <c r="D83" s="12"/>
      <c r="E83" s="12"/>
      <c r="F83" s="12"/>
      <c r="G83" s="12"/>
      <c r="H83" s="12"/>
      <c r="I83" s="12"/>
      <c r="J83" s="12"/>
      <c r="K83" s="12"/>
      <c r="L83" s="12"/>
      <c r="M83" s="14"/>
      <c r="N83" s="12"/>
      <c r="O83" s="12"/>
      <c r="P83" s="12"/>
      <c r="Q83" s="12"/>
      <c r="R83" s="12"/>
      <c r="S83" s="12"/>
      <c r="T83" s="12"/>
      <c r="U83" s="12"/>
      <c r="V83" s="14"/>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5"/>
      <c r="BE83" s="12"/>
      <c r="BK83" s="22"/>
      <c r="BL83" s="11"/>
      <c r="BM83" s="11"/>
      <c r="BN83" s="11"/>
      <c r="BO83" s="11"/>
    </row>
    <row r="84" spans="1:67" ht="15" x14ac:dyDescent="0.25">
      <c r="A84" s="26" t="s">
        <v>53</v>
      </c>
      <c r="B84" s="12"/>
      <c r="C84" s="12"/>
      <c r="D84" s="12"/>
      <c r="E84" s="12"/>
      <c r="F84" s="12"/>
      <c r="G84" s="12"/>
      <c r="H84" s="12"/>
      <c r="I84" s="12"/>
      <c r="J84" s="12"/>
      <c r="K84" s="12"/>
      <c r="L84" s="12"/>
      <c r="M84" s="14"/>
      <c r="N84" s="12"/>
      <c r="O84" s="12"/>
      <c r="P84" s="12"/>
      <c r="Q84" s="12"/>
      <c r="R84" s="12"/>
      <c r="S84" s="12"/>
      <c r="T84" s="12"/>
      <c r="U84" s="12"/>
      <c r="V84" s="14"/>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5"/>
      <c r="BE84" s="12"/>
      <c r="BK84" s="22"/>
      <c r="BL84" s="11"/>
      <c r="BM84" s="11"/>
      <c r="BN84" s="11"/>
      <c r="BO84" s="11"/>
    </row>
    <row r="85" spans="1:67" ht="15" x14ac:dyDescent="0.25">
      <c r="A85" s="24" t="s">
        <v>52</v>
      </c>
      <c r="B85" s="12"/>
      <c r="C85" s="12"/>
      <c r="D85" s="12"/>
      <c r="E85" s="12"/>
      <c r="F85" s="12"/>
      <c r="G85" s="12"/>
      <c r="H85" s="12"/>
      <c r="I85" s="12"/>
      <c r="J85" s="12"/>
      <c r="K85" s="12"/>
      <c r="L85" s="12"/>
      <c r="M85" s="14"/>
      <c r="N85" s="12"/>
      <c r="O85" s="12"/>
      <c r="P85" s="12"/>
      <c r="Q85" s="12"/>
      <c r="R85" s="12"/>
      <c r="S85" s="12"/>
      <c r="T85" s="12"/>
      <c r="U85" s="12"/>
      <c r="V85" s="14"/>
      <c r="W85" s="12"/>
      <c r="X85" s="12"/>
      <c r="Y85" s="12"/>
      <c r="Z85" s="12"/>
      <c r="AA85" s="12"/>
      <c r="AB85" s="12"/>
      <c r="AC85" s="12"/>
      <c r="AD85" s="12"/>
      <c r="AE85" s="12"/>
      <c r="AF85" s="12"/>
      <c r="AG85" s="12"/>
      <c r="AH85" s="12"/>
      <c r="AI85" s="12"/>
      <c r="AJ85" s="12"/>
      <c r="AK85" s="23">
        <f>BL138</f>
        <v>6473.0170817620256</v>
      </c>
      <c r="AL85" s="12"/>
      <c r="AM85" s="12"/>
      <c r="AN85" s="12"/>
      <c r="AO85" s="12"/>
      <c r="AP85" s="12"/>
      <c r="AQ85" s="12"/>
      <c r="AR85" s="12"/>
      <c r="AS85" s="12"/>
      <c r="AT85" s="12"/>
      <c r="AU85" s="12"/>
      <c r="AV85" s="12"/>
      <c r="AW85" s="12"/>
      <c r="AX85" s="12"/>
      <c r="AY85" s="12"/>
      <c r="AZ85" s="12"/>
      <c r="BA85" s="12"/>
      <c r="BB85" s="12"/>
      <c r="BC85" s="12"/>
      <c r="BD85" s="21">
        <f>BH137</f>
        <v>9299.7267840000004</v>
      </c>
      <c r="BE85" s="12"/>
      <c r="BI85" s="22"/>
      <c r="BK85" s="22"/>
      <c r="BL85" s="11"/>
      <c r="BM85" s="11"/>
      <c r="BN85" s="11"/>
      <c r="BO85" s="11"/>
    </row>
    <row r="86" spans="1:67" ht="15" x14ac:dyDescent="0.25">
      <c r="A86" s="15" t="s">
        <v>51</v>
      </c>
      <c r="B86" s="12">
        <v>0</v>
      </c>
      <c r="C86" s="12">
        <v>0</v>
      </c>
      <c r="D86" s="12">
        <v>0</v>
      </c>
      <c r="E86" s="12">
        <v>0</v>
      </c>
      <c r="F86" s="12">
        <v>0</v>
      </c>
      <c r="G86" s="12">
        <v>0</v>
      </c>
      <c r="H86" s="12">
        <v>0</v>
      </c>
      <c r="I86" s="12">
        <v>0</v>
      </c>
      <c r="J86" s="12">
        <v>0</v>
      </c>
      <c r="K86" s="12">
        <v>0</v>
      </c>
      <c r="L86" s="12">
        <v>0</v>
      </c>
      <c r="M86" s="14">
        <v>0</v>
      </c>
      <c r="N86" s="12">
        <v>0</v>
      </c>
      <c r="O86" s="12">
        <v>0</v>
      </c>
      <c r="P86" s="12">
        <v>0</v>
      </c>
      <c r="Q86" s="12">
        <v>0</v>
      </c>
      <c r="R86" s="12">
        <v>0</v>
      </c>
      <c r="S86" s="12">
        <v>0</v>
      </c>
      <c r="T86" s="12">
        <v>0</v>
      </c>
      <c r="U86" s="12">
        <v>0</v>
      </c>
      <c r="V86" s="14">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1120</v>
      </c>
      <c r="AM86" s="12">
        <v>0</v>
      </c>
      <c r="AN86" s="12">
        <v>0</v>
      </c>
      <c r="AO86" s="12">
        <v>0</v>
      </c>
      <c r="AP86" s="12">
        <v>0</v>
      </c>
      <c r="AQ86" s="12">
        <v>0</v>
      </c>
      <c r="AR86" s="12">
        <v>0</v>
      </c>
      <c r="AS86" s="12">
        <v>0</v>
      </c>
      <c r="AT86" s="12">
        <v>0</v>
      </c>
      <c r="AU86" s="12"/>
      <c r="AV86" s="12"/>
      <c r="AW86" s="12"/>
      <c r="AX86" s="12"/>
      <c r="AY86" s="12"/>
      <c r="AZ86" s="12"/>
      <c r="BA86" s="12">
        <v>0</v>
      </c>
      <c r="BB86" s="12">
        <v>0</v>
      </c>
      <c r="BC86" s="12">
        <v>0</v>
      </c>
      <c r="BD86" s="21">
        <f>BH136</f>
        <v>1641.128256</v>
      </c>
      <c r="BE86" s="12">
        <v>0</v>
      </c>
      <c r="BL86" s="11"/>
      <c r="BM86" s="11"/>
      <c r="BN86" s="11"/>
      <c r="BO86" s="11"/>
    </row>
    <row r="87" spans="1:67" ht="15" x14ac:dyDescent="0.25">
      <c r="A87" s="15" t="s">
        <v>50</v>
      </c>
      <c r="B87" s="12">
        <v>0</v>
      </c>
      <c r="C87" s="12">
        <v>0</v>
      </c>
      <c r="D87" s="12">
        <v>0</v>
      </c>
      <c r="E87" s="12">
        <v>0</v>
      </c>
      <c r="F87" s="12">
        <v>0</v>
      </c>
      <c r="G87" s="12">
        <v>0</v>
      </c>
      <c r="H87" s="12">
        <v>0</v>
      </c>
      <c r="I87" s="12">
        <v>0</v>
      </c>
      <c r="J87" s="12">
        <v>0</v>
      </c>
      <c r="K87" s="12">
        <v>0</v>
      </c>
      <c r="L87" s="12">
        <v>0</v>
      </c>
      <c r="M87" s="14">
        <v>0</v>
      </c>
      <c r="N87" s="12">
        <v>0</v>
      </c>
      <c r="O87" s="12">
        <v>0</v>
      </c>
      <c r="P87" s="12">
        <v>0</v>
      </c>
      <c r="Q87" s="12">
        <v>0</v>
      </c>
      <c r="R87" s="12">
        <v>0</v>
      </c>
      <c r="S87" s="12">
        <v>0</v>
      </c>
      <c r="T87" s="12">
        <v>0</v>
      </c>
      <c r="U87" s="12">
        <v>0</v>
      </c>
      <c r="V87" s="14">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1650</v>
      </c>
      <c r="AM87" s="12">
        <v>0</v>
      </c>
      <c r="AN87" s="12">
        <v>0</v>
      </c>
      <c r="AO87" s="12">
        <v>0</v>
      </c>
      <c r="AP87" s="12">
        <v>0</v>
      </c>
      <c r="AQ87" s="12">
        <v>0</v>
      </c>
      <c r="AR87" s="12">
        <v>0</v>
      </c>
      <c r="AS87" s="12">
        <v>0</v>
      </c>
      <c r="AT87" s="12">
        <v>0</v>
      </c>
      <c r="AU87" s="12"/>
      <c r="AV87" s="12"/>
      <c r="AW87" s="12"/>
      <c r="AX87" s="12"/>
      <c r="AY87" s="12"/>
      <c r="AZ87" s="12"/>
      <c r="BA87" s="12">
        <v>0</v>
      </c>
      <c r="BB87" s="12">
        <v>0</v>
      </c>
      <c r="BC87" s="12">
        <v>0</v>
      </c>
      <c r="BD87" s="12"/>
      <c r="BE87" s="12">
        <v>0</v>
      </c>
      <c r="BL87" s="11"/>
      <c r="BM87" s="11"/>
      <c r="BN87" s="11"/>
      <c r="BO87" s="11"/>
    </row>
    <row r="88" spans="1:67" ht="13.5" x14ac:dyDescent="0.25">
      <c r="A88" s="15" t="s">
        <v>49</v>
      </c>
      <c r="B88" s="12">
        <v>0</v>
      </c>
      <c r="C88" s="12">
        <v>0</v>
      </c>
      <c r="D88" s="12">
        <v>0</v>
      </c>
      <c r="E88" s="12">
        <v>0</v>
      </c>
      <c r="F88" s="12">
        <v>0</v>
      </c>
      <c r="G88" s="12">
        <v>0</v>
      </c>
      <c r="H88" s="12">
        <v>0</v>
      </c>
      <c r="I88" s="12">
        <v>0</v>
      </c>
      <c r="J88" s="12">
        <v>0</v>
      </c>
      <c r="K88" s="12">
        <v>0</v>
      </c>
      <c r="L88" s="12">
        <v>0</v>
      </c>
      <c r="M88" s="14">
        <v>0</v>
      </c>
      <c r="N88" s="12">
        <v>0</v>
      </c>
      <c r="O88" s="12">
        <v>0</v>
      </c>
      <c r="P88" s="12">
        <v>0</v>
      </c>
      <c r="Q88" s="12">
        <v>0</v>
      </c>
      <c r="R88" s="12">
        <v>0</v>
      </c>
      <c r="S88" s="12">
        <v>0</v>
      </c>
      <c r="T88" s="12">
        <v>0</v>
      </c>
      <c r="U88" s="12">
        <v>0</v>
      </c>
      <c r="V88" s="14">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c r="AV88" s="12"/>
      <c r="AW88" s="12"/>
      <c r="AX88" s="12"/>
      <c r="AY88" s="12"/>
      <c r="AZ88" s="12"/>
      <c r="BA88" s="12">
        <v>0</v>
      </c>
      <c r="BB88" s="12">
        <v>0</v>
      </c>
      <c r="BC88" s="12">
        <v>0</v>
      </c>
      <c r="BD88" s="21">
        <v>1836</v>
      </c>
      <c r="BE88" s="12">
        <v>0</v>
      </c>
    </row>
    <row r="89" spans="1:67" x14ac:dyDescent="0.2">
      <c r="A89" s="15"/>
      <c r="B89" s="19"/>
      <c r="C89" s="12"/>
      <c r="D89" s="12"/>
      <c r="E89" s="12"/>
      <c r="F89" s="12"/>
      <c r="G89" s="12"/>
      <c r="H89" s="12"/>
      <c r="I89" s="12"/>
      <c r="J89" s="12"/>
      <c r="K89" s="12"/>
      <c r="L89" s="12"/>
      <c r="M89" s="14"/>
      <c r="N89" s="12"/>
      <c r="O89" s="12"/>
      <c r="P89" s="12"/>
      <c r="Q89" s="12"/>
      <c r="R89" s="12"/>
      <c r="S89" s="12"/>
      <c r="T89" s="12"/>
      <c r="U89" s="12"/>
      <c r="V89" s="14"/>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spans="1:67" ht="15" hidden="1" outlineLevel="1" x14ac:dyDescent="0.25">
      <c r="A90" s="18" t="s">
        <v>48</v>
      </c>
      <c r="B90" s="12">
        <v>229766.21900000001</v>
      </c>
      <c r="C90" s="12">
        <v>0</v>
      </c>
      <c r="D90" s="12">
        <v>4539.6709999999994</v>
      </c>
      <c r="E90" s="12">
        <v>225226.54800000001</v>
      </c>
      <c r="F90" s="12">
        <v>0</v>
      </c>
      <c r="G90" s="12">
        <v>0</v>
      </c>
      <c r="H90" s="12">
        <v>0</v>
      </c>
      <c r="I90" s="12">
        <v>0</v>
      </c>
      <c r="J90" s="12">
        <v>0</v>
      </c>
      <c r="K90" s="12">
        <v>0</v>
      </c>
      <c r="L90" s="12">
        <v>0</v>
      </c>
      <c r="M90" s="14">
        <v>864.23</v>
      </c>
      <c r="N90" s="12">
        <v>0</v>
      </c>
      <c r="O90" s="12">
        <v>0</v>
      </c>
      <c r="P90" s="12">
        <v>0</v>
      </c>
      <c r="Q90" s="12">
        <v>190400</v>
      </c>
      <c r="R90" s="12">
        <v>0</v>
      </c>
      <c r="S90" s="12">
        <v>0</v>
      </c>
      <c r="T90" s="12">
        <v>0</v>
      </c>
      <c r="U90" s="12">
        <v>0</v>
      </c>
      <c r="V90" s="14">
        <v>0</v>
      </c>
      <c r="W90" s="12">
        <v>0</v>
      </c>
      <c r="X90" s="12">
        <v>0</v>
      </c>
      <c r="Y90" s="12">
        <v>0</v>
      </c>
      <c r="Z90" s="12">
        <v>0</v>
      </c>
      <c r="AA90" s="12">
        <v>0</v>
      </c>
      <c r="AB90" s="12">
        <v>0</v>
      </c>
      <c r="AC90" s="12">
        <v>1.6972419999999998E-2</v>
      </c>
      <c r="AD90" s="12">
        <v>0</v>
      </c>
      <c r="AE90" s="12">
        <v>13374.620897700001</v>
      </c>
      <c r="AF90" s="12">
        <v>5874.2619047999988</v>
      </c>
      <c r="AG90" s="12">
        <v>0</v>
      </c>
      <c r="AH90" s="12">
        <v>0</v>
      </c>
      <c r="AI90" s="12">
        <v>0</v>
      </c>
      <c r="AJ90" s="12">
        <v>26448.048624999999</v>
      </c>
      <c r="AK90" s="12">
        <v>41744.450013599992</v>
      </c>
      <c r="AL90" s="12">
        <v>19531.582595200001</v>
      </c>
      <c r="AM90" s="12">
        <v>0</v>
      </c>
      <c r="AN90" s="12">
        <v>4223.0867820000003</v>
      </c>
      <c r="AO90" s="12">
        <v>992.40316919999998</v>
      </c>
      <c r="AP90" s="12">
        <v>5235.2980992000003</v>
      </c>
      <c r="AQ90" s="12">
        <v>321.7628904</v>
      </c>
      <c r="AR90" s="12">
        <v>0</v>
      </c>
      <c r="AS90" s="12">
        <v>12783.95376</v>
      </c>
      <c r="AT90" s="12">
        <v>0</v>
      </c>
      <c r="AU90" s="12"/>
      <c r="AV90" s="12"/>
      <c r="AW90" s="12"/>
      <c r="AX90" s="12"/>
      <c r="AY90" s="12"/>
      <c r="AZ90" s="12"/>
      <c r="BA90" s="12">
        <v>0</v>
      </c>
      <c r="BB90" s="12">
        <v>0</v>
      </c>
      <c r="BC90" s="12">
        <v>0</v>
      </c>
      <c r="BD90" s="12">
        <v>344262.6936</v>
      </c>
      <c r="BE90" s="12">
        <v>0</v>
      </c>
      <c r="BL90" s="11"/>
      <c r="BM90" s="11"/>
      <c r="BN90" s="11"/>
      <c r="BO90" s="11"/>
    </row>
    <row r="91" spans="1:67" ht="15" hidden="1" outlineLevel="1" x14ac:dyDescent="0.25">
      <c r="A91" s="15" t="s">
        <v>47</v>
      </c>
      <c r="B91" s="12">
        <v>763.26300000000003</v>
      </c>
      <c r="C91" s="12">
        <v>0</v>
      </c>
      <c r="D91" s="12">
        <v>0</v>
      </c>
      <c r="E91" s="12">
        <v>763.26300000000003</v>
      </c>
      <c r="F91" s="12">
        <v>0</v>
      </c>
      <c r="G91" s="12">
        <v>0</v>
      </c>
      <c r="H91" s="12">
        <v>0</v>
      </c>
      <c r="I91" s="12">
        <v>0</v>
      </c>
      <c r="J91" s="12">
        <v>0</v>
      </c>
      <c r="K91" s="12">
        <v>0</v>
      </c>
      <c r="L91" s="12">
        <v>0</v>
      </c>
      <c r="M91" s="14">
        <v>0</v>
      </c>
      <c r="N91" s="12">
        <v>0</v>
      </c>
      <c r="O91" s="12">
        <v>0</v>
      </c>
      <c r="P91" s="12">
        <v>0</v>
      </c>
      <c r="Q91" s="12">
        <v>0</v>
      </c>
      <c r="R91" s="12">
        <v>0</v>
      </c>
      <c r="S91" s="12">
        <v>0</v>
      </c>
      <c r="T91" s="12">
        <v>0</v>
      </c>
      <c r="U91" s="12">
        <v>0</v>
      </c>
      <c r="V91" s="14">
        <v>0</v>
      </c>
      <c r="W91" s="12">
        <v>0</v>
      </c>
      <c r="X91" s="12">
        <v>0</v>
      </c>
      <c r="Y91" s="12">
        <v>0</v>
      </c>
      <c r="Z91" s="12">
        <v>0</v>
      </c>
      <c r="AA91" s="12">
        <v>0</v>
      </c>
      <c r="AB91" s="12">
        <v>0</v>
      </c>
      <c r="AC91" s="12">
        <v>1.81336E-3</v>
      </c>
      <c r="AD91" s="12">
        <v>0</v>
      </c>
      <c r="AE91" s="12">
        <v>1.3529157000000001</v>
      </c>
      <c r="AF91" s="12">
        <v>4964.1961086000001</v>
      </c>
      <c r="AG91" s="12">
        <v>0</v>
      </c>
      <c r="AH91" s="12">
        <v>0</v>
      </c>
      <c r="AI91" s="12">
        <v>0</v>
      </c>
      <c r="AJ91" s="12">
        <v>2509.7758600000002</v>
      </c>
      <c r="AK91" s="12">
        <v>38226.119077199997</v>
      </c>
      <c r="AL91" s="12">
        <v>1763.8130432</v>
      </c>
      <c r="AM91" s="12">
        <v>0</v>
      </c>
      <c r="AN91" s="12">
        <v>186.533829</v>
      </c>
      <c r="AO91" s="12">
        <v>940.08893939999984</v>
      </c>
      <c r="AP91" s="12">
        <v>0</v>
      </c>
      <c r="AQ91" s="12">
        <v>0</v>
      </c>
      <c r="AR91" s="12">
        <v>0</v>
      </c>
      <c r="AS91" s="12">
        <v>0</v>
      </c>
      <c r="AT91" s="12">
        <v>0</v>
      </c>
      <c r="AU91" s="12"/>
      <c r="AV91" s="12"/>
      <c r="AW91" s="12"/>
      <c r="AX91" s="12"/>
      <c r="AY91" s="12"/>
      <c r="AZ91" s="12"/>
      <c r="BA91" s="12">
        <v>0</v>
      </c>
      <c r="BB91" s="12">
        <v>0</v>
      </c>
      <c r="BC91" s="12">
        <v>0</v>
      </c>
      <c r="BD91" s="12">
        <v>21029.392800000001</v>
      </c>
      <c r="BE91" s="12">
        <v>0</v>
      </c>
      <c r="BL91" s="11"/>
      <c r="BM91" s="11"/>
      <c r="BN91" s="11"/>
      <c r="BO91" s="11"/>
    </row>
    <row r="92" spans="1:67" ht="15" hidden="1" outlineLevel="1" x14ac:dyDescent="0.25">
      <c r="A92" s="15" t="s">
        <v>46</v>
      </c>
      <c r="B92" s="12">
        <v>76301.756666666668</v>
      </c>
      <c r="C92" s="12">
        <v>0</v>
      </c>
      <c r="D92" s="12">
        <v>1513.223666666667</v>
      </c>
      <c r="E92" s="12">
        <v>74788.532999999996</v>
      </c>
      <c r="F92" s="12">
        <v>0</v>
      </c>
      <c r="G92" s="12">
        <v>0</v>
      </c>
      <c r="H92" s="12">
        <v>0</v>
      </c>
      <c r="I92" s="12">
        <v>0</v>
      </c>
      <c r="J92" s="12">
        <v>0</v>
      </c>
      <c r="K92" s="12">
        <v>0</v>
      </c>
      <c r="L92" s="12">
        <v>0</v>
      </c>
      <c r="M92" s="14">
        <v>864.23</v>
      </c>
      <c r="N92" s="12">
        <v>0</v>
      </c>
      <c r="O92" s="12">
        <v>0</v>
      </c>
      <c r="P92" s="12">
        <v>0</v>
      </c>
      <c r="Q92" s="12">
        <v>0</v>
      </c>
      <c r="R92" s="12">
        <v>0</v>
      </c>
      <c r="S92" s="12">
        <v>0</v>
      </c>
      <c r="T92" s="12">
        <v>0</v>
      </c>
      <c r="U92" s="12">
        <v>0</v>
      </c>
      <c r="V92" s="14">
        <v>0</v>
      </c>
      <c r="W92" s="12">
        <v>0</v>
      </c>
      <c r="X92" s="12">
        <v>0</v>
      </c>
      <c r="Y92" s="12">
        <v>0</v>
      </c>
      <c r="Z92" s="12">
        <v>0</v>
      </c>
      <c r="AA92" s="12">
        <v>0</v>
      </c>
      <c r="AB92" s="12">
        <v>0</v>
      </c>
      <c r="AC92" s="12">
        <v>1.515906E-2</v>
      </c>
      <c r="AD92" s="12">
        <v>0</v>
      </c>
      <c r="AE92" s="12">
        <v>0</v>
      </c>
      <c r="AF92" s="12">
        <v>237.1015548</v>
      </c>
      <c r="AG92" s="12">
        <v>0</v>
      </c>
      <c r="AH92" s="12">
        <v>0</v>
      </c>
      <c r="AI92" s="12">
        <v>0</v>
      </c>
      <c r="AJ92" s="12">
        <v>1007.333806</v>
      </c>
      <c r="AK92" s="12">
        <v>1742.0246592000001</v>
      </c>
      <c r="AL92" s="12">
        <v>17766.613363199998</v>
      </c>
      <c r="AM92" s="12">
        <v>0</v>
      </c>
      <c r="AN92" s="12">
        <v>4036.5529529999999</v>
      </c>
      <c r="AO92" s="12">
        <v>52.229809799999991</v>
      </c>
      <c r="AP92" s="12">
        <v>5123.2927386000001</v>
      </c>
      <c r="AQ92" s="12">
        <v>321.7628904</v>
      </c>
      <c r="AR92" s="12">
        <v>0</v>
      </c>
      <c r="AS92" s="12">
        <v>0</v>
      </c>
      <c r="AT92" s="12">
        <v>0</v>
      </c>
      <c r="AU92" s="12"/>
      <c r="AV92" s="12"/>
      <c r="AW92" s="12"/>
      <c r="AX92" s="12"/>
      <c r="AY92" s="12"/>
      <c r="AZ92" s="12"/>
      <c r="BA92" s="12">
        <v>0</v>
      </c>
      <c r="BB92" s="12">
        <v>0</v>
      </c>
      <c r="BC92" s="12">
        <v>0</v>
      </c>
      <c r="BD92" s="12">
        <v>103798.06200000001</v>
      </c>
      <c r="BE92" s="12">
        <v>0</v>
      </c>
      <c r="BL92" s="11"/>
      <c r="BM92" s="11"/>
      <c r="BN92" s="11"/>
      <c r="BO92" s="11"/>
    </row>
    <row r="93" spans="1:67" ht="15" hidden="1" outlineLevel="1" x14ac:dyDescent="0.25">
      <c r="A93" s="15" t="s">
        <v>45</v>
      </c>
      <c r="B93" s="12">
        <v>152603.51333333331</v>
      </c>
      <c r="C93" s="12">
        <v>0</v>
      </c>
      <c r="D93" s="12">
        <v>3026.4473333333331</v>
      </c>
      <c r="E93" s="12">
        <v>149577.06599999999</v>
      </c>
      <c r="F93" s="12">
        <v>0</v>
      </c>
      <c r="G93" s="12">
        <v>0</v>
      </c>
      <c r="H93" s="12">
        <v>0</v>
      </c>
      <c r="I93" s="12">
        <v>0</v>
      </c>
      <c r="J93" s="12">
        <v>0</v>
      </c>
      <c r="K93" s="12">
        <v>0</v>
      </c>
      <c r="L93" s="12">
        <v>0</v>
      </c>
      <c r="M93" s="14">
        <v>0</v>
      </c>
      <c r="N93" s="12">
        <v>0</v>
      </c>
      <c r="O93" s="12">
        <v>0</v>
      </c>
      <c r="P93" s="12">
        <v>0</v>
      </c>
      <c r="Q93" s="12">
        <v>190400</v>
      </c>
      <c r="R93" s="12">
        <v>0</v>
      </c>
      <c r="S93" s="12">
        <v>0</v>
      </c>
      <c r="T93" s="12">
        <v>0</v>
      </c>
      <c r="U93" s="12">
        <v>0</v>
      </c>
      <c r="V93" s="14">
        <v>0</v>
      </c>
      <c r="W93" s="12">
        <v>0</v>
      </c>
      <c r="X93" s="12">
        <v>0</v>
      </c>
      <c r="Y93" s="12">
        <v>0</v>
      </c>
      <c r="Z93" s="12">
        <v>0</v>
      </c>
      <c r="AA93" s="12">
        <v>0</v>
      </c>
      <c r="AB93" s="12">
        <v>0</v>
      </c>
      <c r="AC93" s="12">
        <v>0</v>
      </c>
      <c r="AD93" s="12">
        <v>0</v>
      </c>
      <c r="AE93" s="12">
        <v>13373.267981999999</v>
      </c>
      <c r="AF93" s="12">
        <v>672.96424139999999</v>
      </c>
      <c r="AG93" s="12">
        <v>0</v>
      </c>
      <c r="AH93" s="12">
        <v>0</v>
      </c>
      <c r="AI93" s="12">
        <v>0</v>
      </c>
      <c r="AJ93" s="12">
        <v>22930.938958999999</v>
      </c>
      <c r="AK93" s="12">
        <v>1776.3062772000001</v>
      </c>
      <c r="AL93" s="12">
        <v>1.1561888</v>
      </c>
      <c r="AM93" s="12">
        <v>0</v>
      </c>
      <c r="AN93" s="12">
        <v>0</v>
      </c>
      <c r="AO93" s="12">
        <v>8.4419999999999995E-2</v>
      </c>
      <c r="AP93" s="12">
        <v>112.0053606</v>
      </c>
      <c r="AQ93" s="12">
        <v>0</v>
      </c>
      <c r="AR93" s="12">
        <v>0</v>
      </c>
      <c r="AS93" s="12">
        <v>0</v>
      </c>
      <c r="AT93" s="12">
        <v>0</v>
      </c>
      <c r="AU93" s="12"/>
      <c r="AV93" s="12"/>
      <c r="AW93" s="12"/>
      <c r="AX93" s="12"/>
      <c r="AY93" s="12"/>
      <c r="AZ93" s="12"/>
      <c r="BA93" s="12">
        <v>0</v>
      </c>
      <c r="BB93" s="12">
        <v>0</v>
      </c>
      <c r="BC93" s="12">
        <v>0</v>
      </c>
      <c r="BD93" s="12">
        <v>142815.29399999999</v>
      </c>
      <c r="BE93" s="12">
        <v>0</v>
      </c>
      <c r="BL93" s="11"/>
      <c r="BM93" s="11"/>
      <c r="BN93" s="11"/>
      <c r="BO93" s="11"/>
    </row>
    <row r="94" spans="1:67" ht="15" hidden="1" outlineLevel="1" x14ac:dyDescent="0.25">
      <c r="A94" s="15" t="s">
        <v>44</v>
      </c>
      <c r="B94" s="12">
        <v>97.685999999999993</v>
      </c>
      <c r="C94" s="12">
        <v>0</v>
      </c>
      <c r="D94" s="12">
        <v>0</v>
      </c>
      <c r="E94" s="12">
        <v>97.685999999999993</v>
      </c>
      <c r="F94" s="12">
        <v>0</v>
      </c>
      <c r="G94" s="12">
        <v>0</v>
      </c>
      <c r="H94" s="12">
        <v>0</v>
      </c>
      <c r="I94" s="12">
        <v>0</v>
      </c>
      <c r="J94" s="12">
        <v>0</v>
      </c>
      <c r="K94" s="12">
        <v>0</v>
      </c>
      <c r="L94" s="12">
        <v>0</v>
      </c>
      <c r="M94" s="14">
        <v>0</v>
      </c>
      <c r="N94" s="12">
        <v>0</v>
      </c>
      <c r="O94" s="12">
        <v>0</v>
      </c>
      <c r="P94" s="12">
        <v>0</v>
      </c>
      <c r="Q94" s="12">
        <v>0</v>
      </c>
      <c r="R94" s="12">
        <v>0</v>
      </c>
      <c r="S94" s="12">
        <v>0</v>
      </c>
      <c r="T94" s="12">
        <v>0</v>
      </c>
      <c r="U94" s="12">
        <v>0</v>
      </c>
      <c r="V94" s="14">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12783.95376</v>
      </c>
      <c r="AT94" s="12">
        <v>0</v>
      </c>
      <c r="AU94" s="12"/>
      <c r="AV94" s="12"/>
      <c r="AW94" s="12"/>
      <c r="AX94" s="12"/>
      <c r="AY94" s="12"/>
      <c r="AZ94" s="12"/>
      <c r="BA94" s="12">
        <v>0</v>
      </c>
      <c r="BB94" s="12">
        <v>0</v>
      </c>
      <c r="BC94" s="12">
        <v>0</v>
      </c>
      <c r="BD94" s="12">
        <v>76619.944799999997</v>
      </c>
      <c r="BE94" s="12">
        <v>0</v>
      </c>
      <c r="BL94" s="11"/>
      <c r="BM94" s="11"/>
      <c r="BN94" s="11"/>
      <c r="BO94" s="11"/>
    </row>
    <row r="95" spans="1:67" ht="15" hidden="1" outlineLevel="1" x14ac:dyDescent="0.25">
      <c r="A95" s="15"/>
      <c r="B95" s="19"/>
      <c r="C95" s="12"/>
      <c r="D95" s="12"/>
      <c r="E95" s="12"/>
      <c r="F95" s="12"/>
      <c r="G95" s="12"/>
      <c r="H95" s="12"/>
      <c r="I95" s="12"/>
      <c r="J95" s="12"/>
      <c r="K95" s="12"/>
      <c r="L95" s="12"/>
      <c r="M95" s="14"/>
      <c r="N95" s="12"/>
      <c r="O95" s="12"/>
      <c r="P95" s="12"/>
      <c r="Q95" s="12"/>
      <c r="R95" s="12"/>
      <c r="S95" s="12"/>
      <c r="T95" s="12"/>
      <c r="U95" s="12"/>
      <c r="V95" s="14"/>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L95" s="11"/>
      <c r="BM95" s="11"/>
      <c r="BN95" s="11"/>
      <c r="BO95" s="11"/>
    </row>
    <row r="96" spans="1:67" ht="15" hidden="1" outlineLevel="1" x14ac:dyDescent="0.25">
      <c r="A96" s="18" t="s">
        <v>43</v>
      </c>
      <c r="B96" s="12">
        <v>0</v>
      </c>
      <c r="C96" s="16">
        <v>0</v>
      </c>
      <c r="D96" s="16">
        <v>0</v>
      </c>
      <c r="E96" s="16">
        <v>0</v>
      </c>
      <c r="F96" s="16">
        <v>0</v>
      </c>
      <c r="G96" s="16">
        <v>0</v>
      </c>
      <c r="H96" s="16">
        <v>0</v>
      </c>
      <c r="I96" s="16">
        <v>0</v>
      </c>
      <c r="J96" s="16">
        <v>0</v>
      </c>
      <c r="K96" s="16">
        <v>0</v>
      </c>
      <c r="L96" s="16">
        <v>0</v>
      </c>
      <c r="M96" s="17">
        <v>0</v>
      </c>
      <c r="N96" s="16">
        <v>0</v>
      </c>
      <c r="O96" s="16">
        <v>0</v>
      </c>
      <c r="P96" s="16">
        <v>0</v>
      </c>
      <c r="Q96" s="16">
        <v>0</v>
      </c>
      <c r="R96" s="16">
        <v>0</v>
      </c>
      <c r="S96" s="16">
        <v>0</v>
      </c>
      <c r="T96" s="16">
        <v>0</v>
      </c>
      <c r="U96" s="16">
        <v>0</v>
      </c>
      <c r="V96" s="17">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4253.9954766000001</v>
      </c>
      <c r="AO96" s="16">
        <v>17195.366607600001</v>
      </c>
      <c r="AP96" s="16">
        <v>0</v>
      </c>
      <c r="AQ96" s="16">
        <v>0</v>
      </c>
      <c r="AR96" s="16">
        <v>0</v>
      </c>
      <c r="AS96" s="16">
        <v>0</v>
      </c>
      <c r="AT96" s="16">
        <v>0</v>
      </c>
      <c r="AU96" s="16"/>
      <c r="AV96" s="16"/>
      <c r="AW96" s="16"/>
      <c r="AX96" s="16"/>
      <c r="AY96" s="16"/>
      <c r="AZ96" s="16"/>
      <c r="BA96" s="16">
        <v>0</v>
      </c>
      <c r="BB96" s="16">
        <v>0</v>
      </c>
      <c r="BC96" s="16">
        <v>0</v>
      </c>
      <c r="BD96" s="16">
        <v>0</v>
      </c>
      <c r="BE96" s="16">
        <v>0</v>
      </c>
      <c r="BL96" s="11"/>
      <c r="BM96" s="11"/>
      <c r="BN96" s="11"/>
      <c r="BO96" s="11"/>
    </row>
    <row r="97" spans="1:67" ht="15" hidden="1" outlineLevel="1" x14ac:dyDescent="0.25">
      <c r="A97" s="15" t="s">
        <v>42</v>
      </c>
      <c r="B97" s="12">
        <v>0</v>
      </c>
      <c r="C97" s="12">
        <v>0</v>
      </c>
      <c r="D97" s="12">
        <v>0</v>
      </c>
      <c r="E97" s="12">
        <v>0</v>
      </c>
      <c r="F97" s="12">
        <v>0</v>
      </c>
      <c r="G97" s="12">
        <v>0</v>
      </c>
      <c r="H97" s="12">
        <v>0</v>
      </c>
      <c r="I97" s="12">
        <v>0</v>
      </c>
      <c r="J97" s="12">
        <v>0</v>
      </c>
      <c r="K97" s="12">
        <v>0</v>
      </c>
      <c r="L97" s="12">
        <v>0</v>
      </c>
      <c r="M97" s="14">
        <v>0</v>
      </c>
      <c r="N97" s="12">
        <v>0</v>
      </c>
      <c r="O97" s="12">
        <v>0</v>
      </c>
      <c r="P97" s="12">
        <v>0</v>
      </c>
      <c r="Q97" s="12">
        <v>0</v>
      </c>
      <c r="R97" s="12">
        <v>0</v>
      </c>
      <c r="S97" s="12">
        <v>0</v>
      </c>
      <c r="T97" s="12">
        <v>0</v>
      </c>
      <c r="U97" s="12">
        <v>0</v>
      </c>
      <c r="V97" s="14">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4253.9954766000001</v>
      </c>
      <c r="AO97" s="12">
        <v>17195.366607600001</v>
      </c>
      <c r="AP97" s="12">
        <v>0</v>
      </c>
      <c r="AQ97" s="12">
        <v>0</v>
      </c>
      <c r="AR97" s="12">
        <v>0</v>
      </c>
      <c r="AS97" s="12">
        <v>0</v>
      </c>
      <c r="AT97" s="12">
        <v>0</v>
      </c>
      <c r="AU97" s="12"/>
      <c r="AV97" s="12"/>
      <c r="AW97" s="12"/>
      <c r="AX97" s="12"/>
      <c r="AY97" s="12"/>
      <c r="AZ97" s="12"/>
      <c r="BA97" s="12">
        <v>0</v>
      </c>
      <c r="BB97" s="12">
        <v>0</v>
      </c>
      <c r="BC97" s="12">
        <v>0</v>
      </c>
      <c r="BD97" s="12">
        <v>0</v>
      </c>
      <c r="BE97" s="12">
        <v>0</v>
      </c>
      <c r="BL97" s="11"/>
      <c r="BM97" s="11"/>
      <c r="BN97" s="11"/>
      <c r="BO97" s="11"/>
    </row>
    <row r="98" spans="1:67" ht="15" hidden="1" outlineLevel="1" x14ac:dyDescent="0.25">
      <c r="A98" s="15" t="s">
        <v>41</v>
      </c>
      <c r="B98" s="12">
        <v>0</v>
      </c>
      <c r="C98" s="12">
        <v>0</v>
      </c>
      <c r="D98" s="12">
        <v>0</v>
      </c>
      <c r="E98" s="12">
        <v>0</v>
      </c>
      <c r="F98" s="12">
        <v>0</v>
      </c>
      <c r="G98" s="12">
        <v>0</v>
      </c>
      <c r="H98" s="12">
        <v>0</v>
      </c>
      <c r="I98" s="12">
        <v>0</v>
      </c>
      <c r="J98" s="12">
        <v>0</v>
      </c>
      <c r="K98" s="12">
        <v>0</v>
      </c>
      <c r="L98" s="12">
        <v>0</v>
      </c>
      <c r="M98" s="14">
        <v>0</v>
      </c>
      <c r="N98" s="12">
        <v>0</v>
      </c>
      <c r="O98" s="12">
        <v>0</v>
      </c>
      <c r="P98" s="12">
        <v>0</v>
      </c>
      <c r="Q98" s="12">
        <v>0</v>
      </c>
      <c r="R98" s="12">
        <v>0</v>
      </c>
      <c r="S98" s="12">
        <v>0</v>
      </c>
      <c r="T98" s="12">
        <v>0</v>
      </c>
      <c r="U98" s="12">
        <v>0</v>
      </c>
      <c r="V98" s="14">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c r="AV98" s="12"/>
      <c r="AW98" s="12"/>
      <c r="AX98" s="12"/>
      <c r="AY98" s="12"/>
      <c r="AZ98" s="12"/>
      <c r="BA98" s="12">
        <v>0</v>
      </c>
      <c r="BB98" s="12">
        <v>0</v>
      </c>
      <c r="BC98" s="12">
        <v>0</v>
      </c>
      <c r="BD98" s="12">
        <v>0</v>
      </c>
      <c r="BE98" s="12">
        <v>0</v>
      </c>
      <c r="BL98" s="11"/>
      <c r="BM98" s="11"/>
      <c r="BN98" s="11"/>
      <c r="BO98" s="11"/>
    </row>
    <row r="99" spans="1:67" ht="15" hidden="1" outlineLevel="1" x14ac:dyDescent="0.25">
      <c r="A99" s="15" t="s">
        <v>40</v>
      </c>
      <c r="B99" s="12">
        <v>0</v>
      </c>
      <c r="C99" s="12">
        <v>0</v>
      </c>
      <c r="D99" s="12">
        <v>0</v>
      </c>
      <c r="E99" s="12">
        <v>0</v>
      </c>
      <c r="F99" s="12">
        <v>0</v>
      </c>
      <c r="G99" s="12">
        <v>0</v>
      </c>
      <c r="H99" s="12">
        <v>0</v>
      </c>
      <c r="I99" s="12">
        <v>0</v>
      </c>
      <c r="J99" s="12">
        <v>0</v>
      </c>
      <c r="K99" s="12">
        <v>0</v>
      </c>
      <c r="L99" s="12">
        <v>0</v>
      </c>
      <c r="M99" s="14">
        <v>0</v>
      </c>
      <c r="N99" s="12">
        <v>0</v>
      </c>
      <c r="O99" s="12">
        <v>0</v>
      </c>
      <c r="P99" s="12">
        <v>0</v>
      </c>
      <c r="Q99" s="12">
        <v>0</v>
      </c>
      <c r="R99" s="12">
        <v>0</v>
      </c>
      <c r="S99" s="12">
        <v>0</v>
      </c>
      <c r="T99" s="12">
        <v>0</v>
      </c>
      <c r="U99" s="12">
        <v>0</v>
      </c>
      <c r="V99" s="14">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c r="AV99" s="12"/>
      <c r="AW99" s="12"/>
      <c r="AX99" s="12"/>
      <c r="AY99" s="12"/>
      <c r="AZ99" s="12"/>
      <c r="BA99" s="12">
        <v>0</v>
      </c>
      <c r="BB99" s="12">
        <v>0</v>
      </c>
      <c r="BC99" s="12">
        <v>0</v>
      </c>
      <c r="BD99" s="12">
        <v>0</v>
      </c>
      <c r="BE99" s="12">
        <v>0</v>
      </c>
      <c r="BL99" s="11"/>
      <c r="BM99" s="11"/>
      <c r="BN99" s="11"/>
      <c r="BO99" s="11"/>
    </row>
    <row r="100" spans="1:67" ht="15" hidden="1" outlineLevel="1" x14ac:dyDescent="0.25">
      <c r="A100" s="15" t="s">
        <v>39</v>
      </c>
      <c r="B100" s="12">
        <v>52210.51</v>
      </c>
      <c r="C100" s="12">
        <v>0</v>
      </c>
      <c r="D100" s="12">
        <v>1368.6189999999999</v>
      </c>
      <c r="E100" s="12">
        <v>50841.890999999989</v>
      </c>
      <c r="F100" s="12">
        <v>0</v>
      </c>
      <c r="G100" s="12">
        <v>0</v>
      </c>
      <c r="H100" s="12">
        <v>0</v>
      </c>
      <c r="I100" s="12">
        <v>0</v>
      </c>
      <c r="J100" s="12">
        <v>0</v>
      </c>
      <c r="K100" s="12">
        <v>0</v>
      </c>
      <c r="L100" s="12">
        <v>0</v>
      </c>
      <c r="M100" s="14">
        <v>0</v>
      </c>
      <c r="N100" s="12">
        <v>0</v>
      </c>
      <c r="O100" s="12">
        <v>0</v>
      </c>
      <c r="P100" s="12">
        <v>0</v>
      </c>
      <c r="Q100" s="12">
        <v>0</v>
      </c>
      <c r="R100" s="12">
        <v>0</v>
      </c>
      <c r="S100" s="12">
        <v>0</v>
      </c>
      <c r="T100" s="12">
        <v>0</v>
      </c>
      <c r="U100" s="12">
        <v>0</v>
      </c>
      <c r="V100" s="14">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c r="AV100" s="12"/>
      <c r="AW100" s="12"/>
      <c r="AX100" s="12"/>
      <c r="AY100" s="12"/>
      <c r="AZ100" s="12"/>
      <c r="BA100" s="12">
        <v>0</v>
      </c>
      <c r="BB100" s="12">
        <v>0</v>
      </c>
      <c r="BC100" s="12">
        <v>0</v>
      </c>
      <c r="BD100" s="12">
        <v>0</v>
      </c>
      <c r="BE100" s="12">
        <v>0</v>
      </c>
      <c r="BL100" s="11"/>
      <c r="BM100" s="11"/>
      <c r="BN100" s="11"/>
      <c r="BO100" s="11"/>
    </row>
    <row r="101" spans="1:67" ht="15" hidden="1" outlineLevel="1" x14ac:dyDescent="0.25">
      <c r="A101" s="15"/>
      <c r="B101" s="12"/>
      <c r="C101" s="12"/>
      <c r="D101" s="12"/>
      <c r="E101" s="12"/>
      <c r="F101" s="12"/>
      <c r="G101" s="12"/>
      <c r="H101" s="12"/>
      <c r="I101" s="12"/>
      <c r="J101" s="12"/>
      <c r="K101" s="12"/>
      <c r="L101" s="12"/>
      <c r="M101" s="14"/>
      <c r="N101" s="12"/>
      <c r="O101" s="12"/>
      <c r="P101" s="12"/>
      <c r="Q101" s="12"/>
      <c r="R101" s="12"/>
      <c r="S101" s="12"/>
      <c r="T101" s="12"/>
      <c r="U101" s="12"/>
      <c r="V101" s="14"/>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L101" s="11"/>
      <c r="BM101" s="11"/>
      <c r="BN101" s="11"/>
      <c r="BO101" s="11"/>
    </row>
    <row r="102" spans="1:67" ht="15" hidden="1" outlineLevel="1" x14ac:dyDescent="0.25">
      <c r="A102" s="18" t="s">
        <v>38</v>
      </c>
      <c r="B102" s="12">
        <v>220991.02499999999</v>
      </c>
      <c r="C102" s="12">
        <v>0</v>
      </c>
      <c r="D102" s="12">
        <v>0</v>
      </c>
      <c r="E102" s="12">
        <v>220991.02499999999</v>
      </c>
      <c r="F102" s="12">
        <v>0</v>
      </c>
      <c r="G102" s="12">
        <v>0</v>
      </c>
      <c r="H102" s="12">
        <v>0</v>
      </c>
      <c r="I102" s="12">
        <v>0</v>
      </c>
      <c r="J102" s="12">
        <v>0</v>
      </c>
      <c r="K102" s="12">
        <v>0</v>
      </c>
      <c r="L102" s="12">
        <v>0</v>
      </c>
      <c r="M102" s="14">
        <v>0</v>
      </c>
      <c r="N102" s="12">
        <v>0</v>
      </c>
      <c r="O102" s="12">
        <v>0</v>
      </c>
      <c r="P102" s="12">
        <v>0</v>
      </c>
      <c r="Q102" s="12">
        <v>203.98099999999999</v>
      </c>
      <c r="R102" s="12">
        <v>0</v>
      </c>
      <c r="S102" s="12">
        <v>0</v>
      </c>
      <c r="T102" s="12">
        <v>203.98099999999999</v>
      </c>
      <c r="U102" s="12">
        <v>0</v>
      </c>
      <c r="V102" s="14">
        <v>67.090999999999994</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10026</v>
      </c>
      <c r="AV102" s="12">
        <v>2748.5149999999999</v>
      </c>
      <c r="AW102" s="12">
        <v>0</v>
      </c>
      <c r="AX102" s="12">
        <v>532</v>
      </c>
      <c r="AY102" s="12">
        <v>0</v>
      </c>
      <c r="AZ102" s="12">
        <v>32.228000000000002</v>
      </c>
      <c r="BA102" s="12">
        <v>0</v>
      </c>
      <c r="BB102" s="12">
        <v>0</v>
      </c>
      <c r="BC102" s="12">
        <v>0</v>
      </c>
      <c r="BD102" s="12">
        <v>234600.84</v>
      </c>
      <c r="BE102" s="12">
        <v>0</v>
      </c>
      <c r="BL102" s="11"/>
      <c r="BM102" s="11"/>
      <c r="BN102" s="11"/>
      <c r="BO102" s="11"/>
    </row>
    <row r="103" spans="1:67" ht="15" hidden="1" outlineLevel="1" x14ac:dyDescent="0.25">
      <c r="A103" s="15" t="s">
        <v>37</v>
      </c>
      <c r="B103" s="12">
        <v>214328</v>
      </c>
      <c r="C103" s="12">
        <v>0</v>
      </c>
      <c r="D103" s="12">
        <v>0</v>
      </c>
      <c r="E103" s="12">
        <v>214328</v>
      </c>
      <c r="F103" s="12">
        <v>0</v>
      </c>
      <c r="G103" s="12">
        <v>0</v>
      </c>
      <c r="H103" s="12">
        <v>0</v>
      </c>
      <c r="I103" s="12">
        <v>0</v>
      </c>
      <c r="J103" s="12">
        <v>0</v>
      </c>
      <c r="K103" s="12">
        <v>0</v>
      </c>
      <c r="L103" s="12">
        <v>0</v>
      </c>
      <c r="M103" s="14">
        <v>0</v>
      </c>
      <c r="N103" s="12">
        <v>0</v>
      </c>
      <c r="O103" s="12">
        <v>0</v>
      </c>
      <c r="P103" s="12">
        <v>0</v>
      </c>
      <c r="Q103" s="12">
        <v>0</v>
      </c>
      <c r="R103" s="12">
        <v>0</v>
      </c>
      <c r="S103" s="12">
        <v>0</v>
      </c>
      <c r="T103" s="12">
        <v>0</v>
      </c>
      <c r="U103" s="12">
        <v>0</v>
      </c>
      <c r="V103" s="14">
        <v>58</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10026</v>
      </c>
      <c r="AV103" s="20">
        <v>2570.895</v>
      </c>
      <c r="AW103" s="12">
        <v>0</v>
      </c>
      <c r="AX103" s="12">
        <v>532</v>
      </c>
      <c r="AY103" s="12">
        <v>0</v>
      </c>
      <c r="AZ103" s="12">
        <v>32.228000000000002</v>
      </c>
      <c r="BA103" s="12">
        <v>0</v>
      </c>
      <c r="BB103" s="12">
        <v>0</v>
      </c>
      <c r="BC103" s="12">
        <v>0</v>
      </c>
      <c r="BD103" s="12">
        <v>227547.12299999999</v>
      </c>
      <c r="BE103" s="12">
        <v>0</v>
      </c>
      <c r="BL103" s="11"/>
      <c r="BM103" s="11"/>
      <c r="BN103" s="11"/>
      <c r="BO103" s="11"/>
    </row>
    <row r="104" spans="1:67" ht="15" hidden="1" outlineLevel="1" x14ac:dyDescent="0.25">
      <c r="A104" s="15" t="s">
        <v>36</v>
      </c>
      <c r="B104" s="12">
        <v>6663.0249999999996</v>
      </c>
      <c r="C104" s="12">
        <v>0</v>
      </c>
      <c r="D104" s="12">
        <v>0</v>
      </c>
      <c r="E104" s="12">
        <v>6663.0249999999996</v>
      </c>
      <c r="F104" s="12">
        <v>0</v>
      </c>
      <c r="G104" s="12">
        <v>0</v>
      </c>
      <c r="H104" s="12">
        <v>0</v>
      </c>
      <c r="I104" s="12">
        <v>0</v>
      </c>
      <c r="J104" s="12">
        <v>0</v>
      </c>
      <c r="K104" s="12">
        <v>0</v>
      </c>
      <c r="L104" s="12">
        <v>0</v>
      </c>
      <c r="M104" s="14">
        <v>0</v>
      </c>
      <c r="N104" s="12">
        <v>0</v>
      </c>
      <c r="O104" s="12">
        <v>0</v>
      </c>
      <c r="P104" s="12">
        <v>0</v>
      </c>
      <c r="Q104" s="12">
        <v>0</v>
      </c>
      <c r="R104" s="12">
        <v>0</v>
      </c>
      <c r="S104" s="12">
        <v>0</v>
      </c>
      <c r="T104" s="12">
        <v>0</v>
      </c>
      <c r="U104" s="12">
        <v>0</v>
      </c>
      <c r="V104" s="14">
        <v>9.0909999999999993</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177.62</v>
      </c>
      <c r="AW104" s="12">
        <v>0</v>
      </c>
      <c r="AX104" s="12">
        <v>0</v>
      </c>
      <c r="AY104" s="12">
        <v>0</v>
      </c>
      <c r="AZ104" s="12">
        <v>0</v>
      </c>
      <c r="BA104" s="12">
        <v>0</v>
      </c>
      <c r="BB104" s="12">
        <v>0</v>
      </c>
      <c r="BC104" s="12">
        <v>0</v>
      </c>
      <c r="BD104" s="12">
        <v>6849.7360000000008</v>
      </c>
      <c r="BE104" s="12">
        <v>0</v>
      </c>
      <c r="BL104" s="11"/>
      <c r="BM104" s="11"/>
      <c r="BN104" s="11"/>
      <c r="BO104" s="11"/>
    </row>
    <row r="105" spans="1:67" ht="15" hidden="1" outlineLevel="1" x14ac:dyDescent="0.25">
      <c r="A105" s="15" t="s">
        <v>35</v>
      </c>
      <c r="B105" s="12">
        <v>0</v>
      </c>
      <c r="C105" s="12">
        <v>0</v>
      </c>
      <c r="D105" s="12">
        <v>0</v>
      </c>
      <c r="E105" s="12">
        <v>0</v>
      </c>
      <c r="F105" s="12">
        <v>0</v>
      </c>
      <c r="G105" s="12">
        <v>0</v>
      </c>
      <c r="H105" s="12">
        <v>0</v>
      </c>
      <c r="I105" s="12">
        <v>0</v>
      </c>
      <c r="J105" s="12">
        <v>0</v>
      </c>
      <c r="K105" s="12">
        <v>0</v>
      </c>
      <c r="L105" s="12">
        <v>0</v>
      </c>
      <c r="M105" s="14">
        <v>0</v>
      </c>
      <c r="N105" s="12">
        <v>0</v>
      </c>
      <c r="O105" s="12">
        <v>0</v>
      </c>
      <c r="P105" s="12">
        <v>0</v>
      </c>
      <c r="Q105" s="12">
        <v>0</v>
      </c>
      <c r="R105" s="12">
        <v>0</v>
      </c>
      <c r="S105" s="12">
        <v>0</v>
      </c>
      <c r="T105" s="12">
        <v>0</v>
      </c>
      <c r="U105" s="12">
        <v>0</v>
      </c>
      <c r="V105" s="14">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L105" s="11"/>
      <c r="BM105" s="11"/>
      <c r="BN105" s="11"/>
      <c r="BO105" s="11"/>
    </row>
    <row r="106" spans="1:67" ht="15" hidden="1" outlineLevel="1" x14ac:dyDescent="0.25">
      <c r="A106" s="15" t="s">
        <v>34</v>
      </c>
      <c r="B106" s="12">
        <v>0</v>
      </c>
      <c r="C106" s="12">
        <v>0</v>
      </c>
      <c r="D106" s="12">
        <v>0</v>
      </c>
      <c r="E106" s="12">
        <v>0</v>
      </c>
      <c r="F106" s="12">
        <v>0</v>
      </c>
      <c r="G106" s="12">
        <v>0</v>
      </c>
      <c r="H106" s="12">
        <v>0</v>
      </c>
      <c r="I106" s="12">
        <v>0</v>
      </c>
      <c r="J106" s="12">
        <v>0</v>
      </c>
      <c r="K106" s="12">
        <v>0</v>
      </c>
      <c r="L106" s="12">
        <v>0</v>
      </c>
      <c r="M106" s="14">
        <v>0</v>
      </c>
      <c r="N106" s="12">
        <v>0</v>
      </c>
      <c r="O106" s="12">
        <v>0</v>
      </c>
      <c r="P106" s="12">
        <v>0</v>
      </c>
      <c r="Q106" s="12">
        <v>203.98099999999999</v>
      </c>
      <c r="R106" s="12">
        <v>0</v>
      </c>
      <c r="S106" s="12">
        <v>0</v>
      </c>
      <c r="T106" s="12">
        <v>203.98099999999999</v>
      </c>
      <c r="U106" s="12">
        <v>0</v>
      </c>
      <c r="V106" s="14">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203.98099999999999</v>
      </c>
      <c r="BE106" s="12">
        <v>0</v>
      </c>
      <c r="BL106" s="11"/>
      <c r="BM106" s="11"/>
      <c r="BN106" s="11"/>
      <c r="BO106" s="11"/>
    </row>
    <row r="107" spans="1:67" ht="15" hidden="1" outlineLevel="1" x14ac:dyDescent="0.25">
      <c r="A107" s="15"/>
      <c r="B107" s="19"/>
      <c r="C107" s="12"/>
      <c r="D107" s="12"/>
      <c r="E107" s="12"/>
      <c r="F107" s="12"/>
      <c r="G107" s="12"/>
      <c r="H107" s="12"/>
      <c r="I107" s="12"/>
      <c r="J107" s="12"/>
      <c r="K107" s="12"/>
      <c r="L107" s="12"/>
      <c r="M107" s="14"/>
      <c r="N107" s="12"/>
      <c r="O107" s="12"/>
      <c r="P107" s="12"/>
      <c r="Q107" s="12"/>
      <c r="R107" s="12"/>
      <c r="S107" s="12"/>
      <c r="T107" s="12"/>
      <c r="U107" s="12"/>
      <c r="V107" s="14"/>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v>0</v>
      </c>
      <c r="BE107" s="12"/>
      <c r="BL107" s="11"/>
      <c r="BM107" s="11"/>
      <c r="BN107" s="11"/>
      <c r="BO107" s="11"/>
    </row>
    <row r="108" spans="1:67" ht="15" hidden="1" outlineLevel="1" x14ac:dyDescent="0.25">
      <c r="A108" s="15" t="s">
        <v>33</v>
      </c>
      <c r="B108" s="12">
        <v>0</v>
      </c>
      <c r="C108" s="12">
        <v>0</v>
      </c>
      <c r="D108" s="12">
        <v>0</v>
      </c>
      <c r="E108" s="12">
        <v>0</v>
      </c>
      <c r="F108" s="12">
        <v>0</v>
      </c>
      <c r="G108" s="12">
        <v>0</v>
      </c>
      <c r="H108" s="12">
        <v>0</v>
      </c>
      <c r="I108" s="12">
        <v>0</v>
      </c>
      <c r="J108" s="12">
        <v>0</v>
      </c>
      <c r="K108" s="12">
        <v>0</v>
      </c>
      <c r="L108" s="12">
        <v>0</v>
      </c>
      <c r="M108" s="14">
        <v>0</v>
      </c>
      <c r="N108" s="12">
        <v>0</v>
      </c>
      <c r="O108" s="12">
        <v>0</v>
      </c>
      <c r="P108" s="12">
        <v>0</v>
      </c>
      <c r="Q108" s="12">
        <v>0</v>
      </c>
      <c r="R108" s="12">
        <v>0</v>
      </c>
      <c r="S108" s="12">
        <v>0</v>
      </c>
      <c r="T108" s="12">
        <v>0</v>
      </c>
      <c r="U108" s="12">
        <v>0</v>
      </c>
      <c r="V108" s="14">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L108" s="11"/>
      <c r="BM108" s="11"/>
      <c r="BN108" s="11"/>
      <c r="BO108" s="11"/>
    </row>
    <row r="109" spans="1:67" ht="15" hidden="1" outlineLevel="1" x14ac:dyDescent="0.25">
      <c r="A109" s="15" t="s">
        <v>32</v>
      </c>
      <c r="B109" s="12">
        <v>0</v>
      </c>
      <c r="C109" s="12">
        <v>0</v>
      </c>
      <c r="D109" s="12">
        <v>0</v>
      </c>
      <c r="E109" s="12">
        <v>0</v>
      </c>
      <c r="F109" s="12">
        <v>0</v>
      </c>
      <c r="G109" s="12">
        <v>0</v>
      </c>
      <c r="H109" s="12">
        <v>0</v>
      </c>
      <c r="I109" s="12">
        <v>0</v>
      </c>
      <c r="J109" s="12">
        <v>0</v>
      </c>
      <c r="K109" s="12">
        <v>0</v>
      </c>
      <c r="L109" s="12">
        <v>0</v>
      </c>
      <c r="M109" s="14">
        <v>0</v>
      </c>
      <c r="N109" s="12">
        <v>0</v>
      </c>
      <c r="O109" s="12">
        <v>0</v>
      </c>
      <c r="P109" s="12">
        <v>0</v>
      </c>
      <c r="Q109" s="12">
        <v>0</v>
      </c>
      <c r="R109" s="12">
        <v>0</v>
      </c>
      <c r="S109" s="12">
        <v>0</v>
      </c>
      <c r="T109" s="12">
        <v>0</v>
      </c>
      <c r="U109" s="12">
        <v>0</v>
      </c>
      <c r="V109" s="14">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L109" s="11"/>
      <c r="BM109" s="11"/>
      <c r="BN109" s="11"/>
      <c r="BO109" s="11"/>
    </row>
    <row r="110" spans="1:67" ht="15" hidden="1" outlineLevel="1" x14ac:dyDescent="0.25">
      <c r="A110" s="15" t="s">
        <v>31</v>
      </c>
      <c r="B110" s="12">
        <v>0</v>
      </c>
      <c r="C110" s="12">
        <v>0</v>
      </c>
      <c r="D110" s="12">
        <v>0</v>
      </c>
      <c r="E110" s="12">
        <v>0</v>
      </c>
      <c r="F110" s="12">
        <v>0</v>
      </c>
      <c r="G110" s="12">
        <v>0</v>
      </c>
      <c r="H110" s="12">
        <v>0</v>
      </c>
      <c r="I110" s="12">
        <v>0</v>
      </c>
      <c r="J110" s="12">
        <v>0</v>
      </c>
      <c r="K110" s="12">
        <v>0</v>
      </c>
      <c r="L110" s="12">
        <v>0</v>
      </c>
      <c r="M110" s="14">
        <v>0</v>
      </c>
      <c r="N110" s="12">
        <v>0</v>
      </c>
      <c r="O110" s="12">
        <v>0</v>
      </c>
      <c r="P110" s="12">
        <v>0</v>
      </c>
      <c r="Q110" s="12">
        <v>0</v>
      </c>
      <c r="R110" s="12">
        <v>0</v>
      </c>
      <c r="S110" s="12">
        <v>0</v>
      </c>
      <c r="T110" s="12">
        <v>0</v>
      </c>
      <c r="U110" s="12">
        <v>0</v>
      </c>
      <c r="V110" s="14">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L110" s="11"/>
      <c r="BM110" s="11"/>
      <c r="BN110" s="11"/>
      <c r="BO110" s="11"/>
    </row>
    <row r="111" spans="1:67" ht="15" hidden="1" outlineLevel="1" x14ac:dyDescent="0.25">
      <c r="A111" s="15" t="s">
        <v>30</v>
      </c>
      <c r="B111" s="12">
        <v>0</v>
      </c>
      <c r="C111" s="12">
        <v>0</v>
      </c>
      <c r="D111" s="12">
        <v>0</v>
      </c>
      <c r="E111" s="12">
        <v>0</v>
      </c>
      <c r="F111" s="12">
        <v>0</v>
      </c>
      <c r="G111" s="12">
        <v>0</v>
      </c>
      <c r="H111" s="12">
        <v>0</v>
      </c>
      <c r="I111" s="12">
        <v>0</v>
      </c>
      <c r="J111" s="12">
        <v>0</v>
      </c>
      <c r="K111" s="12">
        <v>0</v>
      </c>
      <c r="L111" s="12">
        <v>0</v>
      </c>
      <c r="M111" s="14">
        <v>0</v>
      </c>
      <c r="N111" s="12">
        <v>0</v>
      </c>
      <c r="O111" s="12">
        <v>0</v>
      </c>
      <c r="P111" s="12">
        <v>0</v>
      </c>
      <c r="Q111" s="12">
        <v>0</v>
      </c>
      <c r="R111" s="12">
        <v>0</v>
      </c>
      <c r="S111" s="12">
        <v>0</v>
      </c>
      <c r="T111" s="12">
        <v>0</v>
      </c>
      <c r="U111" s="12">
        <v>0</v>
      </c>
      <c r="V111" s="14">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L111" s="11"/>
      <c r="BM111" s="11"/>
      <c r="BN111" s="11"/>
      <c r="BO111" s="11"/>
    </row>
    <row r="112" spans="1:67" ht="15" hidden="1" outlineLevel="1" x14ac:dyDescent="0.25">
      <c r="A112" s="18" t="s">
        <v>29</v>
      </c>
      <c r="B112" s="16">
        <v>0</v>
      </c>
      <c r="C112" s="16">
        <v>0</v>
      </c>
      <c r="D112" s="16">
        <v>0</v>
      </c>
      <c r="E112" s="16">
        <v>0</v>
      </c>
      <c r="F112" s="16">
        <v>0</v>
      </c>
      <c r="G112" s="16">
        <v>0</v>
      </c>
      <c r="H112" s="16">
        <v>0</v>
      </c>
      <c r="I112" s="16">
        <v>0</v>
      </c>
      <c r="J112" s="16">
        <v>0</v>
      </c>
      <c r="K112" s="16">
        <v>0</v>
      </c>
      <c r="L112" s="16">
        <v>0</v>
      </c>
      <c r="M112" s="17">
        <v>0</v>
      </c>
      <c r="N112" s="16">
        <v>0</v>
      </c>
      <c r="O112" s="16">
        <v>0</v>
      </c>
      <c r="P112" s="16">
        <v>0</v>
      </c>
      <c r="Q112" s="16">
        <v>0</v>
      </c>
      <c r="R112" s="16">
        <v>0</v>
      </c>
      <c r="S112" s="16">
        <v>0</v>
      </c>
      <c r="T112" s="16">
        <v>0</v>
      </c>
      <c r="U112" s="16">
        <v>0</v>
      </c>
      <c r="V112" s="17">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3096.105</v>
      </c>
      <c r="BE112" s="16">
        <v>0</v>
      </c>
      <c r="BL112" s="11"/>
      <c r="BM112" s="11"/>
      <c r="BN112" s="11"/>
      <c r="BO112" s="11"/>
    </row>
    <row r="113" spans="1:67" ht="15" hidden="1" outlineLevel="1" x14ac:dyDescent="0.25">
      <c r="A113" s="15"/>
      <c r="B113" s="12"/>
      <c r="C113" s="12"/>
      <c r="D113" s="12"/>
      <c r="E113" s="12"/>
      <c r="F113" s="12"/>
      <c r="G113" s="12"/>
      <c r="H113" s="12"/>
      <c r="I113" s="12"/>
      <c r="J113" s="12"/>
      <c r="K113" s="12"/>
      <c r="L113" s="12"/>
      <c r="M113" s="14"/>
      <c r="N113" s="12"/>
      <c r="O113" s="12"/>
      <c r="P113" s="12"/>
      <c r="Q113" s="12"/>
      <c r="R113" s="12"/>
      <c r="S113" s="12"/>
      <c r="T113" s="12"/>
      <c r="U113" s="12"/>
      <c r="V113" s="14"/>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L113" s="11"/>
      <c r="BM113" s="11"/>
      <c r="BN113" s="11"/>
      <c r="BO113" s="11"/>
    </row>
    <row r="114" spans="1:67" ht="15" hidden="1" outlineLevel="1" x14ac:dyDescent="0.25">
      <c r="A114" s="15" t="s">
        <v>28</v>
      </c>
      <c r="B114" s="12">
        <v>0</v>
      </c>
      <c r="C114" s="12">
        <v>0</v>
      </c>
      <c r="D114" s="12">
        <v>0</v>
      </c>
      <c r="E114" s="12">
        <v>0</v>
      </c>
      <c r="F114" s="12">
        <v>0</v>
      </c>
      <c r="G114" s="12">
        <v>0</v>
      </c>
      <c r="H114" s="12">
        <v>0</v>
      </c>
      <c r="I114" s="12">
        <v>0</v>
      </c>
      <c r="J114" s="12">
        <v>0</v>
      </c>
      <c r="K114" s="12">
        <v>0</v>
      </c>
      <c r="L114" s="12">
        <v>0</v>
      </c>
      <c r="M114" s="14">
        <v>0</v>
      </c>
      <c r="N114" s="12">
        <v>0</v>
      </c>
      <c r="O114" s="12">
        <v>0</v>
      </c>
      <c r="P114" s="12">
        <v>0</v>
      </c>
      <c r="Q114" s="12">
        <v>0</v>
      </c>
      <c r="R114" s="12">
        <v>0</v>
      </c>
      <c r="S114" s="12">
        <v>0</v>
      </c>
      <c r="T114" s="12">
        <v>0</v>
      </c>
      <c r="U114" s="12">
        <v>0</v>
      </c>
      <c r="V114" s="14">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3096.105</v>
      </c>
      <c r="AW114" s="12">
        <v>0</v>
      </c>
      <c r="AX114" s="12">
        <v>0</v>
      </c>
      <c r="AY114" s="12">
        <v>0</v>
      </c>
      <c r="AZ114" s="12">
        <v>0</v>
      </c>
      <c r="BA114" s="12">
        <v>0</v>
      </c>
      <c r="BB114" s="12">
        <v>0</v>
      </c>
      <c r="BC114" s="12">
        <v>0</v>
      </c>
      <c r="BD114" s="12">
        <v>3096.105</v>
      </c>
      <c r="BE114" s="12">
        <v>0</v>
      </c>
      <c r="BL114" s="11"/>
      <c r="BM114" s="11"/>
      <c r="BN114" s="11"/>
      <c r="BO114" s="11"/>
    </row>
    <row r="115" spans="1:67" ht="15" hidden="1" outlineLevel="1" x14ac:dyDescent="0.25">
      <c r="A115" s="15"/>
      <c r="B115" s="12"/>
      <c r="C115" s="12"/>
      <c r="D115" s="12"/>
      <c r="E115" s="12"/>
      <c r="F115" s="12"/>
      <c r="G115" s="12"/>
      <c r="H115" s="12"/>
      <c r="I115" s="12"/>
      <c r="J115" s="12"/>
      <c r="K115" s="12"/>
      <c r="L115" s="12"/>
      <c r="M115" s="14"/>
      <c r="N115" s="12"/>
      <c r="O115" s="12"/>
      <c r="P115" s="12"/>
      <c r="Q115" s="12"/>
      <c r="R115" s="12"/>
      <c r="S115" s="12"/>
      <c r="T115" s="12"/>
      <c r="U115" s="12"/>
      <c r="V115" s="14"/>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L115" s="11"/>
      <c r="BM115" s="11"/>
      <c r="BN115" s="11"/>
      <c r="BO115" s="11"/>
    </row>
    <row r="116" spans="1:67" ht="15" hidden="1" outlineLevel="1" x14ac:dyDescent="0.25">
      <c r="A116" s="15" t="s">
        <v>27</v>
      </c>
      <c r="B116" s="12">
        <v>0</v>
      </c>
      <c r="C116" s="12">
        <v>0</v>
      </c>
      <c r="D116" s="12">
        <v>0</v>
      </c>
      <c r="E116" s="12">
        <v>0</v>
      </c>
      <c r="F116" s="12">
        <v>0</v>
      </c>
      <c r="G116" s="12">
        <v>0</v>
      </c>
      <c r="H116" s="12">
        <v>0</v>
      </c>
      <c r="I116" s="12">
        <v>0</v>
      </c>
      <c r="J116" s="12">
        <v>0</v>
      </c>
      <c r="K116" s="12">
        <v>0</v>
      </c>
      <c r="L116" s="12">
        <v>0</v>
      </c>
      <c r="M116" s="14">
        <v>0</v>
      </c>
      <c r="N116" s="12">
        <v>0</v>
      </c>
      <c r="O116" s="12">
        <v>0</v>
      </c>
      <c r="P116" s="12">
        <v>0</v>
      </c>
      <c r="Q116" s="12">
        <v>0</v>
      </c>
      <c r="R116" s="12">
        <v>0</v>
      </c>
      <c r="S116" s="12">
        <v>0</v>
      </c>
      <c r="T116" s="12">
        <v>0</v>
      </c>
      <c r="U116" s="12">
        <v>0</v>
      </c>
      <c r="V116" s="14">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L116" s="11"/>
      <c r="BM116" s="11"/>
      <c r="BN116" s="11"/>
      <c r="BO116" s="11"/>
    </row>
    <row r="117" spans="1:67" ht="15" hidden="1" outlineLevel="1" x14ac:dyDescent="0.25">
      <c r="A117" s="15" t="s">
        <v>26</v>
      </c>
      <c r="B117" s="12">
        <v>0</v>
      </c>
      <c r="C117" s="12">
        <v>0</v>
      </c>
      <c r="D117" s="12">
        <v>0</v>
      </c>
      <c r="E117" s="12">
        <v>0</v>
      </c>
      <c r="F117" s="12">
        <v>0</v>
      </c>
      <c r="G117" s="12">
        <v>0</v>
      </c>
      <c r="H117" s="12">
        <v>0</v>
      </c>
      <c r="I117" s="12">
        <v>0</v>
      </c>
      <c r="J117" s="12">
        <v>0</v>
      </c>
      <c r="K117" s="12">
        <v>0</v>
      </c>
      <c r="L117" s="12">
        <v>0</v>
      </c>
      <c r="M117" s="14">
        <v>0</v>
      </c>
      <c r="N117" s="12">
        <v>0</v>
      </c>
      <c r="O117" s="12">
        <v>0</v>
      </c>
      <c r="P117" s="12">
        <v>0</v>
      </c>
      <c r="Q117" s="12">
        <v>0</v>
      </c>
      <c r="R117" s="12">
        <v>0</v>
      </c>
      <c r="S117" s="12">
        <v>0</v>
      </c>
      <c r="T117" s="12">
        <v>0</v>
      </c>
      <c r="U117" s="12">
        <v>0</v>
      </c>
      <c r="V117" s="14">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L117" s="11"/>
      <c r="BM117" s="11"/>
      <c r="BN117" s="11"/>
      <c r="BO117" s="11"/>
    </row>
    <row r="118" spans="1:67" ht="15" hidden="1" outlineLevel="1" x14ac:dyDescent="0.25">
      <c r="A118" s="13" t="s">
        <v>25</v>
      </c>
      <c r="B118" s="12">
        <v>0</v>
      </c>
      <c r="C118" s="12">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L118" s="11"/>
      <c r="BM118" s="11"/>
      <c r="BN118" s="11"/>
      <c r="BO118" s="11"/>
    </row>
    <row r="119" spans="1:67" ht="15" hidden="1" outlineLevel="1" x14ac:dyDescent="0.25">
      <c r="A119" s="13" t="s">
        <v>24</v>
      </c>
      <c r="B119" s="12">
        <v>0</v>
      </c>
      <c r="C119" s="12">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L119" s="11"/>
      <c r="BM119" s="11"/>
      <c r="BN119" s="11"/>
      <c r="BO119" s="11"/>
    </row>
    <row r="120" spans="1:67" ht="15" collapsed="1" x14ac:dyDescent="0.25">
      <c r="BL120" s="11"/>
      <c r="BM120" s="11"/>
      <c r="BN120" s="11"/>
      <c r="BO120" s="11"/>
    </row>
    <row r="121" spans="1:67" ht="15" x14ac:dyDescent="0.25">
      <c r="BL121" s="11"/>
      <c r="BM121" s="11"/>
      <c r="BN121" s="11"/>
      <c r="BO121" s="11"/>
    </row>
    <row r="122" spans="1:67" ht="15" x14ac:dyDescent="0.25">
      <c r="BL122" s="11"/>
      <c r="BM122" s="11"/>
      <c r="BN122" s="11"/>
      <c r="BO122" s="11"/>
    </row>
    <row r="123" spans="1:67" x14ac:dyDescent="0.2">
      <c r="AL123" s="1">
        <v>3308</v>
      </c>
      <c r="AM123" s="1" t="s">
        <v>21</v>
      </c>
      <c r="AN123" s="1">
        <f>AL123*1000000*3.6</f>
        <v>11908800000</v>
      </c>
      <c r="AO123" s="1" t="s">
        <v>23</v>
      </c>
    </row>
    <row r="124" spans="1:67" x14ac:dyDescent="0.2">
      <c r="AL124" s="1">
        <f>AL123</f>
        <v>3308</v>
      </c>
      <c r="AM124" s="1" t="s">
        <v>21</v>
      </c>
      <c r="AN124" s="1">
        <f>AN123*0.000001</f>
        <v>11908.8</v>
      </c>
      <c r="AO124" s="1" t="s">
        <v>22</v>
      </c>
    </row>
    <row r="125" spans="1:67" x14ac:dyDescent="0.2">
      <c r="AL125" s="1">
        <f>AL124</f>
        <v>3308</v>
      </c>
      <c r="AM125" s="1" t="s">
        <v>21</v>
      </c>
      <c r="AN125" s="1">
        <f>AN124/1000</f>
        <v>11.908799999999999</v>
      </c>
      <c r="AO125" s="1" t="s">
        <v>20</v>
      </c>
      <c r="BG125" s="1" t="s">
        <v>19</v>
      </c>
    </row>
    <row r="126" spans="1:67" x14ac:dyDescent="0.2">
      <c r="BH126" s="10" t="s">
        <v>18</v>
      </c>
      <c r="BI126" s="1">
        <v>2014</v>
      </c>
      <c r="BJ126" s="1">
        <v>2015</v>
      </c>
      <c r="BK126" s="1">
        <v>2016</v>
      </c>
      <c r="BL126" s="10" t="s">
        <v>17</v>
      </c>
      <c r="BM126" s="1">
        <v>2018</v>
      </c>
    </row>
    <row r="127" spans="1:67" x14ac:dyDescent="0.2">
      <c r="BG127" s="1" t="s">
        <v>16</v>
      </c>
      <c r="BH127" s="1">
        <v>3798908</v>
      </c>
      <c r="BI127" s="1">
        <v>3548522</v>
      </c>
      <c r="BJ127" s="1">
        <v>3513511</v>
      </c>
      <c r="BK127" s="1">
        <v>3262750</v>
      </c>
      <c r="BL127" s="1">
        <v>3207544</v>
      </c>
      <c r="BM127" s="1">
        <v>3176930</v>
      </c>
    </row>
    <row r="128" spans="1:67" ht="15" x14ac:dyDescent="0.25">
      <c r="BG128" s="1" t="s">
        <v>15</v>
      </c>
      <c r="BH128" s="7">
        <f t="shared" ref="BH128:BM128" si="2">BH127*3.6/1000</f>
        <v>13676.068800000001</v>
      </c>
      <c r="BI128" s="7">
        <f t="shared" si="2"/>
        <v>12774.6792</v>
      </c>
      <c r="BJ128" s="7">
        <f t="shared" si="2"/>
        <v>12648.6396</v>
      </c>
      <c r="BK128" s="7">
        <f t="shared" si="2"/>
        <v>11745.9</v>
      </c>
      <c r="BL128" s="7">
        <f t="shared" si="2"/>
        <v>11547.1584</v>
      </c>
      <c r="BM128" s="7">
        <f t="shared" si="2"/>
        <v>11436.948</v>
      </c>
    </row>
    <row r="129" spans="56:65" ht="15" x14ac:dyDescent="0.25">
      <c r="BD129" s="1" t="s">
        <v>14</v>
      </c>
      <c r="BF129" s="9">
        <f>cv.diesel.lhv.MJL</f>
        <v>36.607594936708864</v>
      </c>
      <c r="BG129" s="1" t="s">
        <v>13</v>
      </c>
      <c r="BH129" s="7">
        <v>227934079</v>
      </c>
      <c r="BI129" s="7">
        <f>255.9*1000000</f>
        <v>255900000</v>
      </c>
      <c r="BJ129" s="7">
        <f>249.7*1000000</f>
        <v>249700000</v>
      </c>
      <c r="BK129" s="1">
        <v>232406116</v>
      </c>
      <c r="BL129" s="1">
        <v>238948240</v>
      </c>
      <c r="BM129" s="1">
        <f>236.7*1000000</f>
        <v>236700000</v>
      </c>
    </row>
    <row r="130" spans="56:65" ht="15" x14ac:dyDescent="0.25">
      <c r="BG130" s="1" t="s">
        <v>12</v>
      </c>
      <c r="BH130" s="7">
        <f t="shared" ref="BH130:BM130" si="3">$BF$129*BH129*0.000001</f>
        <v>8344.1184363037992</v>
      </c>
      <c r="BI130" s="7">
        <f t="shared" si="3"/>
        <v>9367.8835443037988</v>
      </c>
      <c r="BJ130" s="7">
        <f t="shared" si="3"/>
        <v>9140.9164556962023</v>
      </c>
      <c r="BK130" s="7">
        <f t="shared" si="3"/>
        <v>8507.8289553417726</v>
      </c>
      <c r="BL130" s="7">
        <f t="shared" si="3"/>
        <v>8747.3203807594946</v>
      </c>
      <c r="BM130" s="7">
        <f t="shared" si="3"/>
        <v>8665.0177215189869</v>
      </c>
    </row>
    <row r="132" spans="56:65" x14ac:dyDescent="0.2">
      <c r="BF132" s="1" t="s">
        <v>11</v>
      </c>
      <c r="BG132" s="1" t="s">
        <v>9</v>
      </c>
      <c r="BH132" s="1">
        <v>0.12</v>
      </c>
      <c r="BI132" s="1">
        <v>0.06</v>
      </c>
      <c r="BJ132" s="8">
        <f>BI132</f>
        <v>0.06</v>
      </c>
      <c r="BK132" s="8">
        <f>AVERAGE(BJ132,BL132)</f>
        <v>6.5000000000000002E-2</v>
      </c>
      <c r="BL132" s="1">
        <v>7.0000000000000007E-2</v>
      </c>
      <c r="BM132" s="1">
        <v>6.4000000000000001E-2</v>
      </c>
    </row>
    <row r="133" spans="56:65" x14ac:dyDescent="0.2">
      <c r="BF133" s="1" t="s">
        <v>11</v>
      </c>
      <c r="BG133" s="1" t="s">
        <v>2</v>
      </c>
      <c r="BH133" s="1">
        <v>0.68</v>
      </c>
      <c r="BI133" s="1">
        <v>0.75</v>
      </c>
      <c r="BJ133" s="8">
        <f>BI133</f>
        <v>0.75</v>
      </c>
      <c r="BK133" s="8">
        <f>AVERAGE(BJ133,BL133)</f>
        <v>0.74</v>
      </c>
      <c r="BL133" s="1">
        <v>0.73</v>
      </c>
      <c r="BM133" s="1">
        <v>0.74399999999999999</v>
      </c>
    </row>
    <row r="134" spans="56:65" x14ac:dyDescent="0.2">
      <c r="BF134" s="1" t="s">
        <v>10</v>
      </c>
      <c r="BG134" s="1" t="s">
        <v>2</v>
      </c>
      <c r="BH134" s="1">
        <v>0.62</v>
      </c>
      <c r="BI134" s="1">
        <v>0.73</v>
      </c>
      <c r="BJ134" s="8">
        <f>BI134</f>
        <v>0.73</v>
      </c>
      <c r="BK134" s="8">
        <f>AVERAGE(BJ134,BL134)</f>
        <v>0.73499999999999999</v>
      </c>
      <c r="BL134" s="1">
        <v>0.74</v>
      </c>
      <c r="BM134" s="1">
        <v>0.74299999999999999</v>
      </c>
    </row>
    <row r="136" spans="56:65" ht="15" x14ac:dyDescent="0.25">
      <c r="BF136" s="1" t="s">
        <v>8</v>
      </c>
      <c r="BG136" s="1" t="s">
        <v>9</v>
      </c>
      <c r="BH136" s="7">
        <f t="shared" ref="BH136:BM137" si="4">BH132*BH$128</f>
        <v>1641.128256</v>
      </c>
      <c r="BI136" s="7">
        <f t="shared" si="4"/>
        <v>766.48075200000005</v>
      </c>
      <c r="BJ136" s="7">
        <f t="shared" si="4"/>
        <v>758.91837599999997</v>
      </c>
      <c r="BK136" s="7">
        <f t="shared" si="4"/>
        <v>763.48350000000005</v>
      </c>
      <c r="BL136" s="7">
        <f t="shared" si="4"/>
        <v>808.30108800000005</v>
      </c>
      <c r="BM136" s="7">
        <f t="shared" si="4"/>
        <v>731.96467200000006</v>
      </c>
    </row>
    <row r="137" spans="56:65" ht="15" x14ac:dyDescent="0.25">
      <c r="BF137" s="1" t="s">
        <v>8</v>
      </c>
      <c r="BG137" s="1" t="s">
        <v>2</v>
      </c>
      <c r="BH137" s="7">
        <f t="shared" si="4"/>
        <v>9299.7267840000004</v>
      </c>
      <c r="BI137" s="7">
        <f t="shared" si="4"/>
        <v>9581.0094000000008</v>
      </c>
      <c r="BJ137" s="7">
        <f t="shared" si="4"/>
        <v>9486.4796999999999</v>
      </c>
      <c r="BK137" s="7">
        <f t="shared" si="4"/>
        <v>8691.9660000000003</v>
      </c>
      <c r="BL137" s="7">
        <f t="shared" si="4"/>
        <v>8429.4256320000004</v>
      </c>
      <c r="BM137" s="7">
        <f t="shared" si="4"/>
        <v>8509.0893120000001</v>
      </c>
    </row>
    <row r="138" spans="56:65" ht="15" x14ac:dyDescent="0.25">
      <c r="BF138" s="1" t="s">
        <v>3</v>
      </c>
      <c r="BG138" s="1" t="s">
        <v>2</v>
      </c>
      <c r="BH138" s="7">
        <f t="shared" ref="BH138:BM138" si="5">BH134*BH$130</f>
        <v>5173.3534305083558</v>
      </c>
      <c r="BI138" s="7">
        <f t="shared" si="5"/>
        <v>6838.5549873417731</v>
      </c>
      <c r="BJ138" s="7">
        <f t="shared" si="5"/>
        <v>6672.8690126582278</v>
      </c>
      <c r="BK138" s="7">
        <f t="shared" si="5"/>
        <v>6253.2542821762027</v>
      </c>
      <c r="BL138" s="7">
        <f t="shared" si="5"/>
        <v>6473.0170817620256</v>
      </c>
      <c r="BM138" s="7">
        <f t="shared" si="5"/>
        <v>6438.1081670886069</v>
      </c>
    </row>
    <row r="140" spans="56:65" x14ac:dyDescent="0.2">
      <c r="BG140" s="1" t="s">
        <v>7</v>
      </c>
      <c r="BH140" s="6">
        <f t="shared" ref="BH140:BM142" si="6">BH136/SUM(BH$136:BH$138)</f>
        <v>0.10184355371866596</v>
      </c>
      <c r="BI140" s="6">
        <f t="shared" si="6"/>
        <v>4.4599018900828756E-2</v>
      </c>
      <c r="BJ140" s="6">
        <f t="shared" si="6"/>
        <v>4.485792617074643E-2</v>
      </c>
      <c r="BK140" s="6">
        <f t="shared" si="6"/>
        <v>4.8602577945755308E-2</v>
      </c>
      <c r="BL140" s="6">
        <f t="shared" si="6"/>
        <v>5.1448938267922469E-2</v>
      </c>
      <c r="BM140" s="6">
        <f t="shared" si="6"/>
        <v>4.6683914927761597E-2</v>
      </c>
    </row>
    <row r="141" spans="56:65" x14ac:dyDescent="0.2">
      <c r="BG141" s="1" t="s">
        <v>6</v>
      </c>
      <c r="BH141" s="6">
        <f t="shared" si="6"/>
        <v>0.57711347107244049</v>
      </c>
      <c r="BI141" s="6">
        <f t="shared" si="6"/>
        <v>0.55748773626035952</v>
      </c>
      <c r="BJ141" s="6">
        <f t="shared" si="6"/>
        <v>0.56072407713433048</v>
      </c>
      <c r="BK141" s="6">
        <f t="shared" si="6"/>
        <v>0.5533216566132142</v>
      </c>
      <c r="BL141" s="6">
        <f t="shared" si="6"/>
        <v>0.53653892765119149</v>
      </c>
      <c r="BM141" s="6">
        <f t="shared" si="6"/>
        <v>0.54270051103522854</v>
      </c>
    </row>
    <row r="142" spans="56:65" x14ac:dyDescent="0.2">
      <c r="BG142" s="1" t="s">
        <v>5</v>
      </c>
      <c r="BH142" s="6">
        <f t="shared" si="6"/>
        <v>0.32104297520889352</v>
      </c>
      <c r="BI142" s="6">
        <f t="shared" si="6"/>
        <v>0.39791324483881169</v>
      </c>
      <c r="BJ142" s="6">
        <f t="shared" si="6"/>
        <v>0.39441799669492317</v>
      </c>
      <c r="BK142" s="6">
        <f t="shared" si="6"/>
        <v>0.39807576544103052</v>
      </c>
      <c r="BL142" s="6">
        <f t="shared" si="6"/>
        <v>0.41201213408088605</v>
      </c>
      <c r="BM142" s="6">
        <f t="shared" si="6"/>
        <v>0.41061557403700988</v>
      </c>
    </row>
    <row r="146" spans="41:65" x14ac:dyDescent="0.2">
      <c r="BD146" s="1" t="s">
        <v>4</v>
      </c>
      <c r="BF146" s="1" t="s">
        <v>3</v>
      </c>
      <c r="BG146" s="1" t="s">
        <v>2</v>
      </c>
      <c r="BH146" s="5">
        <f t="shared" ref="BH146:BM146" si="7">$BF$147*BH138*0.001</f>
        <v>383.34548920066914</v>
      </c>
      <c r="BI146" s="5">
        <f t="shared" si="7"/>
        <v>506.73692456202537</v>
      </c>
      <c r="BJ146" s="5">
        <f t="shared" si="7"/>
        <v>494.45959383797464</v>
      </c>
      <c r="BK146" s="5">
        <f t="shared" si="7"/>
        <v>463.36614230925659</v>
      </c>
      <c r="BL146" s="5">
        <f t="shared" si="7"/>
        <v>479.65056575856607</v>
      </c>
      <c r="BM146" s="5">
        <f t="shared" si="7"/>
        <v>477.0638151812658</v>
      </c>
    </row>
    <row r="147" spans="41:65" x14ac:dyDescent="0.2">
      <c r="AO147" s="4" t="s">
        <v>1</v>
      </c>
      <c r="BD147" s="3" t="s">
        <v>0</v>
      </c>
      <c r="BF147" s="2">
        <f>74100/1000</f>
        <v>74.099999999999994</v>
      </c>
    </row>
  </sheetData>
  <hyperlinks>
    <hyperlink ref="AO147" r:id="rId1" xr:uid="{21993E38-7703-4E6D-B13A-400AAEA53B02}"/>
  </hyperlinks>
  <pageMargins left="0.7" right="0.7" top="0.75" bottom="0.75" header="0.3" footer="0.3"/>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B286-7BBB-42F7-81B6-590DC963F395}">
  <sheetPr codeName="Sheet7"/>
  <dimension ref="A1:Y99"/>
  <sheetViews>
    <sheetView workbookViewId="0"/>
  </sheetViews>
  <sheetFormatPr defaultColWidth="8.85546875" defaultRowHeight="15" x14ac:dyDescent="0.25"/>
  <cols>
    <col min="1" max="1" width="19.140625" style="61" customWidth="1"/>
    <col min="2" max="2" width="8.85546875" style="61"/>
    <col min="3" max="3" width="9.140625" style="61" customWidth="1"/>
    <col min="4" max="16384" width="8.85546875" style="61"/>
  </cols>
  <sheetData>
    <row r="1" spans="1:21" x14ac:dyDescent="0.25">
      <c r="A1" s="61" t="s">
        <v>235</v>
      </c>
      <c r="B1" s="66" t="s">
        <v>234</v>
      </c>
    </row>
    <row r="3" spans="1:21" x14ac:dyDescent="0.25">
      <c r="A3" s="65" t="s">
        <v>233</v>
      </c>
      <c r="C3" s="61">
        <v>1</v>
      </c>
      <c r="D3" s="61">
        <v>2</v>
      </c>
      <c r="F3" s="61">
        <v>3</v>
      </c>
      <c r="H3" s="61">
        <v>4</v>
      </c>
      <c r="J3" s="61">
        <v>5</v>
      </c>
      <c r="L3" s="61">
        <v>6</v>
      </c>
      <c r="N3" s="61">
        <v>7</v>
      </c>
      <c r="P3" s="61">
        <v>8</v>
      </c>
      <c r="R3" s="61">
        <v>9</v>
      </c>
      <c r="T3" s="61">
        <v>10</v>
      </c>
    </row>
    <row r="4" spans="1:21" x14ac:dyDescent="0.25">
      <c r="C4" s="61" t="s">
        <v>232</v>
      </c>
      <c r="D4" s="61" t="s">
        <v>231</v>
      </c>
      <c r="F4" s="61" t="s">
        <v>230</v>
      </c>
      <c r="H4" s="61" t="s">
        <v>229</v>
      </c>
      <c r="J4" s="61" t="s">
        <v>228</v>
      </c>
      <c r="L4" s="61" t="s">
        <v>227</v>
      </c>
      <c r="N4" s="61" t="s">
        <v>226</v>
      </c>
      <c r="P4" s="61" t="s">
        <v>225</v>
      </c>
      <c r="R4" s="61" t="s">
        <v>224</v>
      </c>
      <c r="T4" s="61" t="s">
        <v>223</v>
      </c>
    </row>
    <row r="5" spans="1:21" x14ac:dyDescent="0.25">
      <c r="C5" s="61">
        <v>2003</v>
      </c>
      <c r="D5" s="61">
        <v>2003</v>
      </c>
      <c r="E5" s="61">
        <v>2004</v>
      </c>
      <c r="F5" s="61">
        <v>2004</v>
      </c>
      <c r="G5" s="61">
        <v>2005</v>
      </c>
      <c r="H5" s="61">
        <v>2005</v>
      </c>
      <c r="I5" s="61">
        <v>2006</v>
      </c>
      <c r="J5" s="61">
        <v>2006</v>
      </c>
      <c r="K5" s="61">
        <v>2007</v>
      </c>
      <c r="L5" s="61">
        <v>2007</v>
      </c>
      <c r="N5" s="61">
        <v>2008</v>
      </c>
      <c r="O5" s="61">
        <v>2009</v>
      </c>
      <c r="P5" s="61">
        <v>2009</v>
      </c>
      <c r="Q5" s="61">
        <v>2010</v>
      </c>
      <c r="R5" s="61">
        <v>2010</v>
      </c>
      <c r="S5" s="61">
        <v>2011</v>
      </c>
      <c r="T5" s="61">
        <v>2012</v>
      </c>
      <c r="U5" s="61">
        <v>2013</v>
      </c>
    </row>
    <row r="6" spans="1:21" x14ac:dyDescent="0.25">
      <c r="A6" s="61" t="s">
        <v>194</v>
      </c>
      <c r="B6" s="61" t="s">
        <v>208</v>
      </c>
      <c r="C6" s="61">
        <v>40</v>
      </c>
      <c r="D6" s="61">
        <v>43</v>
      </c>
      <c r="E6" s="61">
        <v>45</v>
      </c>
      <c r="F6" s="61">
        <v>47</v>
      </c>
      <c r="G6" s="61">
        <v>53</v>
      </c>
      <c r="H6" s="61">
        <v>53</v>
      </c>
      <c r="I6" s="61">
        <v>58</v>
      </c>
      <c r="J6" s="61">
        <v>60</v>
      </c>
      <c r="K6" s="61">
        <v>61</v>
      </c>
      <c r="L6" s="61">
        <v>61</v>
      </c>
      <c r="N6" s="61">
        <v>61</v>
      </c>
      <c r="O6" s="61">
        <v>57</v>
      </c>
      <c r="P6" s="61">
        <v>58</v>
      </c>
      <c r="R6" s="61">
        <v>62</v>
      </c>
      <c r="S6" s="61">
        <v>63</v>
      </c>
      <c r="T6" s="61">
        <v>61</v>
      </c>
      <c r="U6" s="61">
        <v>60</v>
      </c>
    </row>
    <row r="7" spans="1:21" x14ac:dyDescent="0.25">
      <c r="B7" s="61" t="s">
        <v>207</v>
      </c>
      <c r="C7" s="61">
        <v>4</v>
      </c>
      <c r="D7" s="61">
        <v>49</v>
      </c>
      <c r="E7" s="61">
        <v>52</v>
      </c>
      <c r="F7" s="61">
        <v>58</v>
      </c>
      <c r="G7" s="61">
        <v>62</v>
      </c>
      <c r="H7" s="61">
        <v>62</v>
      </c>
      <c r="I7" s="61">
        <v>64</v>
      </c>
      <c r="J7" s="61">
        <v>68</v>
      </c>
      <c r="K7" s="61">
        <v>68</v>
      </c>
      <c r="L7" s="61">
        <v>68</v>
      </c>
      <c r="N7" s="61">
        <v>71</v>
      </c>
      <c r="O7" s="61">
        <v>71</v>
      </c>
      <c r="P7" s="61">
        <v>72</v>
      </c>
      <c r="R7" s="61">
        <v>78</v>
      </c>
      <c r="S7" s="61">
        <v>86</v>
      </c>
      <c r="T7" s="61">
        <v>91</v>
      </c>
      <c r="U7" s="61">
        <v>92</v>
      </c>
    </row>
    <row r="8" spans="1:21" x14ac:dyDescent="0.25">
      <c r="B8" s="61" t="s">
        <v>206</v>
      </c>
      <c r="C8" s="61">
        <v>105</v>
      </c>
      <c r="D8" s="61">
        <v>92</v>
      </c>
      <c r="E8" s="61">
        <v>105</v>
      </c>
      <c r="F8" s="61">
        <v>103</v>
      </c>
      <c r="G8" s="61">
        <v>108</v>
      </c>
      <c r="H8" s="61">
        <v>108</v>
      </c>
      <c r="I8" s="61">
        <v>108</v>
      </c>
      <c r="J8" s="61">
        <v>108</v>
      </c>
      <c r="K8" s="61">
        <v>116</v>
      </c>
      <c r="L8" s="61">
        <v>116</v>
      </c>
      <c r="N8" s="61">
        <f>79+52</f>
        <v>131</v>
      </c>
      <c r="O8" s="61">
        <f>76+46</f>
        <v>122</v>
      </c>
      <c r="P8" s="61">
        <f>69+53</f>
        <v>122</v>
      </c>
      <c r="R8" s="61">
        <f>72+60</f>
        <v>132</v>
      </c>
      <c r="S8" s="61">
        <f>75+75</f>
        <v>150</v>
      </c>
      <c r="T8" s="61">
        <f>78+71</f>
        <v>149</v>
      </c>
      <c r="U8" s="61">
        <f>80+73</f>
        <v>153</v>
      </c>
    </row>
    <row r="9" spans="1:21" x14ac:dyDescent="0.25">
      <c r="A9" s="61" t="s">
        <v>191</v>
      </c>
      <c r="B9" s="61" t="s">
        <v>206</v>
      </c>
      <c r="C9" s="61">
        <v>30</v>
      </c>
      <c r="D9" s="61">
        <v>41</v>
      </c>
      <c r="E9" s="61">
        <v>41</v>
      </c>
      <c r="F9" s="61">
        <v>30</v>
      </c>
      <c r="G9" s="61">
        <v>31</v>
      </c>
      <c r="H9" s="61">
        <v>31</v>
      </c>
      <c r="I9" s="61">
        <v>30</v>
      </c>
      <c r="J9" s="61">
        <v>28</v>
      </c>
      <c r="K9" s="61">
        <v>31.5</v>
      </c>
      <c r="L9" s="61">
        <v>31.5</v>
      </c>
      <c r="N9" s="61">
        <v>30</v>
      </c>
      <c r="O9" s="61">
        <f>14+11</f>
        <v>25</v>
      </c>
      <c r="P9" s="61">
        <f>12+8</f>
        <v>20</v>
      </c>
      <c r="R9" s="61">
        <f>12+6</f>
        <v>18</v>
      </c>
      <c r="S9" s="61">
        <f>14+8</f>
        <v>22</v>
      </c>
      <c r="T9" s="61">
        <f>14+8</f>
        <v>22</v>
      </c>
      <c r="U9" s="61">
        <f>16+9</f>
        <v>25</v>
      </c>
    </row>
    <row r="10" spans="1:21" x14ac:dyDescent="0.25">
      <c r="B10" s="61" t="s">
        <v>207</v>
      </c>
      <c r="C10" s="61">
        <v>15</v>
      </c>
      <c r="D10" s="61">
        <v>20</v>
      </c>
      <c r="E10" s="61">
        <v>22</v>
      </c>
      <c r="F10" s="61">
        <v>23</v>
      </c>
      <c r="G10" s="61">
        <v>23</v>
      </c>
      <c r="H10" s="61">
        <v>23</v>
      </c>
      <c r="I10" s="61">
        <v>23</v>
      </c>
      <c r="J10" s="61">
        <v>24</v>
      </c>
      <c r="K10" s="61">
        <v>27</v>
      </c>
      <c r="L10" s="61">
        <v>27</v>
      </c>
      <c r="N10" s="61">
        <v>13</v>
      </c>
      <c r="O10" s="61">
        <v>11</v>
      </c>
      <c r="P10" s="61">
        <v>18</v>
      </c>
      <c r="R10" s="61">
        <v>18</v>
      </c>
      <c r="S10" s="61">
        <v>19</v>
      </c>
      <c r="T10" s="61">
        <v>25</v>
      </c>
      <c r="U10" s="61">
        <v>25</v>
      </c>
    </row>
    <row r="11" spans="1:21" x14ac:dyDescent="0.25">
      <c r="B11" s="61" t="s">
        <v>208</v>
      </c>
      <c r="C11" s="61">
        <v>1</v>
      </c>
      <c r="D11" s="61">
        <v>2</v>
      </c>
      <c r="E11" s="61">
        <v>2</v>
      </c>
      <c r="F11" s="61">
        <v>0.2</v>
      </c>
      <c r="G11" s="61">
        <v>0.2</v>
      </c>
      <c r="H11" s="61">
        <v>0.2</v>
      </c>
      <c r="I11" s="61">
        <v>0.2</v>
      </c>
      <c r="J11" s="61">
        <v>2</v>
      </c>
      <c r="K11" s="61">
        <v>2.5</v>
      </c>
      <c r="L11" s="61">
        <v>2.5</v>
      </c>
      <c r="N11" s="61">
        <v>1.3</v>
      </c>
      <c r="O11" s="61">
        <v>1.4</v>
      </c>
      <c r="P11" s="61">
        <v>0.2</v>
      </c>
      <c r="R11" s="61">
        <v>0.1</v>
      </c>
      <c r="S11" s="61">
        <v>0.1</v>
      </c>
      <c r="T11" s="61">
        <v>0.1</v>
      </c>
      <c r="U11" s="61">
        <v>0.1</v>
      </c>
    </row>
    <row r="12" spans="1:21" x14ac:dyDescent="0.25">
      <c r="B12" s="61" t="s">
        <v>222</v>
      </c>
      <c r="C12" s="61">
        <v>65</v>
      </c>
      <c r="D12" s="61">
        <v>61</v>
      </c>
      <c r="E12" s="61">
        <v>62</v>
      </c>
      <c r="F12" s="61">
        <v>73</v>
      </c>
      <c r="G12" s="61">
        <v>75</v>
      </c>
      <c r="H12" s="61">
        <v>75</v>
      </c>
      <c r="I12" s="61">
        <v>75</v>
      </c>
      <c r="J12" s="61">
        <v>67</v>
      </c>
      <c r="K12" s="61">
        <v>68</v>
      </c>
      <c r="L12" s="61">
        <v>68</v>
      </c>
      <c r="N12" s="61">
        <v>68</v>
      </c>
      <c r="O12" s="61">
        <v>75</v>
      </c>
      <c r="P12" s="61">
        <v>75</v>
      </c>
      <c r="R12" s="61">
        <v>76</v>
      </c>
      <c r="S12" s="61">
        <v>83</v>
      </c>
      <c r="T12" s="61">
        <v>82</v>
      </c>
      <c r="U12" s="61">
        <v>85</v>
      </c>
    </row>
    <row r="14" spans="1:21" x14ac:dyDescent="0.25">
      <c r="C14" s="61" t="s">
        <v>232</v>
      </c>
      <c r="D14" s="61" t="s">
        <v>231</v>
      </c>
      <c r="E14" s="61" t="s">
        <v>230</v>
      </c>
      <c r="F14" s="61" t="s">
        <v>229</v>
      </c>
      <c r="G14" s="61" t="s">
        <v>228</v>
      </c>
      <c r="H14" s="61" t="s">
        <v>227</v>
      </c>
      <c r="I14" s="61" t="s">
        <v>226</v>
      </c>
      <c r="J14" s="61" t="s">
        <v>225</v>
      </c>
      <c r="K14" s="61" t="s">
        <v>224</v>
      </c>
      <c r="L14" s="61" t="s">
        <v>223</v>
      </c>
    </row>
    <row r="15" spans="1:21" x14ac:dyDescent="0.25">
      <c r="C15" s="61">
        <v>2003</v>
      </c>
      <c r="D15" s="61">
        <v>2004</v>
      </c>
      <c r="E15" s="61">
        <v>2005</v>
      </c>
      <c r="F15" s="61">
        <v>2006</v>
      </c>
      <c r="G15" s="61">
        <v>2007</v>
      </c>
      <c r="H15" s="61">
        <v>2008</v>
      </c>
      <c r="I15" s="61">
        <v>2009</v>
      </c>
      <c r="J15" s="61">
        <v>2010</v>
      </c>
      <c r="K15" s="61">
        <v>2011</v>
      </c>
      <c r="L15" s="61">
        <v>2012</v>
      </c>
    </row>
    <row r="16" spans="1:21" x14ac:dyDescent="0.25">
      <c r="A16" s="61" t="s">
        <v>194</v>
      </c>
      <c r="B16" s="61" t="s">
        <v>208</v>
      </c>
      <c r="C16" s="61">
        <v>43</v>
      </c>
      <c r="D16" s="61">
        <v>47</v>
      </c>
      <c r="E16" s="61">
        <v>53</v>
      </c>
      <c r="F16" s="61">
        <v>60</v>
      </c>
      <c r="G16" s="61">
        <v>61</v>
      </c>
      <c r="H16" s="61">
        <f t="shared" ref="H16:H22" si="0">N6</f>
        <v>61</v>
      </c>
      <c r="I16" s="61">
        <f t="shared" ref="I16:I22" si="1">P6</f>
        <v>58</v>
      </c>
      <c r="J16" s="61">
        <f t="shared" ref="J16:L22" si="2">R6</f>
        <v>62</v>
      </c>
      <c r="K16" s="61">
        <f t="shared" si="2"/>
        <v>63</v>
      </c>
      <c r="L16" s="61">
        <f t="shared" si="2"/>
        <v>61</v>
      </c>
    </row>
    <row r="17" spans="1:12" x14ac:dyDescent="0.25">
      <c r="B17" s="61" t="s">
        <v>207</v>
      </c>
      <c r="C17" s="61">
        <v>49</v>
      </c>
      <c r="D17" s="61">
        <v>58</v>
      </c>
      <c r="E17" s="61">
        <v>62</v>
      </c>
      <c r="F17" s="61">
        <v>68</v>
      </c>
      <c r="G17" s="61">
        <v>68</v>
      </c>
      <c r="H17" s="61">
        <f t="shared" si="0"/>
        <v>71</v>
      </c>
      <c r="I17" s="61">
        <f t="shared" si="1"/>
        <v>72</v>
      </c>
      <c r="J17" s="61">
        <f t="shared" si="2"/>
        <v>78</v>
      </c>
      <c r="K17" s="61">
        <f t="shared" si="2"/>
        <v>86</v>
      </c>
      <c r="L17" s="61">
        <f t="shared" si="2"/>
        <v>91</v>
      </c>
    </row>
    <row r="18" spans="1:12" x14ac:dyDescent="0.25">
      <c r="B18" s="61" t="s">
        <v>206</v>
      </c>
      <c r="C18" s="61">
        <v>92</v>
      </c>
      <c r="D18" s="61">
        <v>103</v>
      </c>
      <c r="E18" s="61">
        <v>108</v>
      </c>
      <c r="F18" s="61">
        <v>108</v>
      </c>
      <c r="G18" s="61">
        <v>116</v>
      </c>
      <c r="H18" s="61">
        <f t="shared" si="0"/>
        <v>131</v>
      </c>
      <c r="I18" s="61">
        <f t="shared" si="1"/>
        <v>122</v>
      </c>
      <c r="J18" s="61">
        <f t="shared" si="2"/>
        <v>132</v>
      </c>
      <c r="K18" s="61">
        <f t="shared" si="2"/>
        <v>150</v>
      </c>
      <c r="L18" s="61">
        <f t="shared" si="2"/>
        <v>149</v>
      </c>
    </row>
    <row r="19" spans="1:12" x14ac:dyDescent="0.25">
      <c r="A19" s="61" t="s">
        <v>191</v>
      </c>
      <c r="B19" s="61" t="s">
        <v>206</v>
      </c>
      <c r="C19" s="61">
        <v>41</v>
      </c>
      <c r="D19" s="61">
        <v>30</v>
      </c>
      <c r="E19" s="61">
        <v>31</v>
      </c>
      <c r="F19" s="61">
        <v>28</v>
      </c>
      <c r="G19" s="61">
        <v>31.5</v>
      </c>
      <c r="H19" s="61">
        <f t="shared" si="0"/>
        <v>30</v>
      </c>
      <c r="I19" s="61">
        <f t="shared" si="1"/>
        <v>20</v>
      </c>
      <c r="J19" s="61">
        <f t="shared" si="2"/>
        <v>18</v>
      </c>
      <c r="K19" s="61">
        <f t="shared" si="2"/>
        <v>22</v>
      </c>
      <c r="L19" s="61">
        <f t="shared" si="2"/>
        <v>22</v>
      </c>
    </row>
    <row r="20" spans="1:12" x14ac:dyDescent="0.25">
      <c r="B20" s="61" t="s">
        <v>207</v>
      </c>
      <c r="C20" s="61">
        <v>20</v>
      </c>
      <c r="D20" s="61">
        <v>23</v>
      </c>
      <c r="E20" s="61">
        <v>23</v>
      </c>
      <c r="F20" s="61">
        <v>24</v>
      </c>
      <c r="G20" s="61">
        <v>27</v>
      </c>
      <c r="H20" s="61">
        <f t="shared" si="0"/>
        <v>13</v>
      </c>
      <c r="I20" s="61">
        <f t="shared" si="1"/>
        <v>18</v>
      </c>
      <c r="J20" s="61">
        <f t="shared" si="2"/>
        <v>18</v>
      </c>
      <c r="K20" s="61">
        <f t="shared" si="2"/>
        <v>19</v>
      </c>
      <c r="L20" s="61">
        <f t="shared" si="2"/>
        <v>25</v>
      </c>
    </row>
    <row r="21" spans="1:12" x14ac:dyDescent="0.25">
      <c r="B21" s="61" t="s">
        <v>208</v>
      </c>
      <c r="C21" s="61">
        <v>2</v>
      </c>
      <c r="D21" s="61">
        <v>0.2</v>
      </c>
      <c r="E21" s="61">
        <v>0.2</v>
      </c>
      <c r="F21" s="61">
        <v>2</v>
      </c>
      <c r="G21" s="61">
        <v>2.5</v>
      </c>
      <c r="H21" s="61">
        <f t="shared" si="0"/>
        <v>1.3</v>
      </c>
      <c r="I21" s="61">
        <f t="shared" si="1"/>
        <v>0.2</v>
      </c>
      <c r="J21" s="61">
        <f t="shared" si="2"/>
        <v>0.1</v>
      </c>
      <c r="K21" s="61">
        <f t="shared" si="2"/>
        <v>0.1</v>
      </c>
      <c r="L21" s="61">
        <f t="shared" si="2"/>
        <v>0.1</v>
      </c>
    </row>
    <row r="22" spans="1:12" x14ac:dyDescent="0.25">
      <c r="B22" s="61" t="s">
        <v>222</v>
      </c>
      <c r="C22" s="61">
        <v>61</v>
      </c>
      <c r="D22" s="61">
        <v>73</v>
      </c>
      <c r="E22" s="61">
        <v>75</v>
      </c>
      <c r="F22" s="61">
        <v>67</v>
      </c>
      <c r="G22" s="61">
        <v>68</v>
      </c>
      <c r="H22" s="61">
        <f t="shared" si="0"/>
        <v>68</v>
      </c>
      <c r="I22" s="61">
        <f t="shared" si="1"/>
        <v>75</v>
      </c>
      <c r="J22" s="61">
        <f t="shared" si="2"/>
        <v>76</v>
      </c>
      <c r="K22" s="61">
        <f t="shared" si="2"/>
        <v>83</v>
      </c>
      <c r="L22" s="61">
        <f t="shared" si="2"/>
        <v>82</v>
      </c>
    </row>
    <row r="23" spans="1:12" x14ac:dyDescent="0.25">
      <c r="B23" s="61" t="s">
        <v>193</v>
      </c>
      <c r="C23" s="61">
        <f t="shared" ref="C23:L23" si="3">SUM(C16:C22)</f>
        <v>308</v>
      </c>
      <c r="D23" s="61">
        <f t="shared" si="3"/>
        <v>334.2</v>
      </c>
      <c r="E23" s="61">
        <f t="shared" si="3"/>
        <v>352.2</v>
      </c>
      <c r="F23" s="61">
        <f t="shared" si="3"/>
        <v>357</v>
      </c>
      <c r="G23" s="61">
        <f t="shared" si="3"/>
        <v>374</v>
      </c>
      <c r="H23" s="61">
        <f t="shared" si="3"/>
        <v>375.3</v>
      </c>
      <c r="I23" s="61">
        <f t="shared" si="3"/>
        <v>365.2</v>
      </c>
      <c r="J23" s="61">
        <f t="shared" si="3"/>
        <v>384.1</v>
      </c>
      <c r="K23" s="61">
        <f t="shared" si="3"/>
        <v>423.1</v>
      </c>
      <c r="L23" s="61">
        <f t="shared" si="3"/>
        <v>430.1</v>
      </c>
    </row>
    <row r="25" spans="1:12" x14ac:dyDescent="0.25">
      <c r="A25" s="61" t="s">
        <v>221</v>
      </c>
      <c r="B25" s="61" t="s">
        <v>193</v>
      </c>
      <c r="C25" s="61">
        <f t="shared" ref="C25:L25" si="4">C18+C19</f>
        <v>133</v>
      </c>
      <c r="D25" s="61">
        <f t="shared" si="4"/>
        <v>133</v>
      </c>
      <c r="E25" s="61">
        <f t="shared" si="4"/>
        <v>139</v>
      </c>
      <c r="F25" s="61">
        <f t="shared" si="4"/>
        <v>136</v>
      </c>
      <c r="G25" s="61">
        <f t="shared" si="4"/>
        <v>147.5</v>
      </c>
      <c r="H25" s="61">
        <f t="shared" si="4"/>
        <v>161</v>
      </c>
      <c r="I25" s="61">
        <f t="shared" si="4"/>
        <v>142</v>
      </c>
      <c r="J25" s="61">
        <f t="shared" si="4"/>
        <v>150</v>
      </c>
      <c r="K25" s="61">
        <f t="shared" si="4"/>
        <v>172</v>
      </c>
      <c r="L25" s="61">
        <f t="shared" si="4"/>
        <v>171</v>
      </c>
    </row>
    <row r="26" spans="1:12" x14ac:dyDescent="0.25">
      <c r="B26" s="61" t="s">
        <v>220</v>
      </c>
      <c r="C26" s="62">
        <f t="shared" ref="C26:L26" si="5">C18/C25</f>
        <v>0.69172932330827064</v>
      </c>
      <c r="D26" s="62">
        <f t="shared" si="5"/>
        <v>0.77443609022556392</v>
      </c>
      <c r="E26" s="62">
        <f t="shared" si="5"/>
        <v>0.7769784172661871</v>
      </c>
      <c r="F26" s="62">
        <f t="shared" si="5"/>
        <v>0.79411764705882348</v>
      </c>
      <c r="G26" s="62">
        <f t="shared" si="5"/>
        <v>0.78644067796610173</v>
      </c>
      <c r="H26" s="62">
        <f t="shared" si="5"/>
        <v>0.81366459627329191</v>
      </c>
      <c r="I26" s="62">
        <f t="shared" si="5"/>
        <v>0.85915492957746475</v>
      </c>
      <c r="J26" s="62">
        <f t="shared" si="5"/>
        <v>0.88</v>
      </c>
      <c r="K26" s="62">
        <f t="shared" si="5"/>
        <v>0.87209302325581395</v>
      </c>
      <c r="L26" s="62">
        <f t="shared" si="5"/>
        <v>0.87134502923976609</v>
      </c>
    </row>
    <row r="27" spans="1:12" x14ac:dyDescent="0.25">
      <c r="B27" s="61" t="s">
        <v>219</v>
      </c>
      <c r="C27" s="62">
        <f t="shared" ref="C27:L27" si="6">C19/C25</f>
        <v>0.30827067669172931</v>
      </c>
      <c r="D27" s="62">
        <f t="shared" si="6"/>
        <v>0.22556390977443608</v>
      </c>
      <c r="E27" s="62">
        <f t="shared" si="6"/>
        <v>0.22302158273381295</v>
      </c>
      <c r="F27" s="62">
        <f t="shared" si="6"/>
        <v>0.20588235294117646</v>
      </c>
      <c r="G27" s="62">
        <f t="shared" si="6"/>
        <v>0.2135593220338983</v>
      </c>
      <c r="H27" s="62">
        <f t="shared" si="6"/>
        <v>0.18633540372670807</v>
      </c>
      <c r="I27" s="62">
        <f t="shared" si="6"/>
        <v>0.14084507042253522</v>
      </c>
      <c r="J27" s="62">
        <f t="shared" si="6"/>
        <v>0.12</v>
      </c>
      <c r="K27" s="62">
        <f t="shared" si="6"/>
        <v>0.12790697674418605</v>
      </c>
      <c r="L27" s="62">
        <f t="shared" si="6"/>
        <v>0.12865497076023391</v>
      </c>
    </row>
    <row r="28" spans="1:12" x14ac:dyDescent="0.25">
      <c r="C28" s="62"/>
      <c r="D28" s="62"/>
      <c r="E28" s="62"/>
      <c r="F28" s="62"/>
      <c r="G28" s="62"/>
      <c r="H28" s="62"/>
      <c r="I28" s="62"/>
      <c r="J28" s="62"/>
      <c r="K28" s="62"/>
      <c r="L28" s="62"/>
    </row>
    <row r="29" spans="1:12" x14ac:dyDescent="0.25">
      <c r="A29" s="61" t="s">
        <v>218</v>
      </c>
      <c r="C29" s="61">
        <f t="shared" ref="C29:L29" si="7">C15</f>
        <v>2003</v>
      </c>
      <c r="D29" s="61">
        <f t="shared" si="7"/>
        <v>2004</v>
      </c>
      <c r="E29" s="61">
        <f t="shared" si="7"/>
        <v>2005</v>
      </c>
      <c r="F29" s="61">
        <f t="shared" si="7"/>
        <v>2006</v>
      </c>
      <c r="G29" s="61">
        <f t="shared" si="7"/>
        <v>2007</v>
      </c>
      <c r="H29" s="61">
        <f t="shared" si="7"/>
        <v>2008</v>
      </c>
      <c r="I29" s="61">
        <f t="shared" si="7"/>
        <v>2009</v>
      </c>
      <c r="J29" s="61">
        <f t="shared" si="7"/>
        <v>2010</v>
      </c>
      <c r="K29" s="61">
        <f t="shared" si="7"/>
        <v>2011</v>
      </c>
      <c r="L29" s="61">
        <f t="shared" si="7"/>
        <v>2012</v>
      </c>
    </row>
    <row r="30" spans="1:12" x14ac:dyDescent="0.25">
      <c r="A30" s="61" t="s">
        <v>217</v>
      </c>
      <c r="C30" s="64">
        <f t="shared" ref="C30:L30" si="8">SUM(C19:C21)/SUM(C19:C21,C16:C18)</f>
        <v>0.25506072874493929</v>
      </c>
      <c r="D30" s="64">
        <f t="shared" si="8"/>
        <v>0.20367534456355285</v>
      </c>
      <c r="E30" s="64">
        <f t="shared" si="8"/>
        <v>0.19552669552669555</v>
      </c>
      <c r="F30" s="64">
        <f t="shared" si="8"/>
        <v>0.18620689655172415</v>
      </c>
      <c r="G30" s="64">
        <f t="shared" si="8"/>
        <v>0.19934640522875818</v>
      </c>
      <c r="H30" s="64">
        <f t="shared" si="8"/>
        <v>0.14415880247315327</v>
      </c>
      <c r="I30" s="64">
        <f t="shared" si="8"/>
        <v>0.13163335630599587</v>
      </c>
      <c r="J30" s="64">
        <f t="shared" si="8"/>
        <v>0.11716975008114248</v>
      </c>
      <c r="K30" s="64">
        <f t="shared" si="8"/>
        <v>0.12084680976183475</v>
      </c>
      <c r="L30" s="64">
        <f t="shared" si="8"/>
        <v>0.13530594656707842</v>
      </c>
    </row>
    <row r="31" spans="1:12" x14ac:dyDescent="0.25">
      <c r="A31" s="61" t="s">
        <v>216</v>
      </c>
      <c r="C31" s="64">
        <f t="shared" ref="C31:L31" si="9">C19/SUM(C18,C19)</f>
        <v>0.30827067669172931</v>
      </c>
      <c r="D31" s="64">
        <f t="shared" si="9"/>
        <v>0.22556390977443608</v>
      </c>
      <c r="E31" s="64">
        <f t="shared" si="9"/>
        <v>0.22302158273381295</v>
      </c>
      <c r="F31" s="64">
        <f t="shared" si="9"/>
        <v>0.20588235294117646</v>
      </c>
      <c r="G31" s="64">
        <f t="shared" si="9"/>
        <v>0.2135593220338983</v>
      </c>
      <c r="H31" s="64">
        <f t="shared" si="9"/>
        <v>0.18633540372670807</v>
      </c>
      <c r="I31" s="64">
        <f t="shared" si="9"/>
        <v>0.14084507042253522</v>
      </c>
      <c r="J31" s="64">
        <f t="shared" si="9"/>
        <v>0.12</v>
      </c>
      <c r="K31" s="64">
        <f t="shared" si="9"/>
        <v>0.12790697674418605</v>
      </c>
      <c r="L31" s="64">
        <f t="shared" si="9"/>
        <v>0.12865497076023391</v>
      </c>
    </row>
    <row r="33" spans="1:25" x14ac:dyDescent="0.25">
      <c r="A33" s="61" t="s">
        <v>215</v>
      </c>
      <c r="B33" s="61" t="str">
        <f t="shared" ref="B33:B40" si="10">B16</f>
        <v>Metro</v>
      </c>
      <c r="D33" s="62">
        <f t="shared" ref="D33:L33" si="11">D16/C16-1</f>
        <v>9.3023255813953432E-2</v>
      </c>
      <c r="E33" s="62">
        <f t="shared" si="11"/>
        <v>0.12765957446808507</v>
      </c>
      <c r="F33" s="62">
        <f t="shared" si="11"/>
        <v>0.13207547169811318</v>
      </c>
      <c r="G33" s="62">
        <f t="shared" si="11"/>
        <v>1.6666666666666607E-2</v>
      </c>
      <c r="H33" s="62">
        <f t="shared" si="11"/>
        <v>0</v>
      </c>
      <c r="I33" s="62">
        <f t="shared" si="11"/>
        <v>-4.9180327868852514E-2</v>
      </c>
      <c r="J33" s="62">
        <f t="shared" si="11"/>
        <v>6.8965517241379226E-2</v>
      </c>
      <c r="K33" s="62">
        <f t="shared" si="11"/>
        <v>1.6129032258064502E-2</v>
      </c>
      <c r="L33" s="62">
        <f t="shared" si="11"/>
        <v>-3.1746031746031744E-2</v>
      </c>
    </row>
    <row r="34" spans="1:25" x14ac:dyDescent="0.25">
      <c r="B34" s="61" t="str">
        <f t="shared" si="10"/>
        <v>Rural</v>
      </c>
      <c r="D34" s="62">
        <f t="shared" ref="D34:L34" si="12">D17/C17-1</f>
        <v>0.18367346938775508</v>
      </c>
      <c r="E34" s="62">
        <f t="shared" si="12"/>
        <v>6.8965517241379226E-2</v>
      </c>
      <c r="F34" s="62">
        <f t="shared" si="12"/>
        <v>9.6774193548387011E-2</v>
      </c>
      <c r="G34" s="62">
        <f t="shared" si="12"/>
        <v>0</v>
      </c>
      <c r="H34" s="62">
        <f t="shared" si="12"/>
        <v>4.4117647058823595E-2</v>
      </c>
      <c r="I34" s="62">
        <f t="shared" si="12"/>
        <v>1.4084507042253502E-2</v>
      </c>
      <c r="J34" s="62">
        <f t="shared" si="12"/>
        <v>8.3333333333333259E-2</v>
      </c>
      <c r="K34" s="62">
        <f t="shared" si="12"/>
        <v>0.10256410256410264</v>
      </c>
      <c r="L34" s="62">
        <f t="shared" si="12"/>
        <v>5.8139534883721034E-2</v>
      </c>
    </row>
    <row r="35" spans="1:25" x14ac:dyDescent="0.25">
      <c r="B35" s="61" t="str">
        <f t="shared" si="10"/>
        <v>Corridor</v>
      </c>
      <c r="D35" s="62">
        <f t="shared" ref="D35:L35" si="13">D18/C18-1</f>
        <v>0.11956521739130443</v>
      </c>
      <c r="E35" s="62">
        <f t="shared" si="13"/>
        <v>4.8543689320388328E-2</v>
      </c>
      <c r="F35" s="62">
        <f t="shared" si="13"/>
        <v>0</v>
      </c>
      <c r="G35" s="62">
        <f t="shared" si="13"/>
        <v>7.4074074074074181E-2</v>
      </c>
      <c r="H35" s="62">
        <f t="shared" si="13"/>
        <v>0.1293103448275863</v>
      </c>
      <c r="I35" s="62">
        <f t="shared" si="13"/>
        <v>-6.8702290076335881E-2</v>
      </c>
      <c r="J35" s="62">
        <f t="shared" si="13"/>
        <v>8.1967213114754189E-2</v>
      </c>
      <c r="K35" s="62">
        <f t="shared" si="13"/>
        <v>0.13636363636363646</v>
      </c>
      <c r="L35" s="62">
        <f t="shared" si="13"/>
        <v>-6.6666666666667096E-3</v>
      </c>
    </row>
    <row r="36" spans="1:25" x14ac:dyDescent="0.25">
      <c r="B36" s="61" t="str">
        <f t="shared" si="10"/>
        <v>Corridor</v>
      </c>
      <c r="D36" s="62">
        <f t="shared" ref="D36:L36" si="14">D19/C19-1</f>
        <v>-0.26829268292682928</v>
      </c>
      <c r="E36" s="62">
        <f t="shared" si="14"/>
        <v>3.3333333333333437E-2</v>
      </c>
      <c r="F36" s="62">
        <f t="shared" si="14"/>
        <v>-9.6774193548387122E-2</v>
      </c>
      <c r="G36" s="62">
        <f t="shared" si="14"/>
        <v>0.125</v>
      </c>
      <c r="H36" s="62">
        <f t="shared" si="14"/>
        <v>-4.7619047619047672E-2</v>
      </c>
      <c r="I36" s="62">
        <f t="shared" si="14"/>
        <v>-0.33333333333333337</v>
      </c>
      <c r="J36" s="62">
        <f t="shared" si="14"/>
        <v>-9.9999999999999978E-2</v>
      </c>
      <c r="K36" s="62">
        <f t="shared" si="14"/>
        <v>0.22222222222222232</v>
      </c>
      <c r="L36" s="62">
        <f t="shared" si="14"/>
        <v>0</v>
      </c>
    </row>
    <row r="37" spans="1:25" x14ac:dyDescent="0.25">
      <c r="B37" s="61" t="str">
        <f t="shared" si="10"/>
        <v>Rural</v>
      </c>
      <c r="D37" s="62">
        <f t="shared" ref="D37:L37" si="15">D20/C20-1</f>
        <v>0.14999999999999991</v>
      </c>
      <c r="E37" s="62">
        <f t="shared" si="15"/>
        <v>0</v>
      </c>
      <c r="F37" s="62">
        <f t="shared" si="15"/>
        <v>4.3478260869565188E-2</v>
      </c>
      <c r="G37" s="62">
        <f t="shared" si="15"/>
        <v>0.125</v>
      </c>
      <c r="H37" s="62">
        <f t="shared" si="15"/>
        <v>-0.5185185185185186</v>
      </c>
      <c r="I37" s="62">
        <f t="shared" si="15"/>
        <v>0.38461538461538458</v>
      </c>
      <c r="J37" s="62">
        <f t="shared" si="15"/>
        <v>0</v>
      </c>
      <c r="K37" s="62">
        <f t="shared" si="15"/>
        <v>5.555555555555558E-2</v>
      </c>
      <c r="L37" s="62">
        <f t="shared" si="15"/>
        <v>0.31578947368421062</v>
      </c>
    </row>
    <row r="38" spans="1:25" x14ac:dyDescent="0.25">
      <c r="B38" s="61" t="str">
        <f t="shared" si="10"/>
        <v>Metro</v>
      </c>
      <c r="D38" s="62">
        <f t="shared" ref="D38:L38" si="16">D21/C21-1</f>
        <v>-0.9</v>
      </c>
      <c r="E38" s="62">
        <f t="shared" si="16"/>
        <v>0</v>
      </c>
      <c r="F38" s="62">
        <f t="shared" si="16"/>
        <v>9</v>
      </c>
      <c r="G38" s="62">
        <f t="shared" si="16"/>
        <v>0.25</v>
      </c>
      <c r="H38" s="62">
        <f t="shared" si="16"/>
        <v>-0.48</v>
      </c>
      <c r="I38" s="62">
        <f t="shared" si="16"/>
        <v>-0.84615384615384615</v>
      </c>
      <c r="J38" s="62">
        <f t="shared" si="16"/>
        <v>-0.5</v>
      </c>
      <c r="K38" s="62">
        <f t="shared" si="16"/>
        <v>0</v>
      </c>
      <c r="L38" s="62">
        <f t="shared" si="16"/>
        <v>0</v>
      </c>
    </row>
    <row r="39" spans="1:25" x14ac:dyDescent="0.25">
      <c r="B39" s="61" t="str">
        <f t="shared" si="10"/>
        <v>Export</v>
      </c>
      <c r="D39" s="62">
        <f t="shared" ref="D39:L39" si="17">D22/C22-1</f>
        <v>0.19672131147540983</v>
      </c>
      <c r="E39" s="62">
        <f t="shared" si="17"/>
        <v>2.7397260273972712E-2</v>
      </c>
      <c r="F39" s="62">
        <f t="shared" si="17"/>
        <v>-0.10666666666666669</v>
      </c>
      <c r="G39" s="62">
        <f t="shared" si="17"/>
        <v>1.4925373134328401E-2</v>
      </c>
      <c r="H39" s="62">
        <f t="shared" si="17"/>
        <v>0</v>
      </c>
      <c r="I39" s="62">
        <f t="shared" si="17"/>
        <v>0.10294117647058831</v>
      </c>
      <c r="J39" s="62">
        <f t="shared" si="17"/>
        <v>1.3333333333333419E-2</v>
      </c>
      <c r="K39" s="62">
        <f t="shared" si="17"/>
        <v>9.210526315789469E-2</v>
      </c>
      <c r="L39" s="62">
        <f t="shared" si="17"/>
        <v>-1.2048192771084376E-2</v>
      </c>
    </row>
    <row r="40" spans="1:25" x14ac:dyDescent="0.25">
      <c r="B40" s="61" t="str">
        <f t="shared" si="10"/>
        <v>Total</v>
      </c>
      <c r="D40" s="62">
        <f t="shared" ref="D40:L40" si="18">D23/C23-1</f>
        <v>8.5064935064935066E-2</v>
      </c>
      <c r="E40" s="62">
        <f t="shared" si="18"/>
        <v>5.3859964093357249E-2</v>
      </c>
      <c r="F40" s="62">
        <f t="shared" si="18"/>
        <v>1.3628620102214661E-2</v>
      </c>
      <c r="G40" s="62">
        <f t="shared" si="18"/>
        <v>4.7619047619047672E-2</v>
      </c>
      <c r="H40" s="62">
        <f t="shared" si="18"/>
        <v>3.4759358288769526E-3</v>
      </c>
      <c r="I40" s="62">
        <f t="shared" si="18"/>
        <v>-2.6911803890221186E-2</v>
      </c>
      <c r="J40" s="62">
        <f t="shared" si="18"/>
        <v>5.1752464403066911E-2</v>
      </c>
      <c r="K40" s="62">
        <f t="shared" si="18"/>
        <v>0.10153605831814638</v>
      </c>
      <c r="L40" s="62">
        <f t="shared" si="18"/>
        <v>1.6544552115339117E-2</v>
      </c>
    </row>
    <row r="41" spans="1:25" x14ac:dyDescent="0.25">
      <c r="D41" s="62"/>
      <c r="E41" s="62"/>
      <c r="F41" s="62"/>
      <c r="G41" s="62"/>
      <c r="H41" s="62"/>
      <c r="I41" s="62"/>
      <c r="J41" s="62"/>
      <c r="K41" s="62"/>
    </row>
    <row r="42" spans="1:25" x14ac:dyDescent="0.25">
      <c r="A42" s="61" t="s">
        <v>214</v>
      </c>
      <c r="B42" s="61" t="str">
        <f t="shared" ref="B42:B49" si="19">B16</f>
        <v>Metro</v>
      </c>
      <c r="C42" s="63">
        <f t="shared" ref="C42:L42" si="20">C16/C$23</f>
        <v>0.1396103896103896</v>
      </c>
      <c r="D42" s="63">
        <f t="shared" si="20"/>
        <v>0.14063435068821065</v>
      </c>
      <c r="E42" s="63">
        <f t="shared" si="20"/>
        <v>0.15048268029528677</v>
      </c>
      <c r="F42" s="63">
        <f t="shared" si="20"/>
        <v>0.16806722689075632</v>
      </c>
      <c r="G42" s="63">
        <f t="shared" si="20"/>
        <v>0.16310160427807488</v>
      </c>
      <c r="H42" s="63">
        <f t="shared" si="20"/>
        <v>0.16253663735678123</v>
      </c>
      <c r="I42" s="63">
        <f t="shared" si="20"/>
        <v>0.15881708652792992</v>
      </c>
      <c r="J42" s="63">
        <f t="shared" si="20"/>
        <v>0.16141629783910438</v>
      </c>
      <c r="K42" s="63">
        <f t="shared" si="20"/>
        <v>0.14890096903805247</v>
      </c>
      <c r="L42" s="63">
        <f t="shared" si="20"/>
        <v>0.14182748198093467</v>
      </c>
    </row>
    <row r="43" spans="1:25" x14ac:dyDescent="0.25">
      <c r="B43" s="61" t="str">
        <f t="shared" si="19"/>
        <v>Rural</v>
      </c>
      <c r="C43" s="63">
        <f t="shared" ref="C43:L43" si="21">C17/C$23</f>
        <v>0.15909090909090909</v>
      </c>
      <c r="D43" s="63">
        <f t="shared" si="21"/>
        <v>0.17354877318970677</v>
      </c>
      <c r="E43" s="63">
        <f t="shared" si="21"/>
        <v>0.17603634298693924</v>
      </c>
      <c r="F43" s="63">
        <f t="shared" si="21"/>
        <v>0.19047619047619047</v>
      </c>
      <c r="G43" s="63">
        <f t="shared" si="21"/>
        <v>0.18181818181818182</v>
      </c>
      <c r="H43" s="63">
        <f t="shared" si="21"/>
        <v>0.18918198774313882</v>
      </c>
      <c r="I43" s="63">
        <f t="shared" si="21"/>
        <v>0.19715224534501644</v>
      </c>
      <c r="J43" s="63">
        <f t="shared" si="21"/>
        <v>0.20307211663629263</v>
      </c>
      <c r="K43" s="63">
        <f t="shared" si="21"/>
        <v>0.20326164027416685</v>
      </c>
      <c r="L43" s="63">
        <f t="shared" si="21"/>
        <v>0.21157870262729597</v>
      </c>
    </row>
    <row r="44" spans="1:25" x14ac:dyDescent="0.25">
      <c r="B44" s="61" t="str">
        <f t="shared" si="19"/>
        <v>Corridor</v>
      </c>
      <c r="C44" s="63">
        <f t="shared" ref="C44:L44" si="22">C18/C$23</f>
        <v>0.29870129870129869</v>
      </c>
      <c r="D44" s="63">
        <f t="shared" si="22"/>
        <v>0.30819868342309997</v>
      </c>
      <c r="E44" s="63">
        <f t="shared" si="22"/>
        <v>0.30664395229982966</v>
      </c>
      <c r="F44" s="63">
        <f t="shared" si="22"/>
        <v>0.30252100840336132</v>
      </c>
      <c r="G44" s="63">
        <f t="shared" si="22"/>
        <v>0.31016042780748665</v>
      </c>
      <c r="H44" s="63">
        <f t="shared" si="22"/>
        <v>0.34905409006128429</v>
      </c>
      <c r="I44" s="63">
        <f t="shared" si="22"/>
        <v>0.33406352683461116</v>
      </c>
      <c r="J44" s="63">
        <f t="shared" si="22"/>
        <v>0.3436605050768029</v>
      </c>
      <c r="K44" s="63">
        <f t="shared" si="22"/>
        <v>0.35452611675726775</v>
      </c>
      <c r="L44" s="63">
        <f t="shared" si="22"/>
        <v>0.34643106254359451</v>
      </c>
    </row>
    <row r="45" spans="1:25" x14ac:dyDescent="0.25">
      <c r="B45" s="61" t="str">
        <f t="shared" si="19"/>
        <v>Corridor</v>
      </c>
      <c r="C45" s="63">
        <f t="shared" ref="C45:L45" si="23">C19/C$23</f>
        <v>0.13311688311688311</v>
      </c>
      <c r="D45" s="63">
        <f t="shared" si="23"/>
        <v>8.9766606822262118E-2</v>
      </c>
      <c r="E45" s="63">
        <f t="shared" si="23"/>
        <v>8.8018171493469619E-2</v>
      </c>
      <c r="F45" s="63">
        <f t="shared" si="23"/>
        <v>7.8431372549019607E-2</v>
      </c>
      <c r="G45" s="63">
        <f t="shared" si="23"/>
        <v>8.4224598930481287E-2</v>
      </c>
      <c r="H45" s="63">
        <f t="shared" si="23"/>
        <v>7.9936051159072735E-2</v>
      </c>
      <c r="I45" s="63">
        <f t="shared" si="23"/>
        <v>5.4764512595837901E-2</v>
      </c>
      <c r="J45" s="63">
        <f t="shared" si="23"/>
        <v>4.6862796146836756E-2</v>
      </c>
      <c r="K45" s="63">
        <f t="shared" si="23"/>
        <v>5.1997163791065941E-2</v>
      </c>
      <c r="L45" s="63">
        <f t="shared" si="23"/>
        <v>5.1150895140664961E-2</v>
      </c>
    </row>
    <row r="46" spans="1:25" x14ac:dyDescent="0.25">
      <c r="B46" s="61" t="str">
        <f t="shared" si="19"/>
        <v>Rural</v>
      </c>
      <c r="C46" s="63">
        <f t="shared" ref="C46:L46" si="24">C20/C$23</f>
        <v>6.4935064935064929E-2</v>
      </c>
      <c r="D46" s="63">
        <f t="shared" si="24"/>
        <v>6.8821065230400963E-2</v>
      </c>
      <c r="E46" s="63">
        <f t="shared" si="24"/>
        <v>6.5303804656445197E-2</v>
      </c>
      <c r="F46" s="63">
        <f t="shared" si="24"/>
        <v>6.7226890756302518E-2</v>
      </c>
      <c r="G46" s="63">
        <f t="shared" si="24"/>
        <v>7.2192513368983954E-2</v>
      </c>
      <c r="H46" s="63">
        <f t="shared" si="24"/>
        <v>3.4638955502264854E-2</v>
      </c>
      <c r="I46" s="63">
        <f t="shared" si="24"/>
        <v>4.9288061336254109E-2</v>
      </c>
      <c r="J46" s="63">
        <f t="shared" si="24"/>
        <v>4.6862796146836756E-2</v>
      </c>
      <c r="K46" s="63">
        <f t="shared" si="24"/>
        <v>4.4906641455920583E-2</v>
      </c>
      <c r="L46" s="63">
        <f t="shared" si="24"/>
        <v>5.8126017205301091E-2</v>
      </c>
    </row>
    <row r="47" spans="1:25" x14ac:dyDescent="0.25">
      <c r="B47" s="61" t="str">
        <f t="shared" si="19"/>
        <v>Metro</v>
      </c>
      <c r="C47" s="63">
        <f t="shared" ref="C47:L47" si="25">C21/C$23</f>
        <v>6.4935064935064939E-3</v>
      </c>
      <c r="D47" s="63">
        <f t="shared" si="25"/>
        <v>5.9844404548174755E-4</v>
      </c>
      <c r="E47" s="63">
        <f t="shared" si="25"/>
        <v>5.6785917092561046E-4</v>
      </c>
      <c r="F47" s="63">
        <f t="shared" si="25"/>
        <v>5.6022408963585435E-3</v>
      </c>
      <c r="G47" s="63">
        <f t="shared" si="25"/>
        <v>6.6844919786096255E-3</v>
      </c>
      <c r="H47" s="63">
        <f t="shared" si="25"/>
        <v>3.4638955502264853E-3</v>
      </c>
      <c r="I47" s="63">
        <f t="shared" si="25"/>
        <v>5.4764512595837907E-4</v>
      </c>
      <c r="J47" s="63">
        <f t="shared" si="25"/>
        <v>2.6034886748242648E-4</v>
      </c>
      <c r="K47" s="63">
        <f t="shared" si="25"/>
        <v>2.363507445048452E-4</v>
      </c>
      <c r="L47" s="63">
        <f t="shared" si="25"/>
        <v>2.3250406882120437E-4</v>
      </c>
    </row>
    <row r="48" spans="1:25" x14ac:dyDescent="0.25">
      <c r="B48" s="61" t="str">
        <f t="shared" si="19"/>
        <v>Export</v>
      </c>
      <c r="C48" s="63">
        <f t="shared" ref="C48:L48" si="26">C22/C$23</f>
        <v>0.19805194805194806</v>
      </c>
      <c r="D48" s="63">
        <f t="shared" si="26"/>
        <v>0.21843207660083783</v>
      </c>
      <c r="E48" s="63">
        <f t="shared" si="26"/>
        <v>0.21294718909710392</v>
      </c>
      <c r="F48" s="63">
        <f t="shared" si="26"/>
        <v>0.1876750700280112</v>
      </c>
      <c r="G48" s="63">
        <f t="shared" si="26"/>
        <v>0.18181818181818182</v>
      </c>
      <c r="H48" s="63">
        <f t="shared" si="26"/>
        <v>0.18118838262723155</v>
      </c>
      <c r="I48" s="63">
        <f t="shared" si="26"/>
        <v>0.20536692223439212</v>
      </c>
      <c r="J48" s="63">
        <f t="shared" si="26"/>
        <v>0.19786513928664409</v>
      </c>
      <c r="K48" s="63">
        <f t="shared" si="26"/>
        <v>0.19617111793902151</v>
      </c>
      <c r="L48" s="63">
        <f t="shared" si="26"/>
        <v>0.19065333643338758</v>
      </c>
      <c r="Y48" s="61" t="s">
        <v>213</v>
      </c>
    </row>
    <row r="49" spans="2:12" x14ac:dyDescent="0.25">
      <c r="B49" s="61" t="str">
        <f t="shared" si="19"/>
        <v>Total</v>
      </c>
      <c r="C49" s="62">
        <f t="shared" ref="C49:L49" si="27">C23/C$23</f>
        <v>1</v>
      </c>
      <c r="D49" s="62">
        <f t="shared" si="27"/>
        <v>1</v>
      </c>
      <c r="E49" s="62">
        <f t="shared" si="27"/>
        <v>1</v>
      </c>
      <c r="F49" s="62">
        <f t="shared" si="27"/>
        <v>1</v>
      </c>
      <c r="G49" s="62">
        <f t="shared" si="27"/>
        <v>1</v>
      </c>
      <c r="H49" s="62">
        <f t="shared" si="27"/>
        <v>1</v>
      </c>
      <c r="I49" s="62">
        <f t="shared" si="27"/>
        <v>1</v>
      </c>
      <c r="J49" s="62">
        <f t="shared" si="27"/>
        <v>1</v>
      </c>
      <c r="K49" s="62">
        <f t="shared" si="27"/>
        <v>1</v>
      </c>
      <c r="L49" s="62">
        <f t="shared" si="27"/>
        <v>1</v>
      </c>
    </row>
    <row r="50" spans="2:12" x14ac:dyDescent="0.25">
      <c r="C50" s="62"/>
      <c r="D50" s="62"/>
      <c r="E50" s="62"/>
      <c r="F50" s="62"/>
      <c r="G50" s="62"/>
      <c r="H50" s="62"/>
      <c r="I50" s="62"/>
      <c r="J50" s="62"/>
      <c r="K50" s="62"/>
    </row>
    <row r="51" spans="2:12" x14ac:dyDescent="0.25">
      <c r="C51" s="61">
        <f t="shared" ref="C51:L51" si="28">C15</f>
        <v>2003</v>
      </c>
      <c r="D51" s="61">
        <f t="shared" si="28"/>
        <v>2004</v>
      </c>
      <c r="E51" s="61">
        <f t="shared" si="28"/>
        <v>2005</v>
      </c>
      <c r="F51" s="61">
        <f t="shared" si="28"/>
        <v>2006</v>
      </c>
      <c r="G51" s="61">
        <f t="shared" si="28"/>
        <v>2007</v>
      </c>
      <c r="H51" s="61">
        <f t="shared" si="28"/>
        <v>2008</v>
      </c>
      <c r="I51" s="61">
        <f t="shared" si="28"/>
        <v>2009</v>
      </c>
      <c r="J51" s="61">
        <f t="shared" si="28"/>
        <v>2010</v>
      </c>
      <c r="K51" s="61">
        <f t="shared" si="28"/>
        <v>2011</v>
      </c>
      <c r="L51" s="61">
        <f t="shared" si="28"/>
        <v>2012</v>
      </c>
    </row>
    <row r="52" spans="2:12" x14ac:dyDescent="0.25">
      <c r="B52" s="61" t="s">
        <v>212</v>
      </c>
      <c r="C52" s="63">
        <f t="shared" ref="C52:L52" si="29">C42+C47</f>
        <v>0.1461038961038961</v>
      </c>
      <c r="D52" s="63">
        <f t="shared" si="29"/>
        <v>0.14123279473369241</v>
      </c>
      <c r="E52" s="63">
        <f t="shared" si="29"/>
        <v>0.15105053946621239</v>
      </c>
      <c r="F52" s="63">
        <f t="shared" si="29"/>
        <v>0.17366946778711487</v>
      </c>
      <c r="G52" s="63">
        <f t="shared" si="29"/>
        <v>0.1697860962566845</v>
      </c>
      <c r="H52" s="63">
        <f t="shared" si="29"/>
        <v>0.16600053290700773</v>
      </c>
      <c r="I52" s="63">
        <f t="shared" si="29"/>
        <v>0.15936473165388829</v>
      </c>
      <c r="J52" s="63">
        <f t="shared" si="29"/>
        <v>0.1616766467065868</v>
      </c>
      <c r="K52" s="63">
        <f t="shared" si="29"/>
        <v>0.14913731978255731</v>
      </c>
      <c r="L52" s="63">
        <f t="shared" si="29"/>
        <v>0.14205998604975587</v>
      </c>
    </row>
    <row r="53" spans="2:12" x14ac:dyDescent="0.25">
      <c r="B53" s="61" t="s">
        <v>211</v>
      </c>
      <c r="C53" s="63">
        <f t="shared" ref="C53:L53" si="30">C43+C46</f>
        <v>0.22402597402597402</v>
      </c>
      <c r="D53" s="63">
        <f t="shared" si="30"/>
        <v>0.24236983842010773</v>
      </c>
      <c r="E53" s="63">
        <f t="shared" si="30"/>
        <v>0.24134014764338443</v>
      </c>
      <c r="F53" s="63">
        <f t="shared" si="30"/>
        <v>0.25770308123249297</v>
      </c>
      <c r="G53" s="63">
        <f t="shared" si="30"/>
        <v>0.25401069518716579</v>
      </c>
      <c r="H53" s="63">
        <f t="shared" si="30"/>
        <v>0.22382094324540369</v>
      </c>
      <c r="I53" s="63">
        <f t="shared" si="30"/>
        <v>0.24644030668127054</v>
      </c>
      <c r="J53" s="63">
        <f t="shared" si="30"/>
        <v>0.24993491278312938</v>
      </c>
      <c r="K53" s="63">
        <f t="shared" si="30"/>
        <v>0.24816828173008743</v>
      </c>
      <c r="L53" s="63">
        <f t="shared" si="30"/>
        <v>0.26970471983259708</v>
      </c>
    </row>
    <row r="54" spans="2:12" x14ac:dyDescent="0.25">
      <c r="B54" s="61" t="s">
        <v>210</v>
      </c>
      <c r="C54" s="63">
        <f t="shared" ref="C54:L54" si="31">C44+C45</f>
        <v>0.43181818181818177</v>
      </c>
      <c r="D54" s="63">
        <f t="shared" si="31"/>
        <v>0.39796529024536209</v>
      </c>
      <c r="E54" s="63">
        <f t="shared" si="31"/>
        <v>0.39466212379329929</v>
      </c>
      <c r="F54" s="63">
        <f t="shared" si="31"/>
        <v>0.38095238095238093</v>
      </c>
      <c r="G54" s="63">
        <f t="shared" si="31"/>
        <v>0.39438502673796794</v>
      </c>
      <c r="H54" s="63">
        <f t="shared" si="31"/>
        <v>0.42899014122035706</v>
      </c>
      <c r="I54" s="63">
        <f t="shared" si="31"/>
        <v>0.38882803943044908</v>
      </c>
      <c r="J54" s="63">
        <f t="shared" si="31"/>
        <v>0.39052330122363965</v>
      </c>
      <c r="K54" s="63">
        <f t="shared" si="31"/>
        <v>0.4065232805483337</v>
      </c>
      <c r="L54" s="63">
        <f t="shared" si="31"/>
        <v>0.39758195768425947</v>
      </c>
    </row>
    <row r="55" spans="2:12" x14ac:dyDescent="0.25">
      <c r="B55" s="61" t="s">
        <v>209</v>
      </c>
      <c r="C55" s="63">
        <f t="shared" ref="C55:L55" si="32">C48</f>
        <v>0.19805194805194806</v>
      </c>
      <c r="D55" s="63">
        <f t="shared" si="32"/>
        <v>0.21843207660083783</v>
      </c>
      <c r="E55" s="63">
        <f t="shared" si="32"/>
        <v>0.21294718909710392</v>
      </c>
      <c r="F55" s="63">
        <f t="shared" si="32"/>
        <v>0.1876750700280112</v>
      </c>
      <c r="G55" s="63">
        <f t="shared" si="32"/>
        <v>0.18181818181818182</v>
      </c>
      <c r="H55" s="63">
        <f t="shared" si="32"/>
        <v>0.18118838262723155</v>
      </c>
      <c r="I55" s="63">
        <f t="shared" si="32"/>
        <v>0.20536692223439212</v>
      </c>
      <c r="J55" s="63">
        <f t="shared" si="32"/>
        <v>0.19786513928664409</v>
      </c>
      <c r="K55" s="63">
        <f t="shared" si="32"/>
        <v>0.19617111793902151</v>
      </c>
      <c r="L55" s="63">
        <f t="shared" si="32"/>
        <v>0.19065333643338758</v>
      </c>
    </row>
    <row r="56" spans="2:12" x14ac:dyDescent="0.25">
      <c r="C56" s="62"/>
      <c r="D56" s="62"/>
      <c r="E56" s="62"/>
      <c r="F56" s="62"/>
      <c r="G56" s="62"/>
      <c r="H56" s="62"/>
      <c r="I56" s="62"/>
      <c r="J56" s="62"/>
      <c r="K56" s="62"/>
    </row>
    <row r="58" spans="2:12" x14ac:dyDescent="0.25">
      <c r="B58" s="61" t="s">
        <v>194</v>
      </c>
      <c r="C58" s="62">
        <f t="shared" ref="C58:L58" si="33">C61/C23</f>
        <v>0.59740259740259738</v>
      </c>
      <c r="D58" s="62">
        <f t="shared" si="33"/>
        <v>0.62238180730101733</v>
      </c>
      <c r="E58" s="62">
        <f t="shared" si="33"/>
        <v>0.6331629755820557</v>
      </c>
      <c r="F58" s="62">
        <f t="shared" si="33"/>
        <v>0.66106442577030811</v>
      </c>
      <c r="G58" s="62">
        <f t="shared" si="33"/>
        <v>0.65508021390374327</v>
      </c>
      <c r="H58" s="62">
        <f t="shared" si="33"/>
        <v>0.70077271516120432</v>
      </c>
      <c r="I58" s="62">
        <f t="shared" si="33"/>
        <v>0.69003285870755748</v>
      </c>
      <c r="J58" s="62">
        <f t="shared" si="33"/>
        <v>0.70814891955219994</v>
      </c>
      <c r="K58" s="62">
        <f t="shared" si="33"/>
        <v>0.70668872606948707</v>
      </c>
      <c r="L58" s="62">
        <f t="shared" si="33"/>
        <v>0.69983724715182516</v>
      </c>
    </row>
    <row r="59" spans="2:12" x14ac:dyDescent="0.25">
      <c r="B59" s="61" t="s">
        <v>191</v>
      </c>
      <c r="C59" s="62">
        <f t="shared" ref="C59:L59" si="34">C66/C23</f>
        <v>0.40259740259740262</v>
      </c>
      <c r="D59" s="62">
        <f t="shared" si="34"/>
        <v>0.37761819269898267</v>
      </c>
      <c r="E59" s="62">
        <f t="shared" si="34"/>
        <v>0.3668370244179443</v>
      </c>
      <c r="F59" s="62">
        <f t="shared" si="34"/>
        <v>0.33893557422969189</v>
      </c>
      <c r="G59" s="62">
        <f t="shared" si="34"/>
        <v>0.34491978609625668</v>
      </c>
      <c r="H59" s="62">
        <f t="shared" si="34"/>
        <v>0.29922728483879563</v>
      </c>
      <c r="I59" s="62">
        <f t="shared" si="34"/>
        <v>0.30996714129244252</v>
      </c>
      <c r="J59" s="62">
        <f t="shared" si="34"/>
        <v>0.2918510804478</v>
      </c>
      <c r="K59" s="62">
        <f t="shared" si="34"/>
        <v>0.29331127393051287</v>
      </c>
      <c r="L59" s="62">
        <f t="shared" si="34"/>
        <v>0.30016275284817484</v>
      </c>
    </row>
    <row r="61" spans="2:12" x14ac:dyDescent="0.25">
      <c r="B61" s="61" t="s">
        <v>194</v>
      </c>
      <c r="C61" s="61">
        <f t="shared" ref="C61:L61" si="35">SUM(C16:C18)</f>
        <v>184</v>
      </c>
      <c r="D61" s="61">
        <f t="shared" si="35"/>
        <v>208</v>
      </c>
      <c r="E61" s="61">
        <f t="shared" si="35"/>
        <v>223</v>
      </c>
      <c r="F61" s="61">
        <f t="shared" si="35"/>
        <v>236</v>
      </c>
      <c r="G61" s="61">
        <f t="shared" si="35"/>
        <v>245</v>
      </c>
      <c r="H61" s="61">
        <f t="shared" si="35"/>
        <v>263</v>
      </c>
      <c r="I61" s="61">
        <f t="shared" si="35"/>
        <v>252</v>
      </c>
      <c r="J61" s="61">
        <f t="shared" si="35"/>
        <v>272</v>
      </c>
      <c r="K61" s="61">
        <f t="shared" si="35"/>
        <v>299</v>
      </c>
      <c r="L61" s="61">
        <f t="shared" si="35"/>
        <v>301</v>
      </c>
    </row>
    <row r="62" spans="2:12" x14ac:dyDescent="0.25">
      <c r="B62" s="61" t="s">
        <v>208</v>
      </c>
      <c r="C62" s="62">
        <f t="shared" ref="C62:L62" si="36">C16/C$61</f>
        <v>0.23369565217391305</v>
      </c>
      <c r="D62" s="62">
        <f t="shared" si="36"/>
        <v>0.22596153846153846</v>
      </c>
      <c r="E62" s="62">
        <f t="shared" si="36"/>
        <v>0.23766816143497757</v>
      </c>
      <c r="F62" s="62">
        <f t="shared" si="36"/>
        <v>0.25423728813559321</v>
      </c>
      <c r="G62" s="62">
        <f t="shared" si="36"/>
        <v>0.24897959183673468</v>
      </c>
      <c r="H62" s="62">
        <f t="shared" si="36"/>
        <v>0.23193916349809887</v>
      </c>
      <c r="I62" s="62">
        <f t="shared" si="36"/>
        <v>0.23015873015873015</v>
      </c>
      <c r="J62" s="62">
        <f t="shared" si="36"/>
        <v>0.22794117647058823</v>
      </c>
      <c r="K62" s="62">
        <f t="shared" si="36"/>
        <v>0.21070234113712374</v>
      </c>
      <c r="L62" s="62">
        <f t="shared" si="36"/>
        <v>0.20265780730897009</v>
      </c>
    </row>
    <row r="63" spans="2:12" x14ac:dyDescent="0.25">
      <c r="B63" s="61" t="s">
        <v>207</v>
      </c>
      <c r="C63" s="62">
        <f t="shared" ref="C63:L63" si="37">C17/C$61</f>
        <v>0.26630434782608697</v>
      </c>
      <c r="D63" s="62">
        <f t="shared" si="37"/>
        <v>0.27884615384615385</v>
      </c>
      <c r="E63" s="62">
        <f t="shared" si="37"/>
        <v>0.27802690582959644</v>
      </c>
      <c r="F63" s="62">
        <f t="shared" si="37"/>
        <v>0.28813559322033899</v>
      </c>
      <c r="G63" s="62">
        <f t="shared" si="37"/>
        <v>0.27755102040816326</v>
      </c>
      <c r="H63" s="62">
        <f t="shared" si="37"/>
        <v>0.26996197718631176</v>
      </c>
      <c r="I63" s="62">
        <f t="shared" si="37"/>
        <v>0.2857142857142857</v>
      </c>
      <c r="J63" s="62">
        <f t="shared" si="37"/>
        <v>0.28676470588235292</v>
      </c>
      <c r="K63" s="62">
        <f t="shared" si="37"/>
        <v>0.28762541806020064</v>
      </c>
      <c r="L63" s="62">
        <f t="shared" si="37"/>
        <v>0.30232558139534882</v>
      </c>
    </row>
    <row r="64" spans="2:12" x14ac:dyDescent="0.25">
      <c r="B64" s="61" t="s">
        <v>206</v>
      </c>
      <c r="C64" s="62">
        <f t="shared" ref="C64:L64" si="38">C18/C$61</f>
        <v>0.5</v>
      </c>
      <c r="D64" s="62">
        <f t="shared" si="38"/>
        <v>0.49519230769230771</v>
      </c>
      <c r="E64" s="62">
        <f t="shared" si="38"/>
        <v>0.48430493273542602</v>
      </c>
      <c r="F64" s="62">
        <f t="shared" si="38"/>
        <v>0.4576271186440678</v>
      </c>
      <c r="G64" s="62">
        <f t="shared" si="38"/>
        <v>0.47346938775510206</v>
      </c>
      <c r="H64" s="62">
        <f t="shared" si="38"/>
        <v>0.49809885931558934</v>
      </c>
      <c r="I64" s="62">
        <f t="shared" si="38"/>
        <v>0.48412698412698413</v>
      </c>
      <c r="J64" s="62">
        <f t="shared" si="38"/>
        <v>0.48529411764705882</v>
      </c>
      <c r="K64" s="62">
        <f t="shared" si="38"/>
        <v>0.50167224080267558</v>
      </c>
      <c r="L64" s="62">
        <f t="shared" si="38"/>
        <v>0.49501661129568109</v>
      </c>
    </row>
    <row r="66" spans="2:12" x14ac:dyDescent="0.25">
      <c r="B66" s="61" t="s">
        <v>191</v>
      </c>
      <c r="C66" s="61">
        <f t="shared" ref="C66:L66" si="39">SUM(C19:C22)</f>
        <v>124</v>
      </c>
      <c r="D66" s="61">
        <f t="shared" si="39"/>
        <v>126.2</v>
      </c>
      <c r="E66" s="61">
        <f t="shared" si="39"/>
        <v>129.19999999999999</v>
      </c>
      <c r="F66" s="61">
        <f t="shared" si="39"/>
        <v>121</v>
      </c>
      <c r="G66" s="61">
        <f t="shared" si="39"/>
        <v>129</v>
      </c>
      <c r="H66" s="61">
        <f t="shared" si="39"/>
        <v>112.3</v>
      </c>
      <c r="I66" s="61">
        <f t="shared" si="39"/>
        <v>113.2</v>
      </c>
      <c r="J66" s="61">
        <f t="shared" si="39"/>
        <v>112.1</v>
      </c>
      <c r="K66" s="61">
        <f t="shared" si="39"/>
        <v>124.1</v>
      </c>
      <c r="L66" s="61">
        <f t="shared" si="39"/>
        <v>129.1</v>
      </c>
    </row>
    <row r="67" spans="2:12" x14ac:dyDescent="0.25">
      <c r="B67" s="61" t="str">
        <f>B36</f>
        <v>Corridor</v>
      </c>
      <c r="C67" s="62">
        <f t="shared" ref="C67:L67" si="40">C19/C$66</f>
        <v>0.33064516129032256</v>
      </c>
      <c r="D67" s="62">
        <f t="shared" si="40"/>
        <v>0.23771790808240886</v>
      </c>
      <c r="E67" s="62">
        <f t="shared" si="40"/>
        <v>0.23993808049535606</v>
      </c>
      <c r="F67" s="62">
        <f t="shared" si="40"/>
        <v>0.23140495867768596</v>
      </c>
      <c r="G67" s="62">
        <f t="shared" si="40"/>
        <v>0.2441860465116279</v>
      </c>
      <c r="H67" s="62">
        <f t="shared" si="40"/>
        <v>0.26714158504007124</v>
      </c>
      <c r="I67" s="62">
        <f t="shared" si="40"/>
        <v>0.17667844522968199</v>
      </c>
      <c r="J67" s="62">
        <f t="shared" si="40"/>
        <v>0.16057091882247992</v>
      </c>
      <c r="K67" s="62">
        <f t="shared" si="40"/>
        <v>0.17727639000805803</v>
      </c>
      <c r="L67" s="62">
        <f t="shared" si="40"/>
        <v>0.17041053446940357</v>
      </c>
    </row>
    <row r="68" spans="2:12" x14ac:dyDescent="0.25">
      <c r="B68" s="61" t="str">
        <f>B37</f>
        <v>Rural</v>
      </c>
      <c r="C68" s="62">
        <f t="shared" ref="C68:L68" si="41">C20/C$66</f>
        <v>0.16129032258064516</v>
      </c>
      <c r="D68" s="62">
        <f t="shared" si="41"/>
        <v>0.18225039619651345</v>
      </c>
      <c r="E68" s="62">
        <f t="shared" si="41"/>
        <v>0.17801857585139322</v>
      </c>
      <c r="F68" s="62">
        <f t="shared" si="41"/>
        <v>0.19834710743801653</v>
      </c>
      <c r="G68" s="62">
        <f t="shared" si="41"/>
        <v>0.20930232558139536</v>
      </c>
      <c r="H68" s="62">
        <f t="shared" si="41"/>
        <v>0.1157613535173642</v>
      </c>
      <c r="I68" s="62">
        <f t="shared" si="41"/>
        <v>0.15901060070671377</v>
      </c>
      <c r="J68" s="62">
        <f t="shared" si="41"/>
        <v>0.16057091882247992</v>
      </c>
      <c r="K68" s="62">
        <f t="shared" si="41"/>
        <v>0.15310233682514102</v>
      </c>
      <c r="L68" s="62">
        <f t="shared" si="41"/>
        <v>0.19364833462432224</v>
      </c>
    </row>
    <row r="69" spans="2:12" x14ac:dyDescent="0.25">
      <c r="B69" s="61" t="str">
        <f>B38</f>
        <v>Metro</v>
      </c>
      <c r="C69" s="62">
        <f t="shared" ref="C69:L69" si="42">C21/C$66</f>
        <v>1.6129032258064516E-2</v>
      </c>
      <c r="D69" s="62">
        <f t="shared" si="42"/>
        <v>1.5847860538827259E-3</v>
      </c>
      <c r="E69" s="62">
        <f t="shared" si="42"/>
        <v>1.5479876160990715E-3</v>
      </c>
      <c r="F69" s="62">
        <f t="shared" si="42"/>
        <v>1.6528925619834711E-2</v>
      </c>
      <c r="G69" s="62">
        <f t="shared" si="42"/>
        <v>1.937984496124031E-2</v>
      </c>
      <c r="H69" s="62">
        <f t="shared" si="42"/>
        <v>1.1576135351736421E-2</v>
      </c>
      <c r="I69" s="62">
        <f t="shared" si="42"/>
        <v>1.7667844522968198E-3</v>
      </c>
      <c r="J69" s="62">
        <f t="shared" si="42"/>
        <v>8.9206066012488864E-4</v>
      </c>
      <c r="K69" s="62">
        <f t="shared" si="42"/>
        <v>8.0580177276390016E-4</v>
      </c>
      <c r="L69" s="62">
        <f t="shared" si="42"/>
        <v>7.7459333849728897E-4</v>
      </c>
    </row>
    <row r="70" spans="2:12" x14ac:dyDescent="0.25">
      <c r="B70" s="61" t="str">
        <f>B39</f>
        <v>Export</v>
      </c>
      <c r="C70" s="62">
        <f t="shared" ref="C70:L70" si="43">C22/C$66</f>
        <v>0.49193548387096775</v>
      </c>
      <c r="D70" s="62">
        <f t="shared" si="43"/>
        <v>0.57844690966719492</v>
      </c>
      <c r="E70" s="62">
        <f t="shared" si="43"/>
        <v>0.58049535603715174</v>
      </c>
      <c r="F70" s="62">
        <f t="shared" si="43"/>
        <v>0.55371900826446285</v>
      </c>
      <c r="G70" s="62">
        <f t="shared" si="43"/>
        <v>0.52713178294573648</v>
      </c>
      <c r="H70" s="62">
        <f t="shared" si="43"/>
        <v>0.60552092609082819</v>
      </c>
      <c r="I70" s="62">
        <f t="shared" si="43"/>
        <v>0.66254416961130735</v>
      </c>
      <c r="J70" s="62">
        <f t="shared" si="43"/>
        <v>0.67796610169491534</v>
      </c>
      <c r="K70" s="62">
        <f t="shared" si="43"/>
        <v>0.66881547139403708</v>
      </c>
      <c r="L70" s="62">
        <f t="shared" si="43"/>
        <v>0.63516653756777697</v>
      </c>
    </row>
    <row r="72" spans="2:12" x14ac:dyDescent="0.25">
      <c r="B72" s="61" t="s">
        <v>208</v>
      </c>
      <c r="C72" s="62">
        <f t="shared" ref="C72:L72" si="44">C16+C21</f>
        <v>45</v>
      </c>
      <c r="D72" s="62">
        <f t="shared" si="44"/>
        <v>47.2</v>
      </c>
      <c r="E72" s="62">
        <f t="shared" si="44"/>
        <v>53.2</v>
      </c>
      <c r="F72" s="62">
        <f t="shared" si="44"/>
        <v>62</v>
      </c>
      <c r="G72" s="62">
        <f t="shared" si="44"/>
        <v>63.5</v>
      </c>
      <c r="H72" s="62">
        <f t="shared" si="44"/>
        <v>62.3</v>
      </c>
      <c r="I72" s="62">
        <f t="shared" si="44"/>
        <v>58.2</v>
      </c>
      <c r="J72" s="62">
        <f t="shared" si="44"/>
        <v>62.1</v>
      </c>
      <c r="K72" s="62">
        <f t="shared" si="44"/>
        <v>63.1</v>
      </c>
      <c r="L72" s="62">
        <f t="shared" si="44"/>
        <v>61.1</v>
      </c>
    </row>
    <row r="73" spans="2:12" x14ac:dyDescent="0.25">
      <c r="B73" s="61" t="s">
        <v>194</v>
      </c>
      <c r="C73" s="62">
        <f t="shared" ref="C73:L73" si="45">C16/C72</f>
        <v>0.9555555555555556</v>
      </c>
      <c r="D73" s="62">
        <f t="shared" si="45"/>
        <v>0.99576271186440668</v>
      </c>
      <c r="E73" s="62">
        <f t="shared" si="45"/>
        <v>0.99624060150375937</v>
      </c>
      <c r="F73" s="62">
        <f t="shared" si="45"/>
        <v>0.967741935483871</v>
      </c>
      <c r="G73" s="62">
        <f t="shared" si="45"/>
        <v>0.96062992125984248</v>
      </c>
      <c r="H73" s="62">
        <f t="shared" si="45"/>
        <v>0.9791332263242376</v>
      </c>
      <c r="I73" s="62">
        <f t="shared" si="45"/>
        <v>0.99656357388316141</v>
      </c>
      <c r="J73" s="62">
        <f t="shared" si="45"/>
        <v>0.99838969404186795</v>
      </c>
      <c r="K73" s="62">
        <f t="shared" si="45"/>
        <v>0.99841521394611721</v>
      </c>
      <c r="L73" s="62">
        <f t="shared" si="45"/>
        <v>0.99836333878887074</v>
      </c>
    </row>
    <row r="74" spans="2:12" x14ac:dyDescent="0.25">
      <c r="B74" s="61" t="s">
        <v>191</v>
      </c>
      <c r="C74" s="62">
        <f t="shared" ref="C74:L74" si="46">C21/C72</f>
        <v>4.4444444444444446E-2</v>
      </c>
      <c r="D74" s="62">
        <f t="shared" si="46"/>
        <v>4.2372881355932203E-3</v>
      </c>
      <c r="E74" s="62">
        <f t="shared" si="46"/>
        <v>3.7593984962406013E-3</v>
      </c>
      <c r="F74" s="62">
        <f t="shared" si="46"/>
        <v>3.2258064516129031E-2</v>
      </c>
      <c r="G74" s="62">
        <f t="shared" si="46"/>
        <v>3.937007874015748E-2</v>
      </c>
      <c r="H74" s="62">
        <f t="shared" si="46"/>
        <v>2.0866773675762441E-2</v>
      </c>
      <c r="I74" s="62">
        <f t="shared" si="46"/>
        <v>3.4364261168384879E-3</v>
      </c>
      <c r="J74" s="62">
        <f t="shared" si="46"/>
        <v>1.6103059581320451E-3</v>
      </c>
      <c r="K74" s="62">
        <f t="shared" si="46"/>
        <v>1.5847860538827259E-3</v>
      </c>
      <c r="L74" s="62">
        <f t="shared" si="46"/>
        <v>1.6366612111292963E-3</v>
      </c>
    </row>
    <row r="76" spans="2:12" x14ac:dyDescent="0.25">
      <c r="B76" s="61" t="s">
        <v>207</v>
      </c>
      <c r="C76" s="61">
        <f t="shared" ref="C76:L76" si="47">C17+C20</f>
        <v>69</v>
      </c>
      <c r="D76" s="61">
        <f t="shared" si="47"/>
        <v>81</v>
      </c>
      <c r="E76" s="61">
        <f t="shared" si="47"/>
        <v>85</v>
      </c>
      <c r="F76" s="61">
        <f t="shared" si="47"/>
        <v>92</v>
      </c>
      <c r="G76" s="61">
        <f t="shared" si="47"/>
        <v>95</v>
      </c>
      <c r="H76" s="61">
        <f t="shared" si="47"/>
        <v>84</v>
      </c>
      <c r="I76" s="61">
        <f t="shared" si="47"/>
        <v>90</v>
      </c>
      <c r="J76" s="61">
        <f t="shared" si="47"/>
        <v>96</v>
      </c>
      <c r="K76" s="61">
        <f t="shared" si="47"/>
        <v>105</v>
      </c>
      <c r="L76" s="61">
        <f t="shared" si="47"/>
        <v>116</v>
      </c>
    </row>
    <row r="77" spans="2:12" x14ac:dyDescent="0.25">
      <c r="B77" s="61" t="s">
        <v>194</v>
      </c>
      <c r="C77" s="62">
        <f t="shared" ref="C77:L77" si="48">C17/C76</f>
        <v>0.71014492753623193</v>
      </c>
      <c r="D77" s="62">
        <f t="shared" si="48"/>
        <v>0.71604938271604934</v>
      </c>
      <c r="E77" s="62">
        <f t="shared" si="48"/>
        <v>0.72941176470588232</v>
      </c>
      <c r="F77" s="62">
        <f t="shared" si="48"/>
        <v>0.73913043478260865</v>
      </c>
      <c r="G77" s="62">
        <f t="shared" si="48"/>
        <v>0.71578947368421053</v>
      </c>
      <c r="H77" s="62">
        <f t="shared" si="48"/>
        <v>0.84523809523809523</v>
      </c>
      <c r="I77" s="62">
        <f t="shared" si="48"/>
        <v>0.8</v>
      </c>
      <c r="J77" s="62">
        <f t="shared" si="48"/>
        <v>0.8125</v>
      </c>
      <c r="K77" s="62">
        <f t="shared" si="48"/>
        <v>0.81904761904761902</v>
      </c>
      <c r="L77" s="62">
        <f t="shared" si="48"/>
        <v>0.78448275862068961</v>
      </c>
    </row>
    <row r="78" spans="2:12" x14ac:dyDescent="0.25">
      <c r="B78" s="61" t="s">
        <v>191</v>
      </c>
      <c r="C78" s="62">
        <f t="shared" ref="C78:L78" si="49">C20/C76</f>
        <v>0.28985507246376813</v>
      </c>
      <c r="D78" s="62">
        <f t="shared" si="49"/>
        <v>0.2839506172839506</v>
      </c>
      <c r="E78" s="62">
        <f t="shared" si="49"/>
        <v>0.27058823529411763</v>
      </c>
      <c r="F78" s="62">
        <f t="shared" si="49"/>
        <v>0.2608695652173913</v>
      </c>
      <c r="G78" s="62">
        <f t="shared" si="49"/>
        <v>0.28421052631578947</v>
      </c>
      <c r="H78" s="62">
        <f t="shared" si="49"/>
        <v>0.15476190476190477</v>
      </c>
      <c r="I78" s="62">
        <f t="shared" si="49"/>
        <v>0.2</v>
      </c>
      <c r="J78" s="62">
        <f t="shared" si="49"/>
        <v>0.1875</v>
      </c>
      <c r="K78" s="62">
        <f t="shared" si="49"/>
        <v>0.18095238095238095</v>
      </c>
      <c r="L78" s="62">
        <f t="shared" si="49"/>
        <v>0.21551724137931033</v>
      </c>
    </row>
    <row r="80" spans="2:12" x14ac:dyDescent="0.25">
      <c r="B80" s="61" t="s">
        <v>206</v>
      </c>
      <c r="C80" s="61">
        <f t="shared" ref="C80:L80" si="50">C18+C19</f>
        <v>133</v>
      </c>
      <c r="D80" s="61">
        <f t="shared" si="50"/>
        <v>133</v>
      </c>
      <c r="E80" s="61">
        <f t="shared" si="50"/>
        <v>139</v>
      </c>
      <c r="F80" s="61">
        <f t="shared" si="50"/>
        <v>136</v>
      </c>
      <c r="G80" s="61">
        <f t="shared" si="50"/>
        <v>147.5</v>
      </c>
      <c r="H80" s="61">
        <f t="shared" si="50"/>
        <v>161</v>
      </c>
      <c r="I80" s="61">
        <f t="shared" si="50"/>
        <v>142</v>
      </c>
      <c r="J80" s="61">
        <f t="shared" si="50"/>
        <v>150</v>
      </c>
      <c r="K80" s="61">
        <f t="shared" si="50"/>
        <v>172</v>
      </c>
      <c r="L80" s="61">
        <f t="shared" si="50"/>
        <v>171</v>
      </c>
    </row>
    <row r="81" spans="2:12" x14ac:dyDescent="0.25">
      <c r="B81" s="61" t="s">
        <v>194</v>
      </c>
      <c r="C81" s="62">
        <f t="shared" ref="C81:L81" si="51">C18/C80</f>
        <v>0.69172932330827064</v>
      </c>
      <c r="D81" s="62">
        <f t="shared" si="51"/>
        <v>0.77443609022556392</v>
      </c>
      <c r="E81" s="62">
        <f t="shared" si="51"/>
        <v>0.7769784172661871</v>
      </c>
      <c r="F81" s="62">
        <f t="shared" si="51"/>
        <v>0.79411764705882348</v>
      </c>
      <c r="G81" s="62">
        <f t="shared" si="51"/>
        <v>0.78644067796610173</v>
      </c>
      <c r="H81" s="62">
        <f t="shared" si="51"/>
        <v>0.81366459627329191</v>
      </c>
      <c r="I81" s="62">
        <f t="shared" si="51"/>
        <v>0.85915492957746475</v>
      </c>
      <c r="J81" s="62">
        <f t="shared" si="51"/>
        <v>0.88</v>
      </c>
      <c r="K81" s="62">
        <f t="shared" si="51"/>
        <v>0.87209302325581395</v>
      </c>
      <c r="L81" s="62">
        <f t="shared" si="51"/>
        <v>0.87134502923976609</v>
      </c>
    </row>
    <row r="82" spans="2:12" x14ac:dyDescent="0.25">
      <c r="B82" s="61" t="s">
        <v>191</v>
      </c>
      <c r="C82" s="62">
        <f t="shared" ref="C82:L82" si="52">1-C81</f>
        <v>0.30827067669172936</v>
      </c>
      <c r="D82" s="62">
        <f t="shared" si="52"/>
        <v>0.22556390977443608</v>
      </c>
      <c r="E82" s="62">
        <f t="shared" si="52"/>
        <v>0.2230215827338129</v>
      </c>
      <c r="F82" s="62">
        <f t="shared" si="52"/>
        <v>0.20588235294117652</v>
      </c>
      <c r="G82" s="62">
        <f t="shared" si="52"/>
        <v>0.21355932203389827</v>
      </c>
      <c r="H82" s="62">
        <f t="shared" si="52"/>
        <v>0.18633540372670809</v>
      </c>
      <c r="I82" s="62">
        <f t="shared" si="52"/>
        <v>0.14084507042253525</v>
      </c>
      <c r="J82" s="62">
        <f t="shared" si="52"/>
        <v>0.12</v>
      </c>
      <c r="K82" s="62">
        <f t="shared" si="52"/>
        <v>0.12790697674418605</v>
      </c>
      <c r="L82" s="62">
        <f t="shared" si="52"/>
        <v>0.12865497076023391</v>
      </c>
    </row>
    <row r="85" spans="2:12" x14ac:dyDescent="0.25">
      <c r="B85" s="61" t="s">
        <v>205</v>
      </c>
    </row>
    <row r="86" spans="2:12" x14ac:dyDescent="0.25">
      <c r="B86" s="61" t="s">
        <v>204</v>
      </c>
      <c r="C86" s="61" t="s">
        <v>203</v>
      </c>
      <c r="D86" s="61" t="s">
        <v>202</v>
      </c>
      <c r="E86" s="61" t="s">
        <v>201</v>
      </c>
      <c r="F86" s="61" t="s">
        <v>200</v>
      </c>
    </row>
    <row r="87" spans="2:12" x14ac:dyDescent="0.25">
      <c r="B87" s="61" t="s">
        <v>199</v>
      </c>
      <c r="C87" s="61" t="s">
        <v>192</v>
      </c>
      <c r="D87" s="61" t="s">
        <v>194</v>
      </c>
      <c r="E87" s="61">
        <v>2019</v>
      </c>
      <c r="F87" s="61">
        <v>52.7</v>
      </c>
    </row>
    <row r="88" spans="2:12" x14ac:dyDescent="0.25">
      <c r="B88" s="61" t="s">
        <v>199</v>
      </c>
      <c r="C88" s="61" t="s">
        <v>192</v>
      </c>
      <c r="D88" s="61" t="s">
        <v>191</v>
      </c>
      <c r="E88" s="61">
        <v>2019</v>
      </c>
      <c r="F88" s="61">
        <v>5.2</v>
      </c>
    </row>
    <row r="89" spans="2:12" x14ac:dyDescent="0.25">
      <c r="B89" s="61" t="s">
        <v>198</v>
      </c>
      <c r="C89" s="61" t="s">
        <v>192</v>
      </c>
      <c r="D89" s="61" t="s">
        <v>194</v>
      </c>
      <c r="E89" s="61">
        <v>2019</v>
      </c>
      <c r="F89" s="61">
        <v>31.8</v>
      </c>
    </row>
    <row r="90" spans="2:12" x14ac:dyDescent="0.25">
      <c r="B90" s="61" t="s">
        <v>198</v>
      </c>
      <c r="C90" s="61" t="s">
        <v>192</v>
      </c>
      <c r="D90" s="61" t="s">
        <v>191</v>
      </c>
      <c r="E90" s="61">
        <v>2019</v>
      </c>
      <c r="F90" s="61">
        <v>1.2</v>
      </c>
    </row>
    <row r="91" spans="2:12" x14ac:dyDescent="0.25">
      <c r="B91" s="61" t="s">
        <v>197</v>
      </c>
      <c r="C91" s="61" t="s">
        <v>192</v>
      </c>
      <c r="D91" s="61" t="s">
        <v>194</v>
      </c>
      <c r="E91" s="61">
        <v>2019</v>
      </c>
      <c r="F91" s="61">
        <v>7.1</v>
      </c>
    </row>
    <row r="92" spans="2:12" x14ac:dyDescent="0.25">
      <c r="B92" s="61" t="s">
        <v>197</v>
      </c>
      <c r="C92" s="61" t="s">
        <v>192</v>
      </c>
      <c r="D92" s="61" t="s">
        <v>191</v>
      </c>
      <c r="E92" s="61">
        <v>2019</v>
      </c>
      <c r="F92" s="61">
        <v>0.3</v>
      </c>
    </row>
    <row r="93" spans="2:12" x14ac:dyDescent="0.25">
      <c r="B93" s="61" t="s">
        <v>196</v>
      </c>
      <c r="C93" s="61" t="s">
        <v>192</v>
      </c>
      <c r="D93" s="61" t="s">
        <v>194</v>
      </c>
      <c r="E93" s="61">
        <v>2019</v>
      </c>
      <c r="F93" s="61">
        <v>5.2</v>
      </c>
    </row>
    <row r="94" spans="2:12" x14ac:dyDescent="0.25">
      <c r="B94" s="61" t="s">
        <v>196</v>
      </c>
      <c r="C94" s="61" t="s">
        <v>192</v>
      </c>
      <c r="D94" s="61" t="s">
        <v>191</v>
      </c>
      <c r="E94" s="61">
        <v>2019</v>
      </c>
      <c r="F94" s="61">
        <v>0.2</v>
      </c>
    </row>
    <row r="95" spans="2:12" x14ac:dyDescent="0.25">
      <c r="B95" s="61" t="s">
        <v>195</v>
      </c>
      <c r="C95" s="61" t="s">
        <v>192</v>
      </c>
      <c r="D95" s="61" t="s">
        <v>194</v>
      </c>
      <c r="E95" s="61">
        <v>2019</v>
      </c>
      <c r="F95" s="61">
        <v>4</v>
      </c>
    </row>
    <row r="96" spans="2:12" x14ac:dyDescent="0.25">
      <c r="B96" s="61" t="s">
        <v>195</v>
      </c>
      <c r="C96" s="61" t="s">
        <v>192</v>
      </c>
      <c r="D96" s="61" t="s">
        <v>191</v>
      </c>
      <c r="E96" s="61">
        <v>2019</v>
      </c>
      <c r="F96" s="61">
        <v>0.1</v>
      </c>
    </row>
    <row r="98" spans="2:6" x14ac:dyDescent="0.25">
      <c r="B98" s="61" t="s">
        <v>193</v>
      </c>
      <c r="C98" s="61" t="s">
        <v>192</v>
      </c>
      <c r="D98" s="61" t="s">
        <v>194</v>
      </c>
      <c r="F98" s="61">
        <f>SUMIFS(F87:F97,$D$87:$D$97,$D98)</f>
        <v>100.8</v>
      </c>
    </row>
    <row r="99" spans="2:6" x14ac:dyDescent="0.25">
      <c r="B99" s="61" t="s">
        <v>193</v>
      </c>
      <c r="C99" s="61" t="s">
        <v>192</v>
      </c>
      <c r="D99" s="61" t="s">
        <v>191</v>
      </c>
      <c r="F99" s="61">
        <f>SUMIFS(F88:F98,$D$87:$D$97,$D99)</f>
        <v>48.1</v>
      </c>
    </row>
  </sheetData>
  <hyperlinks>
    <hyperlink ref="B1" r:id="rId1" xr:uid="{BCF4E508-3FC2-4E3A-AB6D-5C8C00C6127E}"/>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77D7-0C77-4B78-93FB-982E785ADDED}">
  <sheetPr codeName="Sheet14">
    <tabColor rgb="FFFF0066"/>
  </sheetPr>
  <dimension ref="A1:BY239"/>
  <sheetViews>
    <sheetView topLeftCell="A52" zoomScale="80" zoomScaleNormal="80" workbookViewId="0">
      <selection activeCell="AA113" sqref="AA113"/>
    </sheetView>
  </sheetViews>
  <sheetFormatPr defaultColWidth="8.85546875" defaultRowHeight="15" x14ac:dyDescent="0.25"/>
  <cols>
    <col min="1" max="1" width="12" style="61" customWidth="1"/>
    <col min="2" max="2" width="19" style="61" customWidth="1"/>
    <col min="3" max="3" width="12.7109375" style="61" customWidth="1"/>
    <col min="4" max="4" width="11.42578125" style="61" customWidth="1"/>
    <col min="5" max="5" width="19.42578125" style="61" customWidth="1"/>
    <col min="6" max="6" width="12.5703125" style="61" customWidth="1"/>
    <col min="7" max="7" width="11.7109375" style="61" customWidth="1"/>
    <col min="8" max="8" width="14" style="61" customWidth="1"/>
    <col min="9" max="25" width="9.140625" style="61" customWidth="1"/>
    <col min="26" max="26" width="9.5703125" style="61" bestFit="1" customWidth="1"/>
    <col min="27" max="27" width="9.5703125" style="61" customWidth="1"/>
    <col min="28" max="28" width="9.5703125" style="61" bestFit="1" customWidth="1"/>
    <col min="29" max="30" width="10.5703125" style="61" customWidth="1"/>
    <col min="31" max="32" width="12.140625" style="61" customWidth="1"/>
    <col min="33" max="33" width="15.140625" style="61" customWidth="1"/>
    <col min="34" max="36" width="10.5703125" style="61" customWidth="1"/>
    <col min="37" max="37" width="13.5703125" style="61" bestFit="1" customWidth="1"/>
    <col min="38" max="38" width="9" style="61" bestFit="1" customWidth="1"/>
    <col min="39" max="39" width="16" style="61" customWidth="1"/>
    <col min="40" max="40" width="11.140625" style="61" bestFit="1" customWidth="1"/>
    <col min="41" max="41" width="12.42578125" style="61" bestFit="1" customWidth="1"/>
    <col min="42" max="42" width="12.42578125" style="61" customWidth="1"/>
    <col min="43" max="43" width="12.42578125" style="61" bestFit="1" customWidth="1"/>
    <col min="44" max="44" width="12.42578125" style="61" customWidth="1"/>
    <col min="45" max="45" width="10.85546875" style="61" customWidth="1"/>
    <col min="46" max="47" width="14.5703125" style="61" bestFit="1" customWidth="1"/>
    <col min="48" max="55" width="12.42578125" style="61" customWidth="1"/>
    <col min="56" max="56" width="12.5703125" style="61" customWidth="1"/>
    <col min="57" max="57" width="11.42578125" style="61" bestFit="1" customWidth="1"/>
    <col min="58" max="58" width="10.42578125" style="61" bestFit="1" customWidth="1"/>
    <col min="59" max="59" width="11.5703125" style="61" customWidth="1"/>
    <col min="60" max="16384" width="8.85546875" style="61"/>
  </cols>
  <sheetData>
    <row r="1" spans="1:61" ht="20.25" thickBot="1" x14ac:dyDescent="0.35">
      <c r="C1" s="218" t="s">
        <v>649</v>
      </c>
      <c r="D1" s="218"/>
      <c r="E1" s="218"/>
      <c r="F1" s="218"/>
      <c r="G1" s="218"/>
      <c r="H1" s="218"/>
      <c r="I1" s="218"/>
      <c r="J1" s="218"/>
      <c r="AT1" s="61">
        <f>8.8/1.43</f>
        <v>6.1538461538461542</v>
      </c>
    </row>
    <row r="2" spans="1:61" ht="15.75" thickTop="1" x14ac:dyDescent="0.25"/>
    <row r="3" spans="1:61" ht="20.25" thickBot="1" x14ac:dyDescent="0.35">
      <c r="C3" s="218" t="s">
        <v>648</v>
      </c>
      <c r="AG3"/>
      <c r="AH3"/>
      <c r="AI3"/>
      <c r="AJ3"/>
    </row>
    <row r="4" spans="1:61" ht="15.75" thickTop="1" x14ac:dyDescent="0.25">
      <c r="AG4"/>
      <c r="AH4"/>
      <c r="AI4"/>
      <c r="AJ4"/>
    </row>
    <row r="5" spans="1:61" x14ac:dyDescent="0.25">
      <c r="AG5"/>
      <c r="AH5"/>
      <c r="AI5"/>
      <c r="AJ5"/>
    </row>
    <row r="6" spans="1:61" x14ac:dyDescent="0.25">
      <c r="AG6"/>
      <c r="AH6"/>
      <c r="AI6"/>
      <c r="AJ6"/>
    </row>
    <row r="7" spans="1:61" x14ac:dyDescent="0.25">
      <c r="AG7"/>
      <c r="AH7"/>
      <c r="AI7"/>
      <c r="AJ7"/>
    </row>
    <row r="8" spans="1:61" x14ac:dyDescent="0.25">
      <c r="AG8"/>
      <c r="AH8"/>
      <c r="AI8"/>
      <c r="AJ8"/>
    </row>
    <row r="9" spans="1:61" x14ac:dyDescent="0.25">
      <c r="AG9"/>
      <c r="AH9"/>
      <c r="AI9"/>
      <c r="AJ9"/>
    </row>
    <row r="10" spans="1:61" x14ac:dyDescent="0.25">
      <c r="X10" s="63"/>
      <c r="Y10" s="76"/>
      <c r="AG10"/>
      <c r="AH10"/>
      <c r="AI10"/>
      <c r="AJ10"/>
    </row>
    <row r="11" spans="1:61" x14ac:dyDescent="0.25">
      <c r="X11" s="63"/>
      <c r="Y11" s="76"/>
      <c r="AA11" s="217"/>
    </row>
    <row r="12" spans="1:61" ht="15.75" thickBot="1" x14ac:dyDescent="0.3">
      <c r="C12" s="216" t="s">
        <v>647</v>
      </c>
      <c r="D12" s="216"/>
      <c r="E12" s="216"/>
      <c r="F12" s="216"/>
      <c r="G12" s="216"/>
      <c r="H12" s="216"/>
      <c r="I12" s="216"/>
      <c r="J12" s="216"/>
      <c r="AI12" s="211">
        <v>1</v>
      </c>
      <c r="AJ12" s="211">
        <v>1</v>
      </c>
      <c r="AK12" s="212">
        <v>0.8</v>
      </c>
      <c r="AL12" s="212">
        <v>0</v>
      </c>
      <c r="AM12" s="212">
        <v>0</v>
      </c>
      <c r="AU12" s="215">
        <v>0.8</v>
      </c>
      <c r="AV12" s="211">
        <f>AL12</f>
        <v>0</v>
      </c>
      <c r="AW12" s="211">
        <f>AM12</f>
        <v>0</v>
      </c>
    </row>
    <row r="13" spans="1:61" x14ac:dyDescent="0.25">
      <c r="F13" s="1" t="s">
        <v>596</v>
      </c>
      <c r="O13" s="61" t="s">
        <v>595</v>
      </c>
      <c r="P13" s="61" t="s">
        <v>595</v>
      </c>
      <c r="Q13" s="61" t="s">
        <v>595</v>
      </c>
      <c r="R13" s="61" t="s">
        <v>595</v>
      </c>
      <c r="S13" s="61" t="s">
        <v>595</v>
      </c>
      <c r="T13" s="61" t="s">
        <v>595</v>
      </c>
      <c r="U13" s="61" t="s">
        <v>595</v>
      </c>
      <c r="Y13" s="61" t="s">
        <v>594</v>
      </c>
      <c r="Z13" s="61" t="s">
        <v>594</v>
      </c>
      <c r="AA13" s="61" t="s">
        <v>594</v>
      </c>
      <c r="AB13" s="61" t="s">
        <v>594</v>
      </c>
      <c r="AC13" s="61" t="s">
        <v>594</v>
      </c>
      <c r="AD13" s="61" t="s">
        <v>594</v>
      </c>
      <c r="AE13" s="61" t="s">
        <v>594</v>
      </c>
      <c r="AF13" s="61" t="s">
        <v>644</v>
      </c>
      <c r="AG13" s="61" t="s">
        <v>644</v>
      </c>
      <c r="AH13" s="61" t="s">
        <v>644</v>
      </c>
      <c r="AI13" s="211" t="s">
        <v>644</v>
      </c>
      <c r="AJ13" s="211" t="s">
        <v>644</v>
      </c>
      <c r="AK13" s="212" t="s">
        <v>644</v>
      </c>
      <c r="AL13" s="212" t="s">
        <v>644</v>
      </c>
      <c r="AM13" s="212" t="s">
        <v>644</v>
      </c>
      <c r="AN13" s="1" t="s">
        <v>646</v>
      </c>
      <c r="AQ13" s="61" t="s">
        <v>645</v>
      </c>
      <c r="AU13" s="211" t="s">
        <v>644</v>
      </c>
      <c r="AV13" s="211" t="s">
        <v>644</v>
      </c>
      <c r="AW13" s="211" t="s">
        <v>644</v>
      </c>
    </row>
    <row r="14" spans="1:61" ht="44.1" customHeight="1" x14ac:dyDescent="0.25">
      <c r="A14" s="61" t="s">
        <v>643</v>
      </c>
      <c r="B14" s="61" t="s">
        <v>642</v>
      </c>
      <c r="C14" s="61" t="s">
        <v>641</v>
      </c>
      <c r="D14" s="61" t="s">
        <v>640</v>
      </c>
      <c r="E14" s="61" t="s">
        <v>639</v>
      </c>
      <c r="H14" s="214" t="s">
        <v>638</v>
      </c>
      <c r="I14" s="65" t="s">
        <v>637</v>
      </c>
      <c r="J14" s="65"/>
      <c r="O14" s="65" t="s">
        <v>636</v>
      </c>
      <c r="V14" s="65" t="s">
        <v>635</v>
      </c>
      <c r="X14" s="65" t="s">
        <v>634</v>
      </c>
      <c r="AF14" s="65" t="s">
        <v>633</v>
      </c>
      <c r="AI14" s="211"/>
      <c r="AJ14" s="211">
        <f>AK36/AJ36</f>
        <v>0.60806132052863948</v>
      </c>
      <c r="AK14" s="212"/>
      <c r="AL14" s="212"/>
      <c r="AM14" s="212"/>
      <c r="AN14" s="65" t="s">
        <v>632</v>
      </c>
      <c r="AQ14" s="65" t="s">
        <v>631</v>
      </c>
      <c r="AU14" s="211"/>
      <c r="AV14" s="211"/>
      <c r="AW14" s="211"/>
      <c r="AZ14" s="65" t="s">
        <v>630</v>
      </c>
    </row>
    <row r="15" spans="1:61" x14ac:dyDescent="0.25">
      <c r="A15" s="61" t="s">
        <v>629</v>
      </c>
      <c r="F15" s="61" t="s">
        <v>628</v>
      </c>
      <c r="G15" s="61" t="s">
        <v>469</v>
      </c>
      <c r="N15" s="61" t="s">
        <v>353</v>
      </c>
      <c r="P15" s="61">
        <f>1/O17</f>
        <v>1.1257757329217524</v>
      </c>
      <c r="V15" s="61" t="s">
        <v>468</v>
      </c>
      <c r="W15" s="61" t="s">
        <v>468</v>
      </c>
      <c r="X15" s="61" t="s">
        <v>574</v>
      </c>
      <c r="AF15" s="213" t="s">
        <v>627</v>
      </c>
      <c r="AG15" s="213"/>
      <c r="AI15" s="211"/>
      <c r="AJ15" s="211">
        <f>AK34/AJ34</f>
        <v>0.62733364092628252</v>
      </c>
      <c r="AK15" s="212"/>
      <c r="AL15" s="212"/>
      <c r="AM15" s="212"/>
      <c r="AN15" s="210" t="s">
        <v>626</v>
      </c>
      <c r="AQ15" s="76"/>
      <c r="AU15" s="211"/>
      <c r="AV15" s="211"/>
      <c r="AW15" s="211"/>
      <c r="AZ15" s="210" t="s">
        <v>626</v>
      </c>
      <c r="BA15" s="210" t="s">
        <v>621</v>
      </c>
      <c r="BC15" s="210" t="s">
        <v>625</v>
      </c>
      <c r="BF15" s="210" t="s">
        <v>621</v>
      </c>
      <c r="BG15" s="210"/>
      <c r="BH15" s="210"/>
    </row>
    <row r="16" spans="1:61" x14ac:dyDescent="0.25">
      <c r="F16" s="61" t="s">
        <v>624</v>
      </c>
      <c r="H16" s="61">
        <f>I16</f>
        <v>2012</v>
      </c>
      <c r="I16" s="61">
        <v>2012</v>
      </c>
      <c r="J16" s="61">
        <v>2017</v>
      </c>
      <c r="K16" s="61">
        <v>2020</v>
      </c>
      <c r="L16" s="61">
        <v>2030</v>
      </c>
      <c r="M16" s="61">
        <v>2040</v>
      </c>
      <c r="N16" s="61">
        <v>2050</v>
      </c>
      <c r="P16" s="61">
        <v>2012</v>
      </c>
      <c r="Q16" s="61">
        <v>2017</v>
      </c>
      <c r="R16" s="61">
        <v>2020</v>
      </c>
      <c r="S16" s="61">
        <v>2030</v>
      </c>
      <c r="T16" s="61">
        <v>2040</v>
      </c>
      <c r="U16" s="61">
        <v>2050</v>
      </c>
      <c r="V16" s="61">
        <v>2012</v>
      </c>
      <c r="W16" s="61">
        <v>2012</v>
      </c>
      <c r="X16" s="61">
        <f t="shared" ref="X16:X41" si="0">Z16</f>
        <v>2012</v>
      </c>
      <c r="Y16" s="61" t="s">
        <v>623</v>
      </c>
      <c r="Z16" s="209">
        <v>2012</v>
      </c>
      <c r="AA16" s="209">
        <v>2017</v>
      </c>
      <c r="AB16" s="61">
        <v>2020</v>
      </c>
      <c r="AC16" s="61">
        <v>2030</v>
      </c>
      <c r="AD16" s="61">
        <v>2040</v>
      </c>
      <c r="AE16" s="61">
        <v>2050</v>
      </c>
      <c r="AF16" s="61">
        <v>2006</v>
      </c>
      <c r="AG16" s="165">
        <v>2010</v>
      </c>
      <c r="AH16" s="165">
        <v>2012</v>
      </c>
      <c r="AI16" s="200">
        <v>2017</v>
      </c>
      <c r="AJ16" s="200">
        <v>2020</v>
      </c>
      <c r="AK16" s="202">
        <v>2030</v>
      </c>
      <c r="AL16" s="202">
        <v>2040</v>
      </c>
      <c r="AM16" s="202">
        <v>2050</v>
      </c>
      <c r="AN16" s="165" t="str">
        <f>TRP!X59</f>
        <v>2017PJ</v>
      </c>
      <c r="AO16" s="165">
        <v>2017</v>
      </c>
      <c r="AQ16" s="76">
        <v>20.170000000000002</v>
      </c>
      <c r="AR16" s="61">
        <v>2017</v>
      </c>
      <c r="AS16" s="61">
        <v>2006</v>
      </c>
      <c r="AT16" s="7">
        <f>AJ16</f>
        <v>2020</v>
      </c>
      <c r="AU16" s="200">
        <f>AK16</f>
        <v>2030</v>
      </c>
      <c r="AV16" s="200">
        <f>AL16</f>
        <v>2040</v>
      </c>
      <c r="AW16" s="200">
        <f>AM16</f>
        <v>2050</v>
      </c>
      <c r="BC16" s="61">
        <v>2006</v>
      </c>
      <c r="BD16" s="61">
        <v>2012</v>
      </c>
      <c r="BF16"/>
      <c r="BG16"/>
      <c r="BH16" s="61">
        <v>2006</v>
      </c>
      <c r="BI16" s="61">
        <v>2012</v>
      </c>
    </row>
    <row r="17" spans="1:77" x14ac:dyDescent="0.25">
      <c r="A17" s="61" t="str">
        <f t="shared" ref="A17:A48" si="1">RIGHT(D17,3)&amp;C17</f>
        <v>BUSODS</v>
      </c>
      <c r="B17" s="61" t="str">
        <f>D17&amp;C17&amp;"-E"</f>
        <v>TPPUBUSODS-E</v>
      </c>
      <c r="C17" s="61" t="s">
        <v>511</v>
      </c>
      <c r="D17" s="61" t="s">
        <v>565</v>
      </c>
      <c r="E17" s="61" t="s">
        <v>569</v>
      </c>
      <c r="F17" s="199">
        <f t="shared" ref="F17:F48" si="2">H17*0.000001</f>
        <v>0.06</v>
      </c>
      <c r="G17" s="198">
        <f t="shared" ref="G17:G48" si="3">I17</f>
        <v>53296.583187381897</v>
      </c>
      <c r="H17" s="61">
        <v>60000</v>
      </c>
      <c r="I17" s="7">
        <v>53296.583187381897</v>
      </c>
      <c r="J17" s="7">
        <v>25519.3702773902</v>
      </c>
      <c r="K17" s="7">
        <v>20224.127065240998</v>
      </c>
      <c r="L17" s="7">
        <v>9102.8605766817</v>
      </c>
      <c r="M17" s="7">
        <v>3988.6494324368</v>
      </c>
      <c r="N17" s="7">
        <v>1718.2224683684799</v>
      </c>
      <c r="O17" s="175">
        <f t="shared" ref="O17:O41" si="4">P17</f>
        <v>0.88827638645636497</v>
      </c>
      <c r="P17" s="175">
        <f t="shared" ref="P17:P41" si="5">I17/$H17</f>
        <v>0.88827638645636497</v>
      </c>
      <c r="Q17" s="175">
        <f t="shared" ref="Q17:Q41" si="6">J17/$H17</f>
        <v>0.42532283795650333</v>
      </c>
      <c r="R17" s="175">
        <f t="shared" ref="R17:R41" si="7">K17/$H17</f>
        <v>0.33706878442068333</v>
      </c>
      <c r="S17" s="175">
        <f t="shared" ref="S17:S41" si="8">L17/$H17</f>
        <v>0.15171434294469499</v>
      </c>
      <c r="T17" s="175">
        <f t="shared" ref="T17:T41" si="9">M17/$H17</f>
        <v>6.6477490540613332E-2</v>
      </c>
      <c r="U17" s="175">
        <f t="shared" ref="U17:U41" si="10">N17/$H17</f>
        <v>2.8637041139474666E-2</v>
      </c>
      <c r="V17" s="197">
        <f t="shared" ref="V17:V48" si="11">W17</f>
        <v>40.788494972334703</v>
      </c>
      <c r="W17" s="67">
        <v>40.788494972334703</v>
      </c>
      <c r="X17" s="197">
        <f t="shared" si="0"/>
        <v>6.1451225052252298E-2</v>
      </c>
      <c r="Y17" s="204">
        <f t="shared" ref="Y17:Y41" si="12">Z17</f>
        <v>6.1451225052252298E-2</v>
      </c>
      <c r="Z17" s="67">
        <v>6.1451225052252298E-2</v>
      </c>
      <c r="AA17" s="775">
        <v>6.4348339348895098E-2</v>
      </c>
      <c r="AB17" s="67">
        <v>6.4532835825940396E-2</v>
      </c>
      <c r="AC17" s="67">
        <v>6.5227894002483106E-2</v>
      </c>
      <c r="AD17" s="67">
        <v>6.6011283101863896E-2</v>
      </c>
      <c r="AE17" s="67">
        <v>6.6777008175099004E-2</v>
      </c>
      <c r="AF17" s="165">
        <v>21.5647607151075</v>
      </c>
      <c r="AG17" s="165">
        <v>26.527095234144401</v>
      </c>
      <c r="AH17" s="165">
        <v>28.126256176370301</v>
      </c>
      <c r="AI17" s="67">
        <v>25.1952522652347</v>
      </c>
      <c r="AJ17" s="67">
        <v>23.083651962362801</v>
      </c>
      <c r="AK17" s="67">
        <v>15.5161252325553</v>
      </c>
      <c r="AL17" s="202">
        <f t="shared" ref="AL17:AL42" si="13">AV17*AV$12</f>
        <v>0</v>
      </c>
      <c r="AM17" s="202">
        <f t="shared" ref="AM17:AM42" si="14">AW17*AW$12</f>
        <v>0</v>
      </c>
      <c r="AN17" s="67">
        <v>9.9920000000000009</v>
      </c>
      <c r="AO17" s="165">
        <f t="shared" ref="AO17:AO41" si="15">AN17</f>
        <v>9.9920000000000009</v>
      </c>
      <c r="AP17" s="61" t="str">
        <f t="shared" ref="AP17:AP41" si="16">E17</f>
        <v>BusDiesel</v>
      </c>
      <c r="AQ17" s="171">
        <f>AR17/AR17</f>
        <v>1</v>
      </c>
      <c r="AR17" s="7">
        <v>1083</v>
      </c>
      <c r="AS17" s="167">
        <f t="shared" ref="AS17:AS41" si="17">BC17</f>
        <v>1211</v>
      </c>
      <c r="AT17" s="7">
        <f>AJ17</f>
        <v>23.083651962362801</v>
      </c>
      <c r="AU17" s="200">
        <v>28.053995016672602</v>
      </c>
      <c r="AV17" s="200">
        <v>21.637905752302</v>
      </c>
      <c r="AW17" s="200">
        <v>14.5010359456413</v>
      </c>
      <c r="AZ17" s="169">
        <f t="shared" ref="AZ17:AZ41" si="18">AS17-BC17</f>
        <v>0</v>
      </c>
      <c r="BA17" s="167">
        <f t="shared" ref="BA17:BA41" si="19">BH17-AS17</f>
        <v>0</v>
      </c>
      <c r="BC17">
        <v>1211</v>
      </c>
      <c r="BD17">
        <v>1063</v>
      </c>
      <c r="BF17" t="s">
        <v>60</v>
      </c>
      <c r="BG17" t="s">
        <v>477</v>
      </c>
      <c r="BH17" s="167">
        <v>1211</v>
      </c>
      <c r="BI17" s="61">
        <f t="array" ref="BI17">INDEX($BQ$22:$BQ$38,MATCH($BF17&amp;$BG17,$BN$22:$BN$38&amp;$BO$22:$BO$38,0))</f>
        <v>1063</v>
      </c>
      <c r="BX17"/>
      <c r="BY17"/>
    </row>
    <row r="18" spans="1:77" x14ac:dyDescent="0.25">
      <c r="A18" s="61" t="str">
        <f t="shared" si="1"/>
        <v>CARODS</v>
      </c>
      <c r="B18" s="61" t="str">
        <f>D18&amp;C18&amp;"-E"</f>
        <v>TPPRCARODS-E</v>
      </c>
      <c r="C18" s="61" t="s">
        <v>511</v>
      </c>
      <c r="D18" s="61" t="s">
        <v>554</v>
      </c>
      <c r="E18" s="61" t="s">
        <v>561</v>
      </c>
      <c r="F18" s="199">
        <f t="shared" si="2"/>
        <v>2.2499999999999999E-2</v>
      </c>
      <c r="G18" s="198">
        <f t="shared" si="3"/>
        <v>18220.3496192737</v>
      </c>
      <c r="H18" s="61">
        <v>22500</v>
      </c>
      <c r="I18" s="7">
        <v>18220.3496192737</v>
      </c>
      <c r="J18" s="7">
        <v>16729.5435106636</v>
      </c>
      <c r="K18" s="7">
        <v>14965.0729005177</v>
      </c>
      <c r="L18" s="7">
        <v>10532.204599749301</v>
      </c>
      <c r="M18" s="7">
        <v>7571.5770122505701</v>
      </c>
      <c r="N18" s="7">
        <v>5398.4896574824297</v>
      </c>
      <c r="O18" s="175">
        <f t="shared" si="4"/>
        <v>0.80979331641216445</v>
      </c>
      <c r="P18" s="175">
        <f t="shared" si="5"/>
        <v>0.80979331641216445</v>
      </c>
      <c r="Q18" s="175">
        <f t="shared" si="6"/>
        <v>0.74353526714060447</v>
      </c>
      <c r="R18" s="175">
        <f t="shared" si="7"/>
        <v>0.66511435113411999</v>
      </c>
      <c r="S18" s="175">
        <f t="shared" si="8"/>
        <v>0.46809798221108001</v>
      </c>
      <c r="T18" s="175">
        <f t="shared" si="9"/>
        <v>0.33651453387780311</v>
      </c>
      <c r="U18" s="175">
        <f t="shared" si="10"/>
        <v>0.23993287366588575</v>
      </c>
      <c r="V18" s="197">
        <f t="shared" si="11"/>
        <v>7.9055959462827703</v>
      </c>
      <c r="W18" s="67">
        <v>7.9055959462827703</v>
      </c>
      <c r="X18" s="197">
        <f t="shared" si="0"/>
        <v>0.32230996851715898</v>
      </c>
      <c r="Y18" s="204">
        <f t="shared" si="12"/>
        <v>0.32230996851715898</v>
      </c>
      <c r="Z18" s="67">
        <v>0.32230996851715898</v>
      </c>
      <c r="AA18" s="195">
        <v>0.332001778720379</v>
      </c>
      <c r="AB18" s="67">
        <v>0.33265717758608498</v>
      </c>
      <c r="AC18" s="67">
        <v>0.33651934650542698</v>
      </c>
      <c r="AD18" s="67">
        <v>0.34211282028256701</v>
      </c>
      <c r="AE18" s="67">
        <v>0.34710783356449998</v>
      </c>
      <c r="AF18" s="165">
        <v>147.69326759927199</v>
      </c>
      <c r="AG18" s="165">
        <v>228.12543892094001</v>
      </c>
      <c r="AH18" s="67">
        <v>283.266255294215</v>
      </c>
      <c r="AI18" s="67">
        <v>387.58646835565298</v>
      </c>
      <c r="AJ18" s="67">
        <v>369.96010154816298</v>
      </c>
      <c r="AK18" s="67">
        <v>243.13201263550999</v>
      </c>
      <c r="AL18" s="202">
        <f t="shared" si="13"/>
        <v>0</v>
      </c>
      <c r="AM18" s="202">
        <f t="shared" si="14"/>
        <v>0</v>
      </c>
      <c r="AN18" s="67">
        <v>19.53</v>
      </c>
      <c r="AO18" s="165">
        <f t="shared" si="15"/>
        <v>19.53</v>
      </c>
      <c r="AP18" s="61" t="str">
        <f t="shared" si="16"/>
        <v>CarDiesel</v>
      </c>
      <c r="AQ18" s="171">
        <f>AR18/SUM($AR$18:$AR$22)</f>
        <v>5.950319541892235E-2</v>
      </c>
      <c r="AR18" s="7">
        <v>15223</v>
      </c>
      <c r="AS18" s="167">
        <f t="shared" si="17"/>
        <v>34051</v>
      </c>
      <c r="AT18" s="7">
        <f>AJ18</f>
        <v>369.96010154816298</v>
      </c>
      <c r="AU18" s="67">
        <v>243.13201263550999</v>
      </c>
      <c r="AV18" s="67">
        <v>79.964468955562495</v>
      </c>
      <c r="AW18" s="67">
        <v>8.4181830560056294</v>
      </c>
      <c r="AZ18" s="169">
        <f t="shared" si="18"/>
        <v>0</v>
      </c>
      <c r="BA18" s="167">
        <f t="shared" si="19"/>
        <v>-883</v>
      </c>
      <c r="BC18">
        <v>34051</v>
      </c>
      <c r="BD18">
        <v>29429</v>
      </c>
      <c r="BF18" t="s">
        <v>613</v>
      </c>
      <c r="BG18" t="s">
        <v>477</v>
      </c>
      <c r="BH18" s="167">
        <v>33168</v>
      </c>
      <c r="BI18" s="61">
        <f t="array" ref="BI18">INDEX($BQ$22:$BQ$38,MATCH($BF18&amp;$BG18,$BN$22:$BN$38&amp;$BO$22:$BO$38,0))</f>
        <v>29512</v>
      </c>
      <c r="BX18"/>
      <c r="BY18"/>
    </row>
    <row r="19" spans="1:77" x14ac:dyDescent="0.25">
      <c r="A19" s="61" t="str">
        <f t="shared" si="1"/>
        <v>CAROGS</v>
      </c>
      <c r="B19" s="61" t="str">
        <f>D19&amp;C19&amp;"-E"</f>
        <v>TPPRCAROGS-E</v>
      </c>
      <c r="C19" s="61" t="s">
        <v>573</v>
      </c>
      <c r="D19" s="61" t="s">
        <v>554</v>
      </c>
      <c r="E19" s="61" t="s">
        <v>559</v>
      </c>
      <c r="F19" s="199">
        <f t="shared" si="2"/>
        <v>1.9099999999999999E-2</v>
      </c>
      <c r="G19" s="198">
        <f t="shared" si="3"/>
        <v>12852.747242613699</v>
      </c>
      <c r="H19" s="7">
        <v>19100</v>
      </c>
      <c r="I19" s="7">
        <v>12852.747242613699</v>
      </c>
      <c r="J19" s="7">
        <v>12637.1850755821</v>
      </c>
      <c r="K19" s="7">
        <v>11601.9930786731</v>
      </c>
      <c r="L19" s="7">
        <v>8633.7368714345102</v>
      </c>
      <c r="M19" s="7">
        <v>6268.2969175736998</v>
      </c>
      <c r="N19" s="7">
        <v>4452.4601660594199</v>
      </c>
      <c r="O19" s="175">
        <f t="shared" si="4"/>
        <v>0.67291870380176433</v>
      </c>
      <c r="P19" s="175">
        <f t="shared" si="5"/>
        <v>0.67291870380176433</v>
      </c>
      <c r="Q19" s="175">
        <f t="shared" si="6"/>
        <v>0.66163272647026705</v>
      </c>
      <c r="R19" s="175">
        <f t="shared" si="7"/>
        <v>0.60743419260068587</v>
      </c>
      <c r="S19" s="175">
        <f t="shared" si="8"/>
        <v>0.45202810845206859</v>
      </c>
      <c r="T19" s="175">
        <f t="shared" si="9"/>
        <v>0.32818308468972252</v>
      </c>
      <c r="U19" s="175">
        <f t="shared" si="10"/>
        <v>0.23311309769944608</v>
      </c>
      <c r="V19" s="197">
        <f t="shared" si="11"/>
        <v>8.1935839212683703</v>
      </c>
      <c r="W19" s="67">
        <v>8.1935839212683703</v>
      </c>
      <c r="X19" s="197">
        <f t="shared" si="0"/>
        <v>0.34093701352969102</v>
      </c>
      <c r="Y19" s="204">
        <f t="shared" si="12"/>
        <v>0.34093701352969102</v>
      </c>
      <c r="Z19" s="61">
        <v>0.34093701352969102</v>
      </c>
      <c r="AA19" s="61">
        <v>0.35686173917097103</v>
      </c>
      <c r="AB19" s="61">
        <v>0.35949352149263297</v>
      </c>
      <c r="AC19" s="61">
        <v>0.36773748352763003</v>
      </c>
      <c r="AD19" s="61">
        <v>0.374376610599086</v>
      </c>
      <c r="AE19" s="61">
        <v>0.37938792131855897</v>
      </c>
      <c r="AF19" s="67">
        <v>0.37938792131855897</v>
      </c>
      <c r="AG19" s="165">
        <v>5147.4548255316504</v>
      </c>
      <c r="AH19" s="67">
        <v>5479.0960107301498</v>
      </c>
      <c r="AI19" s="67">
        <v>5902.05729724512</v>
      </c>
      <c r="AJ19" s="67">
        <v>5259.5090745597199</v>
      </c>
      <c r="AK19" s="67">
        <v>2963.6268741726399</v>
      </c>
      <c r="AL19" s="202">
        <f t="shared" si="13"/>
        <v>0</v>
      </c>
      <c r="AM19" s="202">
        <f t="shared" si="14"/>
        <v>0</v>
      </c>
      <c r="AN19" s="67">
        <v>209.00360617320999</v>
      </c>
      <c r="AO19" s="165">
        <f t="shared" si="15"/>
        <v>209.00360617320999</v>
      </c>
      <c r="AP19" s="61" t="str">
        <f t="shared" si="16"/>
        <v>CarGasoline</v>
      </c>
      <c r="AQ19" s="171">
        <f>AR19/SUM($AR$18:$AR$22)</f>
        <v>0.93935153516915204</v>
      </c>
      <c r="AR19" s="7">
        <v>240319</v>
      </c>
      <c r="AS19" s="167">
        <f t="shared" si="17"/>
        <v>381672</v>
      </c>
      <c r="AT19" s="7">
        <f>AJ19</f>
        <v>5259.5090745597199</v>
      </c>
      <c r="AU19" s="67">
        <v>2963.6268741726399</v>
      </c>
      <c r="AV19" s="67">
        <v>1061.4603506595699</v>
      </c>
      <c r="AW19" s="67">
        <v>189.82402230184499</v>
      </c>
      <c r="AZ19" s="169">
        <f t="shared" si="18"/>
        <v>0</v>
      </c>
      <c r="BA19" s="167">
        <f t="shared" si="19"/>
        <v>-8917</v>
      </c>
      <c r="BC19">
        <v>381672</v>
      </c>
      <c r="BD19">
        <v>328312</v>
      </c>
      <c r="BF19" t="s">
        <v>613</v>
      </c>
      <c r="BG19" t="s">
        <v>484</v>
      </c>
      <c r="BH19" s="167">
        <v>372755</v>
      </c>
      <c r="BI19" s="61">
        <f t="array" ref="BI19">INDEX($BQ$22:$BQ$38,MATCH($BF19&amp;$BG19,$BN$22:$BN$38&amp;$BO$22:$BO$38,0))</f>
        <v>328229</v>
      </c>
      <c r="BK19"/>
      <c r="BL19"/>
      <c r="BM19"/>
      <c r="BN19"/>
      <c r="BO19"/>
      <c r="BP19"/>
      <c r="BQ19"/>
      <c r="BR19"/>
      <c r="BS19"/>
      <c r="BT19"/>
      <c r="BU19"/>
      <c r="BV19"/>
      <c r="BW19"/>
    </row>
    <row r="20" spans="1:77" x14ac:dyDescent="0.25">
      <c r="A20" s="61" t="str">
        <f t="shared" si="1"/>
        <v>CARODS</v>
      </c>
      <c r="B20" s="61" t="str">
        <f>D20&amp;C20&amp;"H-E"</f>
        <v>TPPRCARODSH-E</v>
      </c>
      <c r="C20" s="61" t="s">
        <v>511</v>
      </c>
      <c r="D20" s="61" t="s">
        <v>554</v>
      </c>
      <c r="E20" t="s">
        <v>622</v>
      </c>
      <c r="F20" s="199">
        <f t="shared" si="2"/>
        <v>2.2499999999999999E-2</v>
      </c>
      <c r="G20" s="198">
        <f t="shared" si="3"/>
        <v>19881.719170397148</v>
      </c>
      <c r="H20" s="61">
        <v>22500</v>
      </c>
      <c r="I20" s="7">
        <v>19881.719170397148</v>
      </c>
      <c r="J20" s="7">
        <f>I20</f>
        <v>19881.719170397148</v>
      </c>
      <c r="K20" s="7">
        <f t="shared" ref="K20:N20" si="20">J20</f>
        <v>19881.719170397148</v>
      </c>
      <c r="L20" s="7">
        <f t="shared" si="20"/>
        <v>19881.719170397148</v>
      </c>
      <c r="M20" s="7">
        <f t="shared" si="20"/>
        <v>19881.719170397148</v>
      </c>
      <c r="N20" s="7">
        <f t="shared" si="20"/>
        <v>19881.719170397148</v>
      </c>
      <c r="O20" s="175">
        <f t="shared" si="4"/>
        <v>0.88363196312876213</v>
      </c>
      <c r="P20" s="175">
        <f t="shared" si="5"/>
        <v>0.88363196312876213</v>
      </c>
      <c r="Q20" s="175">
        <f t="shared" si="6"/>
        <v>0.88363196312876213</v>
      </c>
      <c r="R20" s="175">
        <f t="shared" si="7"/>
        <v>0.88363196312876213</v>
      </c>
      <c r="S20" s="175">
        <f t="shared" si="8"/>
        <v>0.88363196312876213</v>
      </c>
      <c r="T20" s="175">
        <f t="shared" si="9"/>
        <v>0.88363196312876213</v>
      </c>
      <c r="U20" s="175">
        <f t="shared" si="10"/>
        <v>0.88363196312876213</v>
      </c>
      <c r="V20" s="197">
        <f t="shared" si="11"/>
        <v>5.8008636405175897</v>
      </c>
      <c r="W20" s="67">
        <f>W18/W19*W21</f>
        <v>5.8008636405175897</v>
      </c>
      <c r="X20" s="197">
        <f t="shared" si="0"/>
        <v>0.44260233149753841</v>
      </c>
      <c r="Y20" s="204">
        <f t="shared" si="12"/>
        <v>0.44260233149753841</v>
      </c>
      <c r="Z20" s="67">
        <v>0.44260233149753841</v>
      </c>
      <c r="AA20" s="195">
        <v>0.442677144204426</v>
      </c>
      <c r="AB20" s="67">
        <v>0.44268528093113702</v>
      </c>
      <c r="AC20" s="67">
        <v>0.44274684110372098</v>
      </c>
      <c r="AD20" s="67">
        <v>0.44285783965419501</v>
      </c>
      <c r="AE20" s="67">
        <v>0.44301014956021301</v>
      </c>
      <c r="AF20" s="165">
        <v>0</v>
      </c>
      <c r="AG20" s="165">
        <v>0</v>
      </c>
      <c r="AH20" s="67">
        <v>0</v>
      </c>
      <c r="AI20" s="67">
        <v>0</v>
      </c>
      <c r="AJ20" s="67">
        <v>0</v>
      </c>
      <c r="AK20" s="67">
        <v>0</v>
      </c>
      <c r="AL20" s="202">
        <f t="shared" si="13"/>
        <v>0</v>
      </c>
      <c r="AM20" s="202">
        <f t="shared" si="14"/>
        <v>0</v>
      </c>
      <c r="AN20" s="67">
        <v>0</v>
      </c>
      <c r="AO20" s="165">
        <f t="shared" si="15"/>
        <v>0</v>
      </c>
      <c r="AP20" s="61" t="str">
        <f t="shared" si="16"/>
        <v>CarHybridDiesel</v>
      </c>
      <c r="AQ20" s="171">
        <f>AR20/SUM($AR$18:$AR$22)</f>
        <v>0</v>
      </c>
      <c r="AR20" s="7">
        <v>0</v>
      </c>
      <c r="AS20" s="167">
        <f t="shared" si="17"/>
        <v>0</v>
      </c>
      <c r="AU20" s="67">
        <v>0</v>
      </c>
      <c r="AV20" s="67">
        <v>0</v>
      </c>
      <c r="AW20" s="67">
        <v>0</v>
      </c>
      <c r="AZ20" s="169">
        <f t="shared" si="18"/>
        <v>0</v>
      </c>
      <c r="BA20" s="167">
        <f t="shared" si="19"/>
        <v>0</v>
      </c>
      <c r="BC20">
        <v>0</v>
      </c>
      <c r="BD20">
        <v>0</v>
      </c>
      <c r="BF20" t="s">
        <v>613</v>
      </c>
      <c r="BG20" t="s">
        <v>614</v>
      </c>
      <c r="BH20" s="167">
        <v>0</v>
      </c>
      <c r="BI20" s="61">
        <f t="array" ref="BI20">INDEX($BQ$22:$BQ$38,MATCH($BF20&amp;$BG20,$BN$22:$BN$38&amp;$BO$22:$BO$38,0))</f>
        <v>0</v>
      </c>
      <c r="BJ20"/>
      <c r="BK20"/>
      <c r="BL20"/>
      <c r="BM20"/>
      <c r="BN20" s="61" t="s">
        <v>621</v>
      </c>
      <c r="BO20"/>
      <c r="BP20"/>
      <c r="BQ20"/>
      <c r="BR20"/>
      <c r="BS20"/>
      <c r="BT20"/>
    </row>
    <row r="21" spans="1:77" x14ac:dyDescent="0.25">
      <c r="A21" s="61" t="str">
        <f t="shared" si="1"/>
        <v>CAROGS</v>
      </c>
      <c r="B21" s="61" t="str">
        <f>D21&amp;C21&amp;"H-E"</f>
        <v>TPPRCAROGSH-E</v>
      </c>
      <c r="C21" s="61" t="s">
        <v>573</v>
      </c>
      <c r="D21" s="61" t="s">
        <v>554</v>
      </c>
      <c r="E21" s="61" t="s">
        <v>620</v>
      </c>
      <c r="F21" s="199">
        <f t="shared" si="2"/>
        <v>0.02</v>
      </c>
      <c r="G21" s="198">
        <f t="shared" si="3"/>
        <v>18345.381909407301</v>
      </c>
      <c r="H21" s="61">
        <v>20000</v>
      </c>
      <c r="I21" s="7">
        <v>18345.381909407301</v>
      </c>
      <c r="J21" s="7">
        <v>16469.932811344399</v>
      </c>
      <c r="K21" s="7">
        <v>14637.8162878194</v>
      </c>
      <c r="L21" s="7">
        <v>9973.7333703914101</v>
      </c>
      <c r="M21" s="7">
        <v>6889.2289892889703</v>
      </c>
      <c r="N21" s="7">
        <v>4793.0348277191597</v>
      </c>
      <c r="O21" s="175">
        <f t="shared" si="4"/>
        <v>0.91726909547036506</v>
      </c>
      <c r="P21" s="175">
        <f t="shared" si="5"/>
        <v>0.91726909547036506</v>
      </c>
      <c r="Q21" s="175">
        <f t="shared" si="6"/>
        <v>0.82349664056721994</v>
      </c>
      <c r="R21" s="175">
        <f t="shared" si="7"/>
        <v>0.73189081439097003</v>
      </c>
      <c r="S21" s="175">
        <f t="shared" si="8"/>
        <v>0.4986866685195705</v>
      </c>
      <c r="T21" s="175">
        <f t="shared" si="9"/>
        <v>0.34446144946444851</v>
      </c>
      <c r="U21" s="175">
        <f t="shared" si="10"/>
        <v>0.23965174138595799</v>
      </c>
      <c r="V21" s="197">
        <f t="shared" si="11"/>
        <v>6.0121796481091199</v>
      </c>
      <c r="W21" s="67">
        <v>6.0121796481091199</v>
      </c>
      <c r="X21" s="197">
        <f t="shared" si="0"/>
        <v>0.475035020619682</v>
      </c>
      <c r="Y21" s="204">
        <f t="shared" si="12"/>
        <v>0.475035020619682</v>
      </c>
      <c r="Z21" s="67">
        <v>0.475035020619682</v>
      </c>
      <c r="AA21" s="195">
        <v>0.48634218857827199</v>
      </c>
      <c r="AB21" s="67">
        <v>0.48658239494189298</v>
      </c>
      <c r="AC21" s="67">
        <v>0.48849585750196101</v>
      </c>
      <c r="AD21" s="67">
        <v>0.492038428921173</v>
      </c>
      <c r="AE21" s="67">
        <v>0.49648557965280099</v>
      </c>
      <c r="AF21" s="165">
        <v>0.30999004554632797</v>
      </c>
      <c r="AG21" s="165">
        <v>1.11288673921603</v>
      </c>
      <c r="AH21" s="67">
        <v>2.3087301118619199</v>
      </c>
      <c r="AI21" s="67">
        <v>4.1935845862025003</v>
      </c>
      <c r="AJ21" s="67">
        <v>4.11763972020184</v>
      </c>
      <c r="AK21" s="67">
        <v>3.1386913845266902</v>
      </c>
      <c r="AL21" s="202">
        <f t="shared" si="13"/>
        <v>0</v>
      </c>
      <c r="AM21" s="202">
        <f t="shared" si="14"/>
        <v>0</v>
      </c>
      <c r="AN21" s="67">
        <v>0.14199999999999999</v>
      </c>
      <c r="AO21" s="165">
        <f t="shared" si="15"/>
        <v>0.14199999999999999</v>
      </c>
      <c r="AP21" s="61" t="str">
        <f t="shared" si="16"/>
        <v>CarHybridGasoline</v>
      </c>
      <c r="AQ21" s="171">
        <f>AR21/SUM($AR$18:$AR$22)</f>
        <v>8.8338186721910602E-4</v>
      </c>
      <c r="AR21" s="7">
        <v>226</v>
      </c>
      <c r="AS21" s="167">
        <f t="shared" si="17"/>
        <v>204</v>
      </c>
      <c r="AU21" s="67">
        <v>3.1386913845266902</v>
      </c>
      <c r="AV21" s="67">
        <v>1.2079500244086701</v>
      </c>
      <c r="AW21" s="67">
        <v>0.13522368434951601</v>
      </c>
      <c r="AZ21" s="169">
        <f t="shared" si="18"/>
        <v>0</v>
      </c>
      <c r="BA21" s="167">
        <f t="shared" si="19"/>
        <v>0</v>
      </c>
      <c r="BC21">
        <v>204</v>
      </c>
      <c r="BD21">
        <v>668</v>
      </c>
      <c r="BF21" t="s">
        <v>613</v>
      </c>
      <c r="BG21" t="s">
        <v>611</v>
      </c>
      <c r="BH21" s="167">
        <v>204</v>
      </c>
      <c r="BI21" s="61">
        <f t="array" ref="BI21">INDEX($BQ$22:$BQ$38,MATCH($BF21&amp;$BG21,$BN$22:$BN$38&amp;$BO$22:$BO$38,0))</f>
        <v>668</v>
      </c>
      <c r="BJ21"/>
      <c r="BK21"/>
      <c r="BL21"/>
      <c r="BM21"/>
      <c r="BN21" t="s">
        <v>619</v>
      </c>
      <c r="BO21" t="s">
        <v>618</v>
      </c>
      <c r="BP21" s="69">
        <v>2006</v>
      </c>
      <c r="BQ21" s="69">
        <v>2012</v>
      </c>
      <c r="BR21"/>
      <c r="BS21"/>
      <c r="BT21"/>
    </row>
    <row r="22" spans="1:77" x14ac:dyDescent="0.25">
      <c r="A22" s="61" t="str">
        <f t="shared" si="1"/>
        <v>CARELC</v>
      </c>
      <c r="B22" s="61" t="str">
        <f t="shared" ref="B22:B37" si="21">D22&amp;C22&amp;"-E"</f>
        <v>TPPRCARELC-E</v>
      </c>
      <c r="C22" s="61" t="s">
        <v>501</v>
      </c>
      <c r="D22" s="61" t="s">
        <v>554</v>
      </c>
      <c r="E22" t="s">
        <v>324</v>
      </c>
      <c r="F22" s="199">
        <f t="shared" si="2"/>
        <v>2.2499999999999999E-2</v>
      </c>
      <c r="G22" s="198">
        <f t="shared" si="3"/>
        <v>21358.407707781298</v>
      </c>
      <c r="H22" s="61">
        <v>22500</v>
      </c>
      <c r="I22" s="206" cm="1">
        <f t="array" ref="I22">TREND(K22:N22,$K$16:$N$16,$I$16)</f>
        <v>21358.407707781298</v>
      </c>
      <c r="J22" s="7">
        <v>21176.992852249601</v>
      </c>
      <c r="K22" s="7">
        <v>18784.2219075748</v>
      </c>
      <c r="L22" s="7">
        <v>12612.1000996887</v>
      </c>
      <c r="M22" s="7">
        <v>8490.9030310877897</v>
      </c>
      <c r="N22" s="7">
        <v>5732.69771320774</v>
      </c>
      <c r="O22" s="175">
        <f t="shared" si="4"/>
        <v>0.94926256479027993</v>
      </c>
      <c r="P22" s="175">
        <f t="shared" si="5"/>
        <v>0.94926256479027993</v>
      </c>
      <c r="Q22" s="175">
        <f t="shared" si="6"/>
        <v>0.94119968232220452</v>
      </c>
      <c r="R22" s="175">
        <f t="shared" si="7"/>
        <v>0.83485430700332441</v>
      </c>
      <c r="S22" s="175">
        <f t="shared" si="8"/>
        <v>0.56053778220838668</v>
      </c>
      <c r="T22" s="175">
        <f t="shared" si="9"/>
        <v>0.37737346804834621</v>
      </c>
      <c r="U22" s="175">
        <f t="shared" si="10"/>
        <v>0.25478656503145514</v>
      </c>
      <c r="V22" s="197">
        <f t="shared" si="11"/>
        <v>1.8270555245815701</v>
      </c>
      <c r="W22" s="67">
        <v>1.8270555245815701</v>
      </c>
      <c r="X22" s="197">
        <f t="shared" si="0"/>
        <v>1.60037643566239</v>
      </c>
      <c r="Y22" s="204">
        <f t="shared" si="12"/>
        <v>1.60037643566239</v>
      </c>
      <c r="Z22" s="67">
        <v>1.60037643566239</v>
      </c>
      <c r="AA22" s="195">
        <v>1.60037643566239</v>
      </c>
      <c r="AB22" s="67">
        <v>1.60041633961525</v>
      </c>
      <c r="AC22" s="67">
        <v>1.6010609819072401</v>
      </c>
      <c r="AD22" s="67">
        <v>1.6027693715918201</v>
      </c>
      <c r="AE22" s="67">
        <v>1.6056042777811199</v>
      </c>
      <c r="AF22" s="165">
        <v>0</v>
      </c>
      <c r="AG22" s="165">
        <v>0</v>
      </c>
      <c r="AH22" s="67">
        <v>0</v>
      </c>
      <c r="AI22" s="67">
        <v>0.33192828574538003</v>
      </c>
      <c r="AJ22" s="67">
        <v>0.33103303930312999</v>
      </c>
      <c r="AK22" s="67">
        <v>0.29041173582530899</v>
      </c>
      <c r="AL22" s="202">
        <f t="shared" si="13"/>
        <v>0</v>
      </c>
      <c r="AM22" s="202">
        <f t="shared" si="14"/>
        <v>0</v>
      </c>
      <c r="AN22" s="67">
        <v>4.3920000000000001E-3</v>
      </c>
      <c r="AO22" s="165">
        <f t="shared" si="15"/>
        <v>4.3920000000000001E-3</v>
      </c>
      <c r="AP22" s="61" t="str">
        <f t="shared" si="16"/>
        <v>CarElectric</v>
      </c>
      <c r="AQ22" s="171">
        <f>AR22/SUM($AR$18:$AR$22)</f>
        <v>2.6188754470654916E-4</v>
      </c>
      <c r="AR22" s="7">
        <v>67</v>
      </c>
      <c r="AS22" s="167">
        <f t="shared" si="17"/>
        <v>0</v>
      </c>
      <c r="AU22" s="67">
        <v>0.29041173582530899</v>
      </c>
      <c r="AV22" s="67">
        <v>0.14685198328200799</v>
      </c>
      <c r="AW22" s="67">
        <v>2.30565785820602E-2</v>
      </c>
      <c r="AZ22" s="169">
        <f t="shared" si="18"/>
        <v>0</v>
      </c>
      <c r="BA22" s="167">
        <f t="shared" si="19"/>
        <v>0</v>
      </c>
      <c r="BC22">
        <v>0</v>
      </c>
      <c r="BD22">
        <v>0</v>
      </c>
      <c r="BF22" t="s">
        <v>613</v>
      </c>
      <c r="BG22" t="s">
        <v>533</v>
      </c>
      <c r="BH22" s="167">
        <v>0</v>
      </c>
      <c r="BI22" s="61">
        <f t="array" ref="BI22">INDEX($BQ$22:$BQ$38,MATCH($BF22&amp;$BG22,$BN$22:$BN$38&amp;$BO$22:$BO$38,0))</f>
        <v>0</v>
      </c>
      <c r="BJ22"/>
      <c r="BK22"/>
      <c r="BL22"/>
      <c r="BM22"/>
      <c r="BN22" t="s">
        <v>60</v>
      </c>
      <c r="BO22" t="s">
        <v>477</v>
      </c>
      <c r="BP22" s="61">
        <v>1211</v>
      </c>
      <c r="BQ22" s="61">
        <v>1063</v>
      </c>
      <c r="BR22"/>
      <c r="BS22"/>
      <c r="BT22"/>
    </row>
    <row r="23" spans="1:77" x14ac:dyDescent="0.25">
      <c r="A23" s="61" t="str">
        <f t="shared" si="1"/>
        <v>CV1ODS</v>
      </c>
      <c r="B23" s="61" t="str">
        <f t="shared" si="21"/>
        <v>TFHCV1ODS-E</v>
      </c>
      <c r="C23" s="61" t="s">
        <v>511</v>
      </c>
      <c r="D23" s="61" t="s">
        <v>551</v>
      </c>
      <c r="E23" t="s">
        <v>266</v>
      </c>
      <c r="F23" s="199">
        <f t="shared" si="2"/>
        <v>5.5E-2</v>
      </c>
      <c r="G23" s="198">
        <f t="shared" si="3"/>
        <v>30805.1279861556</v>
      </c>
      <c r="H23" s="61">
        <v>55000</v>
      </c>
      <c r="I23" s="7">
        <v>30805.1279861556</v>
      </c>
      <c r="J23" s="7">
        <v>28672.905293975698</v>
      </c>
      <c r="K23" s="7">
        <v>22087.9979749747</v>
      </c>
      <c r="L23" s="7">
        <v>10770.667037622199</v>
      </c>
      <c r="M23" s="7">
        <v>5163.7604055934698</v>
      </c>
      <c r="N23" s="7">
        <v>2380.8493192292499</v>
      </c>
      <c r="O23" s="175">
        <f t="shared" si="4"/>
        <v>0.56009323611191997</v>
      </c>
      <c r="P23" s="175">
        <f t="shared" si="5"/>
        <v>0.56009323611191997</v>
      </c>
      <c r="Q23" s="175">
        <f t="shared" si="6"/>
        <v>0.52132555079955811</v>
      </c>
      <c r="R23" s="175">
        <f t="shared" si="7"/>
        <v>0.40159996318135815</v>
      </c>
      <c r="S23" s="175">
        <f t="shared" si="8"/>
        <v>0.19583030977494909</v>
      </c>
      <c r="T23" s="175">
        <f t="shared" si="9"/>
        <v>9.3886552828972181E-2</v>
      </c>
      <c r="U23" s="175">
        <f t="shared" si="10"/>
        <v>4.3288169440531814E-2</v>
      </c>
      <c r="V23" s="197">
        <f t="shared" si="11"/>
        <v>15.4098612224773</v>
      </c>
      <c r="W23" s="67">
        <v>15.4098612224773</v>
      </c>
      <c r="X23" s="197">
        <f t="shared" si="0"/>
        <v>0.15973207030061001</v>
      </c>
      <c r="Y23" s="204">
        <f t="shared" si="12"/>
        <v>0.15973207030061001</v>
      </c>
      <c r="Z23" s="67">
        <v>0.15973207030061001</v>
      </c>
      <c r="AA23" s="195">
        <v>0.170324176066042</v>
      </c>
      <c r="AB23" s="67">
        <v>0.17019984843924499</v>
      </c>
      <c r="AC23" s="67">
        <v>0.17409813013726</v>
      </c>
      <c r="AD23" s="67">
        <v>0.17789366131389001</v>
      </c>
      <c r="AE23" s="67">
        <v>0.18082625096775001</v>
      </c>
      <c r="AF23" s="165">
        <v>89.798500891253894</v>
      </c>
      <c r="AG23" s="165">
        <v>111.125617282167</v>
      </c>
      <c r="AH23" s="67">
        <v>116.591505230221</v>
      </c>
      <c r="AI23" s="67">
        <v>126.227705550552</v>
      </c>
      <c r="AJ23" s="67">
        <v>128.85669585561601</v>
      </c>
      <c r="AK23" s="67">
        <v>65.904742901988897</v>
      </c>
      <c r="AL23" s="202">
        <f t="shared" si="13"/>
        <v>0</v>
      </c>
      <c r="AM23" s="202">
        <f t="shared" si="14"/>
        <v>0</v>
      </c>
      <c r="AN23" s="67">
        <v>21.25</v>
      </c>
      <c r="AO23" s="165">
        <f t="shared" si="15"/>
        <v>21.25</v>
      </c>
      <c r="AP23" s="61" t="str">
        <f t="shared" si="16"/>
        <v>HCV1Diesel</v>
      </c>
      <c r="AQ23" s="207">
        <f>AR23/SUM($AR$23:$AR$24)</f>
        <v>1</v>
      </c>
      <c r="AR23" s="7">
        <v>5995</v>
      </c>
      <c r="AS23" s="167">
        <f t="shared" si="17"/>
        <v>11672</v>
      </c>
      <c r="AU23" s="67">
        <v>65.904742901988897</v>
      </c>
      <c r="AV23" s="67">
        <v>16.632960198561999</v>
      </c>
      <c r="AW23" s="67">
        <v>1.4225903540007701</v>
      </c>
      <c r="AZ23" s="169">
        <f t="shared" si="18"/>
        <v>0</v>
      </c>
      <c r="BA23" s="167">
        <f t="shared" si="19"/>
        <v>2150</v>
      </c>
      <c r="BC23">
        <v>11672</v>
      </c>
      <c r="BD23">
        <v>8111</v>
      </c>
      <c r="BF23" t="s">
        <v>615</v>
      </c>
      <c r="BG23" t="s">
        <v>477</v>
      </c>
      <c r="BH23" s="167">
        <v>13822</v>
      </c>
      <c r="BI23" s="61">
        <f t="array" ref="BI23">INDEX($BQ$22:$BQ$38,MATCH($BF23&amp;$BG23,$BN$22:$BN$38&amp;$BO$22:$BO$38,0))</f>
        <v>9487</v>
      </c>
      <c r="BJ23"/>
      <c r="BK23"/>
      <c r="BL23"/>
      <c r="BM23"/>
      <c r="BN23" t="s">
        <v>617</v>
      </c>
      <c r="BO23" t="s">
        <v>477</v>
      </c>
      <c r="BP23" s="61">
        <v>6533</v>
      </c>
      <c r="BQ23" s="61">
        <v>4742</v>
      </c>
      <c r="BR23"/>
      <c r="BS23"/>
      <c r="BT23"/>
    </row>
    <row r="24" spans="1:77" x14ac:dyDescent="0.25">
      <c r="A24" s="61" t="str">
        <f t="shared" si="1"/>
        <v>CV1OGS</v>
      </c>
      <c r="B24" s="61" t="str">
        <f t="shared" si="21"/>
        <v>TFHCV1OGS-E</v>
      </c>
      <c r="C24" s="61" t="s">
        <v>573</v>
      </c>
      <c r="D24" s="61" t="s">
        <v>551</v>
      </c>
      <c r="E24" t="s">
        <v>552</v>
      </c>
      <c r="F24" s="199">
        <f t="shared" si="2"/>
        <v>4.8000000000000001E-2</v>
      </c>
      <c r="G24" s="198">
        <f t="shared" si="3"/>
        <v>17100.2801251579</v>
      </c>
      <c r="H24" s="61">
        <v>48000</v>
      </c>
      <c r="I24" s="7">
        <v>17100.2801251579</v>
      </c>
      <c r="J24" s="7">
        <v>13782.969469301601</v>
      </c>
      <c r="K24" s="7">
        <v>12796.259204828801</v>
      </c>
      <c r="L24" s="7">
        <v>10147.057094637899</v>
      </c>
      <c r="M24" s="7">
        <v>6586.2943384510099</v>
      </c>
      <c r="N24" s="7">
        <v>3740.6636764421</v>
      </c>
      <c r="O24" s="175">
        <f t="shared" si="4"/>
        <v>0.35625583594078958</v>
      </c>
      <c r="P24" s="175">
        <f t="shared" si="5"/>
        <v>0.35625583594078958</v>
      </c>
      <c r="Q24" s="175">
        <f t="shared" si="6"/>
        <v>0.28714519727711668</v>
      </c>
      <c r="R24" s="175">
        <f t="shared" si="7"/>
        <v>0.26658873343393336</v>
      </c>
      <c r="S24" s="175">
        <f t="shared" si="8"/>
        <v>0.21139702280495623</v>
      </c>
      <c r="T24" s="175">
        <f t="shared" si="9"/>
        <v>0.13721446538439605</v>
      </c>
      <c r="U24" s="175">
        <f t="shared" si="10"/>
        <v>7.793049325921042E-2</v>
      </c>
      <c r="V24" s="197">
        <f t="shared" si="11"/>
        <v>19.628700201694802</v>
      </c>
      <c r="W24" s="67">
        <v>19.628700201694802</v>
      </c>
      <c r="X24" s="197">
        <f t="shared" si="0"/>
        <v>0.14527289486418399</v>
      </c>
      <c r="Y24" s="204">
        <f t="shared" si="12"/>
        <v>0.14527289486418399</v>
      </c>
      <c r="Z24" s="67">
        <v>0.14527289486418399</v>
      </c>
      <c r="AA24" s="195">
        <v>0.14896435210389899</v>
      </c>
      <c r="AB24" s="67">
        <v>0.152765483769921</v>
      </c>
      <c r="AC24" s="67">
        <v>0.16609404654853699</v>
      </c>
      <c r="AD24" s="67">
        <v>0.17211134514717899</v>
      </c>
      <c r="AE24" s="67">
        <v>0.173986340906439</v>
      </c>
      <c r="AF24" s="165">
        <v>6.3192945107162597</v>
      </c>
      <c r="AG24" s="165">
        <v>4.5665100945894901</v>
      </c>
      <c r="AH24" s="67">
        <v>4.0661003460126599</v>
      </c>
      <c r="AI24" s="67">
        <v>2.3335554859995198</v>
      </c>
      <c r="AJ24" s="67">
        <v>1.87929418014928</v>
      </c>
      <c r="AK24" s="67">
        <v>0.35865569412206</v>
      </c>
      <c r="AL24" s="202">
        <f t="shared" si="13"/>
        <v>0</v>
      </c>
      <c r="AM24" s="202">
        <f t="shared" si="14"/>
        <v>0</v>
      </c>
      <c r="AN24" s="67">
        <v>0.21590000000000001</v>
      </c>
      <c r="AO24" s="165">
        <f t="shared" si="15"/>
        <v>0.21590000000000001</v>
      </c>
      <c r="AP24" s="61" t="str">
        <f t="shared" si="16"/>
        <v>HCV1Petrol</v>
      </c>
      <c r="AQ24" s="207">
        <f>AR24/SUM($AR$23:$AR$24)</f>
        <v>0</v>
      </c>
      <c r="AR24" s="7">
        <v>0</v>
      </c>
      <c r="AS24" s="167">
        <f t="shared" si="17"/>
        <v>50</v>
      </c>
      <c r="AU24" s="67">
        <v>0.35865569412206</v>
      </c>
      <c r="AV24" s="67">
        <v>4.22482020202481E-2</v>
      </c>
      <c r="AW24" s="67">
        <v>1.4566059018820399E-3</v>
      </c>
      <c r="AZ24" s="169">
        <f t="shared" si="18"/>
        <v>0</v>
      </c>
      <c r="BA24" s="167">
        <f t="shared" si="19"/>
        <v>9</v>
      </c>
      <c r="BC24">
        <v>50</v>
      </c>
      <c r="BD24">
        <v>2</v>
      </c>
      <c r="BF24" t="s">
        <v>615</v>
      </c>
      <c r="BG24" t="s">
        <v>484</v>
      </c>
      <c r="BH24" s="167">
        <v>59</v>
      </c>
      <c r="BI24" s="61">
        <f t="array" ref="BI24">INDEX($BQ$22:$BQ$38,MATCH($BF24&amp;$BG24,$BN$22:$BN$38&amp;$BO$22:$BO$38,0))</f>
        <v>2</v>
      </c>
      <c r="BJ24"/>
      <c r="BK24"/>
      <c r="BL24"/>
      <c r="BM24"/>
      <c r="BN24" t="s">
        <v>616</v>
      </c>
      <c r="BO24" t="s">
        <v>477</v>
      </c>
      <c r="BP24" s="61">
        <v>10594</v>
      </c>
      <c r="BQ24" s="61">
        <v>10887</v>
      </c>
      <c r="BR24"/>
      <c r="BS24"/>
      <c r="BT24"/>
    </row>
    <row r="25" spans="1:77" x14ac:dyDescent="0.25">
      <c r="A25" s="61" t="str">
        <f t="shared" si="1"/>
        <v>CV2ODS</v>
      </c>
      <c r="B25" s="61" t="str">
        <f t="shared" si="21"/>
        <v>TFHCV2ODS-E</v>
      </c>
      <c r="C25" s="61" t="s">
        <v>511</v>
      </c>
      <c r="D25" s="61" t="s">
        <v>549</v>
      </c>
      <c r="E25" t="s">
        <v>263</v>
      </c>
      <c r="F25" s="199">
        <f t="shared" si="2"/>
        <v>4.8000000000000001E-2</v>
      </c>
      <c r="G25" s="198">
        <f t="shared" si="3"/>
        <v>30096.280108149898</v>
      </c>
      <c r="H25" s="61">
        <v>48000</v>
      </c>
      <c r="I25" s="7">
        <v>30096.280108149898</v>
      </c>
      <c r="J25" s="7">
        <v>29561.999562574299</v>
      </c>
      <c r="K25" s="7">
        <v>24497.736432427999</v>
      </c>
      <c r="L25" s="7">
        <v>14610.929875231801</v>
      </c>
      <c r="M25" s="7">
        <v>8543.2253063316602</v>
      </c>
      <c r="N25" s="7">
        <v>4821.5844473183597</v>
      </c>
      <c r="O25" s="175">
        <f t="shared" si="4"/>
        <v>0.62700583558645617</v>
      </c>
      <c r="P25" s="175">
        <f t="shared" si="5"/>
        <v>0.62700583558645617</v>
      </c>
      <c r="Q25" s="175">
        <f t="shared" si="6"/>
        <v>0.61587499088696462</v>
      </c>
      <c r="R25" s="175">
        <f t="shared" si="7"/>
        <v>0.51036950900891664</v>
      </c>
      <c r="S25" s="175">
        <f t="shared" si="8"/>
        <v>0.30439437240066253</v>
      </c>
      <c r="T25" s="175">
        <f t="shared" si="9"/>
        <v>0.17798386054857626</v>
      </c>
      <c r="U25" s="175">
        <f t="shared" si="10"/>
        <v>0.10044967598579917</v>
      </c>
      <c r="V25" s="197">
        <f t="shared" si="11"/>
        <v>19.237973630069799</v>
      </c>
      <c r="W25" s="67">
        <v>19.237973630069799</v>
      </c>
      <c r="X25" s="197">
        <f t="shared" si="0"/>
        <v>0.12700916328634601</v>
      </c>
      <c r="Y25" s="204">
        <f t="shared" si="12"/>
        <v>0.12700916328634601</v>
      </c>
      <c r="Z25" s="67">
        <v>0.12700916328634601</v>
      </c>
      <c r="AA25" s="195">
        <v>0.13643182834537301</v>
      </c>
      <c r="AB25" s="67">
        <v>0.136459139072411</v>
      </c>
      <c r="AC25" s="67">
        <v>0.14013799688852099</v>
      </c>
      <c r="AD25" s="67">
        <v>0.143519603118716</v>
      </c>
      <c r="AE25" s="67">
        <v>0.14596983768762201</v>
      </c>
      <c r="AF25" s="165">
        <v>23.060160967095001</v>
      </c>
      <c r="AG25" s="165">
        <v>27.614813403739699</v>
      </c>
      <c r="AH25" s="67">
        <v>30.2417068509633</v>
      </c>
      <c r="AI25" s="67">
        <v>33.929342714939402</v>
      </c>
      <c r="AJ25" s="67">
        <v>34.442063385055299</v>
      </c>
      <c r="AK25" s="67">
        <v>18.009652806729299</v>
      </c>
      <c r="AL25" s="202">
        <f t="shared" si="13"/>
        <v>0</v>
      </c>
      <c r="AM25" s="202">
        <f t="shared" si="14"/>
        <v>0</v>
      </c>
      <c r="AN25" s="67">
        <v>7.3520000000000003</v>
      </c>
      <c r="AO25" s="165">
        <f t="shared" si="15"/>
        <v>7.3520000000000003</v>
      </c>
      <c r="AP25" s="61" t="str">
        <f t="shared" si="16"/>
        <v>HCV2Diesel</v>
      </c>
      <c r="AQ25" s="171">
        <f t="shared" ref="AQ25:AQ32" si="22">AR25/AR25</f>
        <v>1</v>
      </c>
      <c r="AR25" s="7">
        <v>2428</v>
      </c>
      <c r="AS25" s="167">
        <f t="shared" si="17"/>
        <v>3286</v>
      </c>
      <c r="AU25" s="67">
        <v>18.009652806729299</v>
      </c>
      <c r="AV25" s="67">
        <v>4.7708767415142903</v>
      </c>
      <c r="AW25" s="67">
        <v>0.43639401142808998</v>
      </c>
      <c r="AZ25" s="169">
        <f t="shared" si="18"/>
        <v>0</v>
      </c>
      <c r="BA25" s="167">
        <f t="shared" si="19"/>
        <v>-3286</v>
      </c>
      <c r="BC25">
        <v>3286</v>
      </c>
      <c r="BD25">
        <v>1948</v>
      </c>
      <c r="BF25"/>
      <c r="BG25"/>
      <c r="BH25"/>
      <c r="BI25" s="61" t="e">
        <f t="array" ref="BI25">INDEX($BQ$22:$BQ$38,MATCH($BF25&amp;$BG25,$BN$22:$BN$38&amp;$BO$22:$BO$38,0))</f>
        <v>#N/A</v>
      </c>
      <c r="BJ25"/>
      <c r="BK25"/>
      <c r="BL25"/>
      <c r="BM25"/>
      <c r="BN25" t="s">
        <v>615</v>
      </c>
      <c r="BO25" t="s">
        <v>477</v>
      </c>
      <c r="BP25" s="61">
        <v>13822</v>
      </c>
      <c r="BQ25" s="61">
        <v>9487</v>
      </c>
      <c r="BR25"/>
      <c r="BS25"/>
      <c r="BT25"/>
    </row>
    <row r="26" spans="1:77" x14ac:dyDescent="0.25">
      <c r="A26" s="61" t="str">
        <f t="shared" si="1"/>
        <v>CV3ODS</v>
      </c>
      <c r="B26" s="61" t="str">
        <f t="shared" si="21"/>
        <v>TFHCV3ODS-E</v>
      </c>
      <c r="C26" s="61" t="s">
        <v>511</v>
      </c>
      <c r="D26" s="61" t="s">
        <v>547</v>
      </c>
      <c r="E26" t="s">
        <v>261</v>
      </c>
      <c r="F26" s="199">
        <f t="shared" si="2"/>
        <v>8.4999999999999992E-2</v>
      </c>
      <c r="G26" s="198">
        <f t="shared" si="3"/>
        <v>54512.527353451602</v>
      </c>
      <c r="H26" s="61">
        <v>85000</v>
      </c>
      <c r="I26" s="7">
        <v>54512.527353451602</v>
      </c>
      <c r="J26" s="7">
        <v>52619.682956395503</v>
      </c>
      <c r="K26" s="7">
        <v>43616.915096980403</v>
      </c>
      <c r="L26" s="7">
        <v>25805.432955472199</v>
      </c>
      <c r="M26" s="7">
        <v>14967.2392135424</v>
      </c>
      <c r="N26" s="7">
        <v>8441.3826533075207</v>
      </c>
      <c r="O26" s="175">
        <f t="shared" si="4"/>
        <v>0.64132385121707769</v>
      </c>
      <c r="P26" s="175">
        <f t="shared" si="5"/>
        <v>0.64132385121707769</v>
      </c>
      <c r="Q26" s="175">
        <f t="shared" si="6"/>
        <v>0.61905509360465294</v>
      </c>
      <c r="R26" s="175">
        <f t="shared" si="7"/>
        <v>0.51314017761153419</v>
      </c>
      <c r="S26" s="175">
        <f t="shared" si="8"/>
        <v>0.30359332888790824</v>
      </c>
      <c r="T26" s="175">
        <f t="shared" si="9"/>
        <v>0.17608516721814588</v>
      </c>
      <c r="U26" s="175">
        <f t="shared" si="10"/>
        <v>9.9310384156559073E-2</v>
      </c>
      <c r="V26" s="197">
        <f t="shared" si="11"/>
        <v>22.0039654914689</v>
      </c>
      <c r="W26" s="67">
        <v>22.0039654914689</v>
      </c>
      <c r="X26" s="197">
        <f t="shared" si="0"/>
        <v>0.11158645590879999</v>
      </c>
      <c r="Y26" s="204">
        <f t="shared" si="12"/>
        <v>0.11158645590879999</v>
      </c>
      <c r="Z26" s="67">
        <v>0.11158645590879999</v>
      </c>
      <c r="AA26" s="195">
        <v>0.119281768417066</v>
      </c>
      <c r="AB26" s="67">
        <v>0.11931868717182099</v>
      </c>
      <c r="AC26" s="67">
        <v>0.12232153623233299</v>
      </c>
      <c r="AD26" s="67">
        <v>0.12509253733459699</v>
      </c>
      <c r="AE26" s="67">
        <v>0.12724056107916601</v>
      </c>
      <c r="AF26" s="165">
        <v>39.206942001051502</v>
      </c>
      <c r="AG26" s="165">
        <v>49.889561280829902</v>
      </c>
      <c r="AH26" s="67">
        <v>55.810791547743598</v>
      </c>
      <c r="AI26" s="67">
        <v>62.7019053147121</v>
      </c>
      <c r="AJ26" s="67">
        <v>63.616850519339202</v>
      </c>
      <c r="AK26" s="67">
        <v>33.590395028435502</v>
      </c>
      <c r="AL26" s="202">
        <f t="shared" si="13"/>
        <v>0</v>
      </c>
      <c r="AM26" s="202">
        <f t="shared" si="14"/>
        <v>0</v>
      </c>
      <c r="AN26" s="67">
        <v>27.66</v>
      </c>
      <c r="AO26" s="165">
        <f t="shared" si="15"/>
        <v>27.66</v>
      </c>
      <c r="AP26" s="61" t="str">
        <f t="shared" si="16"/>
        <v>HCV3Diesel</v>
      </c>
      <c r="AQ26" s="171">
        <f t="shared" si="22"/>
        <v>1</v>
      </c>
      <c r="AR26" s="7">
        <v>3979</v>
      </c>
      <c r="AS26" s="167">
        <f t="shared" si="17"/>
        <v>5406</v>
      </c>
      <c r="AU26" s="67">
        <v>33.590395028435502</v>
      </c>
      <c r="AV26" s="67">
        <v>8.8510707400015196</v>
      </c>
      <c r="AW26" s="67">
        <v>0.78860896406182801</v>
      </c>
      <c r="AZ26" s="169">
        <f t="shared" si="18"/>
        <v>0</v>
      </c>
      <c r="BA26" s="167">
        <f t="shared" si="19"/>
        <v>-5406</v>
      </c>
      <c r="BC26">
        <v>5406</v>
      </c>
      <c r="BD26">
        <v>4163</v>
      </c>
      <c r="BF26"/>
      <c r="BG26"/>
      <c r="BH26"/>
      <c r="BI26" s="61" t="e">
        <f t="array" ref="BI26">INDEX($BQ$22:$BQ$38,MATCH($BF26&amp;$BG26,$BN$22:$BN$38&amp;$BO$22:$BO$38,0))</f>
        <v>#N/A</v>
      </c>
      <c r="BJ26"/>
      <c r="BK26"/>
      <c r="BL26"/>
      <c r="BM26"/>
      <c r="BN26" t="s">
        <v>615</v>
      </c>
      <c r="BO26" t="s">
        <v>484</v>
      </c>
      <c r="BP26" s="61">
        <v>59</v>
      </c>
      <c r="BQ26" s="61">
        <v>2</v>
      </c>
      <c r="BR26"/>
      <c r="BS26"/>
      <c r="BT26"/>
    </row>
    <row r="27" spans="1:77" x14ac:dyDescent="0.25">
      <c r="A27" s="61" t="str">
        <f t="shared" si="1"/>
        <v>CV4ODS</v>
      </c>
      <c r="B27" s="61" t="str">
        <f t="shared" si="21"/>
        <v>TFHCV4ODS-E</v>
      </c>
      <c r="C27" s="61" t="s">
        <v>511</v>
      </c>
      <c r="D27" s="61" t="s">
        <v>545</v>
      </c>
      <c r="E27" t="s">
        <v>259</v>
      </c>
      <c r="F27" s="199">
        <f t="shared" si="2"/>
        <v>8.4999999999999992E-2</v>
      </c>
      <c r="G27" s="198">
        <f t="shared" si="3"/>
        <v>53608.118344618502</v>
      </c>
      <c r="H27" s="61">
        <v>85000</v>
      </c>
      <c r="I27" s="7">
        <v>53608.118344618502</v>
      </c>
      <c r="J27" s="7">
        <v>49633.5682573101</v>
      </c>
      <c r="K27" s="7">
        <v>41178.3179414927</v>
      </c>
      <c r="L27" s="7">
        <v>24580.907353317001</v>
      </c>
      <c r="M27" s="7">
        <v>14555.057549323699</v>
      </c>
      <c r="N27" s="7">
        <v>8354.6583221761994</v>
      </c>
      <c r="O27" s="175">
        <f t="shared" si="4"/>
        <v>0.63068374523080595</v>
      </c>
      <c r="P27" s="175">
        <f t="shared" si="5"/>
        <v>0.63068374523080595</v>
      </c>
      <c r="Q27" s="175">
        <f t="shared" si="6"/>
        <v>0.58392433243894237</v>
      </c>
      <c r="R27" s="175">
        <f t="shared" si="7"/>
        <v>0.48445079931167884</v>
      </c>
      <c r="S27" s="175">
        <f t="shared" si="8"/>
        <v>0.28918714533314122</v>
      </c>
      <c r="T27" s="175">
        <f t="shared" si="9"/>
        <v>0.17123597116851411</v>
      </c>
      <c r="U27" s="175">
        <f t="shared" si="10"/>
        <v>9.8290097907955287E-2</v>
      </c>
      <c r="V27" s="197">
        <f t="shared" si="11"/>
        <v>25.603686211102399</v>
      </c>
      <c r="W27" s="67">
        <v>25.603686211102399</v>
      </c>
      <c r="X27" s="197">
        <f t="shared" si="0"/>
        <v>9.6686855885418296E-2</v>
      </c>
      <c r="Y27" s="204">
        <f t="shared" si="12"/>
        <v>9.6686855885418296E-2</v>
      </c>
      <c r="Z27" s="67">
        <v>9.6686855885418296E-2</v>
      </c>
      <c r="AA27" s="195">
        <v>0.102511485821615</v>
      </c>
      <c r="AB27" s="67">
        <v>0.10254809996583</v>
      </c>
      <c r="AC27" s="67">
        <v>0.105418203184048</v>
      </c>
      <c r="AD27" s="67">
        <v>0.108304805407653</v>
      </c>
      <c r="AE27" s="67">
        <v>0.110554573148034</v>
      </c>
      <c r="AF27" s="165">
        <v>9.0084805137687098</v>
      </c>
      <c r="AG27" s="165">
        <v>10.9402464363147</v>
      </c>
      <c r="AH27" s="67">
        <v>11.967646306107399</v>
      </c>
      <c r="AI27" s="67">
        <v>12.056497449546701</v>
      </c>
      <c r="AJ27" s="67">
        <v>12.2894367454119</v>
      </c>
      <c r="AK27" s="67">
        <v>6.0737110439854698</v>
      </c>
      <c r="AL27" s="202">
        <f t="shared" si="13"/>
        <v>0</v>
      </c>
      <c r="AM27" s="202">
        <f t="shared" si="14"/>
        <v>0</v>
      </c>
      <c r="AN27" s="67">
        <v>5.8369999999999997</v>
      </c>
      <c r="AO27" s="165">
        <f t="shared" si="15"/>
        <v>5.8369999999999997</v>
      </c>
      <c r="AP27" s="61" t="str">
        <f t="shared" si="16"/>
        <v>HCV4Diesel</v>
      </c>
      <c r="AQ27" s="171">
        <f t="shared" si="22"/>
        <v>1</v>
      </c>
      <c r="AR27" s="7">
        <v>613</v>
      </c>
      <c r="AS27" s="167">
        <f t="shared" si="17"/>
        <v>961</v>
      </c>
      <c r="AU27" s="67">
        <v>6.0737110439854698</v>
      </c>
      <c r="AV27" s="67">
        <v>1.4756852509699701</v>
      </c>
      <c r="AW27" s="67">
        <v>0.124461962412359</v>
      </c>
      <c r="AZ27" s="169">
        <f t="shared" si="18"/>
        <v>0</v>
      </c>
      <c r="BA27" s="167">
        <f t="shared" si="19"/>
        <v>-961</v>
      </c>
      <c r="BC27">
        <v>961</v>
      </c>
      <c r="BD27">
        <v>791</v>
      </c>
      <c r="BF27"/>
      <c r="BG27"/>
      <c r="BH27"/>
      <c r="BI27" s="61" t="e">
        <f t="array" ref="BI27">INDEX($BQ$22:$BQ$38,MATCH($BF27&amp;$BG27,$BN$22:$BN$38&amp;$BO$22:$BO$38,0))</f>
        <v>#N/A</v>
      </c>
      <c r="BJ27"/>
      <c r="BK27"/>
      <c r="BL27"/>
      <c r="BM27"/>
      <c r="BN27" t="s">
        <v>63</v>
      </c>
      <c r="BO27" t="s">
        <v>477</v>
      </c>
      <c r="BP27" s="61">
        <v>81959</v>
      </c>
      <c r="BQ27" s="61">
        <v>76902</v>
      </c>
      <c r="BR27"/>
      <c r="BS27"/>
      <c r="BT27"/>
    </row>
    <row r="28" spans="1:77" x14ac:dyDescent="0.25">
      <c r="A28" s="61" t="str">
        <f t="shared" si="1"/>
        <v>CV5ODS</v>
      </c>
      <c r="B28" s="61" t="str">
        <f t="shared" si="21"/>
        <v>TFHCV5ODS-E</v>
      </c>
      <c r="C28" s="61" t="s">
        <v>511</v>
      </c>
      <c r="D28" s="61" t="s">
        <v>543</v>
      </c>
      <c r="E28" t="s">
        <v>257</v>
      </c>
      <c r="F28" s="199">
        <f t="shared" si="2"/>
        <v>0.11</v>
      </c>
      <c r="G28" s="198">
        <f t="shared" si="3"/>
        <v>56756.7653972318</v>
      </c>
      <c r="H28" s="61">
        <v>110000</v>
      </c>
      <c r="I28" s="7">
        <v>56756.7653972318</v>
      </c>
      <c r="J28" s="7">
        <v>54633.576505741999</v>
      </c>
      <c r="K28" s="7">
        <v>41042.438402302003</v>
      </c>
      <c r="L28" s="7">
        <v>18555.788331098702</v>
      </c>
      <c r="M28" s="7">
        <v>8191.3212326102703</v>
      </c>
      <c r="N28" s="7">
        <v>3449.4908462179801</v>
      </c>
      <c r="O28" s="175">
        <f t="shared" si="4"/>
        <v>0.51597059452028904</v>
      </c>
      <c r="P28" s="175">
        <f t="shared" si="5"/>
        <v>0.51597059452028904</v>
      </c>
      <c r="Q28" s="175">
        <f t="shared" si="6"/>
        <v>0.49666887732492726</v>
      </c>
      <c r="R28" s="175">
        <f t="shared" si="7"/>
        <v>0.37311307638456365</v>
      </c>
      <c r="S28" s="175">
        <f t="shared" si="8"/>
        <v>0.16868898482817002</v>
      </c>
      <c r="T28" s="175">
        <f t="shared" si="9"/>
        <v>7.4466556660093372E-2</v>
      </c>
      <c r="U28" s="175">
        <f t="shared" si="10"/>
        <v>3.1359007692890725E-2</v>
      </c>
      <c r="V28" s="197">
        <f t="shared" si="11"/>
        <v>27.792076201905399</v>
      </c>
      <c r="W28" s="67">
        <v>27.792076201905399</v>
      </c>
      <c r="X28" s="197">
        <f t="shared" si="0"/>
        <v>8.8022657757619804E-2</v>
      </c>
      <c r="Y28" s="204">
        <f t="shared" si="12"/>
        <v>8.8022657757619804E-2</v>
      </c>
      <c r="Z28" s="67">
        <v>8.8022657757619804E-2</v>
      </c>
      <c r="AA28" s="195">
        <v>9.4439576839910805E-2</v>
      </c>
      <c r="AB28" s="67">
        <v>9.4370120075289193E-2</v>
      </c>
      <c r="AC28" s="67">
        <v>9.6441406801161797E-2</v>
      </c>
      <c r="AD28" s="67">
        <v>9.8419663807944702E-2</v>
      </c>
      <c r="AE28" s="67">
        <v>9.9889600984333304E-2</v>
      </c>
      <c r="AF28" s="165">
        <v>3.8036597127624399</v>
      </c>
      <c r="AG28" s="165">
        <v>4.56806511304314</v>
      </c>
      <c r="AH28" s="67">
        <v>4.9567281421779201</v>
      </c>
      <c r="AI28" s="67">
        <v>5.4543032895166199</v>
      </c>
      <c r="AJ28" s="67">
        <v>5.5364181807125403</v>
      </c>
      <c r="AK28" s="67">
        <v>2.8461230389806702</v>
      </c>
      <c r="AL28" s="202">
        <f t="shared" si="13"/>
        <v>0</v>
      </c>
      <c r="AM28" s="202">
        <f t="shared" si="14"/>
        <v>0</v>
      </c>
      <c r="AN28" s="67">
        <v>3.1549999999999998</v>
      </c>
      <c r="AO28" s="165">
        <f t="shared" si="15"/>
        <v>3.1549999999999998</v>
      </c>
      <c r="AP28" s="61" t="str">
        <f t="shared" si="16"/>
        <v>HCV5Diesel</v>
      </c>
      <c r="AQ28" s="171">
        <f t="shared" si="22"/>
        <v>1</v>
      </c>
      <c r="AR28" s="7">
        <v>257</v>
      </c>
      <c r="AS28" s="167">
        <f t="shared" si="17"/>
        <v>405</v>
      </c>
      <c r="AU28" s="67">
        <v>2.8461230389806702</v>
      </c>
      <c r="AV28" s="67">
        <v>0.73235470220057197</v>
      </c>
      <c r="AW28" s="67">
        <v>6.4239707168445098E-2</v>
      </c>
      <c r="AZ28" s="169">
        <f t="shared" si="18"/>
        <v>0</v>
      </c>
      <c r="BA28" s="167">
        <f t="shared" si="19"/>
        <v>-405</v>
      </c>
      <c r="BC28">
        <v>405</v>
      </c>
      <c r="BD28">
        <v>306</v>
      </c>
      <c r="BF28"/>
      <c r="BG28"/>
      <c r="BH28"/>
      <c r="BI28" s="61" t="e">
        <f t="array" ref="BI28">INDEX($BQ$22:$BQ$38,MATCH($BF28&amp;$BG28,$BN$22:$BN$38&amp;$BO$22:$BO$38,0))</f>
        <v>#N/A</v>
      </c>
      <c r="BJ28"/>
      <c r="BK28"/>
      <c r="BL28"/>
      <c r="BM28"/>
      <c r="BN28" t="s">
        <v>63</v>
      </c>
      <c r="BO28" t="s">
        <v>484</v>
      </c>
      <c r="BP28" s="61">
        <v>92563</v>
      </c>
      <c r="BQ28" s="61">
        <v>57652</v>
      </c>
      <c r="BR28"/>
      <c r="BS28"/>
      <c r="BT28"/>
    </row>
    <row r="29" spans="1:77" x14ac:dyDescent="0.25">
      <c r="A29" s="1007" t="str">
        <f t="shared" si="1"/>
        <v>CV6ODS</v>
      </c>
      <c r="B29" s="1007" t="str">
        <f t="shared" si="21"/>
        <v>TFHCV6ODS-E</v>
      </c>
      <c r="C29" s="1007" t="s">
        <v>511</v>
      </c>
      <c r="D29" s="1007" t="s">
        <v>541</v>
      </c>
      <c r="E29" s="1008" t="s">
        <v>255</v>
      </c>
      <c r="F29" s="1011">
        <f t="shared" si="2"/>
        <v>0.11</v>
      </c>
      <c r="G29" s="1012">
        <f t="shared" si="3"/>
        <v>64512.330335483297</v>
      </c>
      <c r="H29" s="1007">
        <v>110000</v>
      </c>
      <c r="I29" s="1013">
        <v>64512.330335483297</v>
      </c>
      <c r="J29" s="1013">
        <v>62778.924850520401</v>
      </c>
      <c r="K29" s="1013">
        <v>46955.9835203494</v>
      </c>
      <c r="L29" s="1013">
        <v>20285.547945611601</v>
      </c>
      <c r="M29" s="1013">
        <v>8631.9302356629196</v>
      </c>
      <c r="N29" s="1013">
        <v>3570.08746504808</v>
      </c>
      <c r="O29" s="1014">
        <f t="shared" si="4"/>
        <v>0.58647573032257538</v>
      </c>
      <c r="P29" s="1014">
        <f t="shared" si="5"/>
        <v>0.58647573032257538</v>
      </c>
      <c r="Q29" s="1014">
        <f t="shared" si="6"/>
        <v>0.57071749864109456</v>
      </c>
      <c r="R29" s="1014">
        <f t="shared" si="7"/>
        <v>0.42687257745772184</v>
      </c>
      <c r="S29" s="1014">
        <f t="shared" si="8"/>
        <v>0.18441407223283274</v>
      </c>
      <c r="T29" s="1014">
        <f t="shared" si="9"/>
        <v>7.847209305148109E-2</v>
      </c>
      <c r="U29" s="1014">
        <f t="shared" si="10"/>
        <v>3.245534059134618E-2</v>
      </c>
      <c r="V29" s="1015">
        <f t="shared" si="11"/>
        <v>40.292737614575302</v>
      </c>
      <c r="W29" s="1004">
        <v>40.292737614575302</v>
      </c>
      <c r="X29" s="1015">
        <f t="shared" si="0"/>
        <v>6.0770510906732703E-2</v>
      </c>
      <c r="Y29" s="1016">
        <f t="shared" si="12"/>
        <v>6.0770510906732703E-2</v>
      </c>
      <c r="Z29" s="1004">
        <v>6.0770510906732703E-2</v>
      </c>
      <c r="AA29" s="1017">
        <v>6.5140074152247901E-2</v>
      </c>
      <c r="AB29" s="1004">
        <v>6.5086835525467304E-2</v>
      </c>
      <c r="AC29" s="1004">
        <v>6.6124396909204006E-2</v>
      </c>
      <c r="AD29" s="1004">
        <v>6.7166260047415702E-2</v>
      </c>
      <c r="AE29" s="1004">
        <v>6.8012622129019304E-2</v>
      </c>
      <c r="AF29" s="165">
        <v>47.831031923368201</v>
      </c>
      <c r="AG29" s="165">
        <v>66.863056666324994</v>
      </c>
      <c r="AH29" s="67">
        <v>79.894521429911194</v>
      </c>
      <c r="AI29" s="67">
        <v>106.12140587784999</v>
      </c>
      <c r="AJ29" s="67">
        <v>107.749502594289</v>
      </c>
      <c r="AK29" s="67">
        <v>61.863142535247199</v>
      </c>
      <c r="AL29" s="202">
        <f t="shared" si="13"/>
        <v>0</v>
      </c>
      <c r="AM29" s="202">
        <f t="shared" si="14"/>
        <v>0</v>
      </c>
      <c r="AN29" s="67">
        <v>102.3</v>
      </c>
      <c r="AO29" s="165">
        <f t="shared" si="15"/>
        <v>102.3</v>
      </c>
      <c r="AP29" s="61" t="str">
        <f t="shared" si="16"/>
        <v>HCV6Diesel</v>
      </c>
      <c r="AQ29" s="171">
        <f t="shared" si="22"/>
        <v>1</v>
      </c>
      <c r="AR29" s="7">
        <v>8629</v>
      </c>
      <c r="AS29" s="167">
        <f t="shared" si="17"/>
        <v>6790</v>
      </c>
      <c r="AU29" s="67">
        <v>61.863142535247199</v>
      </c>
      <c r="AV29" s="67">
        <v>17.542312198330201</v>
      </c>
      <c r="AW29" s="67">
        <v>1.64055999856381</v>
      </c>
      <c r="AZ29" s="169">
        <f t="shared" si="18"/>
        <v>0</v>
      </c>
      <c r="BA29" s="167">
        <f t="shared" si="19"/>
        <v>-6790</v>
      </c>
      <c r="BC29">
        <v>6790</v>
      </c>
      <c r="BD29">
        <v>7826</v>
      </c>
      <c r="BF29"/>
      <c r="BG29"/>
      <c r="BH29"/>
      <c r="BI29" s="61" t="e">
        <f t="array" ref="BI29">INDEX($BQ$22:$BQ$38,MATCH($BF29&amp;$BG29,$BN$22:$BN$38&amp;$BO$22:$BO$38,0))</f>
        <v>#N/A</v>
      </c>
      <c r="BJ29"/>
      <c r="BK29"/>
      <c r="BL29"/>
      <c r="BM29"/>
      <c r="BN29" t="s">
        <v>612</v>
      </c>
      <c r="BO29" t="s">
        <v>477</v>
      </c>
      <c r="BP29" s="61">
        <v>4173</v>
      </c>
      <c r="BQ29" s="61">
        <v>5156</v>
      </c>
      <c r="BR29"/>
      <c r="BS29"/>
      <c r="BT29"/>
    </row>
    <row r="30" spans="1:77" x14ac:dyDescent="0.25">
      <c r="A30" s="61" t="str">
        <f t="shared" si="1"/>
        <v>CV7ODS</v>
      </c>
      <c r="B30" s="61" t="str">
        <f t="shared" si="21"/>
        <v>TFHCV7ODS-E</v>
      </c>
      <c r="C30" s="61" t="s">
        <v>511</v>
      </c>
      <c r="D30" s="61" t="s">
        <v>539</v>
      </c>
      <c r="E30" t="s">
        <v>253</v>
      </c>
      <c r="F30" s="199">
        <f t="shared" si="2"/>
        <v>0.16</v>
      </c>
      <c r="G30" s="198">
        <f t="shared" si="3"/>
        <v>92421.691229504097</v>
      </c>
      <c r="H30" s="61">
        <v>160000</v>
      </c>
      <c r="I30" s="7">
        <v>92421.691229504097</v>
      </c>
      <c r="J30" s="7">
        <v>86037.431296970695</v>
      </c>
      <c r="K30" s="7">
        <v>64155.410108243101</v>
      </c>
      <c r="L30" s="7">
        <v>28024.6432292338</v>
      </c>
      <c r="M30" s="7">
        <v>12195.371251275001</v>
      </c>
      <c r="N30" s="7">
        <v>5121.4205748258701</v>
      </c>
      <c r="O30" s="175">
        <f t="shared" si="4"/>
        <v>0.57763557018440059</v>
      </c>
      <c r="P30" s="175">
        <f t="shared" si="5"/>
        <v>0.57763557018440059</v>
      </c>
      <c r="Q30" s="175">
        <f t="shared" si="6"/>
        <v>0.5377339456060668</v>
      </c>
      <c r="R30" s="175">
        <f t="shared" si="7"/>
        <v>0.40097131317651941</v>
      </c>
      <c r="S30" s="175">
        <f t="shared" si="8"/>
        <v>0.17515402018271126</v>
      </c>
      <c r="T30" s="175">
        <f t="shared" si="9"/>
        <v>7.6221070320468751E-2</v>
      </c>
      <c r="U30" s="175">
        <f t="shared" si="10"/>
        <v>3.2008878592661688E-2</v>
      </c>
      <c r="V30" s="197">
        <f t="shared" si="11"/>
        <v>37.3258316657572</v>
      </c>
      <c r="W30" s="67">
        <v>37.3258316657572</v>
      </c>
      <c r="X30" s="197">
        <f t="shared" si="0"/>
        <v>6.5864517822129001E-2</v>
      </c>
      <c r="Y30" s="204">
        <f t="shared" si="12"/>
        <v>6.5864517822129001E-2</v>
      </c>
      <c r="Z30" s="67">
        <v>6.5864517822129001E-2</v>
      </c>
      <c r="AA30" s="195">
        <v>7.0317841528990704E-2</v>
      </c>
      <c r="AB30" s="67">
        <v>7.0234604805822207E-2</v>
      </c>
      <c r="AC30" s="67">
        <v>7.1524983519216004E-2</v>
      </c>
      <c r="AD30" s="67">
        <v>7.2864914411162496E-2</v>
      </c>
      <c r="AE30" s="67">
        <v>7.39190120279309E-2</v>
      </c>
      <c r="AF30" s="165">
        <v>13.6448452830588</v>
      </c>
      <c r="AG30" s="165">
        <v>18.295207237743401</v>
      </c>
      <c r="AH30" s="67">
        <v>21.382011031422401</v>
      </c>
      <c r="AI30" s="67">
        <v>25.874280497520701</v>
      </c>
      <c r="AJ30" s="67">
        <v>26.4741570116765</v>
      </c>
      <c r="AK30" s="67">
        <v>14.5024186740093</v>
      </c>
      <c r="AL30" s="202">
        <f t="shared" si="13"/>
        <v>0</v>
      </c>
      <c r="AM30" s="202">
        <f t="shared" si="14"/>
        <v>0</v>
      </c>
      <c r="AN30" s="67">
        <v>31.66</v>
      </c>
      <c r="AO30" s="165">
        <f t="shared" si="15"/>
        <v>31.66</v>
      </c>
      <c r="AP30" s="61" t="str">
        <f t="shared" si="16"/>
        <v>HCV7Diesel</v>
      </c>
      <c r="AQ30" s="171">
        <f t="shared" si="22"/>
        <v>1</v>
      </c>
      <c r="AR30" s="7">
        <v>1741</v>
      </c>
      <c r="AS30" s="167">
        <f t="shared" si="17"/>
        <v>2220</v>
      </c>
      <c r="AU30" s="67">
        <v>14.5024186740093</v>
      </c>
      <c r="AV30" s="67">
        <v>3.8743984997772198</v>
      </c>
      <c r="AW30" s="67">
        <v>0.34751165151233498</v>
      </c>
      <c r="AZ30" s="169">
        <f t="shared" si="18"/>
        <v>0</v>
      </c>
      <c r="BA30" s="167">
        <f t="shared" si="19"/>
        <v>-2220</v>
      </c>
      <c r="BC30">
        <v>2220</v>
      </c>
      <c r="BD30">
        <v>1834</v>
      </c>
      <c r="BF30"/>
      <c r="BG30"/>
      <c r="BH30"/>
      <c r="BI30" s="61" t="e">
        <f t="array" ref="BI30">INDEX($BQ$22:$BQ$38,MATCH($BF30&amp;$BG30,$BN$22:$BN$38&amp;$BO$22:$BO$38,0))</f>
        <v>#N/A</v>
      </c>
      <c r="BJ30"/>
      <c r="BK30"/>
      <c r="BL30"/>
      <c r="BM30"/>
      <c r="BN30" t="s">
        <v>612</v>
      </c>
      <c r="BO30" t="s">
        <v>484</v>
      </c>
      <c r="BP30" s="61">
        <v>13613</v>
      </c>
      <c r="BQ30" s="61">
        <v>9690</v>
      </c>
      <c r="BR30"/>
      <c r="BS30"/>
      <c r="BT30"/>
    </row>
    <row r="31" spans="1:77" x14ac:dyDescent="0.25">
      <c r="A31" s="61" t="str">
        <f t="shared" si="1"/>
        <v>CV8ODS</v>
      </c>
      <c r="B31" s="61" t="str">
        <f t="shared" si="21"/>
        <v>TFHCV8ODS-E</v>
      </c>
      <c r="C31" s="61" t="s">
        <v>511</v>
      </c>
      <c r="D31" s="61" t="s">
        <v>537</v>
      </c>
      <c r="E31" t="s">
        <v>251</v>
      </c>
      <c r="F31" s="199">
        <f t="shared" si="2"/>
        <v>0.16</v>
      </c>
      <c r="G31" s="208">
        <f t="shared" si="3"/>
        <v>116959.183879244</v>
      </c>
      <c r="H31" s="61">
        <v>160000</v>
      </c>
      <c r="I31" s="7">
        <v>116959.183879244</v>
      </c>
      <c r="J31" s="7">
        <v>108321.14497488301</v>
      </c>
      <c r="K31" s="7">
        <v>80520.878723414993</v>
      </c>
      <c r="L31" s="7">
        <v>32476.226352001198</v>
      </c>
      <c r="M31" s="7">
        <v>13278.382623760401</v>
      </c>
      <c r="N31" s="7">
        <v>5375.2466292250701</v>
      </c>
      <c r="O31" s="175">
        <f t="shared" si="4"/>
        <v>0.73099489924527494</v>
      </c>
      <c r="P31" s="175">
        <f t="shared" si="5"/>
        <v>0.73099489924527494</v>
      </c>
      <c r="Q31" s="175">
        <f t="shared" si="6"/>
        <v>0.67700715609301876</v>
      </c>
      <c r="R31" s="175">
        <f t="shared" si="7"/>
        <v>0.50325549202134368</v>
      </c>
      <c r="S31" s="175">
        <f t="shared" si="8"/>
        <v>0.20297641470000749</v>
      </c>
      <c r="T31" s="175">
        <f t="shared" si="9"/>
        <v>8.2989891398502505E-2</v>
      </c>
      <c r="U31" s="175">
        <f t="shared" si="10"/>
        <v>3.3595291432656688E-2</v>
      </c>
      <c r="V31" s="197">
        <f t="shared" si="11"/>
        <v>37.932288748919603</v>
      </c>
      <c r="W31" s="67">
        <v>37.932288748919603</v>
      </c>
      <c r="X31" s="197">
        <f t="shared" si="0"/>
        <v>6.4937428235684005E-2</v>
      </c>
      <c r="Y31" s="204">
        <f t="shared" si="12"/>
        <v>6.4937428235684005E-2</v>
      </c>
      <c r="Z31" s="67">
        <v>6.4937428235684005E-2</v>
      </c>
      <c r="AA31" s="195">
        <v>6.9193607941341495E-2</v>
      </c>
      <c r="AB31" s="67">
        <v>6.9134613553873694E-2</v>
      </c>
      <c r="AC31" s="67">
        <v>6.9756638806478602E-2</v>
      </c>
      <c r="AD31" s="67">
        <v>7.0539322337285895E-2</v>
      </c>
      <c r="AE31" s="67">
        <v>7.1239826934415704E-2</v>
      </c>
      <c r="AF31" s="165">
        <v>0.14983068014539899</v>
      </c>
      <c r="AG31" s="165">
        <v>0.418026531752829</v>
      </c>
      <c r="AH31" s="67">
        <v>0.60449827068682804</v>
      </c>
      <c r="AI31" s="67">
        <v>1.1282532037320601</v>
      </c>
      <c r="AJ31" s="67">
        <v>1.1464635873024001</v>
      </c>
      <c r="AK31" s="67">
        <v>0.75373569008702301</v>
      </c>
      <c r="AL31" s="202">
        <f t="shared" si="13"/>
        <v>0</v>
      </c>
      <c r="AM31" s="202">
        <f t="shared" si="14"/>
        <v>0</v>
      </c>
      <c r="AN31" s="67">
        <v>1.766</v>
      </c>
      <c r="AO31" s="165">
        <f t="shared" si="15"/>
        <v>1.766</v>
      </c>
      <c r="AP31" s="61" t="str">
        <f t="shared" si="16"/>
        <v>HCV8Diesel</v>
      </c>
      <c r="AQ31" s="171">
        <f t="shared" si="22"/>
        <v>1</v>
      </c>
      <c r="AR31" s="7">
        <v>148</v>
      </c>
      <c r="AS31" s="167">
        <f t="shared" si="17"/>
        <v>51</v>
      </c>
      <c r="AU31" s="67">
        <v>0.75373569008702301</v>
      </c>
      <c r="AV31" s="67">
        <v>0.238006104554429</v>
      </c>
      <c r="AW31" s="67">
        <v>2.4141395679762E-2</v>
      </c>
      <c r="AZ31" s="169">
        <f t="shared" si="18"/>
        <v>0</v>
      </c>
      <c r="BA31" s="167">
        <f t="shared" si="19"/>
        <v>-51</v>
      </c>
      <c r="BC31">
        <v>51</v>
      </c>
      <c r="BD31">
        <v>104</v>
      </c>
      <c r="BF31"/>
      <c r="BG31"/>
      <c r="BH31"/>
      <c r="BI31" s="61" t="e">
        <f t="array" ref="BI31">INDEX($BQ$22:$BQ$38,MATCH($BF31&amp;$BG31,$BN$22:$BN$38&amp;$BO$22:$BO$38,0))</f>
        <v>#N/A</v>
      </c>
      <c r="BJ31"/>
      <c r="BK31"/>
      <c r="BL31"/>
      <c r="BM31"/>
      <c r="BN31" t="s">
        <v>613</v>
      </c>
      <c r="BO31" t="s">
        <v>477</v>
      </c>
      <c r="BP31" s="61">
        <v>33168</v>
      </c>
      <c r="BQ31" s="61">
        <v>29512</v>
      </c>
      <c r="BR31"/>
      <c r="BS31"/>
      <c r="BT31"/>
    </row>
    <row r="32" spans="1:77" x14ac:dyDescent="0.25">
      <c r="A32" s="61" t="str">
        <f t="shared" si="1"/>
        <v>CV9ODS</v>
      </c>
      <c r="B32" s="61" t="str">
        <f t="shared" si="21"/>
        <v>TFHCV9ODS-E</v>
      </c>
      <c r="C32" s="61" t="s">
        <v>511</v>
      </c>
      <c r="D32" s="61" t="s">
        <v>535</v>
      </c>
      <c r="E32" t="s">
        <v>249</v>
      </c>
      <c r="F32" s="199">
        <f t="shared" si="2"/>
        <v>0.18</v>
      </c>
      <c r="G32" s="198">
        <f t="shared" si="3"/>
        <v>104002.58508794699</v>
      </c>
      <c r="H32" s="61">
        <v>180000</v>
      </c>
      <c r="I32" s="7">
        <v>104002.58508794699</v>
      </c>
      <c r="J32" s="7">
        <v>69373.326398147998</v>
      </c>
      <c r="K32" s="7">
        <v>52280.701031171899</v>
      </c>
      <c r="L32" s="7">
        <v>20947.497955455299</v>
      </c>
      <c r="M32" s="7">
        <v>8703.9677725718902</v>
      </c>
      <c r="N32" s="7">
        <v>3829.6675707590198</v>
      </c>
      <c r="O32" s="175">
        <f t="shared" si="4"/>
        <v>0.5777921393774833</v>
      </c>
      <c r="P32" s="175">
        <f t="shared" si="5"/>
        <v>0.5777921393774833</v>
      </c>
      <c r="Q32" s="175">
        <f t="shared" si="6"/>
        <v>0.3854073688786</v>
      </c>
      <c r="R32" s="175">
        <f t="shared" si="7"/>
        <v>0.29044833906206613</v>
      </c>
      <c r="S32" s="175">
        <f t="shared" si="8"/>
        <v>0.11637498864141833</v>
      </c>
      <c r="T32" s="175">
        <f t="shared" si="9"/>
        <v>4.8355376514288277E-2</v>
      </c>
      <c r="U32" s="175">
        <f t="shared" si="10"/>
        <v>2.1275930948661221E-2</v>
      </c>
      <c r="V32" s="197">
        <f t="shared" si="11"/>
        <v>48.273056219283099</v>
      </c>
      <c r="W32" s="67">
        <v>48.273056219283099</v>
      </c>
      <c r="X32" s="197">
        <f t="shared" si="0"/>
        <v>5.3663791961647903E-2</v>
      </c>
      <c r="Y32" s="204">
        <f t="shared" si="12"/>
        <v>5.3663791961647903E-2</v>
      </c>
      <c r="Z32" s="67">
        <v>5.3663791961647903E-2</v>
      </c>
      <c r="AA32" s="195">
        <v>5.4371364101907703E-2</v>
      </c>
      <c r="AB32" s="67">
        <v>5.4374543331148002E-2</v>
      </c>
      <c r="AC32" s="67">
        <v>5.4895435674524602E-2</v>
      </c>
      <c r="AD32" s="67">
        <v>5.5820318048132901E-2</v>
      </c>
      <c r="AE32" s="67">
        <v>5.7192352651667E-2</v>
      </c>
      <c r="AF32" s="165">
        <v>0.31599901474388598</v>
      </c>
      <c r="AG32" s="165">
        <v>0.494346589440812</v>
      </c>
      <c r="AH32" s="67">
        <v>0.50786196813704299</v>
      </c>
      <c r="AI32" s="67">
        <v>0.42396796687300597</v>
      </c>
      <c r="AJ32" s="67">
        <v>0.44340231551193199</v>
      </c>
      <c r="AK32" s="67">
        <v>0.19789597907123299</v>
      </c>
      <c r="AL32" s="202">
        <f t="shared" si="13"/>
        <v>0</v>
      </c>
      <c r="AM32" s="202">
        <f t="shared" si="14"/>
        <v>0</v>
      </c>
      <c r="AN32" s="67">
        <v>0.54090000000000005</v>
      </c>
      <c r="AO32" s="165">
        <f t="shared" si="15"/>
        <v>0.54090000000000005</v>
      </c>
      <c r="AP32" s="61" t="str">
        <f t="shared" si="16"/>
        <v>HCV9Diesel</v>
      </c>
      <c r="AQ32" s="171">
        <f t="shared" si="22"/>
        <v>1</v>
      </c>
      <c r="AR32" s="7">
        <v>1</v>
      </c>
      <c r="AS32" s="167">
        <f t="shared" si="17"/>
        <v>167</v>
      </c>
      <c r="AU32" s="67">
        <v>0.19789597907123299</v>
      </c>
      <c r="AV32" s="67">
        <v>3.2405837509481498E-2</v>
      </c>
      <c r="AW32" s="67">
        <v>1.3884916209454599E-3</v>
      </c>
      <c r="AZ32" s="169">
        <f t="shared" si="18"/>
        <v>0</v>
      </c>
      <c r="BA32" s="167">
        <f t="shared" si="19"/>
        <v>-167</v>
      </c>
      <c r="BC32">
        <v>167</v>
      </c>
      <c r="BD32">
        <v>19</v>
      </c>
      <c r="BF32"/>
      <c r="BG32"/>
      <c r="BH32"/>
      <c r="BI32" s="61" t="e">
        <f t="array" ref="BI32">INDEX($BQ$22:$BQ$38,MATCH($BF32&amp;$BG32,$BN$22:$BN$38&amp;$BO$22:$BO$38,0))</f>
        <v>#N/A</v>
      </c>
      <c r="BJ32"/>
      <c r="BK32"/>
      <c r="BL32"/>
      <c r="BM32"/>
      <c r="BN32" t="s">
        <v>613</v>
      </c>
      <c r="BO32" t="s">
        <v>484</v>
      </c>
      <c r="BP32" s="61">
        <v>372755</v>
      </c>
      <c r="BQ32" s="61">
        <v>328229</v>
      </c>
      <c r="BR32"/>
      <c r="BS32"/>
      <c r="BT32"/>
    </row>
    <row r="33" spans="1:72" x14ac:dyDescent="0.25">
      <c r="A33" s="1007" t="str">
        <f t="shared" si="1"/>
        <v>LCVODS</v>
      </c>
      <c r="B33" s="1007" t="str">
        <f t="shared" si="21"/>
        <v>TFLCVODS-E</v>
      </c>
      <c r="C33" s="1007" t="s">
        <v>511</v>
      </c>
      <c r="D33" s="1007" t="s">
        <v>527</v>
      </c>
      <c r="E33" s="1007" t="s">
        <v>247</v>
      </c>
      <c r="F33" s="1011">
        <f t="shared" si="2"/>
        <v>0.04</v>
      </c>
      <c r="G33" s="1012">
        <f t="shared" si="3"/>
        <v>24753.4936084117</v>
      </c>
      <c r="H33" s="1007">
        <v>40000</v>
      </c>
      <c r="I33" s="1013">
        <v>24753.4936084117</v>
      </c>
      <c r="J33" s="1013">
        <v>24428.944976716801</v>
      </c>
      <c r="K33" s="1013">
        <v>19880.903653884601</v>
      </c>
      <c r="L33" s="1013">
        <v>9810.8703686831195</v>
      </c>
      <c r="M33" s="1013">
        <v>4777.2385942184001</v>
      </c>
      <c r="N33" s="1013">
        <v>2310.21877327025</v>
      </c>
      <c r="O33" s="1014">
        <f t="shared" si="4"/>
        <v>0.61883734021029246</v>
      </c>
      <c r="P33" s="1014">
        <f t="shared" si="5"/>
        <v>0.61883734021029246</v>
      </c>
      <c r="Q33" s="1014">
        <f t="shared" si="6"/>
        <v>0.61072362441792005</v>
      </c>
      <c r="R33" s="1014">
        <f t="shared" si="7"/>
        <v>0.49702259134711502</v>
      </c>
      <c r="S33" s="1014">
        <f t="shared" si="8"/>
        <v>0.245271759217078</v>
      </c>
      <c r="T33" s="1014">
        <f t="shared" si="9"/>
        <v>0.11943096485546</v>
      </c>
      <c r="U33" s="1014">
        <f t="shared" si="10"/>
        <v>5.7755469331756251E-2</v>
      </c>
      <c r="V33" s="1015">
        <f t="shared" si="11"/>
        <v>11.124053535325499</v>
      </c>
      <c r="W33" s="1004">
        <v>11.124053535325499</v>
      </c>
      <c r="X33" s="1015">
        <f t="shared" si="0"/>
        <v>0.224634152664134</v>
      </c>
      <c r="Y33" s="1016">
        <f t="shared" si="12"/>
        <v>0.224634152664134</v>
      </c>
      <c r="Z33" s="1004">
        <v>0.224634152664134</v>
      </c>
      <c r="AA33" s="1017">
        <v>0.23594563867169499</v>
      </c>
      <c r="AB33" s="1004">
        <v>0.236416891901715</v>
      </c>
      <c r="AC33" s="1004">
        <v>0.237476755649043</v>
      </c>
      <c r="AD33" s="1004">
        <v>0.23820734864530901</v>
      </c>
      <c r="AE33" s="1004">
        <v>0.238773147737598</v>
      </c>
      <c r="AF33" s="165">
        <v>580.46073123639201</v>
      </c>
      <c r="AG33" s="165">
        <v>748.39295261018594</v>
      </c>
      <c r="AH33" s="67">
        <v>845.35637012110999</v>
      </c>
      <c r="AI33" s="67">
        <v>1151.5302002553699</v>
      </c>
      <c r="AJ33" s="67">
        <v>1024.6176041897099</v>
      </c>
      <c r="AK33" s="67">
        <v>609.23289367381597</v>
      </c>
      <c r="AL33" s="202">
        <f t="shared" si="13"/>
        <v>0</v>
      </c>
      <c r="AM33" s="202">
        <f t="shared" si="14"/>
        <v>0</v>
      </c>
      <c r="AN33" s="67">
        <v>119.2</v>
      </c>
      <c r="AO33" s="165">
        <f t="shared" si="15"/>
        <v>119.2</v>
      </c>
      <c r="AP33" s="61" t="str">
        <f t="shared" si="16"/>
        <v>LCVDiesel</v>
      </c>
      <c r="AQ33" s="171">
        <f>AR33/SUM($AR$33:$AR$34)</f>
        <v>0.74392467269385154</v>
      </c>
      <c r="AR33" s="7">
        <v>99154</v>
      </c>
      <c r="AS33" s="167">
        <f t="shared" si="17"/>
        <v>81959</v>
      </c>
      <c r="AU33" s="67">
        <v>609.23289367381597</v>
      </c>
      <c r="AV33" s="67">
        <v>311.45806994273602</v>
      </c>
      <c r="AW33" s="67">
        <v>140.911865682181</v>
      </c>
      <c r="AZ33" s="169">
        <f t="shared" si="18"/>
        <v>0</v>
      </c>
      <c r="BA33" s="167">
        <f t="shared" si="19"/>
        <v>0</v>
      </c>
      <c r="BC33">
        <v>81959</v>
      </c>
      <c r="BD33">
        <v>76902</v>
      </c>
      <c r="BF33" t="s">
        <v>63</v>
      </c>
      <c r="BG33" t="s">
        <v>477</v>
      </c>
      <c r="BH33" s="167">
        <v>81959</v>
      </c>
      <c r="BI33" s="61">
        <f t="array" ref="BI33">INDEX($BQ$22:$BQ$38,MATCH($BF33&amp;$BG33,$BN$22:$BN$38&amp;$BO$22:$BO$38,0))</f>
        <v>76902</v>
      </c>
      <c r="BJ33"/>
      <c r="BK33"/>
      <c r="BL33"/>
      <c r="BM33"/>
      <c r="BN33" t="s">
        <v>613</v>
      </c>
      <c r="BO33" t="s">
        <v>614</v>
      </c>
      <c r="BP33" s="61">
        <v>0</v>
      </c>
      <c r="BQ33" s="61">
        <v>0</v>
      </c>
      <c r="BR33"/>
      <c r="BS33"/>
      <c r="BT33"/>
    </row>
    <row r="34" spans="1:72" x14ac:dyDescent="0.25">
      <c r="A34" s="61" t="str">
        <f t="shared" si="1"/>
        <v>LCVOGS</v>
      </c>
      <c r="B34" s="61" t="str">
        <f t="shared" si="21"/>
        <v>TFLCVOGS-E</v>
      </c>
      <c r="C34" s="61" t="s">
        <v>573</v>
      </c>
      <c r="D34" s="61" t="s">
        <v>527</v>
      </c>
      <c r="E34" s="61" t="s">
        <v>246</v>
      </c>
      <c r="F34" s="199">
        <f t="shared" si="2"/>
        <v>3.4999999999999996E-2</v>
      </c>
      <c r="G34" s="198">
        <f t="shared" si="3"/>
        <v>16984.001252855</v>
      </c>
      <c r="H34" s="61">
        <v>35000</v>
      </c>
      <c r="I34" s="7">
        <v>16984.001252855</v>
      </c>
      <c r="J34" s="7">
        <v>15002.6868469618</v>
      </c>
      <c r="K34" s="7">
        <v>12351.5851641552</v>
      </c>
      <c r="L34" s="7">
        <v>6353.8900619384203</v>
      </c>
      <c r="M34" s="7">
        <v>3228.5842202509998</v>
      </c>
      <c r="N34" s="7">
        <v>1629.4894595599401</v>
      </c>
      <c r="O34" s="175">
        <f t="shared" si="4"/>
        <v>0.485257178653</v>
      </c>
      <c r="P34" s="175">
        <f t="shared" si="5"/>
        <v>0.485257178653</v>
      </c>
      <c r="Q34" s="175">
        <f t="shared" si="6"/>
        <v>0.42864819562748002</v>
      </c>
      <c r="R34" s="175">
        <f t="shared" si="7"/>
        <v>0.35290243326157716</v>
      </c>
      <c r="S34" s="175">
        <f t="shared" si="8"/>
        <v>0.18153971605538344</v>
      </c>
      <c r="T34" s="175">
        <f t="shared" si="9"/>
        <v>9.2245263435742852E-2</v>
      </c>
      <c r="U34" s="175">
        <f t="shared" si="10"/>
        <v>4.6556841701712572E-2</v>
      </c>
      <c r="V34" s="197">
        <f t="shared" si="11"/>
        <v>14.176565003733501</v>
      </c>
      <c r="W34" s="67">
        <v>14.176565003733501</v>
      </c>
      <c r="X34" s="197">
        <f t="shared" si="0"/>
        <v>0.19897796018658001</v>
      </c>
      <c r="Y34" s="204">
        <f t="shared" si="12"/>
        <v>0.19897796018658001</v>
      </c>
      <c r="Z34" s="67">
        <v>0.19897796018658001</v>
      </c>
      <c r="AA34" s="195">
        <v>0.206254237709705</v>
      </c>
      <c r="AB34" s="67">
        <v>0.206726097108171</v>
      </c>
      <c r="AC34" s="67">
        <v>0.20785170508495199</v>
      </c>
      <c r="AD34" s="67">
        <v>0.20866460609364401</v>
      </c>
      <c r="AE34" s="67">
        <v>0.209312603622752</v>
      </c>
      <c r="AF34" s="165">
        <v>1353.4227402310701</v>
      </c>
      <c r="AG34" s="165">
        <v>1394.10583631081</v>
      </c>
      <c r="AH34" s="67">
        <v>1329.80249560937</v>
      </c>
      <c r="AI34" s="67">
        <v>1296.7112413349801</v>
      </c>
      <c r="AJ34" s="67">
        <v>1149.83638939547</v>
      </c>
      <c r="AK34" s="67">
        <v>721.33104862899097</v>
      </c>
      <c r="AL34" s="202">
        <f t="shared" si="13"/>
        <v>0</v>
      </c>
      <c r="AM34" s="202">
        <f t="shared" si="14"/>
        <v>0</v>
      </c>
      <c r="AN34" s="67">
        <v>94.32</v>
      </c>
      <c r="AO34" s="165">
        <f t="shared" si="15"/>
        <v>94.32</v>
      </c>
      <c r="AP34" s="61" t="str">
        <f t="shared" si="16"/>
        <v>LCVGasoline</v>
      </c>
      <c r="AQ34" s="171">
        <f>AR34/SUM($AR$33:$AR$34)</f>
        <v>0.25607532730614846</v>
      </c>
      <c r="AR34" s="7">
        <v>34131</v>
      </c>
      <c r="AS34" s="167">
        <f t="shared" si="17"/>
        <v>103039</v>
      </c>
      <c r="AU34" s="67">
        <v>721.33104862899097</v>
      </c>
      <c r="AV34" s="67">
        <v>418.48469439606998</v>
      </c>
      <c r="AW34" s="67">
        <v>227.84996179113099</v>
      </c>
      <c r="AZ34" s="169">
        <f t="shared" si="18"/>
        <v>0</v>
      </c>
      <c r="BA34" s="167">
        <f t="shared" si="19"/>
        <v>-10476</v>
      </c>
      <c r="BC34">
        <v>103039</v>
      </c>
      <c r="BD34">
        <v>57652</v>
      </c>
      <c r="BF34" t="s">
        <v>63</v>
      </c>
      <c r="BG34" t="s">
        <v>484</v>
      </c>
      <c r="BH34" s="167">
        <v>92563</v>
      </c>
      <c r="BI34" s="61">
        <f t="array" ref="BI34">INDEX($BQ$22:$BQ$38,MATCH($BF34&amp;$BG34,$BN$22:$BN$38&amp;$BO$22:$BO$38,0))</f>
        <v>57652</v>
      </c>
      <c r="BJ34"/>
      <c r="BK34"/>
      <c r="BL34"/>
      <c r="BM34"/>
      <c r="BN34" t="s">
        <v>613</v>
      </c>
      <c r="BO34" t="s">
        <v>611</v>
      </c>
      <c r="BP34" s="61">
        <v>204</v>
      </c>
      <c r="BQ34" s="61">
        <v>668</v>
      </c>
      <c r="BR34"/>
      <c r="BS34"/>
      <c r="BT34"/>
    </row>
    <row r="35" spans="1:72" x14ac:dyDescent="0.25">
      <c r="A35" s="61" t="str">
        <f t="shared" si="1"/>
        <v>MBTODS</v>
      </c>
      <c r="B35" s="61" t="str">
        <f t="shared" si="21"/>
        <v>TPPUMBTODS-E</v>
      </c>
      <c r="C35" s="61" t="s">
        <v>511</v>
      </c>
      <c r="D35" s="61" t="s">
        <v>523</v>
      </c>
      <c r="E35" s="61" t="s">
        <v>305</v>
      </c>
      <c r="F35" s="199">
        <f t="shared" si="2"/>
        <v>3.4999999999999996E-2</v>
      </c>
      <c r="G35" s="198">
        <f t="shared" si="3"/>
        <v>30917.830131483901</v>
      </c>
      <c r="H35" s="165">
        <v>35000</v>
      </c>
      <c r="I35" s="7">
        <v>30917.830131483901</v>
      </c>
      <c r="J35" s="7">
        <v>30532.953139957201</v>
      </c>
      <c r="K35" s="7">
        <v>27182.8817124589</v>
      </c>
      <c r="L35" s="7">
        <v>18416.647506410402</v>
      </c>
      <c r="M35" s="7">
        <v>12453.9826161237</v>
      </c>
      <c r="N35" s="7">
        <v>8411.0396834741696</v>
      </c>
      <c r="O35" s="175">
        <f t="shared" si="4"/>
        <v>0.8833665751852543</v>
      </c>
      <c r="P35" s="175">
        <f t="shared" si="5"/>
        <v>0.8833665751852543</v>
      </c>
      <c r="Q35" s="175">
        <f t="shared" si="6"/>
        <v>0.87237008971306285</v>
      </c>
      <c r="R35" s="175">
        <f t="shared" si="7"/>
        <v>0.77665376321311141</v>
      </c>
      <c r="S35" s="175">
        <f t="shared" si="8"/>
        <v>0.52618992875458293</v>
      </c>
      <c r="T35" s="175">
        <f t="shared" si="9"/>
        <v>0.35582807474639144</v>
      </c>
      <c r="U35" s="175">
        <f t="shared" si="10"/>
        <v>0.24031541952783342</v>
      </c>
      <c r="V35" s="197">
        <f t="shared" si="11"/>
        <v>11.0775109229247</v>
      </c>
      <c r="W35" s="67">
        <v>11.0775109229247</v>
      </c>
      <c r="X35" s="197">
        <f t="shared" si="0"/>
        <v>0.226141211498956</v>
      </c>
      <c r="Y35" s="204">
        <f t="shared" si="12"/>
        <v>0.226141211498956</v>
      </c>
      <c r="Z35" s="67">
        <v>0.226141211498956</v>
      </c>
      <c r="AA35" s="195">
        <v>0.23693697386285401</v>
      </c>
      <c r="AB35" s="67">
        <v>0.23714071054781499</v>
      </c>
      <c r="AC35" s="67">
        <v>0.23771796611346999</v>
      </c>
      <c r="AD35" s="67">
        <v>0.238197153562765</v>
      </c>
      <c r="AE35" s="67">
        <v>0.23860947241442801</v>
      </c>
      <c r="AF35" s="165">
        <v>4.4221049327286899</v>
      </c>
      <c r="AG35" s="165">
        <v>13.999249671464099</v>
      </c>
      <c r="AH35" s="67">
        <v>22.300251189988199</v>
      </c>
      <c r="AI35" s="67">
        <v>69.8415661662536</v>
      </c>
      <c r="AJ35" s="67">
        <v>66.6909703537209</v>
      </c>
      <c r="AK35" s="67">
        <v>48.344847105240099</v>
      </c>
      <c r="AL35" s="202">
        <f t="shared" si="13"/>
        <v>0</v>
      </c>
      <c r="AM35" s="202">
        <f t="shared" si="14"/>
        <v>0</v>
      </c>
      <c r="AN35" s="67">
        <v>9</v>
      </c>
      <c r="AO35" s="165">
        <f t="shared" si="15"/>
        <v>9</v>
      </c>
      <c r="AP35" s="61" t="str">
        <f t="shared" si="16"/>
        <v>MBTDiesel</v>
      </c>
      <c r="AQ35" s="171">
        <f>AR35/SUM($AR$35:$AR$36)</f>
        <v>0.58515987307786188</v>
      </c>
      <c r="AR35" s="7">
        <v>11987</v>
      </c>
      <c r="AS35" s="167">
        <f t="shared" si="17"/>
        <v>1826</v>
      </c>
      <c r="AU35" s="67">
        <v>48.344847105240099</v>
      </c>
      <c r="AV35" s="67">
        <v>27.521793874852399</v>
      </c>
      <c r="AW35" s="67">
        <v>12.440088008163</v>
      </c>
      <c r="AZ35" s="169">
        <f t="shared" si="18"/>
        <v>0</v>
      </c>
      <c r="BA35" s="167">
        <f t="shared" si="19"/>
        <v>2347</v>
      </c>
      <c r="BC35">
        <v>1826</v>
      </c>
      <c r="BD35">
        <v>5156</v>
      </c>
      <c r="BF35" t="s">
        <v>612</v>
      </c>
      <c r="BG35" t="s">
        <v>477</v>
      </c>
      <c r="BH35" s="167">
        <v>4173</v>
      </c>
      <c r="BI35" s="61">
        <f t="array" ref="BI35">INDEX($BQ$22:$BQ$38,MATCH($BF35&amp;$BG35,$BN$22:$BN$38&amp;$BO$22:$BO$38,0))</f>
        <v>5156</v>
      </c>
      <c r="BN35" t="s">
        <v>613</v>
      </c>
      <c r="BO35" t="s">
        <v>533</v>
      </c>
      <c r="BP35" s="61">
        <v>0</v>
      </c>
      <c r="BQ35" s="61">
        <v>0</v>
      </c>
      <c r="BR35"/>
    </row>
    <row r="36" spans="1:72" x14ac:dyDescent="0.25">
      <c r="A36" s="61" t="str">
        <f t="shared" si="1"/>
        <v>MBTOGS</v>
      </c>
      <c r="B36" s="61" t="str">
        <f t="shared" si="21"/>
        <v>TPPUMBTOGS-E</v>
      </c>
      <c r="C36" s="61" t="s">
        <v>573</v>
      </c>
      <c r="D36" s="61" t="s">
        <v>523</v>
      </c>
      <c r="E36" s="61" t="s">
        <v>304</v>
      </c>
      <c r="F36" s="199">
        <f t="shared" si="2"/>
        <v>3.4999999999999996E-2</v>
      </c>
      <c r="G36" s="198">
        <f t="shared" si="3"/>
        <v>20965.008962084201</v>
      </c>
      <c r="H36" s="165">
        <v>35000</v>
      </c>
      <c r="I36" s="7">
        <v>20965.008962084201</v>
      </c>
      <c r="J36" s="7">
        <v>20011.348468624099</v>
      </c>
      <c r="K36" s="7">
        <v>18066.774551221399</v>
      </c>
      <c r="L36" s="7">
        <v>12688.0908597256</v>
      </c>
      <c r="M36" s="7">
        <v>8816.2136668335497</v>
      </c>
      <c r="N36" s="7">
        <v>6086.20560407013</v>
      </c>
      <c r="O36" s="175">
        <f t="shared" si="4"/>
        <v>0.59900025605954865</v>
      </c>
      <c r="P36" s="175">
        <f t="shared" si="5"/>
        <v>0.59900025605954865</v>
      </c>
      <c r="Q36" s="175">
        <f t="shared" si="6"/>
        <v>0.57175281338925998</v>
      </c>
      <c r="R36" s="175">
        <f t="shared" si="7"/>
        <v>0.51619355860632565</v>
      </c>
      <c r="S36" s="175">
        <f t="shared" si="8"/>
        <v>0.36251688170644575</v>
      </c>
      <c r="T36" s="175">
        <f t="shared" si="9"/>
        <v>0.25189181905238711</v>
      </c>
      <c r="U36" s="175">
        <f t="shared" si="10"/>
        <v>0.17389158868771801</v>
      </c>
      <c r="V36" s="197">
        <f t="shared" si="11"/>
        <v>14.5644836562465</v>
      </c>
      <c r="W36" s="67">
        <v>14.5644836562465</v>
      </c>
      <c r="X36" s="197">
        <f t="shared" si="0"/>
        <v>0.19268141937712499</v>
      </c>
      <c r="Y36" s="204">
        <f t="shared" si="12"/>
        <v>0.19268141937712499</v>
      </c>
      <c r="Z36" s="67">
        <v>0.19268141937712499</v>
      </c>
      <c r="AA36" s="195">
        <v>0.2007607462921</v>
      </c>
      <c r="AB36" s="67">
        <v>0.20159853580370701</v>
      </c>
      <c r="AC36" s="67">
        <v>0.203758901219809</v>
      </c>
      <c r="AD36" s="67">
        <v>0.205400647316764</v>
      </c>
      <c r="AE36" s="67">
        <v>0.206733282045863</v>
      </c>
      <c r="AF36" s="165">
        <v>278.31356741260902</v>
      </c>
      <c r="AG36" s="165">
        <v>278.951860645625</v>
      </c>
      <c r="AH36" s="67">
        <v>261.56646550238003</v>
      </c>
      <c r="AI36" s="67">
        <v>253.885003628612</v>
      </c>
      <c r="AJ36" s="67">
        <v>223.81698991359701</v>
      </c>
      <c r="AK36" s="67">
        <v>136.09445444360699</v>
      </c>
      <c r="AL36" s="202">
        <f t="shared" si="13"/>
        <v>0</v>
      </c>
      <c r="AM36" s="202">
        <f t="shared" si="14"/>
        <v>0</v>
      </c>
      <c r="AN36" s="67">
        <v>25.31</v>
      </c>
      <c r="AO36" s="165">
        <f t="shared" si="15"/>
        <v>25.31</v>
      </c>
      <c r="AP36" s="61" t="str">
        <f t="shared" si="16"/>
        <v>MBTGasoline</v>
      </c>
      <c r="AQ36" s="171">
        <f>AR36/SUM($AR$35:$AR$36)</f>
        <v>0.41484012692213817</v>
      </c>
      <c r="AR36" s="7">
        <v>8498</v>
      </c>
      <c r="AS36" s="167">
        <f t="shared" si="17"/>
        <v>12157</v>
      </c>
      <c r="AU36" s="67">
        <v>136.09445444360699</v>
      </c>
      <c r="AV36" s="67">
        <v>75.042085398328496</v>
      </c>
      <c r="AW36" s="67">
        <v>38.060104789561997</v>
      </c>
      <c r="AZ36" s="169">
        <f t="shared" si="18"/>
        <v>0</v>
      </c>
      <c r="BA36" s="167">
        <f t="shared" si="19"/>
        <v>1456</v>
      </c>
      <c r="BC36">
        <v>12157</v>
      </c>
      <c r="BD36">
        <v>9690</v>
      </c>
      <c r="BF36" t="s">
        <v>612</v>
      </c>
      <c r="BG36" t="s">
        <v>484</v>
      </c>
      <c r="BH36" s="167">
        <v>13613</v>
      </c>
      <c r="BI36" s="61">
        <f t="array" ref="BI36">INDEX($BQ$22:$BQ$38,MATCH($BF36&amp;$BG36,$BN$22:$BN$38&amp;$BO$22:$BO$38,0))</f>
        <v>9690</v>
      </c>
      <c r="BN36" t="s">
        <v>460</v>
      </c>
      <c r="BO36" t="s">
        <v>477</v>
      </c>
      <c r="BP36" s="61">
        <v>18966</v>
      </c>
      <c r="BQ36" s="61">
        <v>36164</v>
      </c>
      <c r="BR36"/>
    </row>
    <row r="37" spans="1:72" x14ac:dyDescent="0.25">
      <c r="A37" s="61" t="str">
        <f t="shared" si="1"/>
        <v>SUVODS</v>
      </c>
      <c r="B37" s="61" t="str">
        <f t="shared" si="21"/>
        <v>TPPRSUVODS-E</v>
      </c>
      <c r="C37" s="61" t="s">
        <v>511</v>
      </c>
      <c r="D37" s="61" t="s">
        <v>516</v>
      </c>
      <c r="E37" s="61" t="s">
        <v>301</v>
      </c>
      <c r="F37" s="199">
        <f t="shared" si="2"/>
        <v>2.4E-2</v>
      </c>
      <c r="G37" s="198">
        <f t="shared" si="3"/>
        <v>20405.076992301299</v>
      </c>
      <c r="H37" s="165">
        <v>24000</v>
      </c>
      <c r="I37" s="7">
        <v>20405.076992301299</v>
      </c>
      <c r="J37" s="7">
        <v>19511.180861952002</v>
      </c>
      <c r="K37" s="7">
        <v>17419.7175541467</v>
      </c>
      <c r="L37" s="7">
        <v>12050.4561057059</v>
      </c>
      <c r="M37" s="7">
        <v>8382.7765133576795</v>
      </c>
      <c r="N37" s="7">
        <v>5814.8083685512802</v>
      </c>
      <c r="O37" s="175">
        <f t="shared" si="4"/>
        <v>0.8502115413458875</v>
      </c>
      <c r="P37" s="175">
        <f t="shared" si="5"/>
        <v>0.8502115413458875</v>
      </c>
      <c r="Q37" s="175">
        <f t="shared" si="6"/>
        <v>0.81296586924800007</v>
      </c>
      <c r="R37" s="175">
        <f t="shared" si="7"/>
        <v>0.72582156475611248</v>
      </c>
      <c r="S37" s="175">
        <f t="shared" si="8"/>
        <v>0.50210233773774582</v>
      </c>
      <c r="T37" s="175">
        <f t="shared" si="9"/>
        <v>0.34928235472323665</v>
      </c>
      <c r="U37" s="175">
        <f t="shared" si="10"/>
        <v>0.24228368202297001</v>
      </c>
      <c r="V37" s="197">
        <f t="shared" si="11"/>
        <v>11.2619098186515</v>
      </c>
      <c r="W37" s="67">
        <v>11.2619098186515</v>
      </c>
      <c r="X37" s="197">
        <f t="shared" si="0"/>
        <v>0.22405960188642601</v>
      </c>
      <c r="Y37" s="204">
        <f t="shared" si="12"/>
        <v>0.22405960188642601</v>
      </c>
      <c r="Z37" s="67">
        <v>0.22405960188642601</v>
      </c>
      <c r="AA37" s="195">
        <v>0.23305744392160199</v>
      </c>
      <c r="AB37" s="67">
        <v>0.23340599419800401</v>
      </c>
      <c r="AC37" s="67">
        <v>0.23509880748513301</v>
      </c>
      <c r="AD37" s="67">
        <v>0.237131336819111</v>
      </c>
      <c r="AE37" s="67">
        <v>0.23904134817290701</v>
      </c>
      <c r="AF37" s="165">
        <v>76.403942902944607</v>
      </c>
      <c r="AG37" s="165">
        <v>167.10759375124499</v>
      </c>
      <c r="AH37" s="67">
        <v>231.73880616391401</v>
      </c>
      <c r="AI37" s="67">
        <v>439.31608188194201</v>
      </c>
      <c r="AJ37" s="67">
        <v>423.99215654706899</v>
      </c>
      <c r="AK37" s="67">
        <v>305.37671951021599</v>
      </c>
      <c r="AL37" s="202">
        <f t="shared" si="13"/>
        <v>0</v>
      </c>
      <c r="AM37" s="202">
        <f t="shared" si="14"/>
        <v>0</v>
      </c>
      <c r="AN37" s="67">
        <v>36.78</v>
      </c>
      <c r="AO37" s="165">
        <f t="shared" si="15"/>
        <v>36.78</v>
      </c>
      <c r="AP37" s="61" t="str">
        <f t="shared" si="16"/>
        <v>SUVDiesel</v>
      </c>
      <c r="AQ37" s="207">
        <f>AR37/SUM($AR$37:$AR$40)</f>
        <v>0.46134144546391248</v>
      </c>
      <c r="AR37" s="7">
        <v>47013</v>
      </c>
      <c r="AS37" s="167">
        <f t="shared" si="17"/>
        <v>18083</v>
      </c>
      <c r="AU37" s="67">
        <v>305.37671951021599</v>
      </c>
      <c r="AV37" s="67">
        <v>129.37332768050999</v>
      </c>
      <c r="AW37" s="67">
        <v>24.403832535936701</v>
      </c>
      <c r="AZ37" s="169">
        <f t="shared" si="18"/>
        <v>0</v>
      </c>
      <c r="BA37" s="167">
        <f t="shared" si="19"/>
        <v>883</v>
      </c>
      <c r="BC37">
        <v>18083</v>
      </c>
      <c r="BD37">
        <v>36247</v>
      </c>
      <c r="BF37" t="s">
        <v>460</v>
      </c>
      <c r="BG37" t="s">
        <v>477</v>
      </c>
      <c r="BH37" s="167">
        <v>18966</v>
      </c>
      <c r="BI37" s="61">
        <f t="array" ref="BI37">INDEX($BQ$22:$BQ$38,MATCH($BF37&amp;$BG37,$BN$22:$BN$38&amp;$BO$22:$BO$38,0))</f>
        <v>36164</v>
      </c>
      <c r="BN37" t="s">
        <v>460</v>
      </c>
      <c r="BO37" t="s">
        <v>484</v>
      </c>
      <c r="BP37" s="61">
        <v>36313</v>
      </c>
      <c r="BQ37" s="61">
        <v>35552</v>
      </c>
      <c r="BR37"/>
    </row>
    <row r="38" spans="1:72" x14ac:dyDescent="0.25">
      <c r="A38" s="61" t="str">
        <f t="shared" si="1"/>
        <v>SUVOGS</v>
      </c>
      <c r="B38" s="61" t="str">
        <f>D38&amp;C38&amp;"H-E"</f>
        <v>TPPRSUVOGSH-E</v>
      </c>
      <c r="C38" s="61" t="s">
        <v>573</v>
      </c>
      <c r="D38" s="61" t="s">
        <v>516</v>
      </c>
      <c r="E38" s="61" t="s">
        <v>298</v>
      </c>
      <c r="F38" s="199">
        <f t="shared" si="2"/>
        <v>2.4E-2</v>
      </c>
      <c r="G38" s="198">
        <f t="shared" si="3"/>
        <v>22250.436222693301</v>
      </c>
      <c r="H38" s="165">
        <v>24000</v>
      </c>
      <c r="I38" s="7">
        <v>22250.436222693301</v>
      </c>
      <c r="J38" s="7">
        <v>19821.569272195698</v>
      </c>
      <c r="K38" s="7">
        <v>17606.8432071348</v>
      </c>
      <c r="L38" s="7">
        <v>11983.6448540203</v>
      </c>
      <c r="M38" s="7">
        <v>8326.9925966743795</v>
      </c>
      <c r="N38" s="7">
        <v>5878.6372192737799</v>
      </c>
      <c r="O38" s="175">
        <f t="shared" si="4"/>
        <v>0.92710150927888757</v>
      </c>
      <c r="P38" s="175">
        <f t="shared" si="5"/>
        <v>0.92710150927888757</v>
      </c>
      <c r="Q38" s="175">
        <f t="shared" si="6"/>
        <v>0.82589871967482076</v>
      </c>
      <c r="R38" s="175">
        <f t="shared" si="7"/>
        <v>0.73361846696394994</v>
      </c>
      <c r="S38" s="175">
        <f t="shared" si="8"/>
        <v>0.49931853558417916</v>
      </c>
      <c r="T38" s="175">
        <f t="shared" si="9"/>
        <v>0.34695802486143246</v>
      </c>
      <c r="U38" s="175">
        <f t="shared" si="10"/>
        <v>0.24494321746974082</v>
      </c>
      <c r="V38" s="197">
        <f t="shared" si="11"/>
        <v>6.8382247609900997</v>
      </c>
      <c r="W38" s="67">
        <v>6.8382247609900997</v>
      </c>
      <c r="X38" s="197">
        <f t="shared" si="0"/>
        <v>0.41826030251072899</v>
      </c>
      <c r="Y38" s="204">
        <f t="shared" si="12"/>
        <v>0.41826030251072899</v>
      </c>
      <c r="Z38" s="67">
        <v>0.41826030251072899</v>
      </c>
      <c r="AA38" s="195">
        <v>0.42759293682001998</v>
      </c>
      <c r="AB38" s="67">
        <v>0.42775501230198898</v>
      </c>
      <c r="AC38" s="67">
        <v>0.42938928409693999</v>
      </c>
      <c r="AD38" s="67">
        <v>0.43322071824803499</v>
      </c>
      <c r="AE38" s="67">
        <v>0.43867505244828803</v>
      </c>
      <c r="AF38" s="165">
        <v>0</v>
      </c>
      <c r="AG38" s="165">
        <v>0.33093869359735401</v>
      </c>
      <c r="AH38" s="67">
        <v>0.52182555211336101</v>
      </c>
      <c r="AI38" s="67">
        <v>0.80312517525851201</v>
      </c>
      <c r="AJ38" s="67">
        <v>0.78934356053377797</v>
      </c>
      <c r="AK38" s="67">
        <v>0.60265953422099805</v>
      </c>
      <c r="AL38" s="202">
        <f t="shared" si="13"/>
        <v>0</v>
      </c>
      <c r="AM38" s="202">
        <f t="shared" si="14"/>
        <v>0</v>
      </c>
      <c r="AN38" s="67">
        <v>3.7229999999999999E-2</v>
      </c>
      <c r="AO38" s="165">
        <f t="shared" si="15"/>
        <v>3.7229999999999999E-2</v>
      </c>
      <c r="AP38" s="61" t="str">
        <f t="shared" si="16"/>
        <v>SUVHybridGasoline</v>
      </c>
      <c r="AQ38" s="207">
        <f>AR38/SUM($AR$37:$AR$40)</f>
        <v>7.1635346646386339E-4</v>
      </c>
      <c r="AR38" s="7">
        <v>73</v>
      </c>
      <c r="AS38" s="167">
        <f t="shared" si="17"/>
        <v>0</v>
      </c>
      <c r="AU38" s="67">
        <v>0.60265953422099805</v>
      </c>
      <c r="AV38" s="67">
        <v>0.232042144863953</v>
      </c>
      <c r="AW38" s="67">
        <v>2.72153954567123E-2</v>
      </c>
      <c r="AZ38" s="169">
        <f t="shared" si="18"/>
        <v>0</v>
      </c>
      <c r="BA38" s="167">
        <f t="shared" si="19"/>
        <v>0</v>
      </c>
      <c r="BC38">
        <v>0</v>
      </c>
      <c r="BD38">
        <v>93</v>
      </c>
      <c r="BF38" t="s">
        <v>460</v>
      </c>
      <c r="BG38" t="s">
        <v>611</v>
      </c>
      <c r="BH38" s="167">
        <v>0</v>
      </c>
      <c r="BI38" s="61">
        <f t="array" ref="BI38">INDEX($BQ$22:$BQ$38,MATCH($BF38&amp;$BG38,$BN$22:$BN$38&amp;$BO$22:$BO$38,0))</f>
        <v>157</v>
      </c>
      <c r="BN38" t="s">
        <v>460</v>
      </c>
      <c r="BO38" t="s">
        <v>611</v>
      </c>
      <c r="BP38" s="61">
        <v>0</v>
      </c>
      <c r="BQ38" s="61">
        <v>157</v>
      </c>
      <c r="BR38"/>
    </row>
    <row r="39" spans="1:72" x14ac:dyDescent="0.25">
      <c r="A39" s="61" t="str">
        <f t="shared" si="1"/>
        <v>SUVOGS</v>
      </c>
      <c r="B39" s="61" t="str">
        <f>D39&amp;C39&amp;"-E"</f>
        <v>TPPRSUVOGS-E</v>
      </c>
      <c r="C39" s="61" t="s">
        <v>573</v>
      </c>
      <c r="D39" s="61" t="s">
        <v>516</v>
      </c>
      <c r="E39" s="61" t="s">
        <v>295</v>
      </c>
      <c r="F39" s="199">
        <f t="shared" si="2"/>
        <v>2.4E-2</v>
      </c>
      <c r="G39" s="198">
        <f t="shared" si="3"/>
        <v>19920.095193486901</v>
      </c>
      <c r="H39" s="165">
        <v>24000</v>
      </c>
      <c r="I39" s="7">
        <v>19920.095193486901</v>
      </c>
      <c r="J39" s="7">
        <v>19247.904422146901</v>
      </c>
      <c r="K39" s="7">
        <v>17221.578522895001</v>
      </c>
      <c r="L39" s="7">
        <v>11981.3118881143</v>
      </c>
      <c r="M39" s="7">
        <v>8363.3055022655299</v>
      </c>
      <c r="N39" s="7">
        <v>5811.1845750912098</v>
      </c>
      <c r="O39" s="175">
        <f t="shared" si="4"/>
        <v>0.83000396639528751</v>
      </c>
      <c r="P39" s="175">
        <f t="shared" si="5"/>
        <v>0.83000396639528751</v>
      </c>
      <c r="Q39" s="175">
        <f t="shared" si="6"/>
        <v>0.80199601758945427</v>
      </c>
      <c r="R39" s="175">
        <f t="shared" si="7"/>
        <v>0.71756577178729175</v>
      </c>
      <c r="S39" s="175">
        <f t="shared" si="8"/>
        <v>0.49922132867142915</v>
      </c>
      <c r="T39" s="175">
        <f t="shared" si="9"/>
        <v>0.34847106259439709</v>
      </c>
      <c r="U39" s="175">
        <f t="shared" si="10"/>
        <v>0.24213269062880041</v>
      </c>
      <c r="V39" s="197">
        <f t="shared" si="11"/>
        <v>13.551554667779801</v>
      </c>
      <c r="W39" s="67">
        <v>13.551554667779801</v>
      </c>
      <c r="X39" s="197">
        <f t="shared" si="0"/>
        <v>0.20690739913063799</v>
      </c>
      <c r="Y39" s="204">
        <f t="shared" si="12"/>
        <v>0.20690739913063799</v>
      </c>
      <c r="Z39" s="67">
        <v>0.20690739913063799</v>
      </c>
      <c r="AA39" s="195">
        <v>0.21576687545224399</v>
      </c>
      <c r="AB39" s="67">
        <v>0.21618578391000501</v>
      </c>
      <c r="AC39" s="67">
        <v>0.218019202930891</v>
      </c>
      <c r="AD39" s="67">
        <v>0.220066514706491</v>
      </c>
      <c r="AE39" s="67">
        <v>0.22191326959965599</v>
      </c>
      <c r="AF39" s="165">
        <v>107.841116769957</v>
      </c>
      <c r="AG39" s="165">
        <v>203.048420366665</v>
      </c>
      <c r="AH39" s="67">
        <v>269.85381765315498</v>
      </c>
      <c r="AI39" s="67">
        <v>476.243900144387</v>
      </c>
      <c r="AJ39" s="67">
        <v>456.37773432999398</v>
      </c>
      <c r="AK39" s="67">
        <v>321.47565435311702</v>
      </c>
      <c r="AL39" s="202">
        <f t="shared" si="13"/>
        <v>0</v>
      </c>
      <c r="AM39" s="202">
        <f t="shared" si="14"/>
        <v>0</v>
      </c>
      <c r="AN39" s="67">
        <v>42.48</v>
      </c>
      <c r="AO39" s="165">
        <f t="shared" si="15"/>
        <v>42.48</v>
      </c>
      <c r="AP39" s="61" t="str">
        <f t="shared" si="16"/>
        <v>SUVGasoline</v>
      </c>
      <c r="AQ39" s="207">
        <f>AR39/SUM($AR$37:$AR$40)</f>
        <v>0.53794220106962365</v>
      </c>
      <c r="AR39" s="7">
        <v>54819</v>
      </c>
      <c r="AS39" s="167">
        <f t="shared" si="17"/>
        <v>27396</v>
      </c>
      <c r="AU39" s="67">
        <v>321.47565435311702</v>
      </c>
      <c r="AV39" s="67">
        <v>137.127378281734</v>
      </c>
      <c r="AW39" s="67">
        <v>28.016452324409499</v>
      </c>
      <c r="AZ39" s="169">
        <f t="shared" si="18"/>
        <v>0</v>
      </c>
      <c r="BA39" s="167">
        <f t="shared" si="19"/>
        <v>8917</v>
      </c>
      <c r="BC39">
        <v>27396</v>
      </c>
      <c r="BD39">
        <v>35469</v>
      </c>
      <c r="BF39" t="s">
        <v>460</v>
      </c>
      <c r="BG39" t="s">
        <v>484</v>
      </c>
      <c r="BH39" s="167">
        <v>36313</v>
      </c>
      <c r="BI39" s="61">
        <f t="array" ref="BI39">INDEX($BQ$22:$BQ$38,MATCH($BF39&amp;$BG39,$BN$22:$BN$38&amp;$BO$22:$BO$38,0))</f>
        <v>35552</v>
      </c>
      <c r="BR39"/>
    </row>
    <row r="40" spans="1:72" x14ac:dyDescent="0.25">
      <c r="A40" s="61" t="str">
        <f t="shared" si="1"/>
        <v>SUVELC</v>
      </c>
      <c r="B40" s="61" t="str">
        <f>D40&amp;C40&amp;"-E"</f>
        <v>TPPRSUVELC-E</v>
      </c>
      <c r="C40" s="61" t="s">
        <v>501</v>
      </c>
      <c r="D40" s="61" t="s">
        <v>516</v>
      </c>
      <c r="E40" s="61" t="s">
        <v>499</v>
      </c>
      <c r="F40" s="199">
        <f t="shared" si="2"/>
        <v>2.4E-2</v>
      </c>
      <c r="G40" s="198">
        <f t="shared" si="3"/>
        <v>21358.407707781298</v>
      </c>
      <c r="H40" s="165">
        <v>24000</v>
      </c>
      <c r="I40" s="206">
        <f>I22</f>
        <v>21358.407707781298</v>
      </c>
      <c r="J40" s="206">
        <f t="shared" ref="J40:N40" si="23">J22</f>
        <v>21176.992852249601</v>
      </c>
      <c r="K40" s="206">
        <f t="shared" si="23"/>
        <v>18784.2219075748</v>
      </c>
      <c r="L40" s="206">
        <f t="shared" si="23"/>
        <v>12612.1000996887</v>
      </c>
      <c r="M40" s="206">
        <f t="shared" si="23"/>
        <v>8490.9030310877897</v>
      </c>
      <c r="N40" s="206">
        <f t="shared" si="23"/>
        <v>5732.69771320774</v>
      </c>
      <c r="O40" s="175">
        <f t="shared" si="4"/>
        <v>0.88993365449088746</v>
      </c>
      <c r="P40" s="175">
        <f t="shared" si="5"/>
        <v>0.88993365449088746</v>
      </c>
      <c r="Q40" s="175">
        <f t="shared" si="6"/>
        <v>0.88237470217706671</v>
      </c>
      <c r="R40" s="175">
        <f t="shared" si="7"/>
        <v>0.78267591281561666</v>
      </c>
      <c r="S40" s="175">
        <f t="shared" si="8"/>
        <v>0.52550417082036249</v>
      </c>
      <c r="T40" s="175">
        <f t="shared" si="9"/>
        <v>0.35378762629532456</v>
      </c>
      <c r="U40" s="175">
        <f t="shared" si="10"/>
        <v>0.23886240471698916</v>
      </c>
      <c r="V40" s="197">
        <f t="shared" si="11"/>
        <v>0</v>
      </c>
      <c r="W40" s="67">
        <v>0</v>
      </c>
      <c r="X40" s="197">
        <f t="shared" si="0"/>
        <v>1.4770000000000001</v>
      </c>
      <c r="Y40" s="204">
        <f t="shared" si="12"/>
        <v>1.4770000000000001</v>
      </c>
      <c r="Z40" s="205">
        <f>TREND(AA40:AE40,AA$16:AE$16,Z$16)</f>
        <v>1.4770000000000001</v>
      </c>
      <c r="AA40" s="774">
        <f>TREND(AB40:AE40,AB$16:AE$16,AA$16)</f>
        <v>1.4770000000000001</v>
      </c>
      <c r="AB40" s="67">
        <v>1.4770000000000001</v>
      </c>
      <c r="AC40" s="67">
        <v>1.4770000000000001</v>
      </c>
      <c r="AD40" s="67">
        <v>1.4770000000000001</v>
      </c>
      <c r="AE40" s="67">
        <v>1.4770000000000001</v>
      </c>
      <c r="AF40" s="165">
        <v>0</v>
      </c>
      <c r="AG40" s="165">
        <v>0</v>
      </c>
      <c r="AH40" s="165">
        <v>0</v>
      </c>
      <c r="AI40" s="67">
        <v>0</v>
      </c>
      <c r="AJ40" s="67">
        <v>0</v>
      </c>
      <c r="AK40" s="67">
        <v>0</v>
      </c>
      <c r="AL40" s="202">
        <f t="shared" si="13"/>
        <v>0</v>
      </c>
      <c r="AM40" s="202">
        <f t="shared" si="14"/>
        <v>0</v>
      </c>
      <c r="AN40" s="67">
        <v>0</v>
      </c>
      <c r="AO40" s="165">
        <f t="shared" si="15"/>
        <v>0</v>
      </c>
      <c r="AP40" s="61" t="str">
        <f t="shared" si="16"/>
        <v>SUVElectric</v>
      </c>
      <c r="AQ40" s="171">
        <f>AR40/SUM($AR$37:$AR$40)</f>
        <v>0</v>
      </c>
      <c r="AR40" s="7">
        <v>0</v>
      </c>
      <c r="AS40" s="167">
        <f t="shared" si="17"/>
        <v>0</v>
      </c>
      <c r="AU40" s="200">
        <v>3.40079886434624E-3</v>
      </c>
      <c r="AV40" s="200">
        <v>1.4715177646857701E-3</v>
      </c>
      <c r="AW40" s="200">
        <v>1.8431831128663001E-4</v>
      </c>
      <c r="AZ40" s="169">
        <f t="shared" si="18"/>
        <v>0</v>
      </c>
      <c r="BA40" s="167">
        <f t="shared" si="19"/>
        <v>36314</v>
      </c>
      <c r="BC40">
        <v>0</v>
      </c>
      <c r="BD40">
        <v>0</v>
      </c>
      <c r="BF40" t="s">
        <v>460</v>
      </c>
      <c r="BG40" t="s">
        <v>484</v>
      </c>
      <c r="BH40" s="167">
        <v>36314</v>
      </c>
      <c r="BI40" s="61">
        <f t="array" ref="BI40">INDEX($BQ$22:$BQ$38,MATCH($BF40&amp;$BG40,$BN$22:$BN$38&amp;$BO$22:$BO$38,0))</f>
        <v>35552</v>
      </c>
      <c r="BR40"/>
    </row>
    <row r="41" spans="1:72" x14ac:dyDescent="0.25">
      <c r="A41" s="61" t="str">
        <f t="shared" si="1"/>
        <v>MOTOGS</v>
      </c>
      <c r="B41" s="61" t="s">
        <v>452</v>
      </c>
      <c r="C41" s="61" t="s">
        <v>573</v>
      </c>
      <c r="D41" s="61" t="s">
        <v>512</v>
      </c>
      <c r="E41" s="61" t="s">
        <v>513</v>
      </c>
      <c r="F41" s="199">
        <f t="shared" si="2"/>
        <v>1.4999999999999999E-2</v>
      </c>
      <c r="G41" s="198">
        <f t="shared" si="3"/>
        <v>11451.6721676383</v>
      </c>
      <c r="H41" s="165">
        <v>15000</v>
      </c>
      <c r="I41" s="7">
        <v>11451.6721676383</v>
      </c>
      <c r="J41" s="7">
        <v>11116.953059764701</v>
      </c>
      <c r="K41" s="7">
        <v>10096.559391532101</v>
      </c>
      <c r="L41" s="7">
        <v>7345.1771465823203</v>
      </c>
      <c r="M41" s="7">
        <v>5282.3949554629799</v>
      </c>
      <c r="N41" s="7">
        <v>3714.2798699165101</v>
      </c>
      <c r="O41" s="175">
        <f t="shared" si="4"/>
        <v>0.7634448111758867</v>
      </c>
      <c r="P41" s="175">
        <f t="shared" si="5"/>
        <v>0.7634448111758867</v>
      </c>
      <c r="Q41" s="175">
        <f t="shared" si="6"/>
        <v>0.7411302039843134</v>
      </c>
      <c r="R41" s="175">
        <f t="shared" si="7"/>
        <v>0.67310395943547341</v>
      </c>
      <c r="S41" s="175">
        <f t="shared" si="8"/>
        <v>0.48967847643882134</v>
      </c>
      <c r="T41" s="175">
        <f t="shared" si="9"/>
        <v>0.35215966369753199</v>
      </c>
      <c r="U41" s="175">
        <f t="shared" si="10"/>
        <v>0.247618657994434</v>
      </c>
      <c r="V41" s="197">
        <f t="shared" si="11"/>
        <v>4.9995594866529798</v>
      </c>
      <c r="W41" s="67">
        <v>4.9995594866529798</v>
      </c>
      <c r="X41" s="197">
        <f t="shared" si="0"/>
        <v>0.56040000000000001</v>
      </c>
      <c r="Y41" s="204">
        <f t="shared" si="12"/>
        <v>0.56040000000000001</v>
      </c>
      <c r="Z41" s="203">
        <v>0.56040000000000001</v>
      </c>
      <c r="AA41" s="195">
        <v>0.58484684820594601</v>
      </c>
      <c r="AB41" s="195">
        <v>0.58792203407525001</v>
      </c>
      <c r="AC41" s="195">
        <v>0.59899195036072195</v>
      </c>
      <c r="AD41" s="195">
        <v>0.60882557636547696</v>
      </c>
      <c r="AE41" s="195">
        <v>0.61566719645728296</v>
      </c>
      <c r="AF41" s="165">
        <v>281.57429249367499</v>
      </c>
      <c r="AG41" s="165">
        <v>372.534035064303</v>
      </c>
      <c r="AH41" s="165">
        <v>418.16208070848103</v>
      </c>
      <c r="AI41" s="67">
        <v>532.77109028187397</v>
      </c>
      <c r="AJ41" s="67">
        <v>480.39595774755702</v>
      </c>
      <c r="AK41" s="67">
        <v>247.18185019438701</v>
      </c>
      <c r="AL41" s="202">
        <f t="shared" si="13"/>
        <v>0</v>
      </c>
      <c r="AM41" s="202">
        <f t="shared" si="14"/>
        <v>0</v>
      </c>
      <c r="AN41" s="67">
        <v>10.127080654417099</v>
      </c>
      <c r="AO41" s="165">
        <f t="shared" si="15"/>
        <v>10.127080654417099</v>
      </c>
      <c r="AP41" s="61" t="str">
        <f t="shared" si="16"/>
        <v>MotoGasoline</v>
      </c>
      <c r="AQ41" s="171">
        <f>AR41/AR41</f>
        <v>1</v>
      </c>
      <c r="AR41" s="7">
        <v>35900</v>
      </c>
      <c r="AS41" s="167">
        <f t="shared" si="17"/>
        <v>36121</v>
      </c>
      <c r="AU41" s="200">
        <v>116.862521187445</v>
      </c>
      <c r="AV41" s="200">
        <v>16.186766778988599</v>
      </c>
      <c r="AW41" s="200">
        <v>0.498567299787399</v>
      </c>
      <c r="AZ41" s="169">
        <f t="shared" si="18"/>
        <v>0</v>
      </c>
      <c r="BA41" s="167">
        <f t="shared" si="19"/>
        <v>-36121</v>
      </c>
      <c r="BC41">
        <v>36121</v>
      </c>
      <c r="BD41">
        <v>35942</v>
      </c>
      <c r="BF41"/>
      <c r="BG41"/>
      <c r="BH41" s="167"/>
      <c r="BR41"/>
    </row>
    <row r="42" spans="1:72" x14ac:dyDescent="0.25">
      <c r="A42" s="61" t="str">
        <f t="shared" si="1"/>
        <v>MERELC</v>
      </c>
      <c r="B42" s="61" t="s">
        <v>610</v>
      </c>
      <c r="C42" s="61" t="s">
        <v>501</v>
      </c>
      <c r="D42" s="61" t="str">
        <f>LEFT(B42,7)</f>
        <v>TPPUMER</v>
      </c>
      <c r="E42" s="61" t="s">
        <v>609</v>
      </c>
      <c r="F42" s="199">
        <f t="shared" si="2"/>
        <v>1</v>
      </c>
      <c r="G42" s="198">
        <f t="shared" si="3"/>
        <v>0</v>
      </c>
      <c r="H42" s="167">
        <v>1000000</v>
      </c>
      <c r="O42" s="175">
        <v>1</v>
      </c>
      <c r="P42" s="175">
        <f>O42</f>
        <v>1</v>
      </c>
      <c r="Q42" s="175"/>
      <c r="R42" s="61">
        <f>O42</f>
        <v>1</v>
      </c>
      <c r="S42" s="61">
        <f>R42</f>
        <v>1</v>
      </c>
      <c r="T42" s="61">
        <f>S42</f>
        <v>1</v>
      </c>
      <c r="U42" s="61">
        <f>T42</f>
        <v>1</v>
      </c>
      <c r="V42" s="197">
        <f t="shared" si="11"/>
        <v>0</v>
      </c>
      <c r="X42" s="197">
        <f>15.8/AN42</f>
        <v>7.0026980278615358</v>
      </c>
      <c r="Z42" s="195">
        <f>X42</f>
        <v>7.0026980278615358</v>
      </c>
      <c r="AA42" s="195"/>
      <c r="AB42" s="74">
        <f t="shared" ref="AB42:AB48" si="24">Z42</f>
        <v>7.0026980278615358</v>
      </c>
      <c r="AC42" s="74">
        <f t="shared" ref="AC42:AE48" si="25">AB42</f>
        <v>7.0026980278615358</v>
      </c>
      <c r="AD42" s="74">
        <f t="shared" si="25"/>
        <v>7.0026980278615358</v>
      </c>
      <c r="AE42" s="74">
        <f t="shared" si="25"/>
        <v>7.0026980278615358</v>
      </c>
      <c r="AF42" s="74">
        <f>AN42*X42</f>
        <v>15.8</v>
      </c>
      <c r="AG42" s="165">
        <f>AF42</f>
        <v>15.8</v>
      </c>
      <c r="AH42" s="165">
        <f>AG42</f>
        <v>15.8</v>
      </c>
      <c r="AI42" s="200">
        <f>AH42</f>
        <v>15.8</v>
      </c>
      <c r="AJ42" s="200">
        <f>AI42</f>
        <v>15.8</v>
      </c>
      <c r="AK42" s="202">
        <f t="shared" ref="AK42" si="26">AU42*AU$12</f>
        <v>12.64</v>
      </c>
      <c r="AL42" s="202">
        <f t="shared" si="13"/>
        <v>0</v>
      </c>
      <c r="AM42" s="202">
        <f t="shared" si="14"/>
        <v>0</v>
      </c>
      <c r="AN42" s="201">
        <f>EB_2017!BD82/1000</f>
        <v>2.2562732159999994</v>
      </c>
      <c r="AO42" s="165">
        <v>2.37</v>
      </c>
      <c r="AT42" s="7">
        <f>AJ42</f>
        <v>15.8</v>
      </c>
      <c r="AU42" s="200">
        <f>AT42</f>
        <v>15.8</v>
      </c>
      <c r="AV42" s="200">
        <f>AU42</f>
        <v>15.8</v>
      </c>
      <c r="AW42" s="200">
        <f>AV42</f>
        <v>15.8</v>
      </c>
      <c r="AZ42"/>
      <c r="BA42"/>
      <c r="BB42"/>
      <c r="BC42"/>
      <c r="BE42"/>
      <c r="BF42"/>
    </row>
    <row r="43" spans="1:72" x14ac:dyDescent="0.25">
      <c r="A43" s="61" t="str">
        <f t="shared" si="1"/>
        <v>SUVGAS</v>
      </c>
      <c r="B43" s="61" t="s">
        <v>608</v>
      </c>
      <c r="C43" s="61" t="s">
        <v>509</v>
      </c>
      <c r="D43" s="61" t="str">
        <f>D39</f>
        <v>TPPRSUV</v>
      </c>
      <c r="E43" s="61" t="s">
        <v>607</v>
      </c>
      <c r="F43" s="199">
        <f t="shared" si="2"/>
        <v>1.9920095193486899E-2</v>
      </c>
      <c r="G43" s="198">
        <f t="shared" si="3"/>
        <v>19920.095193486901</v>
      </c>
      <c r="H43" s="167">
        <f t="shared" ref="H43:H48" si="27">I43</f>
        <v>19920.095193486901</v>
      </c>
      <c r="I43" s="167">
        <f>I39</f>
        <v>19920.095193486901</v>
      </c>
      <c r="J43" s="167"/>
      <c r="K43" s="167">
        <f>K39</f>
        <v>17221.578522895001</v>
      </c>
      <c r="L43" s="167">
        <f>L39</f>
        <v>11981.3118881143</v>
      </c>
      <c r="M43" s="167">
        <f>M39</f>
        <v>8363.3055022655299</v>
      </c>
      <c r="N43" s="167">
        <f>N39</f>
        <v>5811.1845750912098</v>
      </c>
      <c r="O43" s="175">
        <f t="shared" ref="O43:O49" si="28">P43</f>
        <v>0.83000396639528751</v>
      </c>
      <c r="P43" s="61">
        <f>P39</f>
        <v>0.83000396639528751</v>
      </c>
      <c r="R43" s="61">
        <f>R39</f>
        <v>0.71756577178729175</v>
      </c>
      <c r="S43" s="61">
        <f>S39</f>
        <v>0.49922132867142915</v>
      </c>
      <c r="T43" s="61">
        <f>T39</f>
        <v>0.34847106259439709</v>
      </c>
      <c r="U43" s="61">
        <f>U39</f>
        <v>0.24213269062880041</v>
      </c>
      <c r="V43" s="197">
        <f t="shared" si="11"/>
        <v>13.551554667779801</v>
      </c>
      <c r="W43" s="197">
        <f>W39</f>
        <v>13.551554667779801</v>
      </c>
      <c r="X43" s="197">
        <f t="shared" ref="X43:X48" si="29">Z43</f>
        <v>0.2275981390437018</v>
      </c>
      <c r="Z43" s="61">
        <f>Y39*1.1</f>
        <v>0.2275981390437018</v>
      </c>
      <c r="AB43" s="74">
        <f t="shared" si="24"/>
        <v>0.2275981390437018</v>
      </c>
      <c r="AC43" s="74">
        <f t="shared" si="25"/>
        <v>0.2275981390437018</v>
      </c>
      <c r="AD43" s="74">
        <f t="shared" si="25"/>
        <v>0.2275981390437018</v>
      </c>
      <c r="AE43" s="74">
        <f t="shared" si="25"/>
        <v>0.2275981390437018</v>
      </c>
      <c r="AF43" s="61">
        <f>AF39</f>
        <v>107.841116769957</v>
      </c>
      <c r="AG43" s="61">
        <f>AG39</f>
        <v>203.048420366665</v>
      </c>
      <c r="AJ43" s="61">
        <f>AJ39</f>
        <v>456.37773432999398</v>
      </c>
      <c r="AK43" s="61">
        <f>AK39</f>
        <v>321.47565435311702</v>
      </c>
      <c r="AL43" s="61">
        <f>AL39</f>
        <v>0</v>
      </c>
      <c r="AM43" s="61">
        <f>AM39</f>
        <v>0</v>
      </c>
      <c r="AN43" s="67"/>
      <c r="AQ43" s="76">
        <v>0</v>
      </c>
    </row>
    <row r="44" spans="1:72" x14ac:dyDescent="0.25">
      <c r="A44" s="61" t="str">
        <f t="shared" si="1"/>
        <v>CARGAS</v>
      </c>
      <c r="B44" s="61" t="s">
        <v>606</v>
      </c>
      <c r="C44" s="61" t="s">
        <v>509</v>
      </c>
      <c r="D44" s="61" t="str">
        <f>D22</f>
        <v>TPPRCAR</v>
      </c>
      <c r="E44" s="61" t="s">
        <v>605</v>
      </c>
      <c r="F44" s="199">
        <f t="shared" si="2"/>
        <v>2.1358407707781298E-2</v>
      </c>
      <c r="G44" s="198">
        <f t="shared" si="3"/>
        <v>21358.407707781298</v>
      </c>
      <c r="H44" s="167">
        <f t="shared" si="27"/>
        <v>21358.407707781298</v>
      </c>
      <c r="I44" s="167">
        <f>I22</f>
        <v>21358.407707781298</v>
      </c>
      <c r="J44" s="167"/>
      <c r="K44" s="167">
        <f>K22</f>
        <v>18784.2219075748</v>
      </c>
      <c r="L44" s="167">
        <f>L22</f>
        <v>12612.1000996887</v>
      </c>
      <c r="M44" s="167">
        <f>M22</f>
        <v>8490.9030310877897</v>
      </c>
      <c r="N44" s="167">
        <f>N22</f>
        <v>5732.69771320774</v>
      </c>
      <c r="O44" s="175">
        <f t="shared" si="28"/>
        <v>0.94926256479027993</v>
      </c>
      <c r="P44" s="61">
        <f>P22</f>
        <v>0.94926256479027993</v>
      </c>
      <c r="R44" s="61">
        <f>R22</f>
        <v>0.83485430700332441</v>
      </c>
      <c r="S44" s="61">
        <f>S22</f>
        <v>0.56053778220838668</v>
      </c>
      <c r="T44" s="61">
        <f>T22</f>
        <v>0.37737346804834621</v>
      </c>
      <c r="U44" s="61">
        <f>U22</f>
        <v>0.25478656503145514</v>
      </c>
      <c r="V44" s="197">
        <f t="shared" si="11"/>
        <v>1.8270555245815701</v>
      </c>
      <c r="W44" s="197">
        <f>W22</f>
        <v>1.8270555245815701</v>
      </c>
      <c r="X44" s="197">
        <f t="shared" si="29"/>
        <v>1.7604140792286291</v>
      </c>
      <c r="Z44" s="61">
        <f>Y22*1.1</f>
        <v>1.7604140792286291</v>
      </c>
      <c r="AB44" s="74">
        <f t="shared" si="24"/>
        <v>1.7604140792286291</v>
      </c>
      <c r="AC44" s="74">
        <f t="shared" si="25"/>
        <v>1.7604140792286291</v>
      </c>
      <c r="AD44" s="74">
        <f t="shared" si="25"/>
        <v>1.7604140792286291</v>
      </c>
      <c r="AE44" s="74">
        <f t="shared" si="25"/>
        <v>1.7604140792286291</v>
      </c>
      <c r="AF44" s="61">
        <f>AF22</f>
        <v>0</v>
      </c>
      <c r="AG44" s="61">
        <f>AG22</f>
        <v>0</v>
      </c>
      <c r="AJ44" s="61">
        <f>AJ22</f>
        <v>0.33103303930312999</v>
      </c>
      <c r="AK44" s="61">
        <f>AK22</f>
        <v>0.29041173582530899</v>
      </c>
      <c r="AL44" s="61">
        <f>AL22</f>
        <v>0</v>
      </c>
      <c r="AM44" s="61">
        <f>AM22</f>
        <v>0</v>
      </c>
      <c r="AN44" s="67"/>
      <c r="AQ44" s="76">
        <v>0</v>
      </c>
    </row>
    <row r="45" spans="1:72" x14ac:dyDescent="0.25">
      <c r="A45" s="61" t="str">
        <f t="shared" si="1"/>
        <v>MBTGAS</v>
      </c>
      <c r="B45" s="61" t="s">
        <v>604</v>
      </c>
      <c r="C45" s="61" t="s">
        <v>509</v>
      </c>
      <c r="D45" s="61" t="str">
        <f>D36</f>
        <v>TPPUMBT</v>
      </c>
      <c r="E45" s="61" t="s">
        <v>603</v>
      </c>
      <c r="F45" s="199">
        <f t="shared" si="2"/>
        <v>2.0965008962084201E-2</v>
      </c>
      <c r="G45" s="198">
        <f t="shared" si="3"/>
        <v>20965.008962084201</v>
      </c>
      <c r="H45" s="167">
        <f t="shared" si="27"/>
        <v>20965.008962084201</v>
      </c>
      <c r="I45" s="167">
        <f>I36</f>
        <v>20965.008962084201</v>
      </c>
      <c r="J45" s="167"/>
      <c r="K45" s="167">
        <f>K36</f>
        <v>18066.774551221399</v>
      </c>
      <c r="L45" s="167">
        <f>L36</f>
        <v>12688.0908597256</v>
      </c>
      <c r="M45" s="167">
        <f>M36</f>
        <v>8816.2136668335497</v>
      </c>
      <c r="N45" s="167">
        <f>N36</f>
        <v>6086.20560407013</v>
      </c>
      <c r="O45" s="175">
        <f t="shared" si="28"/>
        <v>0.59900025605954865</v>
      </c>
      <c r="P45" s="61">
        <f>P36</f>
        <v>0.59900025605954865</v>
      </c>
      <c r="R45" s="61">
        <f>R36</f>
        <v>0.51619355860632565</v>
      </c>
      <c r="S45" s="61">
        <f>S36</f>
        <v>0.36251688170644575</v>
      </c>
      <c r="T45" s="61">
        <f>T36</f>
        <v>0.25189181905238711</v>
      </c>
      <c r="U45" s="61">
        <f>U36</f>
        <v>0.17389158868771801</v>
      </c>
      <c r="V45" s="197">
        <f t="shared" si="11"/>
        <v>14.5644836562465</v>
      </c>
      <c r="W45" s="197">
        <f>W36</f>
        <v>14.5644836562465</v>
      </c>
      <c r="X45" s="197">
        <f t="shared" si="29"/>
        <v>0.2119495613148375</v>
      </c>
      <c r="Z45" s="61">
        <f>Y36*1.1</f>
        <v>0.2119495613148375</v>
      </c>
      <c r="AB45" s="74">
        <f t="shared" si="24"/>
        <v>0.2119495613148375</v>
      </c>
      <c r="AC45" s="74">
        <f t="shared" si="25"/>
        <v>0.2119495613148375</v>
      </c>
      <c r="AD45" s="74">
        <f t="shared" si="25"/>
        <v>0.2119495613148375</v>
      </c>
      <c r="AE45" s="74">
        <f t="shared" si="25"/>
        <v>0.2119495613148375</v>
      </c>
      <c r="AF45" s="61">
        <f>AF36</f>
        <v>278.31356741260902</v>
      </c>
      <c r="AG45" s="61">
        <f>AG36</f>
        <v>278.951860645625</v>
      </c>
      <c r="AJ45" s="61">
        <f>AJ36</f>
        <v>223.81698991359701</v>
      </c>
      <c r="AK45" s="61">
        <f>AK36</f>
        <v>136.09445444360699</v>
      </c>
      <c r="AL45" s="61">
        <f>AL36</f>
        <v>0</v>
      </c>
      <c r="AM45" s="61">
        <f>AM36</f>
        <v>0</v>
      </c>
      <c r="AN45" s="67"/>
      <c r="AQ45" s="76">
        <v>0</v>
      </c>
    </row>
    <row r="46" spans="1:72" x14ac:dyDescent="0.25">
      <c r="A46" s="61" t="str">
        <f t="shared" si="1"/>
        <v>BUSGAS</v>
      </c>
      <c r="B46" s="61" t="s">
        <v>602</v>
      </c>
      <c r="C46" s="61" t="s">
        <v>509</v>
      </c>
      <c r="D46" s="61" t="str">
        <f>D17</f>
        <v>TPPUBUS</v>
      </c>
      <c r="E46" s="61" t="s">
        <v>601</v>
      </c>
      <c r="F46" s="199">
        <f t="shared" si="2"/>
        <v>5.3296583187381896E-2</v>
      </c>
      <c r="G46" s="198">
        <f t="shared" si="3"/>
        <v>53296.583187381897</v>
      </c>
      <c r="H46" s="167">
        <f t="shared" si="27"/>
        <v>53296.583187381897</v>
      </c>
      <c r="I46" s="167">
        <f>I17</f>
        <v>53296.583187381897</v>
      </c>
      <c r="J46" s="167"/>
      <c r="K46" s="167">
        <f>K17</f>
        <v>20224.127065240998</v>
      </c>
      <c r="L46" s="167">
        <f>L17</f>
        <v>9102.8605766817</v>
      </c>
      <c r="M46" s="167">
        <f>M17</f>
        <v>3988.6494324368</v>
      </c>
      <c r="N46" s="167">
        <f>N17</f>
        <v>1718.2224683684799</v>
      </c>
      <c r="O46" s="175">
        <f t="shared" si="28"/>
        <v>0.88827638645636497</v>
      </c>
      <c r="P46" s="61">
        <f>P17</f>
        <v>0.88827638645636497</v>
      </c>
      <c r="R46" s="61">
        <f>R17</f>
        <v>0.33706878442068333</v>
      </c>
      <c r="S46" s="61">
        <f>S17</f>
        <v>0.15171434294469499</v>
      </c>
      <c r="T46" s="61">
        <f>T17</f>
        <v>6.6477490540613332E-2</v>
      </c>
      <c r="U46" s="61">
        <f>U17</f>
        <v>2.8637041139474666E-2</v>
      </c>
      <c r="V46" s="197">
        <f t="shared" si="11"/>
        <v>40.788494972334703</v>
      </c>
      <c r="W46" s="197">
        <f>W17</f>
        <v>40.788494972334703</v>
      </c>
      <c r="X46" s="197">
        <f t="shared" si="29"/>
        <v>6.1451225052252298E-2</v>
      </c>
      <c r="Z46" s="61">
        <f>Y17</f>
        <v>6.1451225052252298E-2</v>
      </c>
      <c r="AB46" s="74">
        <f t="shared" si="24"/>
        <v>6.1451225052252298E-2</v>
      </c>
      <c r="AC46" s="74">
        <f t="shared" si="25"/>
        <v>6.1451225052252298E-2</v>
      </c>
      <c r="AD46" s="74">
        <f t="shared" si="25"/>
        <v>6.1451225052252298E-2</v>
      </c>
      <c r="AE46" s="74">
        <f t="shared" si="25"/>
        <v>6.1451225052252298E-2</v>
      </c>
      <c r="AF46" s="61">
        <f>AF17</f>
        <v>21.5647607151075</v>
      </c>
      <c r="AG46" s="61">
        <f>AG17</f>
        <v>26.527095234144401</v>
      </c>
      <c r="AJ46" s="61">
        <f>AJ17</f>
        <v>23.083651962362801</v>
      </c>
      <c r="AK46" s="61">
        <f>AK17</f>
        <v>15.5161252325553</v>
      </c>
      <c r="AL46" s="61">
        <f>AL17</f>
        <v>0</v>
      </c>
      <c r="AM46" s="61">
        <f>AM17</f>
        <v>0</v>
      </c>
      <c r="AN46" s="67"/>
      <c r="AQ46" s="76">
        <v>0</v>
      </c>
      <c r="AS46" s="191"/>
    </row>
    <row r="47" spans="1:72" x14ac:dyDescent="0.25">
      <c r="A47" s="61" t="str">
        <f t="shared" si="1"/>
        <v>LCVGAS</v>
      </c>
      <c r="B47" s="61" t="s">
        <v>600</v>
      </c>
      <c r="C47" s="61" t="s">
        <v>509</v>
      </c>
      <c r="D47" s="61" t="str">
        <f>D34</f>
        <v>TFLCV</v>
      </c>
      <c r="E47" s="61" t="s">
        <v>599</v>
      </c>
      <c r="F47" s="199">
        <f t="shared" si="2"/>
        <v>1.6984001252854999E-2</v>
      </c>
      <c r="G47" s="198">
        <f t="shared" si="3"/>
        <v>16984.001252855</v>
      </c>
      <c r="H47" s="167">
        <f t="shared" si="27"/>
        <v>16984.001252855</v>
      </c>
      <c r="I47" s="167">
        <f>I34</f>
        <v>16984.001252855</v>
      </c>
      <c r="J47" s="167"/>
      <c r="K47" s="167">
        <f>K34</f>
        <v>12351.5851641552</v>
      </c>
      <c r="L47" s="167">
        <f>L34</f>
        <v>6353.8900619384203</v>
      </c>
      <c r="M47" s="167">
        <f>M34</f>
        <v>3228.5842202509998</v>
      </c>
      <c r="N47" s="167">
        <f>N34</f>
        <v>1629.4894595599401</v>
      </c>
      <c r="O47" s="175">
        <f t="shared" si="28"/>
        <v>0.485257178653</v>
      </c>
      <c r="P47" s="61">
        <f>P34</f>
        <v>0.485257178653</v>
      </c>
      <c r="R47" s="61">
        <f>R34</f>
        <v>0.35290243326157716</v>
      </c>
      <c r="S47" s="61">
        <f>S34</f>
        <v>0.18153971605538344</v>
      </c>
      <c r="T47" s="61">
        <f>T34</f>
        <v>9.2245263435742852E-2</v>
      </c>
      <c r="U47" s="61">
        <f>U34</f>
        <v>4.6556841701712572E-2</v>
      </c>
      <c r="V47" s="197">
        <f t="shared" si="11"/>
        <v>14.176565003733501</v>
      </c>
      <c r="W47" s="197">
        <f>W34</f>
        <v>14.176565003733501</v>
      </c>
      <c r="X47" s="197">
        <f t="shared" si="29"/>
        <v>0.21887575620523803</v>
      </c>
      <c r="Z47" s="61">
        <f>Y34*1.1</f>
        <v>0.21887575620523803</v>
      </c>
      <c r="AB47" s="74">
        <f t="shared" si="24"/>
        <v>0.21887575620523803</v>
      </c>
      <c r="AC47" s="74">
        <f t="shared" si="25"/>
        <v>0.21887575620523803</v>
      </c>
      <c r="AD47" s="74">
        <f t="shared" si="25"/>
        <v>0.21887575620523803</v>
      </c>
      <c r="AE47" s="74">
        <f t="shared" si="25"/>
        <v>0.21887575620523803</v>
      </c>
      <c r="AF47" s="61">
        <f>AF34</f>
        <v>1353.4227402310701</v>
      </c>
      <c r="AG47" s="61">
        <f>AG34</f>
        <v>1394.10583631081</v>
      </c>
      <c r="AJ47" s="61">
        <f>AJ34</f>
        <v>1149.83638939547</v>
      </c>
      <c r="AK47" s="61">
        <f>AK34</f>
        <v>721.33104862899097</v>
      </c>
      <c r="AL47" s="61">
        <f>AL34</f>
        <v>0</v>
      </c>
      <c r="AM47" s="61">
        <f>AM34</f>
        <v>0</v>
      </c>
      <c r="AN47" s="67"/>
      <c r="AQ47" s="76">
        <v>0</v>
      </c>
    </row>
    <row r="48" spans="1:72" x14ac:dyDescent="0.25">
      <c r="A48" s="61" t="str">
        <f t="shared" si="1"/>
        <v>CV1GAS</v>
      </c>
      <c r="B48" s="61" t="s">
        <v>598</v>
      </c>
      <c r="C48" s="61" t="s">
        <v>509</v>
      </c>
      <c r="D48" s="61" t="str">
        <f>D23</f>
        <v>TFHCV1</v>
      </c>
      <c r="E48" s="61" t="s">
        <v>597</v>
      </c>
      <c r="F48" s="199">
        <f t="shared" si="2"/>
        <v>1.71002801251579E-2</v>
      </c>
      <c r="G48" s="198">
        <f t="shared" si="3"/>
        <v>17100.2801251579</v>
      </c>
      <c r="H48" s="167">
        <f t="shared" si="27"/>
        <v>17100.2801251579</v>
      </c>
      <c r="I48" s="167">
        <f>I24</f>
        <v>17100.2801251579</v>
      </c>
      <c r="J48" s="167"/>
      <c r="K48" s="167">
        <f>K24</f>
        <v>12796.259204828801</v>
      </c>
      <c r="L48" s="167">
        <f>L24</f>
        <v>10147.057094637899</v>
      </c>
      <c r="M48" s="167">
        <f>M24</f>
        <v>6586.2943384510099</v>
      </c>
      <c r="N48" s="167">
        <f>N24</f>
        <v>3740.6636764421</v>
      </c>
      <c r="O48" s="175">
        <f t="shared" si="28"/>
        <v>0.35625583594078958</v>
      </c>
      <c r="P48" s="61">
        <f>P24</f>
        <v>0.35625583594078958</v>
      </c>
      <c r="R48" s="61">
        <f>R24</f>
        <v>0.26658873343393336</v>
      </c>
      <c r="S48" s="61">
        <f>S24</f>
        <v>0.21139702280495623</v>
      </c>
      <c r="T48" s="61">
        <f>T24</f>
        <v>0.13721446538439605</v>
      </c>
      <c r="U48" s="61">
        <f>U24</f>
        <v>7.793049325921042E-2</v>
      </c>
      <c r="V48" s="197">
        <f t="shared" si="11"/>
        <v>19.628700201694802</v>
      </c>
      <c r="W48" s="197">
        <f>W24</f>
        <v>19.628700201694802</v>
      </c>
      <c r="X48" s="197">
        <f t="shared" si="29"/>
        <v>0.15980018435060239</v>
      </c>
      <c r="Z48" s="196">
        <f>Y24*1.1</f>
        <v>0.15980018435060239</v>
      </c>
      <c r="AA48" s="196"/>
      <c r="AB48" s="74">
        <f t="shared" si="24"/>
        <v>0.15980018435060239</v>
      </c>
      <c r="AC48" s="74">
        <f t="shared" si="25"/>
        <v>0.15980018435060239</v>
      </c>
      <c r="AD48" s="74">
        <f t="shared" si="25"/>
        <v>0.15980018435060239</v>
      </c>
      <c r="AE48" s="74">
        <f t="shared" si="25"/>
        <v>0.15980018435060239</v>
      </c>
      <c r="AF48" s="195">
        <f>AF24</f>
        <v>6.3192945107162597</v>
      </c>
      <c r="AG48" s="195">
        <f>AG24</f>
        <v>4.5665100945894901</v>
      </c>
      <c r="AH48" s="195"/>
      <c r="AI48" s="195"/>
      <c r="AJ48" s="195">
        <f>AJ24</f>
        <v>1.87929418014928</v>
      </c>
      <c r="AK48" s="196">
        <f>AK24</f>
        <v>0.35865569412206</v>
      </c>
      <c r="AL48" s="196">
        <f>AL24</f>
        <v>0</v>
      </c>
      <c r="AM48" s="196">
        <f>AM24</f>
        <v>0</v>
      </c>
      <c r="AN48" s="67"/>
      <c r="AO48" s="175"/>
      <c r="AQ48" s="76">
        <v>0</v>
      </c>
      <c r="AR48" s="175"/>
      <c r="AS48" s="191"/>
    </row>
    <row r="49" spans="1:69" customFormat="1" x14ac:dyDescent="0.25">
      <c r="O49" s="175">
        <f t="shared" si="28"/>
        <v>0</v>
      </c>
      <c r="AA49">
        <f>1/AA65</f>
        <v>3.0120320555337368</v>
      </c>
      <c r="AT49" s="61"/>
    </row>
    <row r="50" spans="1:69" customFormat="1" x14ac:dyDescent="0.25">
      <c r="F50" s="61"/>
      <c r="AM50" s="61"/>
      <c r="AN50" s="61"/>
    </row>
    <row r="51" spans="1:69" s="192" customFormat="1" x14ac:dyDescent="0.25">
      <c r="F51" s="194" t="s">
        <v>596</v>
      </c>
      <c r="G51" s="193"/>
      <c r="H51" s="193"/>
      <c r="I51" s="193"/>
      <c r="J51" s="193"/>
      <c r="K51" s="193"/>
      <c r="L51" s="193"/>
      <c r="M51" s="193" t="s">
        <v>595</v>
      </c>
      <c r="N51" s="193" t="s">
        <v>595</v>
      </c>
      <c r="O51" s="193" t="s">
        <v>595</v>
      </c>
      <c r="P51" s="193" t="s">
        <v>595</v>
      </c>
      <c r="Q51" s="193" t="s">
        <v>595</v>
      </c>
      <c r="R51" s="193"/>
      <c r="S51" s="193"/>
      <c r="T51" s="193"/>
      <c r="U51" s="193"/>
      <c r="V51" s="193"/>
      <c r="Z51" s="193" t="s">
        <v>594</v>
      </c>
      <c r="AA51" s="193" t="s">
        <v>594</v>
      </c>
      <c r="AB51" s="193" t="s">
        <v>594</v>
      </c>
      <c r="AC51" s="193" t="s">
        <v>594</v>
      </c>
      <c r="AD51" s="193" t="s">
        <v>594</v>
      </c>
      <c r="AE51" s="193" t="s">
        <v>594</v>
      </c>
      <c r="AF51" s="193"/>
      <c r="AK51" s="192" t="s">
        <v>593</v>
      </c>
      <c r="AL51" s="192" t="s">
        <v>593</v>
      </c>
      <c r="AM51" s="192" t="s">
        <v>593</v>
      </c>
      <c r="AN51" s="192" t="s">
        <v>593</v>
      </c>
      <c r="AO51" s="192" t="s">
        <v>593</v>
      </c>
      <c r="AP51" s="192" t="s">
        <v>593</v>
      </c>
      <c r="AQ51" s="192" t="s">
        <v>593</v>
      </c>
      <c r="AU51" s="192" t="s">
        <v>592</v>
      </c>
      <c r="AV51" s="192" t="s">
        <v>592</v>
      </c>
      <c r="AW51" s="192" t="s">
        <v>592</v>
      </c>
      <c r="AX51" s="192" t="s">
        <v>592</v>
      </c>
      <c r="AY51" s="192" t="s">
        <v>592</v>
      </c>
    </row>
    <row r="52" spans="1:69" customFormat="1" x14ac:dyDescent="0.25">
      <c r="BQ52" s="61"/>
    </row>
    <row r="53" spans="1:69" x14ac:dyDescent="0.25">
      <c r="B53" s="191"/>
      <c r="R53" s="61" t="s">
        <v>591</v>
      </c>
      <c r="T53" s="181">
        <f>IF(eMode,$Z$53,$Y$53)</f>
        <v>7.4999999999999997E-3</v>
      </c>
      <c r="U53" s="176">
        <f>T53</f>
        <v>7.4999999999999997E-3</v>
      </c>
      <c r="V53" s="176">
        <f>U53</f>
        <v>7.4999999999999997E-3</v>
      </c>
      <c r="W53" s="176">
        <f>V53</f>
        <v>7.4999999999999997E-3</v>
      </c>
      <c r="X53" s="176">
        <f>W53</f>
        <v>7.4999999999999997E-3</v>
      </c>
      <c r="Y53" s="179">
        <v>5.0000000000000001E-3</v>
      </c>
      <c r="Z53" s="176">
        <v>7.4999999999999997E-3</v>
      </c>
      <c r="AA53" s="175">
        <f>S65*GasolineLHV/DieselLHV</f>
        <v>8.650433231260191</v>
      </c>
      <c r="AB53" s="175"/>
      <c r="AD53" s="175"/>
      <c r="AE53" s="175"/>
      <c r="AF53" s="175"/>
      <c r="AG53" s="175"/>
      <c r="AH53" s="175"/>
      <c r="AI53" s="175"/>
    </row>
    <row r="54" spans="1:69" x14ac:dyDescent="0.25">
      <c r="B54" s="191"/>
      <c r="R54" s="61" t="s">
        <v>590</v>
      </c>
      <c r="T54" s="176">
        <v>0.01</v>
      </c>
      <c r="U54" s="176">
        <v>0.01</v>
      </c>
      <c r="V54" s="176">
        <v>0.01</v>
      </c>
      <c r="W54" s="176">
        <v>0.01</v>
      </c>
      <c r="X54" s="179">
        <v>0.01</v>
      </c>
      <c r="Y54" s="185"/>
      <c r="Z54" s="175"/>
      <c r="AA54" s="175" t="s">
        <v>589</v>
      </c>
      <c r="AB54" s="175"/>
      <c r="AD54" s="171">
        <f>'Vehicle data-proc2023'!G106</f>
        <v>0.86428571428571432</v>
      </c>
      <c r="AE54" s="175"/>
      <c r="AF54" s="175"/>
      <c r="AG54" s="175"/>
      <c r="AH54" s="175"/>
      <c r="AI54" s="175"/>
      <c r="AJ54" s="175"/>
      <c r="AK54" s="175"/>
      <c r="AL54" s="175"/>
      <c r="AM54" s="175"/>
      <c r="AN54" s="191"/>
      <c r="AO54" s="191"/>
    </row>
    <row r="55" spans="1:69" ht="15.75" thickBot="1" x14ac:dyDescent="0.3">
      <c r="C55" s="190" t="s">
        <v>588</v>
      </c>
      <c r="D55" s="190"/>
      <c r="E55" s="190"/>
      <c r="F55" s="190"/>
      <c r="G55" s="190"/>
      <c r="H55" s="189"/>
      <c r="I55" s="189"/>
      <c r="M55" s="61" t="s">
        <v>353</v>
      </c>
      <c r="Q55" s="61" t="s">
        <v>587</v>
      </c>
      <c r="S55" s="61" t="s">
        <v>586</v>
      </c>
      <c r="T55" s="176">
        <v>1.4999999999999999E-2</v>
      </c>
      <c r="U55" s="176">
        <v>1.4999999999999999E-2</v>
      </c>
      <c r="V55" s="176">
        <v>1.4999999999999999E-2</v>
      </c>
      <c r="W55" s="176">
        <v>1.4999999999999999E-2</v>
      </c>
      <c r="X55" s="176">
        <v>1.4999999999999999E-2</v>
      </c>
      <c r="Y55" s="185"/>
      <c r="AA55" s="175" t="s">
        <v>585</v>
      </c>
      <c r="AB55" s="175"/>
      <c r="AD55" s="76">
        <f>AD56/AD57</f>
        <v>0.87143391415007765</v>
      </c>
      <c r="AI55" s="178" t="s">
        <v>584</v>
      </c>
      <c r="AJ55" s="76">
        <v>0.15</v>
      </c>
      <c r="AT55" s="65" t="s">
        <v>583</v>
      </c>
      <c r="AW55" s="188" t="s">
        <v>582</v>
      </c>
      <c r="AX55" s="187">
        <f>(1-25%)*AX56</f>
        <v>2.0250000000000001E-2</v>
      </c>
      <c r="AY55" s="186" t="s">
        <v>501</v>
      </c>
    </row>
    <row r="56" spans="1:69" x14ac:dyDescent="0.25">
      <c r="F56" s="65" t="str">
        <f>H14</f>
        <v>Mileage Start</v>
      </c>
      <c r="H56" s="185"/>
      <c r="M56" s="65" t="str">
        <f>O14</f>
        <v>Availability</v>
      </c>
      <c r="N56" s="65"/>
      <c r="S56" s="65" t="str">
        <f>V14</f>
        <v>Economy</v>
      </c>
      <c r="T56" s="522">
        <f>Analytica!X42</f>
        <v>7.0026980278615358</v>
      </c>
      <c r="U56" s="522">
        <f>T56</f>
        <v>7.0026980278615358</v>
      </c>
      <c r="V56" s="522">
        <f t="shared" ref="V56:X56" si="30">U56</f>
        <v>7.0026980278615358</v>
      </c>
      <c r="W56" s="522">
        <f t="shared" si="30"/>
        <v>7.0026980278615358</v>
      </c>
      <c r="X56" s="522">
        <f t="shared" si="30"/>
        <v>7.0026980278615358</v>
      </c>
      <c r="Y56" s="185"/>
      <c r="AA56" s="65" t="s">
        <v>581</v>
      </c>
      <c r="AB56" s="65"/>
      <c r="AC56" s="178" t="s">
        <v>511</v>
      </c>
      <c r="AD56" s="177">
        <f>X18*W18</f>
        <v>2.5480523805557795</v>
      </c>
      <c r="AH56" s="61" t="s">
        <v>580</v>
      </c>
      <c r="AJ56" s="65" t="s">
        <v>579</v>
      </c>
      <c r="AL56" s="61" t="s">
        <v>578</v>
      </c>
      <c r="AR56" s="61" t="s">
        <v>577</v>
      </c>
      <c r="AT56" s="61" t="s">
        <v>572</v>
      </c>
      <c r="AW56" s="184" t="s">
        <v>576</v>
      </c>
      <c r="AX56" s="183">
        <v>2.7E-2</v>
      </c>
      <c r="AY56" s="182"/>
      <c r="BA56" s="65" t="s">
        <v>575</v>
      </c>
    </row>
    <row r="57" spans="1:69" ht="15.75" thickBot="1" x14ac:dyDescent="0.3">
      <c r="F57" s="61" t="str">
        <f>F15</f>
        <v>m.km/yr</v>
      </c>
      <c r="S57" s="61" t="s">
        <v>468</v>
      </c>
      <c r="T57" s="780">
        <f>IF(eMode,$Z$57,$Y$57)</f>
        <v>1.4999999999999999E-2</v>
      </c>
      <c r="U57" s="180">
        <f>T57</f>
        <v>1.4999999999999999E-2</v>
      </c>
      <c r="V57" s="180">
        <f>U57</f>
        <v>1.4999999999999999E-2</v>
      </c>
      <c r="W57" s="180">
        <f>V57</f>
        <v>1.4999999999999999E-2</v>
      </c>
      <c r="X57" s="180">
        <f>W57</f>
        <v>1.4999999999999999E-2</v>
      </c>
      <c r="Y57" s="781">
        <f>T54</f>
        <v>0.01</v>
      </c>
      <c r="Z57" s="180">
        <f>T55</f>
        <v>1.4999999999999999E-2</v>
      </c>
      <c r="AA57" s="61" t="s">
        <v>574</v>
      </c>
      <c r="AC57" s="178" t="s">
        <v>573</v>
      </c>
      <c r="AD57" s="177">
        <f>X22*W22</f>
        <v>2.923976608187131</v>
      </c>
      <c r="AJ57" s="61" t="s">
        <v>572</v>
      </c>
      <c r="AK57" s="180">
        <v>0.01</v>
      </c>
      <c r="AL57" s="180">
        <v>0.01</v>
      </c>
      <c r="AM57" s="180"/>
      <c r="AN57" s="180">
        <v>5.0000000000000001E-3</v>
      </c>
      <c r="AO57" s="180"/>
      <c r="AP57" s="180">
        <v>0</v>
      </c>
      <c r="AQ57" s="180">
        <v>0</v>
      </c>
      <c r="AR57" s="782">
        <v>0.1</v>
      </c>
      <c r="AU57" s="180"/>
      <c r="AV57" s="180"/>
      <c r="AW57" s="783"/>
      <c r="AX57" s="783"/>
      <c r="AY57" s="783"/>
      <c r="BD57" s="61" t="s">
        <v>571</v>
      </c>
    </row>
    <row r="58" spans="1:69" x14ac:dyDescent="0.25">
      <c r="F58" s="784" t="str">
        <f>F16</f>
        <v>CapAct</v>
      </c>
      <c r="G58" s="785">
        <f>H16</f>
        <v>2012</v>
      </c>
      <c r="H58" s="785">
        <v>0</v>
      </c>
      <c r="I58" s="785">
        <v>5</v>
      </c>
      <c r="J58" s="785">
        <v>10</v>
      </c>
      <c r="K58" s="785">
        <v>30</v>
      </c>
      <c r="L58" s="785">
        <v>50</v>
      </c>
      <c r="M58" s="785">
        <v>0</v>
      </c>
      <c r="N58" s="785">
        <v>5</v>
      </c>
      <c r="O58" s="785">
        <v>10</v>
      </c>
      <c r="P58" s="785">
        <v>30</v>
      </c>
      <c r="Q58" s="785">
        <v>50</v>
      </c>
      <c r="R58" s="785"/>
      <c r="S58" s="785">
        <v>2006</v>
      </c>
      <c r="T58" s="786">
        <v>2012</v>
      </c>
      <c r="U58" s="785">
        <v>2020</v>
      </c>
      <c r="V58" s="785">
        <v>2030</v>
      </c>
      <c r="W58" s="785">
        <v>2040</v>
      </c>
      <c r="X58" s="785">
        <v>2050</v>
      </c>
      <c r="Y58" s="785"/>
      <c r="Z58" s="785">
        <f>S58</f>
        <v>2006</v>
      </c>
      <c r="AA58" s="785">
        <v>2017</v>
      </c>
      <c r="AB58" s="785">
        <f>U58</f>
        <v>2020</v>
      </c>
      <c r="AC58" s="785">
        <f>V58</f>
        <v>2030</v>
      </c>
      <c r="AD58" s="785">
        <f>W58</f>
        <v>2040</v>
      </c>
      <c r="AE58" s="785">
        <f>X58</f>
        <v>2050</v>
      </c>
      <c r="AF58" s="785"/>
      <c r="AG58" s="785"/>
      <c r="AH58" s="785" t="s">
        <v>495</v>
      </c>
      <c r="AI58" s="785" t="s">
        <v>570</v>
      </c>
      <c r="AJ58" s="785">
        <v>2006</v>
      </c>
      <c r="AK58" s="785">
        <v>2012</v>
      </c>
      <c r="AL58" s="785">
        <v>2020</v>
      </c>
      <c r="AM58" s="785">
        <v>2025</v>
      </c>
      <c r="AN58" s="785">
        <v>2030</v>
      </c>
      <c r="AO58" s="785">
        <v>2035</v>
      </c>
      <c r="AP58" s="785">
        <v>2040</v>
      </c>
      <c r="AQ58" s="785">
        <v>2050</v>
      </c>
      <c r="AR58" s="785"/>
      <c r="AS58" s="785"/>
      <c r="AT58" s="785" t="s">
        <v>353</v>
      </c>
      <c r="AU58" s="785">
        <v>2012</v>
      </c>
      <c r="AV58" s="785">
        <v>2020</v>
      </c>
      <c r="AW58" s="785">
        <v>2030</v>
      </c>
      <c r="AX58" s="785">
        <v>2040</v>
      </c>
      <c r="AY58" s="787">
        <v>2050</v>
      </c>
    </row>
    <row r="59" spans="1:69" x14ac:dyDescent="0.25">
      <c r="A59" s="61" t="str">
        <f t="shared" ref="A59:A90" si="31">RIGHT(D59,3)&amp;C59</f>
        <v>BUSODS</v>
      </c>
      <c r="B59" s="61" t="str">
        <f>D59&amp;C59&amp;"-N"</f>
        <v>TPPUBUSODS-N</v>
      </c>
      <c r="C59" s="61" t="s">
        <v>511</v>
      </c>
      <c r="D59" s="61" t="s">
        <v>565</v>
      </c>
      <c r="E59" s="61" t="s">
        <v>569</v>
      </c>
      <c r="F59" s="938">
        <f>INDEX($F$17:$F$49,MATCH($E59,$E$17:$E$49,0))</f>
        <v>0.06</v>
      </c>
      <c r="G59" s="939">
        <f>G17</f>
        <v>53296.583187381897</v>
      </c>
      <c r="H59" s="939">
        <f t="shared" ref="H59:L68" si="32">(EXP(-((H$58)*$F59))*G59)</f>
        <v>53296.583187381897</v>
      </c>
      <c r="I59" s="939">
        <f t="shared" si="32"/>
        <v>39483.079925291415</v>
      </c>
      <c r="J59" s="939">
        <f t="shared" si="32"/>
        <v>21668.773691830389</v>
      </c>
      <c r="K59" s="939">
        <f t="shared" si="32"/>
        <v>3581.8242003847272</v>
      </c>
      <c r="L59" s="939">
        <f t="shared" si="32"/>
        <v>178.32852634622401</v>
      </c>
      <c r="M59" s="939">
        <f t="shared" ref="M59:M90" si="33">H59/$G59</f>
        <v>1</v>
      </c>
      <c r="N59" s="939">
        <f t="shared" ref="N59:N90" si="34">I59/$G59</f>
        <v>0.74081822068171788</v>
      </c>
      <c r="O59" s="939">
        <f t="shared" ref="O59:O90" si="35">J59/$G59</f>
        <v>0.40656965974059905</v>
      </c>
      <c r="P59" s="939">
        <f t="shared" ref="P59:P90" si="36">K59/$G59</f>
        <v>6.720551273974977E-2</v>
      </c>
      <c r="Q59" s="939">
        <f t="shared" ref="Q59:Q90" si="37">L59/$G59</f>
        <v>3.3459654574712729E-3</v>
      </c>
      <c r="R59" s="939">
        <f t="shared" ref="R59:R90" si="38">M59/$G59</f>
        <v>1.8762928882029207E-5</v>
      </c>
      <c r="S59" s="212">
        <v>31.22</v>
      </c>
      <c r="T59" s="940">
        <f>W17</f>
        <v>40.788494972334703</v>
      </c>
      <c r="U59" s="939">
        <f>T59/((1+U$53)^(U$58-T$58))</f>
        <v>38.421758893352582</v>
      </c>
      <c r="V59" s="939">
        <f>U59/((1+V$53)^(V$58-U$58))</f>
        <v>35.655513403447067</v>
      </c>
      <c r="W59" s="939">
        <f>V59/((1+W$53)^(W$58-V$58))</f>
        <v>33.088428866366812</v>
      </c>
      <c r="X59" s="939">
        <f>W59/((1+X$53)^(X$58-W$58))</f>
        <v>30.70616632149715</v>
      </c>
      <c r="Y59" s="939"/>
      <c r="Z59" s="941">
        <f>(1/S59*100)/DieselLHV</f>
        <v>8.749755228366396E-2</v>
      </c>
      <c r="AA59" s="941">
        <f>1/SUMIFS('Vehicle data-proc2023'!AL$20:AL$117,'Vehicle data-proc2023'!$N$20:$N$117,Analytica!$C59,'Vehicle data-proc2023'!$Q$20:$Q$117,RIGHT(Analytica!$D59,3))</f>
        <v>6.4348339348895098E-2</v>
      </c>
      <c r="AB59" s="941">
        <f>1/SUMIFS('Vehicle data-proc2023'!AM$20:AM$117,'Vehicle data-proc2023'!$N$20:$N$117,Analytica!$C59,'Vehicle data-proc2023'!$Q$20:$Q$117,RIGHT(Analytica!$D59,3))</f>
        <v>6.5323297732971908E-2</v>
      </c>
      <c r="AC59" s="941">
        <f>1/SUMIFS('Vehicle data-proc2023'!AN$20:AN$117,'Vehicle data-proc2023'!$N$20:$N$117,Analytica!$C59,'Vehicle data-proc2023'!$Q$20:$Q$117,RIGHT(Analytica!$D59,3))</f>
        <v>7.043085277768743E-2</v>
      </c>
      <c r="AD59" s="941">
        <f>1/SUMIFS('Vehicle data-proc2023'!AO$20:AO$117,'Vehicle data-proc2023'!$N$20:$N$117,Analytica!$C59,'Vehicle data-proc2023'!$Q$20:$Q$117,RIGHT(Analytica!$D59,3))</f>
        <v>7.7877320574937056E-2</v>
      </c>
      <c r="AE59" s="941">
        <f>1/SUMIFS('Vehicle data-proc2023'!AP$20:AP$117,'Vehicle data-proc2023'!$N$20:$N$117,Analytica!$C59,'Vehicle data-proc2023'!$Q$20:$Q$117,RIGHT(Analytica!$D59,3))</f>
        <v>8.6111083718879447E-2</v>
      </c>
      <c r="AF59" s="941"/>
      <c r="AG59" s="212"/>
      <c r="AH59" s="942">
        <v>306.87549999999999</v>
      </c>
      <c r="AI59" s="942">
        <v>636.66302862985685</v>
      </c>
      <c r="AJ59" s="942"/>
      <c r="AK59" s="943">
        <f>SUMIFS('Vehicle data-proc2023'!AD$20:AD$117,'Vehicle data-proc2023'!$N$20:$N$117,Analytica!$C59,'Vehicle data-proc2023'!$Q$20:$Q$117,RIGHT(Analytica!$D59,3))/1000</f>
        <v>1494.0946129846409</v>
      </c>
      <c r="AL59" s="943">
        <f>SUMIFS('Vehicle data-proc2023'!AE$20:AE$117,'Vehicle data-proc2023'!$N$20:$N$117,Analytica!$C59,'Vehicle data-proc2023'!$Q$20:$Q$117,RIGHT(Analytica!$D59,3))/1000</f>
        <v>1615.4013682562638</v>
      </c>
      <c r="AM59" s="943">
        <f>SUMIFS('Vehicle data-proc2023'!AF$20:AF$117,'Vehicle data-proc2023'!$N$20:$N$117,Analytica!$C59,'Vehicle data-proc2023'!$Q$20:$Q$117,RIGHT(Analytica!$D59,3))/1000</f>
        <v>1645.5633521187683</v>
      </c>
      <c r="AN59" s="943">
        <f>SUMIFS('Vehicle data-proc2023'!AG$20:AG$117,'Vehicle data-proc2023'!$N$20:$N$117,Analytica!$C59,'Vehicle data-proc2023'!$Q$20:$Q$117,RIGHT(Analytica!$D59,3))/1000</f>
        <v>1675.7253359812721</v>
      </c>
      <c r="AO59" s="943">
        <f>SUMIFS('Vehicle data-proc2023'!AH$20:AH$117,'Vehicle data-proc2023'!$N$20:$N$117,Analytica!$C59,'Vehicle data-proc2023'!$Q$20:$Q$117,RIGHT(Analytica!$D59,3))/1000</f>
        <v>1695.1176876140198</v>
      </c>
      <c r="AP59" s="943">
        <f>SUMIFS('Vehicle data-proc2023'!AI$20:AI$117,'Vehicle data-proc2023'!$N$20:$N$117,Analytica!$C59,'Vehicle data-proc2023'!$Q$20:$Q$117,RIGHT(Analytica!$D59,3))/1000</f>
        <v>1714.5100392467668</v>
      </c>
      <c r="AQ59" s="943">
        <f>SUMIFS('Vehicle data-proc2023'!AJ$20:AJ$117,'Vehicle data-proc2023'!$N$20:$N$117,Analytica!$C59,'Vehicle data-proc2023'!$Q$20:$Q$117,RIGHT(Analytica!$D59,3))/1000</f>
        <v>1758.7858226703579</v>
      </c>
      <c r="AR59" s="212"/>
      <c r="AS59" s="212"/>
      <c r="AT59" s="944">
        <f t="shared" ref="AT59:AT90" si="39">IF($C59&lt;&gt;$AY$55,$AX$56,$AX$55)</f>
        <v>2.7E-2</v>
      </c>
      <c r="AU59" s="942">
        <f t="shared" ref="AU59:AU90" si="40">$AT59*AK59</f>
        <v>40.340554550585303</v>
      </c>
      <c r="AV59" s="942">
        <f t="shared" ref="AV59:AV90" si="41">$AT59*AL59</f>
        <v>43.615836942919124</v>
      </c>
      <c r="AW59" s="942">
        <f t="shared" ref="AW59:AW90" si="42">$AT59*AN59</f>
        <v>45.244584071494344</v>
      </c>
      <c r="AX59" s="942">
        <f t="shared" ref="AX59:AX90" si="43">$AT59*AP59</f>
        <v>46.291771059662707</v>
      </c>
      <c r="AY59" s="945">
        <f t="shared" ref="AY59:AY90" si="44">$AT59*AQ59</f>
        <v>47.487217212099665</v>
      </c>
      <c r="BA59" s="164">
        <f>SUMIF($E$17:$E$41,E59,$AR$17:$AR$41)/SUMIF($D$17:$D$41,D59,$AR$17:$AR$41)</f>
        <v>1</v>
      </c>
      <c r="BB59" s="61" t="s">
        <v>477</v>
      </c>
      <c r="BC59" s="167">
        <f>AJ59*1000</f>
        <v>0</v>
      </c>
    </row>
    <row r="60" spans="1:69" x14ac:dyDescent="0.25">
      <c r="A60" s="61" t="str">
        <f t="shared" si="31"/>
        <v>BUSGAS</v>
      </c>
      <c r="B60" s="61" t="str">
        <f>D60&amp;C60&amp;"-N"</f>
        <v>TPPUBUSGAS-N</v>
      </c>
      <c r="C60" s="61" t="s">
        <v>509</v>
      </c>
      <c r="D60" s="61" t="s">
        <v>565</v>
      </c>
      <c r="E60" s="61" t="s">
        <v>568</v>
      </c>
      <c r="F60" s="938">
        <f t="shared" ref="F60:G63" si="45">F59</f>
        <v>0.06</v>
      </c>
      <c r="G60" s="939">
        <f t="shared" si="45"/>
        <v>53296.583187381897</v>
      </c>
      <c r="H60" s="939">
        <f t="shared" si="32"/>
        <v>53296.583187381897</v>
      </c>
      <c r="I60" s="939">
        <f t="shared" si="32"/>
        <v>39483.079925291415</v>
      </c>
      <c r="J60" s="939">
        <f t="shared" si="32"/>
        <v>21668.773691830389</v>
      </c>
      <c r="K60" s="939">
        <f t="shared" si="32"/>
        <v>3581.8242003847272</v>
      </c>
      <c r="L60" s="939">
        <f t="shared" si="32"/>
        <v>178.32852634622401</v>
      </c>
      <c r="M60" s="939">
        <f t="shared" si="33"/>
        <v>1</v>
      </c>
      <c r="N60" s="939">
        <f t="shared" si="34"/>
        <v>0.74081822068171788</v>
      </c>
      <c r="O60" s="939">
        <f t="shared" si="35"/>
        <v>0.40656965974059905</v>
      </c>
      <c r="P60" s="939">
        <f t="shared" si="36"/>
        <v>6.720551273974977E-2</v>
      </c>
      <c r="Q60" s="939">
        <f t="shared" si="37"/>
        <v>3.3459654574712729E-3</v>
      </c>
      <c r="R60" s="939">
        <f t="shared" si="38"/>
        <v>1.8762928882029207E-5</v>
      </c>
      <c r="S60" s="212">
        <f>S$70/S$65*S59</f>
        <v>27.7780682039647</v>
      </c>
      <c r="T60" s="939">
        <f>S60/((1+T$57)^(T$58-S$58))</f>
        <v>25.404215399164865</v>
      </c>
      <c r="U60" s="939">
        <f>T60/((1+U$57)^(U$58-T$58))</f>
        <v>22.551604601274992</v>
      </c>
      <c r="V60" s="939">
        <f>U60/((1+V$57)^(V$58-U$58))</f>
        <v>19.431978707673903</v>
      </c>
      <c r="W60" s="939">
        <f>V60/((1+W$57)^(W$58-V$58))</f>
        <v>16.743899299925808</v>
      </c>
      <c r="X60" s="939">
        <f>W60/((1+X$57)^(X$58-W$58))</f>
        <v>14.427669358002095</v>
      </c>
      <c r="Y60" s="212"/>
      <c r="Z60" s="941">
        <f>(1/S60*100)/DieselLHV</f>
        <v>9.8339220792398485E-2</v>
      </c>
      <c r="AA60" s="941">
        <f>1/SUMIFS('Vehicle data-proc2023'!AL$20:AL$117,'Vehicle data-proc2023'!$N$20:$N$117,Analytica!$C60,'Vehicle data-proc2023'!$Q$20:$Q$117,RIGHT(Analytica!$D60,3))</f>
        <v>5.5955077694691387E-2</v>
      </c>
      <c r="AB60" s="941">
        <f>1/SUMIFS('Vehicle data-proc2023'!AM$20:AM$117,'Vehicle data-proc2023'!$N$20:$N$117,Analytica!$C60,'Vehicle data-proc2023'!$Q$20:$Q$117,RIGHT(Analytica!$D60,3))</f>
        <v>5.6802867593888626E-2</v>
      </c>
      <c r="AC60" s="941">
        <f>1/SUMIFS('Vehicle data-proc2023'!AN$20:AN$117,'Vehicle data-proc2023'!$N$20:$N$117,Analytica!$C60,'Vehicle data-proc2023'!$Q$20:$Q$117,RIGHT(Analytica!$D60,3))</f>
        <v>6.1244219806684722E-2</v>
      </c>
      <c r="AD60" s="941">
        <f>1/SUMIFS('Vehicle data-proc2023'!AO$20:AO$117,'Vehicle data-proc2023'!$N$20:$N$117,Analytica!$C60,'Vehicle data-proc2023'!$Q$20:$Q$117,RIGHT(Analytica!$D60,3))</f>
        <v>6.7719409195597449E-2</v>
      </c>
      <c r="AE60" s="941">
        <f>1/SUMIFS('Vehicle data-proc2023'!AP$20:AP$117,'Vehicle data-proc2023'!$N$20:$N$117,Analytica!$C60,'Vehicle data-proc2023'!$Q$20:$Q$117,RIGHT(Analytica!$D60,3))</f>
        <v>7.4879203233808214E-2</v>
      </c>
      <c r="AF60" s="941"/>
      <c r="AG60" s="212">
        <v>1</v>
      </c>
      <c r="AH60" s="942">
        <f>AH59*(1+$AR$57)</f>
        <v>337.56305000000003</v>
      </c>
      <c r="AI60" s="942">
        <f>AI59*(1+$AR$57)</f>
        <v>700.32933149284258</v>
      </c>
      <c r="AJ60" s="942"/>
      <c r="AK60" s="943">
        <f>SUMIFS('Vehicle data-proc2023'!AD$20:AD$117,'Vehicle data-proc2023'!$N$20:$N$117,Analytica!$C60,'Vehicle data-proc2023'!$Q$20:$Q$117,RIGHT(Analytica!$D60,3))/1000</f>
        <v>1662.9577926762076</v>
      </c>
      <c r="AL60" s="943">
        <f>SUMIFS('Vehicle data-proc2023'!AE$20:AE$117,'Vehicle data-proc2023'!$N$20:$N$117,Analytica!$C60,'Vehicle data-proc2023'!$Q$20:$Q$117,RIGHT(Analytica!$D60,3))/1000</f>
        <v>1712.7968806812237</v>
      </c>
      <c r="AM60" s="943">
        <f>SUMIFS('Vehicle data-proc2023'!AF$20:AF$117,'Vehicle data-proc2023'!$N$20:$N$117,Analytica!$C60,'Vehicle data-proc2023'!$Q$20:$Q$117,RIGHT(Analytica!$D60,3))/1000</f>
        <v>1730.7939448361396</v>
      </c>
      <c r="AN60" s="943">
        <f>SUMIFS('Vehicle data-proc2023'!AG$20:AG$117,'Vehicle data-proc2023'!$N$20:$N$117,Analytica!$C60,'Vehicle data-proc2023'!$Q$20:$Q$117,RIGHT(Analytica!$D60,3))/1000</f>
        <v>1748.7910089910563</v>
      </c>
      <c r="AO60" s="943">
        <f>SUMIFS('Vehicle data-proc2023'!AH$20:AH$117,'Vehicle data-proc2023'!$N$20:$N$117,Analytica!$C60,'Vehicle data-proc2023'!$Q$20:$Q$117,RIGHT(Analytica!$D60,3))/1000</f>
        <v>1763.3725882959811</v>
      </c>
      <c r="AP60" s="943">
        <f>SUMIFS('Vehicle data-proc2023'!AI$20:AI$117,'Vehicle data-proc2023'!$N$20:$N$117,Analytica!$C60,'Vehicle data-proc2023'!$Q$20:$Q$117,RIGHT(Analytica!$D60,3))/1000</f>
        <v>1777.9541676009053</v>
      </c>
      <c r="AQ60" s="943">
        <f>SUMIFS('Vehicle data-proc2023'!AJ$20:AJ$117,'Vehicle data-proc2023'!$N$20:$N$117,Analytica!$C60,'Vehicle data-proc2023'!$Q$20:$Q$117,RIGHT(Analytica!$D60,3))/1000</f>
        <v>1815.4670514421152</v>
      </c>
      <c r="AR60" s="942"/>
      <c r="AS60" s="212"/>
      <c r="AT60" s="944">
        <f t="shared" si="39"/>
        <v>2.7E-2</v>
      </c>
      <c r="AU60" s="942">
        <f t="shared" si="40"/>
        <v>44.899860402257609</v>
      </c>
      <c r="AV60" s="942">
        <f t="shared" si="41"/>
        <v>46.245515778393042</v>
      </c>
      <c r="AW60" s="942">
        <f t="shared" si="42"/>
        <v>47.217357242758517</v>
      </c>
      <c r="AX60" s="942">
        <f t="shared" si="43"/>
        <v>48.004762525224443</v>
      </c>
      <c r="AY60" s="945">
        <f t="shared" si="44"/>
        <v>49.017610388937108</v>
      </c>
      <c r="BA60" s="164">
        <f>SUMIF($E$17:$E$41,E60,$AR$17:$AR$41)/SUMIF($D$17:$D$41,D60,$AR$17:$AR$41)</f>
        <v>0</v>
      </c>
      <c r="BB60" s="61" t="s">
        <v>524</v>
      </c>
      <c r="BC60" s="167">
        <f>AJ60*1000</f>
        <v>0</v>
      </c>
    </row>
    <row r="61" spans="1:69" x14ac:dyDescent="0.25">
      <c r="A61" s="61" t="str">
        <f t="shared" si="31"/>
        <v>BUSHGN</v>
      </c>
      <c r="B61" s="61" t="str">
        <f>D61&amp;C61&amp;"F-N"</f>
        <v>TPPUBUSHGNF-N</v>
      </c>
      <c r="C61" s="61" t="s">
        <v>504</v>
      </c>
      <c r="D61" s="61" t="s">
        <v>565</v>
      </c>
      <c r="E61" s="61" t="s">
        <v>567</v>
      </c>
      <c r="F61" s="938">
        <f t="shared" si="45"/>
        <v>0.06</v>
      </c>
      <c r="G61" s="939">
        <f t="shared" si="45"/>
        <v>53296.583187381897</v>
      </c>
      <c r="H61" s="939">
        <f t="shared" si="32"/>
        <v>53296.583187381897</v>
      </c>
      <c r="I61" s="939">
        <f t="shared" si="32"/>
        <v>39483.079925291415</v>
      </c>
      <c r="J61" s="939">
        <f t="shared" si="32"/>
        <v>21668.773691830389</v>
      </c>
      <c r="K61" s="939">
        <f t="shared" si="32"/>
        <v>3581.8242003847272</v>
      </c>
      <c r="L61" s="939">
        <f t="shared" si="32"/>
        <v>178.32852634622401</v>
      </c>
      <c r="M61" s="939">
        <f t="shared" si="33"/>
        <v>1</v>
      </c>
      <c r="N61" s="939">
        <f t="shared" si="34"/>
        <v>0.74081822068171788</v>
      </c>
      <c r="O61" s="939">
        <f t="shared" si="35"/>
        <v>0.40656965974059905</v>
      </c>
      <c r="P61" s="939">
        <f t="shared" si="36"/>
        <v>6.720551273974977E-2</v>
      </c>
      <c r="Q61" s="939">
        <f t="shared" si="37"/>
        <v>3.3459654574712729E-3</v>
      </c>
      <c r="R61" s="939">
        <f t="shared" si="38"/>
        <v>1.8762928882029207E-5</v>
      </c>
      <c r="S61" s="939">
        <f t="shared" ref="S61:X61" si="46">S60/1.95</f>
        <v>14.245163181520359</v>
      </c>
      <c r="T61" s="939">
        <f t="shared" si="46"/>
        <v>13.027802768802495</v>
      </c>
      <c r="U61" s="939">
        <f t="shared" si="46"/>
        <v>11.564925436551277</v>
      </c>
      <c r="V61" s="939">
        <f t="shared" si="46"/>
        <v>9.9651172859866168</v>
      </c>
      <c r="W61" s="939">
        <f t="shared" si="46"/>
        <v>8.5866150256029776</v>
      </c>
      <c r="X61" s="939">
        <f t="shared" si="46"/>
        <v>7.3988047989754335</v>
      </c>
      <c r="Y61" s="212"/>
      <c r="Z61" s="941">
        <f>(1/S61*100)/DieselLHV</f>
        <v>0.19176148054517705</v>
      </c>
      <c r="AA61" s="941">
        <f>1/SUMIFS('Vehicle data-proc2023'!AL$20:AL$117,'Vehicle data-proc2023'!$N$20:$N$117,Analytica!$C61,'Vehicle data-proc2023'!$Q$20:$Q$117,RIGHT(Analytica!$D61,3))</f>
        <v>0.13575248869333464</v>
      </c>
      <c r="AB61" s="941">
        <f>1/SUMIFS('Vehicle data-proc2023'!AM$20:AM$117,'Vehicle data-proc2023'!$N$20:$N$117,Analytica!$C61,'Vehicle data-proc2023'!$Q$20:$Q$117,RIGHT(Analytica!$D61,3))</f>
        <v>0.13780930986929765</v>
      </c>
      <c r="AC61" s="941">
        <f>1/SUMIFS('Vehicle data-proc2023'!AN$20:AN$117,'Vehicle data-proc2023'!$N$20:$N$117,Analytica!$C61,'Vehicle data-proc2023'!$Q$20:$Q$117,RIGHT(Analytica!$D61,3))</f>
        <v>0.14858446452711918</v>
      </c>
      <c r="AD61" s="941">
        <f>1/SUMIFS('Vehicle data-proc2023'!AO$20:AO$117,'Vehicle data-proc2023'!$N$20:$N$117,Analytica!$C61,'Vehicle data-proc2023'!$Q$20:$Q$117,RIGHT(Analytica!$D61,3))</f>
        <v>0.16429390700348931</v>
      </c>
      <c r="AE61" s="941">
        <f>1/SUMIFS('Vehicle data-proc2023'!AP$20:AP$117,'Vehicle data-proc2023'!$N$20:$N$117,Analytica!$C61,'Vehicle data-proc2023'!$Q$20:$Q$117,RIGHT(Analytica!$D61,3))</f>
        <v>0.18166426728646726</v>
      </c>
      <c r="AF61" s="941"/>
      <c r="AG61" s="212">
        <v>1</v>
      </c>
      <c r="AH61" s="942"/>
      <c r="AI61" s="942"/>
      <c r="AJ61" s="942"/>
      <c r="AK61" s="943">
        <f>SUMIFS('Vehicle data-proc2023'!AD$20:AD$117,'Vehicle data-proc2023'!$N$20:$N$117,Analytica!$C61,'Vehicle data-proc2023'!$Q$20:$Q$117,RIGHT(Analytica!$D61,3))/1000</f>
        <v>3962.0495059577961</v>
      </c>
      <c r="AL61" s="943">
        <f>SUMIFS('Vehicle data-proc2023'!AE$20:AE$117,'Vehicle data-proc2023'!$N$20:$N$117,Analytica!$C61,'Vehicle data-proc2023'!$Q$20:$Q$117,RIGHT(Analytica!$D61,3))/1000</f>
        <v>2321.7092381177513</v>
      </c>
      <c r="AM61" s="943">
        <f>SUMIFS('Vehicle data-proc2023'!AF$20:AF$117,'Vehicle data-proc2023'!$N$20:$N$117,Analytica!$C61,'Vehicle data-proc2023'!$Q$20:$Q$117,RIGHT(Analytica!$D61,3))/1000</f>
        <v>2069.5039570616195</v>
      </c>
      <c r="AN61" s="943">
        <f>SUMIFS('Vehicle data-proc2023'!AG$20:AG$117,'Vehicle data-proc2023'!$N$20:$N$117,Analytica!$C61,'Vehicle data-proc2023'!$Q$20:$Q$117,RIGHT(Analytica!$D61,3))/1000</f>
        <v>1817.2986760054873</v>
      </c>
      <c r="AO61" s="943">
        <f>SUMIFS('Vehicle data-proc2023'!AH$20:AH$117,'Vehicle data-proc2023'!$N$20:$N$117,Analytica!$C61,'Vehicle data-proc2023'!$Q$20:$Q$117,RIGHT(Analytica!$D61,3))/1000</f>
        <v>1788.6941354190726</v>
      </c>
      <c r="AP61" s="943">
        <f>SUMIFS('Vehicle data-proc2023'!AI$20:AI$117,'Vehicle data-proc2023'!$N$20:$N$117,Analytica!$C61,'Vehicle data-proc2023'!$Q$20:$Q$117,RIGHT(Analytica!$D61,3))/1000</f>
        <v>1760.0895948326574</v>
      </c>
      <c r="AQ61" s="943">
        <f>SUMIFS('Vehicle data-proc2023'!AJ$20:AJ$117,'Vehicle data-proc2023'!$N$20:$N$117,Analytica!$C61,'Vehicle data-proc2023'!$Q$20:$Q$117,RIGHT(Analytica!$D61,3))/1000</f>
        <v>1758.7858226703579</v>
      </c>
      <c r="AR61" s="942"/>
      <c r="AS61" s="212"/>
      <c r="AT61" s="944">
        <f t="shared" si="39"/>
        <v>2.7E-2</v>
      </c>
      <c r="AU61" s="942">
        <f t="shared" si="40"/>
        <v>106.97533666086049</v>
      </c>
      <c r="AV61" s="942">
        <f t="shared" si="41"/>
        <v>62.686149429179281</v>
      </c>
      <c r="AW61" s="942">
        <f t="shared" si="42"/>
        <v>49.067064252148157</v>
      </c>
      <c r="AX61" s="942">
        <f t="shared" si="43"/>
        <v>47.522419060481752</v>
      </c>
      <c r="AY61" s="945">
        <f t="shared" si="44"/>
        <v>47.487217212099665</v>
      </c>
      <c r="BA61" s="164">
        <v>0</v>
      </c>
      <c r="BC61" s="167">
        <f>BC60-BC59</f>
        <v>0</v>
      </c>
      <c r="BD61" s="167">
        <f>BC61/5.5</f>
        <v>0</v>
      </c>
      <c r="BE61" s="61" t="s">
        <v>563</v>
      </c>
    </row>
    <row r="62" spans="1:69" ht="15.75" thickBot="1" x14ac:dyDescent="0.3">
      <c r="A62" s="61" t="str">
        <f t="shared" si="31"/>
        <v>BUSBGS</v>
      </c>
      <c r="B62" s="61" t="str">
        <f t="shared" ref="B62:B70" si="47">D62&amp;C62&amp;"-N"</f>
        <v>TPPUBUSBGS-N</v>
      </c>
      <c r="C62" s="61" t="s">
        <v>506</v>
      </c>
      <c r="D62" s="61" t="s">
        <v>565</v>
      </c>
      <c r="E62" s="61" t="s">
        <v>566</v>
      </c>
      <c r="F62" s="938">
        <f t="shared" si="45"/>
        <v>0.06</v>
      </c>
      <c r="G62" s="939">
        <f t="shared" si="45"/>
        <v>53296.583187381897</v>
      </c>
      <c r="H62" s="939">
        <f t="shared" si="32"/>
        <v>53296.583187381897</v>
      </c>
      <c r="I62" s="939">
        <f t="shared" si="32"/>
        <v>39483.079925291415</v>
      </c>
      <c r="J62" s="939">
        <f t="shared" si="32"/>
        <v>21668.773691830389</v>
      </c>
      <c r="K62" s="939">
        <f t="shared" si="32"/>
        <v>3581.8242003847272</v>
      </c>
      <c r="L62" s="939">
        <f t="shared" si="32"/>
        <v>178.32852634622401</v>
      </c>
      <c r="M62" s="939">
        <f t="shared" si="33"/>
        <v>1</v>
      </c>
      <c r="N62" s="939">
        <f t="shared" si="34"/>
        <v>0.74081822068171788</v>
      </c>
      <c r="O62" s="939">
        <f t="shared" si="35"/>
        <v>0.40656965974059905</v>
      </c>
      <c r="P62" s="939">
        <f t="shared" si="36"/>
        <v>6.720551273974977E-2</v>
      </c>
      <c r="Q62" s="939">
        <f t="shared" si="37"/>
        <v>3.3459654574712729E-3</v>
      </c>
      <c r="R62" s="939">
        <f t="shared" si="38"/>
        <v>1.8762928882029207E-5</v>
      </c>
      <c r="S62" s="939">
        <f>1/1.99706732856821 *100</f>
        <v>50.073424450689217</v>
      </c>
      <c r="T62" s="939">
        <f>S62</f>
        <v>50.073424450689217</v>
      </c>
      <c r="U62" s="939">
        <f>S62/((1+T$57)^(U$58-S$58))</f>
        <v>40.652073461414624</v>
      </c>
      <c r="V62" s="939">
        <f>T62/((1+U$57)^(V$58-T$58))</f>
        <v>38.301742543802312</v>
      </c>
      <c r="W62" s="939">
        <f>U62/((1+V$57)^(W$58-U$58))</f>
        <v>30.182961984560066</v>
      </c>
      <c r="X62" s="939">
        <f>V62/((1+W$57)^(X$58-V$58))</f>
        <v>28.437910805196189</v>
      </c>
      <c r="Y62" s="212"/>
      <c r="Z62" s="939">
        <f>(1/S62*100)/CV.LHV.E85</f>
        <v>8.6828034906075102E-2</v>
      </c>
      <c r="AA62" s="941">
        <f>1/SUMIFS('Vehicle data-proc2023'!AL$20:AL$117,'Vehicle data-proc2023'!$N$20:$N$117,Analytica!$C62,'Vehicle data-proc2023'!$Q$20:$Q$117,RIGHT(Analytica!$D62,3))</f>
        <v>6.4348339348895098E-2</v>
      </c>
      <c r="AB62" s="941">
        <f>1/SUMIFS('Vehicle data-proc2023'!AM$20:AM$117,'Vehicle data-proc2023'!$N$20:$N$117,Analytica!$C62,'Vehicle data-proc2023'!$Q$20:$Q$117,RIGHT(Analytica!$D62,3))</f>
        <v>6.5323297732971908E-2</v>
      </c>
      <c r="AC62" s="941">
        <f>1/SUMIFS('Vehicle data-proc2023'!AN$20:AN$117,'Vehicle data-proc2023'!$N$20:$N$117,Analytica!$C62,'Vehicle data-proc2023'!$Q$20:$Q$117,RIGHT(Analytica!$D62,3))</f>
        <v>7.043085277768743E-2</v>
      </c>
      <c r="AD62" s="941">
        <f>1/SUMIFS('Vehicle data-proc2023'!AO$20:AO$117,'Vehicle data-proc2023'!$N$20:$N$117,Analytica!$C62,'Vehicle data-proc2023'!$Q$20:$Q$117,RIGHT(Analytica!$D62,3))</f>
        <v>7.7877320574937056E-2</v>
      </c>
      <c r="AE62" s="941">
        <f>1/SUMIFS('Vehicle data-proc2023'!AP$20:AP$117,'Vehicle data-proc2023'!$N$20:$N$117,Analytica!$C62,'Vehicle data-proc2023'!$Q$20:$Q$117,RIGHT(Analytica!$D62,3))</f>
        <v>8.6111083718879447E-2</v>
      </c>
      <c r="AF62" s="941"/>
      <c r="AG62" s="212">
        <v>1</v>
      </c>
      <c r="AH62" s="942"/>
      <c r="AI62" s="942"/>
      <c r="AJ62" s="942"/>
      <c r="AK62" s="943">
        <f>SUMIFS('Vehicle data-proc2023'!AD$20:AD$117,'Vehicle data-proc2023'!$N$20:$N$117,Analytica!$C62,'Vehicle data-proc2023'!$Q$20:$Q$117,RIGHT(Analytica!$D62,3))/1000</f>
        <v>1494.0946129846409</v>
      </c>
      <c r="AL62" s="943">
        <f>SUMIFS('Vehicle data-proc2023'!AE$20:AE$117,'Vehicle data-proc2023'!$N$20:$N$117,Analytica!$C62,'Vehicle data-proc2023'!$Q$20:$Q$117,RIGHT(Analytica!$D62,3))/1000</f>
        <v>1615.4013682562638</v>
      </c>
      <c r="AM62" s="943">
        <f>SUMIFS('Vehicle data-proc2023'!AF$20:AF$117,'Vehicle data-proc2023'!$N$20:$N$117,Analytica!$C62,'Vehicle data-proc2023'!$Q$20:$Q$117,RIGHT(Analytica!$D62,3))/1000</f>
        <v>1645.5633521187683</v>
      </c>
      <c r="AN62" s="943">
        <f>SUMIFS('Vehicle data-proc2023'!AG$20:AG$117,'Vehicle data-proc2023'!$N$20:$N$117,Analytica!$C62,'Vehicle data-proc2023'!$Q$20:$Q$117,RIGHT(Analytica!$D62,3))/1000</f>
        <v>1675.7253359812721</v>
      </c>
      <c r="AO62" s="943">
        <f>SUMIFS('Vehicle data-proc2023'!AH$20:AH$117,'Vehicle data-proc2023'!$N$20:$N$117,Analytica!$C62,'Vehicle data-proc2023'!$Q$20:$Q$117,RIGHT(Analytica!$D62,3))/1000</f>
        <v>1695.1176876140198</v>
      </c>
      <c r="AP62" s="943">
        <f>SUMIFS('Vehicle data-proc2023'!AI$20:AI$117,'Vehicle data-proc2023'!$N$20:$N$117,Analytica!$C62,'Vehicle data-proc2023'!$Q$20:$Q$117,RIGHT(Analytica!$D62,3))/1000</f>
        <v>1714.5100392467668</v>
      </c>
      <c r="AQ62" s="943">
        <f>SUMIFS('Vehicle data-proc2023'!AJ$20:AJ$117,'Vehicle data-proc2023'!$N$20:$N$117,Analytica!$C62,'Vehicle data-proc2023'!$Q$20:$Q$117,RIGHT(Analytica!$D62,3))/1000</f>
        <v>1758.7858226703579</v>
      </c>
      <c r="AR62" s="942"/>
      <c r="AS62" s="212"/>
      <c r="AT62" s="944">
        <f t="shared" si="39"/>
        <v>2.7E-2</v>
      </c>
      <c r="AU62" s="942">
        <f t="shared" si="40"/>
        <v>40.340554550585303</v>
      </c>
      <c r="AV62" s="942">
        <f t="shared" si="41"/>
        <v>43.615836942919124</v>
      </c>
      <c r="AW62" s="942">
        <f t="shared" si="42"/>
        <v>45.244584071494344</v>
      </c>
      <c r="AX62" s="942">
        <f t="shared" si="43"/>
        <v>46.291771059662707</v>
      </c>
      <c r="AY62" s="945">
        <f t="shared" si="44"/>
        <v>47.487217212099665</v>
      </c>
      <c r="BA62" s="164">
        <v>0</v>
      </c>
      <c r="BC62" s="167">
        <f>BC61-BC60</f>
        <v>0</v>
      </c>
      <c r="BD62" s="167">
        <f>BC62/5.5</f>
        <v>0</v>
      </c>
      <c r="BE62" s="61" t="s">
        <v>563</v>
      </c>
    </row>
    <row r="63" spans="1:69" x14ac:dyDescent="0.25">
      <c r="A63" s="61" t="str">
        <f t="shared" si="31"/>
        <v>BUSELC</v>
      </c>
      <c r="B63" s="61" t="str">
        <f t="shared" si="47"/>
        <v>TPPUBUSELC-N</v>
      </c>
      <c r="C63" s="61" t="s">
        <v>501</v>
      </c>
      <c r="D63" s="61" t="s">
        <v>565</v>
      </c>
      <c r="E63" t="s">
        <v>564</v>
      </c>
      <c r="F63" s="938">
        <f t="shared" si="45"/>
        <v>0.06</v>
      </c>
      <c r="G63" s="212">
        <f t="shared" si="45"/>
        <v>53296.583187381897</v>
      </c>
      <c r="H63" s="212">
        <f t="shared" si="32"/>
        <v>53296.583187381897</v>
      </c>
      <c r="I63" s="212">
        <f t="shared" si="32"/>
        <v>39483.079925291415</v>
      </c>
      <c r="J63" s="212">
        <f t="shared" si="32"/>
        <v>21668.773691830389</v>
      </c>
      <c r="K63" s="212">
        <f t="shared" si="32"/>
        <v>3581.8242003847272</v>
      </c>
      <c r="L63" s="212">
        <f t="shared" si="32"/>
        <v>178.32852634622401</v>
      </c>
      <c r="M63" s="212">
        <f t="shared" si="33"/>
        <v>1</v>
      </c>
      <c r="N63" s="212">
        <f t="shared" si="34"/>
        <v>0.74081822068171788</v>
      </c>
      <c r="O63" s="212">
        <f t="shared" si="35"/>
        <v>0.40656965974059905</v>
      </c>
      <c r="P63" s="212">
        <f t="shared" si="36"/>
        <v>6.720551273974977E-2</v>
      </c>
      <c r="Q63" s="212">
        <f t="shared" si="37"/>
        <v>3.3459654574712729E-3</v>
      </c>
      <c r="R63" s="212">
        <f t="shared" si="38"/>
        <v>1.8762928882029207E-5</v>
      </c>
      <c r="S63" s="946"/>
      <c r="T63" s="947"/>
      <c r="U63" s="947"/>
      <c r="V63" s="947"/>
      <c r="W63" s="947"/>
      <c r="X63" s="948"/>
      <c r="Y63" s="212"/>
      <c r="Z63" s="941">
        <f>(AA63/AB63)*AA63</f>
        <v>0.20645474022958332</v>
      </c>
      <c r="AA63" s="941">
        <f>1/SUMIFS('Vehicle data-proc2023'!AL$20:AL$117,'Vehicle data-proc2023'!$N$20:$N$117,Analytica!$C63,'Vehicle data-proc2023'!$Q$20:$Q$117,RIGHT(Analytica!$D63,3))</f>
        <v>0.20958278956163948</v>
      </c>
      <c r="AB63" s="941">
        <f>1/SUMIFS('Vehicle data-proc2023'!AM$20:AM$117,'Vehicle data-proc2023'!$N$20:$N$117,Analytica!$C63,'Vehicle data-proc2023'!$Q$20:$Q$117,RIGHT(Analytica!$D63,3))</f>
        <v>0.21275823278067008</v>
      </c>
      <c r="AC63" s="941">
        <f>1/SUMIFS('Vehicle data-proc2023'!AN$20:AN$117,'Vehicle data-proc2023'!$N$20:$N$117,Analytica!$C63,'Vehicle data-proc2023'!$Q$20:$Q$117,RIGHT(Analytica!$D63,3))</f>
        <v>0.22939355926993843</v>
      </c>
      <c r="AD63" s="941">
        <f>1/SUMIFS('Vehicle data-proc2023'!AO$20:AO$117,'Vehicle data-proc2023'!$N$20:$N$117,Analytica!$C63,'Vehicle data-proc2023'!$Q$20:$Q$117,RIGHT(Analytica!$D63,3))</f>
        <v>0.25364673361942214</v>
      </c>
      <c r="AE63" s="941">
        <f>1/SUMIFS('Vehicle data-proc2023'!AP$20:AP$117,'Vehicle data-proc2023'!$N$20:$N$117,Analytica!$C63,'Vehicle data-proc2023'!$Q$20:$Q$117,RIGHT(Analytica!$D63,3))</f>
        <v>0.28046413195103725</v>
      </c>
      <c r="AF63" s="941"/>
      <c r="AG63" s="212">
        <f>AG62</f>
        <v>1</v>
      </c>
      <c r="AH63" s="212"/>
      <c r="AI63" s="212"/>
      <c r="AJ63" s="212"/>
      <c r="AK63" s="943">
        <f>SUMIFS('Vehicle data-proc2023'!AD$20:AD$117,'Vehicle data-proc2023'!$N$20:$N$117,Analytica!$C63,'Vehicle data-proc2023'!$Q$20:$Q$117,RIGHT(Analytica!$D63,3))/1000</f>
        <v>6089.8187539907067</v>
      </c>
      <c r="AL63" s="943">
        <f>SUMIFS('Vehicle data-proc2023'!AE$20:AE$117,'Vehicle data-proc2023'!$N$20:$N$117,Analytica!$C63,'Vehicle data-proc2023'!$Q$20:$Q$117,RIGHT(Analytica!$D63,3))/1000</f>
        <v>4643.4184762355026</v>
      </c>
      <c r="AM63" s="943">
        <f>SUMIFS('Vehicle data-proc2023'!AF$20:AF$117,'Vehicle data-proc2023'!$N$20:$N$117,Analytica!$C63,'Vehicle data-proc2023'!$Q$20:$Q$117,RIGHT(Analytica!$D63,3))/1000</f>
        <v>4403.3626567749834</v>
      </c>
      <c r="AN63" s="943">
        <f>SUMIFS('Vehicle data-proc2023'!AG$20:AG$117,'Vehicle data-proc2023'!$N$20:$N$117,Analytica!$C63,'Vehicle data-proc2023'!$Q$20:$Q$117,RIGHT(Analytica!$D63,3))/1000</f>
        <v>4163.3068373144624</v>
      </c>
      <c r="AO63" s="943">
        <f>SUMIFS('Vehicle data-proc2023'!AH$20:AH$117,'Vehicle data-proc2023'!$N$20:$N$117,Analytica!$C63,'Vehicle data-proc2023'!$Q$20:$Q$117,RIGHT(Analytica!$D63,3))/1000</f>
        <v>4191.6176377219545</v>
      </c>
      <c r="AP63" s="943">
        <f>SUMIFS('Vehicle data-proc2023'!AI$20:AI$117,'Vehicle data-proc2023'!$N$20:$N$117,Analytica!$C63,'Vehicle data-proc2023'!$Q$20:$Q$117,RIGHT(Analytica!$D63,3))/1000</f>
        <v>4219.9284381294465</v>
      </c>
      <c r="AQ63" s="943">
        <f>SUMIFS('Vehicle data-proc2023'!AJ$20:AJ$117,'Vehicle data-proc2023'!$N$20:$N$117,Analytica!$C63,'Vehicle data-proc2023'!$Q$20:$Q$117,RIGHT(Analytica!$D63,3))/1000</f>
        <v>1758.7858226703579</v>
      </c>
      <c r="AR63" s="942"/>
      <c r="AS63" s="212"/>
      <c r="AT63" s="944">
        <f t="shared" si="39"/>
        <v>2.0250000000000001E-2</v>
      </c>
      <c r="AU63" s="942">
        <f t="shared" si="40"/>
        <v>123.31882976831182</v>
      </c>
      <c r="AV63" s="942">
        <f t="shared" si="41"/>
        <v>94.029224143768928</v>
      </c>
      <c r="AW63" s="942">
        <f t="shared" si="42"/>
        <v>84.306963455617861</v>
      </c>
      <c r="AX63" s="942">
        <f t="shared" si="43"/>
        <v>85.453550872121298</v>
      </c>
      <c r="AY63" s="945">
        <f t="shared" si="44"/>
        <v>35.615412909074749</v>
      </c>
      <c r="BA63" s="74">
        <v>0</v>
      </c>
      <c r="BC63" s="61">
        <f>BC62-BC61</f>
        <v>0</v>
      </c>
      <c r="BD63" s="61">
        <f>BC63/5.5</f>
        <v>0</v>
      </c>
      <c r="BE63" s="61" t="s">
        <v>563</v>
      </c>
    </row>
    <row r="64" spans="1:69" x14ac:dyDescent="0.25">
      <c r="A64" s="61" t="str">
        <f t="shared" si="31"/>
        <v>CARODSH</v>
      </c>
      <c r="B64" s="61" t="str">
        <f t="shared" si="47"/>
        <v>TPPRCARODSH-N</v>
      </c>
      <c r="C64" s="61" t="s">
        <v>521</v>
      </c>
      <c r="D64" s="61" t="s">
        <v>554</v>
      </c>
      <c r="E64" s="61" t="s">
        <v>562</v>
      </c>
      <c r="F64" s="938">
        <f>INDEX($F$17:$F$49,MATCH($E64,$E$17:$E$49,0))</f>
        <v>2.2499999999999999E-2</v>
      </c>
      <c r="G64" s="939">
        <f>G65</f>
        <v>18220.3496192737</v>
      </c>
      <c r="H64" s="939">
        <f t="shared" si="32"/>
        <v>18220.3496192737</v>
      </c>
      <c r="I64" s="939">
        <f t="shared" si="32"/>
        <v>16281.656083172633</v>
      </c>
      <c r="J64" s="939">
        <f t="shared" si="32"/>
        <v>13001.166450675621</v>
      </c>
      <c r="K64" s="939">
        <f t="shared" si="32"/>
        <v>6619.6273737489537</v>
      </c>
      <c r="L64" s="939">
        <f t="shared" si="32"/>
        <v>2149.0783598804705</v>
      </c>
      <c r="M64" s="939">
        <f t="shared" si="33"/>
        <v>1</v>
      </c>
      <c r="N64" s="939">
        <f t="shared" si="34"/>
        <v>0.89359734710851568</v>
      </c>
      <c r="O64" s="939">
        <f t="shared" si="35"/>
        <v>0.71355197470650256</v>
      </c>
      <c r="P64" s="939">
        <f t="shared" si="36"/>
        <v>0.36330956935901132</v>
      </c>
      <c r="Q64" s="939">
        <f t="shared" si="37"/>
        <v>0.11794934810730252</v>
      </c>
      <c r="R64" s="939">
        <f t="shared" si="38"/>
        <v>5.4883688891578029E-5</v>
      </c>
      <c r="S64" s="212">
        <f>S65/1.3</f>
        <v>7.3486308598534613</v>
      </c>
      <c r="T64" s="939">
        <f>W20</f>
        <v>5.8008636405175897</v>
      </c>
      <c r="U64" s="939">
        <f>S64/((1+T$57)^(U$58-S$58))</f>
        <v>5.9659806540646843</v>
      </c>
      <c r="V64" s="939">
        <f t="shared" ref="V64:X67" si="48">U64/((1+V$57)^(V$58-U$58))</f>
        <v>5.1406900346960249</v>
      </c>
      <c r="W64" s="939">
        <f t="shared" si="48"/>
        <v>4.4295641513383455</v>
      </c>
      <c r="X64" s="939">
        <f t="shared" si="48"/>
        <v>3.8168102800195403</v>
      </c>
      <c r="Y64" s="212"/>
      <c r="Z64" s="941">
        <f>(1/S64*100)/DieselLHV</f>
        <v>0.37172551382591296</v>
      </c>
      <c r="AA64" s="941">
        <f>1/SUMIFS('Vehicle data-proc2023'!AL$20:AL$117,'Vehicle data-proc2023'!$N$20:$N$117,Analytica!$C64,'Vehicle data-proc2023'!$Q$20:$Q$117,RIGHT(Analytica!$D64,3))</f>
        <v>0.55933604555516125</v>
      </c>
      <c r="AB64" s="941">
        <f>1/SUMIFS('Vehicle data-proc2023'!AM$20:AM$117,'Vehicle data-proc2023'!$N$20:$N$117,Analytica!$C64,'Vehicle data-proc2023'!$Q$20:$Q$117,RIGHT(Analytica!$D64,3))</f>
        <v>0.56781069109610705</v>
      </c>
      <c r="AC64" s="941">
        <f>1/SUMIFS('Vehicle data-proc2023'!AN$20:AN$117,'Vehicle data-proc2023'!$N$20:$N$117,Analytica!$C64,'Vehicle data-proc2023'!$Q$20:$Q$117,RIGHT(Analytica!$D64,3))</f>
        <v>0.61220716923483232</v>
      </c>
      <c r="AD64" s="941">
        <f>1/SUMIFS('Vehicle data-proc2023'!AO$20:AO$117,'Vehicle data-proc2023'!$N$20:$N$117,Analytica!$C64,'Vehicle data-proc2023'!$Q$20:$Q$117,RIGHT(Analytica!$D64,3))</f>
        <v>0.67693421414712618</v>
      </c>
      <c r="AE64" s="941">
        <f>1/SUMIFS('Vehicle data-proc2023'!AP$20:AP$117,'Vehicle data-proc2023'!$N$20:$N$117,Analytica!$C64,'Vehicle data-proc2023'!$Q$20:$Q$117,RIGHT(Analytica!$D64,3))</f>
        <v>0.74850467833579759</v>
      </c>
      <c r="AF64" s="941"/>
      <c r="AG64" s="212">
        <v>1</v>
      </c>
      <c r="AH64" s="940">
        <f>AH66/AH67*AH65</f>
        <v>264.85293551850634</v>
      </c>
      <c r="AI64" s="940"/>
      <c r="AJ64" s="942"/>
      <c r="AK64" s="943">
        <f>SUMIFS('Vehicle data-proc2023'!AD$20:AD$117,'Vehicle data-proc2023'!$N$20:$N$117,Analytica!$C64,'Vehicle data-proc2023'!$Q$20:$Q$117,RIGHT(Analytica!$D64,3))/1000</f>
        <v>676.85689554145608</v>
      </c>
      <c r="AL64" s="943">
        <f>SUMIFS('Vehicle data-proc2023'!AE$20:AE$117,'Vehicle data-proc2023'!$N$20:$N$117,Analytica!$C64,'Vehicle data-proc2023'!$Q$20:$Q$117,RIGHT(Analytica!$D64,3))/1000</f>
        <v>660.65307425353603</v>
      </c>
      <c r="AM64" s="943">
        <f>SUMIFS('Vehicle data-proc2023'!AF$20:AF$117,'Vehicle data-proc2023'!$N$20:$N$117,Analytica!$C64,'Vehicle data-proc2023'!$Q$20:$Q$117,RIGHT(Analytica!$D64,3))/1000</f>
        <v>655.42385807417963</v>
      </c>
      <c r="AN64" s="943">
        <f>SUMIFS('Vehicle data-proc2023'!AG$20:AG$117,'Vehicle data-proc2023'!$N$20:$N$117,Analytica!$C64,'Vehicle data-proc2023'!$Q$20:$Q$117,RIGHT(Analytica!$D64,3))/1000</f>
        <v>650.19464189482301</v>
      </c>
      <c r="AO64" s="943">
        <f>SUMIFS('Vehicle data-proc2023'!AH$20:AH$117,'Vehicle data-proc2023'!$N$20:$N$117,Analytica!$C64,'Vehicle data-proc2023'!$Q$20:$Q$117,RIGHT(Analytica!$D64,3))/1000</f>
        <v>251.27334974387253</v>
      </c>
      <c r="AP64" s="943">
        <f>SUMIFS('Vehicle data-proc2023'!AI$20:AI$117,'Vehicle data-proc2023'!$N$20:$N$117,Analytica!$C64,'Vehicle data-proc2023'!$Q$20:$Q$117,RIGHT(Analytica!$D64,3))/1000</f>
        <v>253.99692506339329</v>
      </c>
      <c r="AQ64" s="943">
        <f>SUMIFS('Vehicle data-proc2023'!AJ$20:AJ$117,'Vehicle data-proc2023'!$N$20:$N$117,Analytica!$C64,'Vehicle data-proc2023'!$Q$20:$Q$117,RIGHT(Analytica!$D64,3))/1000</f>
        <v>257.17260066817499</v>
      </c>
      <c r="AR64" s="942"/>
      <c r="AS64" s="212"/>
      <c r="AT64" s="944">
        <f t="shared" si="39"/>
        <v>2.7E-2</v>
      </c>
      <c r="AU64" s="942">
        <f t="shared" si="40"/>
        <v>18.275136179619313</v>
      </c>
      <c r="AV64" s="942">
        <f t="shared" si="41"/>
        <v>17.837633004845472</v>
      </c>
      <c r="AW64" s="942">
        <f t="shared" si="42"/>
        <v>17.555255331160222</v>
      </c>
      <c r="AX64" s="942">
        <f t="shared" si="43"/>
        <v>6.8579169767116186</v>
      </c>
      <c r="AY64" s="945">
        <f t="shared" si="44"/>
        <v>6.9436602180407245</v>
      </c>
      <c r="BA64" s="164">
        <f t="shared" ref="BA64:BA117" si="49">SUMIF($E$17:$E$41,E64,$AR$17:$AR$41)/SUMIF($D$17:$D$41,D64,$AR$17:$AR$41)</f>
        <v>0</v>
      </c>
      <c r="BC64" s="167"/>
    </row>
    <row r="65" spans="1:57" x14ac:dyDescent="0.25">
      <c r="A65" s="61" t="str">
        <f t="shared" si="31"/>
        <v>CARODS</v>
      </c>
      <c r="B65" s="61" t="str">
        <f t="shared" si="47"/>
        <v>TPPRCARODS-N</v>
      </c>
      <c r="C65" s="61" t="s">
        <v>511</v>
      </c>
      <c r="D65" s="61" t="s">
        <v>554</v>
      </c>
      <c r="E65" s="61" t="s">
        <v>561</v>
      </c>
      <c r="F65" s="938">
        <f>INDEX($F$17:$F$49,MATCH($E65,$E$17:$E$49,0))</f>
        <v>2.2499999999999999E-2</v>
      </c>
      <c r="G65" s="939">
        <f>G18</f>
        <v>18220.3496192737</v>
      </c>
      <c r="H65" s="939">
        <f t="shared" si="32"/>
        <v>18220.3496192737</v>
      </c>
      <c r="I65" s="939">
        <f t="shared" si="32"/>
        <v>16281.656083172633</v>
      </c>
      <c r="J65" s="939">
        <f t="shared" si="32"/>
        <v>13001.166450675621</v>
      </c>
      <c r="K65" s="939">
        <f t="shared" si="32"/>
        <v>6619.6273737489537</v>
      </c>
      <c r="L65" s="939">
        <f t="shared" si="32"/>
        <v>2149.0783598804705</v>
      </c>
      <c r="M65" s="939">
        <f t="shared" si="33"/>
        <v>1</v>
      </c>
      <c r="N65" s="939">
        <f t="shared" si="34"/>
        <v>0.89359734710851568</v>
      </c>
      <c r="O65" s="939">
        <f t="shared" si="35"/>
        <v>0.71355197470650256</v>
      </c>
      <c r="P65" s="939">
        <f t="shared" si="36"/>
        <v>0.36330956935901132</v>
      </c>
      <c r="Q65" s="939">
        <f t="shared" si="37"/>
        <v>0.11794934810730252</v>
      </c>
      <c r="R65" s="939">
        <f t="shared" si="38"/>
        <v>5.4883688891578029E-5</v>
      </c>
      <c r="S65" s="212">
        <f>S67/$AD$55</f>
        <v>9.5532201178095004</v>
      </c>
      <c r="T65" s="940">
        <f>W18</f>
        <v>7.9055959462827703</v>
      </c>
      <c r="U65" s="939">
        <f>S65/((1+T$57)^(U$58-S$58))</f>
        <v>7.7557748502840909</v>
      </c>
      <c r="V65" s="939">
        <f t="shared" si="48"/>
        <v>6.6828970451048333</v>
      </c>
      <c r="W65" s="939">
        <f t="shared" si="48"/>
        <v>5.7584333967398491</v>
      </c>
      <c r="X65" s="939">
        <f t="shared" si="48"/>
        <v>4.9618533640254023</v>
      </c>
      <c r="Y65" s="939"/>
      <c r="Z65" s="941">
        <f>(1/S65*100)/DieselLHV</f>
        <v>0.28594270294300994</v>
      </c>
      <c r="AA65" s="941">
        <f>1/SUMIFS('Vehicle data-proc2023'!AL$20:AL$117,'Vehicle data-proc2023'!$N$20:$N$117,Analytica!$C65,'Vehicle data-proc2023'!$Q$20:$Q$117,RIGHT(Analytica!$D65,3))</f>
        <v>0.332001778720379</v>
      </c>
      <c r="AB65" s="941">
        <f>1/SUMIFS('Vehicle data-proc2023'!AM$20:AM$117,'Vehicle data-proc2023'!$N$20:$N$117,Analytica!$C65,'Vehicle data-proc2023'!$Q$20:$Q$117,RIGHT(Analytica!$D65,3))</f>
        <v>0.33703202380466663</v>
      </c>
      <c r="AC65" s="941">
        <f>1/SUMIFS('Vehicle data-proc2023'!AN$20:AN$117,'Vehicle data-proc2023'!$N$20:$N$117,Analytica!$C65,'Vehicle data-proc2023'!$Q$20:$Q$117,RIGHT(Analytica!$D65,3))</f>
        <v>0.36338417798480266</v>
      </c>
      <c r="AD65" s="941">
        <f>1/SUMIFS('Vehicle data-proc2023'!AO$20:AO$117,'Vehicle data-proc2023'!$N$20:$N$117,Analytica!$C65,'Vehicle data-proc2023'!$Q$20:$Q$117,RIGHT(Analytica!$D65,3))</f>
        <v>0.40180382608895143</v>
      </c>
      <c r="AE65" s="941">
        <f>1/SUMIFS('Vehicle data-proc2023'!AP$20:AP$117,'Vehicle data-proc2023'!$N$20:$N$117,Analytica!$C65,'Vehicle data-proc2023'!$Q$20:$Q$117,RIGHT(Analytica!$D65,3))</f>
        <v>0.4442854819795492</v>
      </c>
      <c r="AF65" s="941"/>
      <c r="AG65" s="212"/>
      <c r="AH65" s="942">
        <v>115.675</v>
      </c>
      <c r="AI65" s="942">
        <v>369.64159214636322</v>
      </c>
      <c r="AJ65" s="942"/>
      <c r="AK65" s="943">
        <f>SUMIFS('Vehicle data-proc2023'!AD$20:AD$117,'Vehicle data-proc2023'!$N$20:$N$117,Analytica!$C65,'Vehicle data-proc2023'!$Q$20:$Q$117,RIGHT(Analytica!$D65,3))/1000</f>
        <v>328.44328314829266</v>
      </c>
      <c r="AL65" s="943">
        <f>SUMIFS('Vehicle data-proc2023'!AE$20:AE$117,'Vehicle data-proc2023'!$N$20:$N$117,Analytica!$C65,'Vehicle data-proc2023'!$Q$20:$Q$117,RIGHT(Analytica!$D65,3))/1000</f>
        <v>360.54493702527509</v>
      </c>
      <c r="AM65" s="943">
        <f>SUMIFS('Vehicle data-proc2023'!AF$20:AF$117,'Vehicle data-proc2023'!$N$20:$N$117,Analytica!$C65,'Vehicle data-proc2023'!$Q$20:$Q$117,RIGHT(Analytica!$D65,3))/1000</f>
        <v>366.15082503153013</v>
      </c>
      <c r="AN65" s="943">
        <f>SUMIFS('Vehicle data-proc2023'!AG$20:AG$117,'Vehicle data-proc2023'!$N$20:$N$117,Analytica!$C65,'Vehicle data-proc2023'!$Q$20:$Q$117,RIGHT(Analytica!$D65,3))/1000</f>
        <v>248.54977442435177</v>
      </c>
      <c r="AO65" s="943">
        <f>SUMIFS('Vehicle data-proc2023'!AH$20:AH$117,'Vehicle data-proc2023'!$N$20:$N$117,Analytica!$C65,'Vehicle data-proc2023'!$Q$20:$Q$117,RIGHT(Analytica!$D65,3))/1000</f>
        <v>251.27334974387253</v>
      </c>
      <c r="AP65" s="943">
        <f>SUMIFS('Vehicle data-proc2023'!AI$20:AI$117,'Vehicle data-proc2023'!$N$20:$N$117,Analytica!$C65,'Vehicle data-proc2023'!$Q$20:$Q$117,RIGHT(Analytica!$D65,3))/1000</f>
        <v>253.99692506339329</v>
      </c>
      <c r="AQ65" s="943">
        <f>SUMIFS('Vehicle data-proc2023'!AJ$20:AJ$117,'Vehicle data-proc2023'!$N$20:$N$117,Analytica!$C65,'Vehicle data-proc2023'!$Q$20:$Q$117,RIGHT(Analytica!$D65,3))/1000</f>
        <v>257.17260066817499</v>
      </c>
      <c r="AR65" s="942"/>
      <c r="AS65" s="212"/>
      <c r="AT65" s="944">
        <f t="shared" si="39"/>
        <v>2.7E-2</v>
      </c>
      <c r="AU65" s="942">
        <f t="shared" si="40"/>
        <v>8.8679686450039021</v>
      </c>
      <c r="AV65" s="942">
        <f t="shared" si="41"/>
        <v>9.7347132996824275</v>
      </c>
      <c r="AW65" s="942">
        <f t="shared" si="42"/>
        <v>6.7108439094574974</v>
      </c>
      <c r="AX65" s="942">
        <f t="shared" si="43"/>
        <v>6.8579169767116186</v>
      </c>
      <c r="AY65" s="945">
        <f t="shared" si="44"/>
        <v>6.9436602180407245</v>
      </c>
      <c r="BA65" s="164">
        <f t="shared" si="49"/>
        <v>5.950319541892235E-2</v>
      </c>
      <c r="BC65" s="167"/>
    </row>
    <row r="66" spans="1:57" x14ac:dyDescent="0.25">
      <c r="A66" s="61" t="str">
        <f t="shared" si="31"/>
        <v>CAROGSH</v>
      </c>
      <c r="B66" s="61" t="str">
        <f t="shared" si="47"/>
        <v>TPPRCAROGSH-N</v>
      </c>
      <c r="C66" s="61" t="s">
        <v>519</v>
      </c>
      <c r="D66" s="61" t="s">
        <v>554</v>
      </c>
      <c r="E66" s="61" t="s">
        <v>560</v>
      </c>
      <c r="F66" s="938">
        <f>INDEX($F$17:$F$49,MATCH($E66,$E$17:$E$49,0))</f>
        <v>0.02</v>
      </c>
      <c r="G66" s="939">
        <f>G21</f>
        <v>18345.381909407301</v>
      </c>
      <c r="H66" s="939">
        <f t="shared" si="32"/>
        <v>18345.381909407301</v>
      </c>
      <c r="I66" s="939">
        <f t="shared" si="32"/>
        <v>16599.587999791704</v>
      </c>
      <c r="J66" s="939">
        <f t="shared" si="32"/>
        <v>13590.593183853691</v>
      </c>
      <c r="K66" s="939">
        <f t="shared" si="32"/>
        <v>7458.6756807190668</v>
      </c>
      <c r="L66" s="939">
        <f t="shared" si="32"/>
        <v>2743.8934413019574</v>
      </c>
      <c r="M66" s="939">
        <f t="shared" si="33"/>
        <v>1</v>
      </c>
      <c r="N66" s="939">
        <f t="shared" si="34"/>
        <v>0.90483741803595952</v>
      </c>
      <c r="O66" s="939">
        <f t="shared" si="35"/>
        <v>0.74081822068171777</v>
      </c>
      <c r="P66" s="939">
        <f t="shared" si="36"/>
        <v>0.406569659740599</v>
      </c>
      <c r="Q66" s="939">
        <f t="shared" si="37"/>
        <v>0.14956861922263501</v>
      </c>
      <c r="R66" s="939">
        <f t="shared" si="38"/>
        <v>5.4509631085260292E-5</v>
      </c>
      <c r="S66" s="212">
        <f>S67/1.3</f>
        <v>6.4038461538461533</v>
      </c>
      <c r="T66" s="939">
        <f>W21</f>
        <v>6.0121796481091199</v>
      </c>
      <c r="U66" s="939">
        <f>S66/((1+T$57)^(U$58-S$58))</f>
        <v>5.1989578731152291</v>
      </c>
      <c r="V66" s="939">
        <f t="shared" si="48"/>
        <v>4.4797716383674562</v>
      </c>
      <c r="W66" s="939">
        <f t="shared" si="48"/>
        <v>3.8600724263796415</v>
      </c>
      <c r="X66" s="939">
        <f t="shared" si="48"/>
        <v>3.3260979218856819</v>
      </c>
      <c r="Y66" s="949"/>
      <c r="Z66" s="941">
        <f>AD57/S66</f>
        <v>0.45659694782501747</v>
      </c>
      <c r="AA66" s="941">
        <f>1/SUMIFS('Vehicle data-proc2023'!AL$20:AL$117,'Vehicle data-proc2023'!$N$20:$N$117,Analytica!$C66,'Vehicle data-proc2023'!$Q$20:$Q$117,RIGHT(Analytica!$D66,3))</f>
        <v>0.46703823969253455</v>
      </c>
      <c r="AB66" s="941">
        <f>1/SUMIFS('Vehicle data-proc2023'!AM$20:AM$117,'Vehicle data-proc2023'!$N$20:$N$117,Analytica!$C66,'Vehicle data-proc2023'!$Q$20:$Q$117,RIGHT(Analytica!$D66,3))</f>
        <v>0.47411445723101459</v>
      </c>
      <c r="AC66" s="941">
        <f>1/SUMIFS('Vehicle data-proc2023'!AN$20:AN$117,'Vehicle data-proc2023'!$N$20:$N$117,Analytica!$C66,'Vehicle data-proc2023'!$Q$20:$Q$117,RIGHT(Analytica!$D66,3))</f>
        <v>0.51118493241892826</v>
      </c>
      <c r="AD66" s="941">
        <f>1/SUMIFS('Vehicle data-proc2023'!AO$20:AO$117,'Vehicle data-proc2023'!$N$20:$N$117,Analytica!$C66,'Vehicle data-proc2023'!$Q$20:$Q$117,RIGHT(Analytica!$D66,3))</f>
        <v>0.56523116340397583</v>
      </c>
      <c r="AE66" s="941">
        <f>1/SUMIFS('Vehicle data-proc2023'!AP$20:AP$117,'Vehicle data-proc2023'!$N$20:$N$117,Analytica!$C66,'Vehicle data-proc2023'!$Q$20:$Q$117,RIGHT(Analytica!$D66,3))</f>
        <v>0.62499155945618812</v>
      </c>
      <c r="AF66" s="941"/>
      <c r="AG66" s="212">
        <v>1</v>
      </c>
      <c r="AH66" s="942">
        <v>230.30699999999999</v>
      </c>
      <c r="AI66" s="942">
        <v>574.98525193798446</v>
      </c>
      <c r="AJ66" s="942"/>
      <c r="AK66" s="943">
        <f>SUMIFS('Vehicle data-proc2023'!AD$20:AD$117,'Vehicle data-proc2023'!$N$20:$N$117,Analytica!$C66,'Vehicle data-proc2023'!$Q$20:$Q$117,RIGHT(Analytica!$D66,3))/1000</f>
        <v>463.91482511277962</v>
      </c>
      <c r="AL66" s="943">
        <f>SUMIFS('Vehicle data-proc2023'!AE$20:AE$117,'Vehicle data-proc2023'!$N$20:$N$117,Analytica!$C66,'Vehicle data-proc2023'!$Q$20:$Q$117,RIGHT(Analytica!$D66,3))/1000</f>
        <v>440.43538283569075</v>
      </c>
      <c r="AM66" s="943">
        <f>SUMIFS('Vehicle data-proc2023'!AF$20:AF$117,'Vehicle data-proc2023'!$N$20:$N$117,Analytica!$C66,'Vehicle data-proc2023'!$Q$20:$Q$117,RIGHT(Analytica!$D66,3))/1000</f>
        <v>436.63514806228852</v>
      </c>
      <c r="AN66" s="943">
        <f>SUMIFS('Vehicle data-proc2023'!AG$20:AG$117,'Vehicle data-proc2023'!$N$20:$N$117,Analytica!$C66,'Vehicle data-proc2023'!$Q$20:$Q$117,RIGHT(Analytica!$D66,3))/1000</f>
        <v>248.54977442435177</v>
      </c>
      <c r="AO66" s="943">
        <f>SUMIFS('Vehicle data-proc2023'!AH$20:AH$117,'Vehicle data-proc2023'!$N$20:$N$117,Analytica!$C66,'Vehicle data-proc2023'!$Q$20:$Q$117,RIGHT(Analytica!$D66,3))/1000</f>
        <v>251.27334974387253</v>
      </c>
      <c r="AP66" s="943">
        <f>SUMIFS('Vehicle data-proc2023'!AI$20:AI$117,'Vehicle data-proc2023'!$N$20:$N$117,Analytica!$C66,'Vehicle data-proc2023'!$Q$20:$Q$117,RIGHT(Analytica!$D66,3))/1000</f>
        <v>253.99692506339329</v>
      </c>
      <c r="AQ66" s="943">
        <f>SUMIFS('Vehicle data-proc2023'!AJ$20:AJ$117,'Vehicle data-proc2023'!$N$20:$N$117,Analytica!$C66,'Vehicle data-proc2023'!$Q$20:$Q$117,RIGHT(Analytica!$D66,3))/1000</f>
        <v>257.17260066817499</v>
      </c>
      <c r="AR66" s="942"/>
      <c r="AS66" s="212"/>
      <c r="AT66" s="944">
        <f t="shared" si="39"/>
        <v>2.7E-2</v>
      </c>
      <c r="AU66" s="942">
        <f t="shared" si="40"/>
        <v>12.525700278045051</v>
      </c>
      <c r="AV66" s="942">
        <f t="shared" si="41"/>
        <v>11.89175533656365</v>
      </c>
      <c r="AW66" s="942">
        <f t="shared" si="42"/>
        <v>6.7108439094574974</v>
      </c>
      <c r="AX66" s="942">
        <f t="shared" si="43"/>
        <v>6.8579169767116186</v>
      </c>
      <c r="AY66" s="945">
        <f t="shared" si="44"/>
        <v>6.9436602180407245</v>
      </c>
      <c r="BA66" s="164">
        <f t="shared" si="49"/>
        <v>8.8338186721910602E-4</v>
      </c>
      <c r="BC66" s="167"/>
    </row>
    <row r="67" spans="1:57" x14ac:dyDescent="0.25">
      <c r="A67" s="61" t="str">
        <f t="shared" si="31"/>
        <v>CAROGS</v>
      </c>
      <c r="B67" s="61" t="str">
        <f t="shared" si="47"/>
        <v>TPPRCAROGS-N</v>
      </c>
      <c r="C67" s="61" t="s">
        <v>573</v>
      </c>
      <c r="D67" s="61" t="s">
        <v>554</v>
      </c>
      <c r="E67" s="61" t="s">
        <v>559</v>
      </c>
      <c r="F67" s="938">
        <f>INDEX($F$17:$F$49,MATCH($E67,$E$17:$E$49,0))</f>
        <v>1.9099999999999999E-2</v>
      </c>
      <c r="G67" s="950">
        <f>G22</f>
        <v>21358.407707781298</v>
      </c>
      <c r="H67" s="939">
        <f t="shared" si="32"/>
        <v>21358.407707781298</v>
      </c>
      <c r="I67" s="939">
        <f t="shared" si="32"/>
        <v>19413.048941287721</v>
      </c>
      <c r="J67" s="939">
        <f t="shared" si="32"/>
        <v>16037.752365771819</v>
      </c>
      <c r="K67" s="939">
        <f t="shared" si="32"/>
        <v>9042.5884447033513</v>
      </c>
      <c r="L67" s="939">
        <f t="shared" si="32"/>
        <v>3479.6978517162797</v>
      </c>
      <c r="M67" s="939">
        <f t="shared" si="33"/>
        <v>1</v>
      </c>
      <c r="N67" s="939">
        <f t="shared" si="34"/>
        <v>0.90891836165367124</v>
      </c>
      <c r="O67" s="939">
        <f t="shared" si="35"/>
        <v>0.75088707853109027</v>
      </c>
      <c r="P67" s="939">
        <f t="shared" si="36"/>
        <v>0.42337371626298503</v>
      </c>
      <c r="Q67" s="939">
        <f t="shared" si="37"/>
        <v>0.16291934770252353</v>
      </c>
      <c r="R67" s="939">
        <f t="shared" si="38"/>
        <v>4.6819969619536754E-5</v>
      </c>
      <c r="S67" s="212">
        <v>8.3249999999999993</v>
      </c>
      <c r="T67" s="940">
        <f>W19</f>
        <v>8.1935839212683703</v>
      </c>
      <c r="U67" s="939">
        <f>S67/((1+T$57)^(U$58-S$58))</f>
        <v>6.7586452350497979</v>
      </c>
      <c r="V67" s="939">
        <f t="shared" si="48"/>
        <v>5.8237031298776936</v>
      </c>
      <c r="W67" s="939">
        <f t="shared" si="48"/>
        <v>5.0180941542935349</v>
      </c>
      <c r="X67" s="939">
        <f t="shared" si="48"/>
        <v>4.3239272984513875</v>
      </c>
      <c r="Y67" s="951"/>
      <c r="Z67" s="941">
        <f>(1/S67*100)/GasolineLHV</f>
        <v>0.36237354673108862</v>
      </c>
      <c r="AA67" s="941">
        <f>1/SUMIFS('Vehicle data-proc2023'!AL$20:AL$117,'Vehicle data-proc2023'!$N$20:$N$117,Analytica!$C67,'Vehicle data-proc2023'!$Q$20:$Q$117,RIGHT(Analytica!$D67,3))</f>
        <v>0.35686173917097103</v>
      </c>
      <c r="AB67" s="941">
        <f>1/SUMIFS('Vehicle data-proc2023'!AM$20:AM$117,'Vehicle data-proc2023'!$N$20:$N$117,Analytica!$C67,'Vehicle data-proc2023'!$Q$20:$Q$117,RIGHT(Analytica!$D67,3))</f>
        <v>0.36226864396574021</v>
      </c>
      <c r="AC67" s="941">
        <f>1/SUMIFS('Vehicle data-proc2023'!AN$20:AN$117,'Vehicle data-proc2023'!$N$20:$N$117,Analytica!$C67,'Vehicle data-proc2023'!$Q$20:$Q$117,RIGHT(Analytica!$D67,3))</f>
        <v>0.39059402104013624</v>
      </c>
      <c r="AD67" s="941">
        <f>1/SUMIFS('Vehicle data-proc2023'!AO$20:AO$117,'Vehicle data-proc2023'!$N$20:$N$117,Analytica!$C67,'Vehicle data-proc2023'!$Q$20:$Q$117,RIGHT(Analytica!$D67,3))</f>
        <v>0.43189049388924888</v>
      </c>
      <c r="AE67" s="941">
        <f>1/SUMIFS('Vehicle data-proc2023'!AP$20:AP$117,'Vehicle data-proc2023'!$N$20:$N$117,Analytica!$C67,'Vehicle data-proc2023'!$Q$20:$Q$117,RIGHT(Analytica!$D67,3))</f>
        <v>0.47755313359682011</v>
      </c>
      <c r="AF67" s="941"/>
      <c r="AG67" s="212"/>
      <c r="AH67" s="942">
        <v>100.587</v>
      </c>
      <c r="AI67" s="942">
        <v>307.29171966885525</v>
      </c>
      <c r="AJ67" s="942"/>
      <c r="AK67" s="943">
        <f>SUMIFS('Vehicle data-proc2023'!AD$20:AD$117,'Vehicle data-proc2023'!$N$20:$N$117,Analytica!$C67,'Vehicle data-proc2023'!$Q$20:$Q$117,RIGHT(Analytica!$D67,3))/1000</f>
        <v>221.97327212134016</v>
      </c>
      <c r="AL67" s="943">
        <f>SUMIFS('Vehicle data-proc2023'!AE$20:AE$117,'Vehicle data-proc2023'!$N$20:$N$117,Analytica!$C67,'Vehicle data-proc2023'!$Q$20:$Q$117,RIGHT(Analytica!$D67,3))/1000</f>
        <v>240.3632913501834</v>
      </c>
      <c r="AM67" s="943">
        <f>SUMIFS('Vehicle data-proc2023'!AF$20:AF$117,'Vehicle data-proc2023'!$N$20:$N$117,Analytica!$C67,'Vehicle data-proc2023'!$Q$20:$Q$117,RIGHT(Analytica!$D67,3))/1000</f>
        <v>244.4565328872676</v>
      </c>
      <c r="AN67" s="943">
        <f>SUMIFS('Vehicle data-proc2023'!AG$20:AG$117,'Vehicle data-proc2023'!$N$20:$N$117,Analytica!$C67,'Vehicle data-proc2023'!$Q$20:$Q$117,RIGHT(Analytica!$D67,3))/1000</f>
        <v>248.54977442435177</v>
      </c>
      <c r="AO67" s="943">
        <f>SUMIFS('Vehicle data-proc2023'!AH$20:AH$117,'Vehicle data-proc2023'!$N$20:$N$117,Analytica!$C67,'Vehicle data-proc2023'!$Q$20:$Q$117,RIGHT(Analytica!$D67,3))/1000</f>
        <v>251.27334974387253</v>
      </c>
      <c r="AP67" s="943">
        <f>SUMIFS('Vehicle data-proc2023'!AI$20:AI$117,'Vehicle data-proc2023'!$N$20:$N$117,Analytica!$C67,'Vehicle data-proc2023'!$Q$20:$Q$117,RIGHT(Analytica!$D67,3))/1000</f>
        <v>253.99692506339329</v>
      </c>
      <c r="AQ67" s="943">
        <f>SUMIFS('Vehicle data-proc2023'!AJ$20:AJ$117,'Vehicle data-proc2023'!$N$20:$N$117,Analytica!$C67,'Vehicle data-proc2023'!$Q$20:$Q$117,RIGHT(Analytica!$D67,3))/1000</f>
        <v>257.17260066817499</v>
      </c>
      <c r="AR67" s="942"/>
      <c r="AS67" s="212"/>
      <c r="AT67" s="944">
        <f t="shared" si="39"/>
        <v>2.7E-2</v>
      </c>
      <c r="AU67" s="942">
        <f t="shared" si="40"/>
        <v>5.9932783472761839</v>
      </c>
      <c r="AV67" s="942">
        <f t="shared" si="41"/>
        <v>6.4898088664549514</v>
      </c>
      <c r="AW67" s="942">
        <f t="shared" si="42"/>
        <v>6.7108439094574974</v>
      </c>
      <c r="AX67" s="942">
        <f t="shared" si="43"/>
        <v>6.8579169767116186</v>
      </c>
      <c r="AY67" s="945">
        <f t="shared" si="44"/>
        <v>6.9436602180407245</v>
      </c>
      <c r="BA67" s="164">
        <f t="shared" si="49"/>
        <v>0.93935153516915204</v>
      </c>
      <c r="BB67" s="61" t="s">
        <v>129</v>
      </c>
      <c r="BC67" s="167">
        <f>AJ67*1000</f>
        <v>0</v>
      </c>
    </row>
    <row r="68" spans="1:57" x14ac:dyDescent="0.25">
      <c r="A68" s="61" t="str">
        <f t="shared" si="31"/>
        <v>CARBGS</v>
      </c>
      <c r="B68" s="61" t="str">
        <f t="shared" si="47"/>
        <v>TPPRCARBGS-N</v>
      </c>
      <c r="C68" s="61" t="s">
        <v>506</v>
      </c>
      <c r="D68" s="61" t="s">
        <v>554</v>
      </c>
      <c r="E68" s="61" t="s">
        <v>558</v>
      </c>
      <c r="F68" s="938">
        <f>F67</f>
        <v>1.9099999999999999E-2</v>
      </c>
      <c r="G68" s="939">
        <f>G67</f>
        <v>21358.407707781298</v>
      </c>
      <c r="H68" s="939">
        <f t="shared" si="32"/>
        <v>21358.407707781298</v>
      </c>
      <c r="I68" s="939">
        <f t="shared" si="32"/>
        <v>19413.048941287721</v>
      </c>
      <c r="J68" s="939">
        <f t="shared" si="32"/>
        <v>16037.752365771819</v>
      </c>
      <c r="K68" s="939">
        <f t="shared" si="32"/>
        <v>9042.5884447033513</v>
      </c>
      <c r="L68" s="939">
        <f t="shared" si="32"/>
        <v>3479.6978517162797</v>
      </c>
      <c r="M68" s="939">
        <f t="shared" si="33"/>
        <v>1</v>
      </c>
      <c r="N68" s="939">
        <f t="shared" si="34"/>
        <v>0.90891836165367124</v>
      </c>
      <c r="O68" s="939">
        <f t="shared" si="35"/>
        <v>0.75088707853109027</v>
      </c>
      <c r="P68" s="939">
        <f t="shared" si="36"/>
        <v>0.42337371626298503</v>
      </c>
      <c r="Q68" s="939">
        <f t="shared" si="37"/>
        <v>0.16291934770252353</v>
      </c>
      <c r="R68" s="939">
        <f t="shared" si="38"/>
        <v>4.6819969619536754E-5</v>
      </c>
      <c r="S68" s="939">
        <v>14.625253296955835</v>
      </c>
      <c r="T68" s="939">
        <f>S68</f>
        <v>14.625253296955835</v>
      </c>
      <c r="U68" s="939">
        <f>S68/((1+T$57)^(U$58-S$58))</f>
        <v>11.873501322146176</v>
      </c>
      <c r="V68" s="939">
        <f>T68/((1+U$57)^(V$58-T$58))</f>
        <v>11.187025704014699</v>
      </c>
      <c r="W68" s="939">
        <f>U68/((1+V$57)^(W$58-U$58))</f>
        <v>8.8157234924343939</v>
      </c>
      <c r="X68" s="939">
        <f>V68/((1+W$57)^(X$58-V$58))</f>
        <v>8.3060356531398938</v>
      </c>
      <c r="Y68" s="212"/>
      <c r="Z68" s="939">
        <f>(1/S68*100)/CV.LHV.E85</f>
        <v>0.2972787518815912</v>
      </c>
      <c r="AA68" s="941">
        <f>1/SUMIFS('Vehicle data-proc2023'!AL$20:AL$117,'Vehicle data-proc2023'!$N$20:$N$117,Analytica!$C68,'Vehicle data-proc2023'!$Q$20:$Q$117,RIGHT(Analytica!$D68,3))</f>
        <v>0.35686173917097103</v>
      </c>
      <c r="AB68" s="941">
        <f>1/SUMIFS('Vehicle data-proc2023'!AM$20:AM$117,'Vehicle data-proc2023'!$N$20:$N$117,Analytica!$C68,'Vehicle data-proc2023'!$Q$20:$Q$117,RIGHT(Analytica!$D68,3))</f>
        <v>0.36226864396574021</v>
      </c>
      <c r="AC68" s="941">
        <f>1/SUMIFS('Vehicle data-proc2023'!AN$20:AN$117,'Vehicle data-proc2023'!$N$20:$N$117,Analytica!$C68,'Vehicle data-proc2023'!$Q$20:$Q$117,RIGHT(Analytica!$D68,3))</f>
        <v>0.39059402104013624</v>
      </c>
      <c r="AD68" s="941">
        <f>1/SUMIFS('Vehicle data-proc2023'!AO$20:AO$117,'Vehicle data-proc2023'!$N$20:$N$117,Analytica!$C68,'Vehicle data-proc2023'!$Q$20:$Q$117,RIGHT(Analytica!$D68,3))</f>
        <v>0.43189049388924888</v>
      </c>
      <c r="AE68" s="941">
        <f>1/SUMIFS('Vehicle data-proc2023'!AP$20:AP$117,'Vehicle data-proc2023'!$N$20:$N$117,Analytica!$C68,'Vehicle data-proc2023'!$Q$20:$Q$117,RIGHT(Analytica!$D68,3))</f>
        <v>0.47755313359682011</v>
      </c>
      <c r="AF68" s="941"/>
      <c r="AG68" s="212"/>
      <c r="AH68" s="942">
        <v>100.587</v>
      </c>
      <c r="AI68" s="942">
        <v>307.29171966885525</v>
      </c>
      <c r="AJ68" s="942"/>
      <c r="AK68" s="943">
        <f>SUMIFS('Vehicle data-proc2023'!AD$20:AD$117,'Vehicle data-proc2023'!$N$20:$N$117,Analytica!$C68,'Vehicle data-proc2023'!$Q$20:$Q$117,RIGHT(Analytica!$D68,3))/1000</f>
        <v>221.97327212134016</v>
      </c>
      <c r="AL68" s="943">
        <f>SUMIFS('Vehicle data-proc2023'!AE$20:AE$117,'Vehicle data-proc2023'!$N$20:$N$117,Analytica!$C68,'Vehicle data-proc2023'!$Q$20:$Q$117,RIGHT(Analytica!$D68,3))/1000</f>
        <v>240.3632913501834</v>
      </c>
      <c r="AM68" s="943">
        <f>SUMIFS('Vehicle data-proc2023'!AF$20:AF$117,'Vehicle data-proc2023'!$N$20:$N$117,Analytica!$C68,'Vehicle data-proc2023'!$Q$20:$Q$117,RIGHT(Analytica!$D68,3))/1000</f>
        <v>244.4565328872676</v>
      </c>
      <c r="AN68" s="943">
        <f>SUMIFS('Vehicle data-proc2023'!AG$20:AG$117,'Vehicle data-proc2023'!$N$20:$N$117,Analytica!$C68,'Vehicle data-proc2023'!$Q$20:$Q$117,RIGHT(Analytica!$D68,3))/1000</f>
        <v>248.54977442435177</v>
      </c>
      <c r="AO68" s="943">
        <f>SUMIFS('Vehicle data-proc2023'!AH$20:AH$117,'Vehicle data-proc2023'!$N$20:$N$117,Analytica!$C68,'Vehicle data-proc2023'!$Q$20:$Q$117,RIGHT(Analytica!$D68,3))/1000</f>
        <v>251.27334974387253</v>
      </c>
      <c r="AP68" s="943">
        <f>SUMIFS('Vehicle data-proc2023'!AI$20:AI$117,'Vehicle data-proc2023'!$N$20:$N$117,Analytica!$C68,'Vehicle data-proc2023'!$Q$20:$Q$117,RIGHT(Analytica!$D68,3))/1000</f>
        <v>253.99692506339329</v>
      </c>
      <c r="AQ68" s="943">
        <f>SUMIFS('Vehicle data-proc2023'!AJ$20:AJ$117,'Vehicle data-proc2023'!$N$20:$N$117,Analytica!$C68,'Vehicle data-proc2023'!$Q$20:$Q$117,RIGHT(Analytica!$D68,3))/1000</f>
        <v>257.17260066817499</v>
      </c>
      <c r="AR68" s="942"/>
      <c r="AS68" s="212"/>
      <c r="AT68" s="944">
        <f t="shared" si="39"/>
        <v>2.7E-2</v>
      </c>
      <c r="AU68" s="942">
        <f t="shared" si="40"/>
        <v>5.9932783472761839</v>
      </c>
      <c r="AV68" s="942">
        <f t="shared" si="41"/>
        <v>6.4898088664549514</v>
      </c>
      <c r="AW68" s="942">
        <f t="shared" si="42"/>
        <v>6.7108439094574974</v>
      </c>
      <c r="AX68" s="942">
        <f t="shared" si="43"/>
        <v>6.8579169767116186</v>
      </c>
      <c r="AY68" s="945">
        <f t="shared" si="44"/>
        <v>6.9436602180407245</v>
      </c>
      <c r="BA68" s="164">
        <f t="shared" si="49"/>
        <v>0</v>
      </c>
      <c r="BB68" s="61" t="s">
        <v>557</v>
      </c>
      <c r="BC68" s="167">
        <f>AJ68*1000</f>
        <v>0</v>
      </c>
      <c r="BD68" s="167"/>
    </row>
    <row r="69" spans="1:57" x14ac:dyDescent="0.25">
      <c r="A69" s="61" t="str">
        <f t="shared" si="31"/>
        <v>CARELC</v>
      </c>
      <c r="B69" s="61" t="str">
        <f t="shared" si="47"/>
        <v>TPPRCARELC-N</v>
      </c>
      <c r="C69" s="61" t="s">
        <v>501</v>
      </c>
      <c r="D69" s="61" t="s">
        <v>554</v>
      </c>
      <c r="E69" s="61" t="s">
        <v>324</v>
      </c>
      <c r="F69" s="938">
        <f>F67</f>
        <v>1.9099999999999999E-2</v>
      </c>
      <c r="G69" s="939">
        <f>G68</f>
        <v>21358.407707781298</v>
      </c>
      <c r="H69" s="939">
        <v>20416.763999999999</v>
      </c>
      <c r="I69" s="939">
        <v>18473.85202240953</v>
      </c>
      <c r="J69" s="939">
        <v>15125.110778558552</v>
      </c>
      <c r="K69" s="939">
        <v>8300.8367924841114</v>
      </c>
      <c r="L69" s="939">
        <v>3053.7072004744027</v>
      </c>
      <c r="M69" s="939">
        <f t="shared" si="33"/>
        <v>0.95591227020925162</v>
      </c>
      <c r="N69" s="939">
        <f t="shared" si="34"/>
        <v>0.86494519044503182</v>
      </c>
      <c r="O69" s="939">
        <f t="shared" si="35"/>
        <v>0.70815722714423923</v>
      </c>
      <c r="P69" s="939">
        <f t="shared" si="36"/>
        <v>0.38864492644083898</v>
      </c>
      <c r="Q69" s="939">
        <f t="shared" si="37"/>
        <v>0.14297447835317217</v>
      </c>
      <c r="R69" s="939">
        <f t="shared" si="38"/>
        <v>4.4755783450139569E-5</v>
      </c>
      <c r="S69" s="952">
        <v>20</v>
      </c>
      <c r="T69" s="939">
        <f t="shared" ref="T69:X71" si="50">S69/((1+T$57)^(T$58-S$58))</f>
        <v>18.29084385035744</v>
      </c>
      <c r="U69" s="939">
        <f t="shared" si="50"/>
        <v>16.236985549669182</v>
      </c>
      <c r="V69" s="939">
        <f t="shared" si="50"/>
        <v>13.990878390096558</v>
      </c>
      <c r="W69" s="939">
        <f t="shared" si="50"/>
        <v>12.055481451756236</v>
      </c>
      <c r="X69" s="939">
        <f t="shared" si="50"/>
        <v>10.387813329612939</v>
      </c>
      <c r="Y69" s="939"/>
      <c r="Z69" s="941">
        <f>(AA69/AB69)*AA69</f>
        <v>1.7318475298874823</v>
      </c>
      <c r="AA69" s="941">
        <f>1/SUMIFS('Vehicle data-proc2023'!AL$20:AL$117,'Vehicle data-proc2023'!$N$20:$N$117,Analytica!$C69,'Vehicle data-proc2023'!$Q$20:$Q$117,RIGHT(Analytica!$D69,3))</f>
        <v>1.7580872011251758</v>
      </c>
      <c r="AB69" s="941">
        <f>1/SUMIFS('Vehicle data-proc2023'!AM$20:AM$117,'Vehicle data-proc2023'!$N$20:$N$117,Analytica!$C69,'Vehicle data-proc2023'!$Q$20:$Q$117,RIGHT(Analytica!$D69,3))</f>
        <v>1.7847244364294399</v>
      </c>
      <c r="AC69" s="941">
        <f>1/SUMIFS('Vehicle data-proc2023'!AN$20:AN$117,'Vehicle data-proc2023'!$N$20:$N$117,Analytica!$C69,'Vehicle data-proc2023'!$Q$20:$Q$117,RIGHT(Analytica!$D69,3))</f>
        <v>1.9242700291209607</v>
      </c>
      <c r="AD69" s="941">
        <f>1/SUMIFS('Vehicle data-proc2023'!AO$20:AO$117,'Vehicle data-proc2023'!$N$20:$N$117,Analytica!$C69,'Vehicle data-proc2023'!$Q$20:$Q$117,RIGHT(Analytica!$D69,3))</f>
        <v>2.1277180102250783</v>
      </c>
      <c r="AE69" s="941">
        <f>1/SUMIFS('Vehicle data-proc2023'!AP$20:AP$117,'Vehicle data-proc2023'!$N$20:$N$117,Analytica!$C69,'Vehicle data-proc2023'!$Q$20:$Q$117,RIGHT(Analytica!$D69,3))</f>
        <v>2.3526760083169105</v>
      </c>
      <c r="AF69" s="941"/>
      <c r="AG69" s="212">
        <v>1</v>
      </c>
      <c r="AH69" s="942">
        <f>176.03*1.5</f>
        <v>264.04500000000002</v>
      </c>
      <c r="AI69" s="942">
        <v>464.3</v>
      </c>
      <c r="AJ69" s="942"/>
      <c r="AK69" s="943">
        <f>SUMIFS('Vehicle data-proc2023'!AD$20:AD$117,'Vehicle data-proc2023'!$N$20:$N$117,Analytica!$C69,'Vehicle data-proc2023'!$Q$20:$Q$117,RIGHT(Analytica!$D69,3))/1000</f>
        <v>934.8061930822555</v>
      </c>
      <c r="AL69" s="943">
        <f>SUMIFS('Vehicle data-proc2023'!AE$20:AE$117,'Vehicle data-proc2023'!$N$20:$N$117,Analytica!$C69,'Vehicle data-proc2023'!$Q$20:$Q$117,RIGHT(Analytica!$D69,3))/1000 * SUMIFS('Vehicle data-proc2023'!AU$20:AU$117,'Vehicle data-proc2023'!$N$20:$N$117,Analytica!$C69,'Vehicle data-proc2023'!$Q$20:$Q$117,RIGHT(Analytica!$D69,3))</f>
        <v>634.65626496922221</v>
      </c>
      <c r="AM69" s="943">
        <f>SUMIFS('Vehicle data-proc2023'!AF$20:AF$117,'Vehicle data-proc2023'!$N$20:$N$117,Analytica!$C69,'Vehicle data-proc2023'!$Q$20:$Q$117,RIGHT(Analytica!$D69,3))/1000</f>
        <v>580.10467292909459</v>
      </c>
      <c r="AN69" s="943">
        <f>SUMIFS('Vehicle data-proc2023'!AG$20:AG$117,'Vehicle data-proc2023'!$N$20:$N$117,Analytica!$C69,'Vehicle data-proc2023'!$Q$20:$Q$117,RIGHT(Analytica!$D69,3))/1000</f>
        <v>248.54977442435177</v>
      </c>
      <c r="AO69" s="943">
        <f>SUMIFS('Vehicle data-proc2023'!AH$20:AH$117,'Vehicle data-proc2023'!$N$20:$N$117,Analytica!$C69,'Vehicle data-proc2023'!$Q$20:$Q$117,RIGHT(Analytica!$D69,3))/1000</f>
        <v>251.27334974387253</v>
      </c>
      <c r="AP69" s="943">
        <f>SUMIFS('Vehicle data-proc2023'!AI$20:AI$117,'Vehicle data-proc2023'!$N$20:$N$117,Analytica!$C69,'Vehicle data-proc2023'!$Q$20:$Q$117,RIGHT(Analytica!$D69,3))/1000 * SUMIFS('Vehicle data-proc2023'!AW$20:AW$117,'Vehicle data-proc2023'!$N$20:$N$117,Analytica!$C69,'Vehicle data-proc2023'!$Q$20:$Q$117,RIGHT(Analytica!$D69,3))</f>
        <v>253.99692506339329</v>
      </c>
      <c r="AQ69" s="943">
        <f>SUMIFS('Vehicle data-proc2023'!AJ$20:AJ$117,'Vehicle data-proc2023'!$N$20:$N$117,Analytica!$C69,'Vehicle data-proc2023'!$Q$20:$Q$117,RIGHT(Analytica!$D69,3))/1000 * SUMIFS('Vehicle data-proc2023'!AX$20:AX$117,'Vehicle data-proc2023'!$N$20:$N$117,Analytica!$C69,'Vehicle data-proc2023'!$Q$20:$Q$117,RIGHT(Analytica!$D69,3))</f>
        <v>257.17260066817499</v>
      </c>
      <c r="AR69" s="942"/>
      <c r="AS69" s="212"/>
      <c r="AT69" s="944">
        <f t="shared" si="39"/>
        <v>2.0250000000000001E-2</v>
      </c>
      <c r="AU69" s="942">
        <f t="shared" si="40"/>
        <v>18.929825409915676</v>
      </c>
      <c r="AV69" s="942">
        <f t="shared" si="41"/>
        <v>12.85178936562675</v>
      </c>
      <c r="AW69" s="942">
        <f t="shared" si="42"/>
        <v>5.0331329320931237</v>
      </c>
      <c r="AX69" s="942">
        <f t="shared" si="43"/>
        <v>5.1434377325337142</v>
      </c>
      <c r="AY69" s="945">
        <f t="shared" si="44"/>
        <v>5.2077451635305438</v>
      </c>
      <c r="BA69" s="164">
        <f t="shared" si="49"/>
        <v>2.6188754470654916E-4</v>
      </c>
      <c r="BC69" s="167"/>
      <c r="BD69" s="169">
        <f>(BC70-BC67)/5.55</f>
        <v>0</v>
      </c>
    </row>
    <row r="70" spans="1:57" x14ac:dyDescent="0.25">
      <c r="A70" s="61" t="str">
        <f t="shared" si="31"/>
        <v>CARGAS</v>
      </c>
      <c r="B70" s="61" t="str">
        <f t="shared" si="47"/>
        <v>TPPRCARGAS-N</v>
      </c>
      <c r="C70" s="61" t="s">
        <v>509</v>
      </c>
      <c r="D70" s="61" t="s">
        <v>554</v>
      </c>
      <c r="E70" s="61" t="s">
        <v>556</v>
      </c>
      <c r="F70" s="938">
        <f>F69</f>
        <v>1.9099999999999999E-2</v>
      </c>
      <c r="G70" s="939">
        <f>G69</f>
        <v>21358.407707781298</v>
      </c>
      <c r="H70" s="939">
        <v>20416.763999999999</v>
      </c>
      <c r="I70" s="939">
        <v>18473.85202240953</v>
      </c>
      <c r="J70" s="939">
        <v>15125.110778558552</v>
      </c>
      <c r="K70" s="939">
        <v>8300.8367924841114</v>
      </c>
      <c r="L70" s="939">
        <v>3053.7072004744027</v>
      </c>
      <c r="M70" s="939">
        <f t="shared" si="33"/>
        <v>0.95591227020925162</v>
      </c>
      <c r="N70" s="939">
        <f t="shared" si="34"/>
        <v>0.86494519044503182</v>
      </c>
      <c r="O70" s="939">
        <f t="shared" si="35"/>
        <v>0.70815722714423923</v>
      </c>
      <c r="P70" s="939">
        <f t="shared" si="36"/>
        <v>0.38864492644083898</v>
      </c>
      <c r="Q70" s="939">
        <f t="shared" si="37"/>
        <v>0.14297447835317217</v>
      </c>
      <c r="R70" s="939">
        <f t="shared" si="38"/>
        <v>4.4755783450139569E-5</v>
      </c>
      <c r="S70" s="212">
        <v>8.5</v>
      </c>
      <c r="T70" s="939">
        <f t="shared" si="50"/>
        <v>7.7736086364019128</v>
      </c>
      <c r="U70" s="939">
        <f t="shared" si="50"/>
        <v>6.9007188586094035</v>
      </c>
      <c r="V70" s="939">
        <f t="shared" si="50"/>
        <v>5.9461233157910387</v>
      </c>
      <c r="W70" s="939">
        <f t="shared" si="50"/>
        <v>5.1235796169964019</v>
      </c>
      <c r="X70" s="939">
        <f t="shared" si="50"/>
        <v>4.4148206650855002</v>
      </c>
      <c r="Y70" s="939"/>
      <c r="Z70" s="941">
        <f>Z67/S67*S70</f>
        <v>0.36999100867438478</v>
      </c>
      <c r="AA70" s="941">
        <f>1/SUMIFS('Vehicle data-proc2023'!AL$20:AL$117,'Vehicle data-proc2023'!$N$20:$N$117,Analytica!$C70,'Vehicle data-proc2023'!$Q$20:$Q$117,RIGHT(Analytica!$D70,3))</f>
        <v>0.35686173917097103</v>
      </c>
      <c r="AB70" s="941">
        <f>1/SUMIFS('Vehicle data-proc2023'!AM$20:AM$117,'Vehicle data-proc2023'!$N$20:$N$117,Analytica!$C70,'Vehicle data-proc2023'!$Q$20:$Q$117,RIGHT(Analytica!$D70,3))</f>
        <v>0.36226864396574021</v>
      </c>
      <c r="AC70" s="941">
        <f>1/SUMIFS('Vehicle data-proc2023'!AN$20:AN$117,'Vehicle data-proc2023'!$N$20:$N$117,Analytica!$C70,'Vehicle data-proc2023'!$Q$20:$Q$117,RIGHT(Analytica!$D70,3))</f>
        <v>0.39059402104013624</v>
      </c>
      <c r="AD70" s="941">
        <f>1/SUMIFS('Vehicle data-proc2023'!AO$20:AO$117,'Vehicle data-proc2023'!$N$20:$N$117,Analytica!$C70,'Vehicle data-proc2023'!$Q$20:$Q$117,RIGHT(Analytica!$D70,3))</f>
        <v>0.43189049388924888</v>
      </c>
      <c r="AE70" s="941">
        <f>1/SUMIFS('Vehicle data-proc2023'!AP$20:AP$117,'Vehicle data-proc2023'!$N$20:$N$117,Analytica!$C70,'Vehicle data-proc2023'!$Q$20:$Q$117,RIGHT(Analytica!$D70,3))</f>
        <v>0.47755313359682011</v>
      </c>
      <c r="AF70" s="941"/>
      <c r="AG70" s="212"/>
      <c r="AH70" s="942">
        <f>AH67*(1+$AR$57)</f>
        <v>110.64570000000002</v>
      </c>
      <c r="AI70" s="942">
        <f>AI67*(1+$AR$57)</f>
        <v>338.02089163574078</v>
      </c>
      <c r="AJ70" s="942"/>
      <c r="AK70" s="943">
        <f>SUMIFS('Vehicle data-proc2023'!AD$20:AD$117,'Vehicle data-proc2023'!$N$20:$N$117,Analytica!$C70,'Vehicle data-proc2023'!$Q$20:$Q$117,RIGHT(Analytica!$D70,3))/1000</f>
        <v>376.67962430658605</v>
      </c>
      <c r="AL70" s="943">
        <f>SUMIFS('Vehicle data-proc2023'!AE$20:AE$117,'Vehicle data-proc2023'!$N$20:$N$117,Analytica!$C70,'Vehicle data-proc2023'!$Q$20:$Q$117,RIGHT(Analytica!$D70,3))/1000</f>
        <v>396.59943072780266</v>
      </c>
      <c r="AM70" s="943">
        <f>SUMIFS('Vehicle data-proc2023'!AF$20:AF$117,'Vehicle data-proc2023'!$N$20:$N$117,Analytica!$C70,'Vehicle data-proc2023'!$Q$20:$Q$117,RIGHT(Analytica!$D70,3))/1000</f>
        <v>400.60799761902143</v>
      </c>
      <c r="AN70" s="943">
        <f>SUMIFS('Vehicle data-proc2023'!AG$20:AG$117,'Vehicle data-proc2023'!$N$20:$N$117,Analytica!$C70,'Vehicle data-proc2023'!$Q$20:$Q$117,RIGHT(Analytica!$D70,3))/1000</f>
        <v>404.61656451024021</v>
      </c>
      <c r="AO70" s="943">
        <f>SUMIFS('Vehicle data-proc2023'!AH$20:AH$117,'Vehicle data-proc2023'!$N$20:$N$117,Analytica!$C70,'Vehicle data-proc2023'!$Q$20:$Q$117,RIGHT(Analytica!$D70,3))/1000</f>
        <v>407.70315451742715</v>
      </c>
      <c r="AP70" s="943">
        <f>SUMIFS('Vehicle data-proc2023'!AI$20:AI$117,'Vehicle data-proc2023'!$N$20:$N$117,Analytica!$C70,'Vehicle data-proc2023'!$Q$20:$Q$117,RIGHT(Analytica!$D70,3))/1000</f>
        <v>410.78974452461404</v>
      </c>
      <c r="AQ70" s="943">
        <f>SUMIFS('Vehicle data-proc2023'!AJ$20:AJ$117,'Vehicle data-proc2023'!$N$20:$N$117,Analytica!$C70,'Vehicle data-proc2023'!$Q$20:$Q$117,RIGHT(Analytica!$D70,3))/1000</f>
        <v>414.21103231367636</v>
      </c>
      <c r="AR70" s="942"/>
      <c r="AS70" s="212"/>
      <c r="AT70" s="944">
        <f t="shared" si="39"/>
        <v>2.7E-2</v>
      </c>
      <c r="AU70" s="942">
        <f t="shared" si="40"/>
        <v>10.170349856277824</v>
      </c>
      <c r="AV70" s="942">
        <f t="shared" si="41"/>
        <v>10.708184629650672</v>
      </c>
      <c r="AW70" s="942">
        <f t="shared" si="42"/>
        <v>10.924647241776485</v>
      </c>
      <c r="AX70" s="942">
        <f t="shared" si="43"/>
        <v>11.091323102164578</v>
      </c>
      <c r="AY70" s="945">
        <f t="shared" si="44"/>
        <v>11.183697872469262</v>
      </c>
      <c r="BA70" s="164">
        <f t="shared" si="49"/>
        <v>0</v>
      </c>
      <c r="BB70" s="61" t="s">
        <v>524</v>
      </c>
      <c r="BC70" s="167">
        <f>AJ70*1000</f>
        <v>0</v>
      </c>
      <c r="BE70" s="61" t="s">
        <v>555</v>
      </c>
    </row>
    <row r="71" spans="1:57" x14ac:dyDescent="0.25">
      <c r="A71" s="61" t="str">
        <f t="shared" si="31"/>
        <v>CARHGN</v>
      </c>
      <c r="B71" s="61" t="str">
        <f>D71&amp;C71&amp;"F-N"</f>
        <v>TPPRCARHGNF-N</v>
      </c>
      <c r="C71" s="61" t="s">
        <v>504</v>
      </c>
      <c r="D71" s="61" t="s">
        <v>554</v>
      </c>
      <c r="E71" s="61" t="s">
        <v>553</v>
      </c>
      <c r="F71" s="938">
        <f>F70</f>
        <v>1.9099999999999999E-2</v>
      </c>
      <c r="G71" s="939">
        <f>G70</f>
        <v>21358.407707781298</v>
      </c>
      <c r="H71" s="939">
        <v>20416.763999999999</v>
      </c>
      <c r="I71" s="939">
        <v>18473.85202240953</v>
      </c>
      <c r="J71" s="939">
        <v>15125.110778558552</v>
      </c>
      <c r="K71" s="939">
        <v>8300.8367924841114</v>
      </c>
      <c r="L71" s="939">
        <v>3053.7072004744027</v>
      </c>
      <c r="M71" s="939">
        <f t="shared" si="33"/>
        <v>0.95591227020925162</v>
      </c>
      <c r="N71" s="939">
        <f t="shared" si="34"/>
        <v>0.86494519044503182</v>
      </c>
      <c r="O71" s="939">
        <f t="shared" si="35"/>
        <v>0.70815722714423923</v>
      </c>
      <c r="P71" s="939">
        <f t="shared" si="36"/>
        <v>0.38864492644083898</v>
      </c>
      <c r="Q71" s="939">
        <f t="shared" si="37"/>
        <v>0.14297447835317217</v>
      </c>
      <c r="R71" s="939">
        <f t="shared" si="38"/>
        <v>4.4755783450139569E-5</v>
      </c>
      <c r="S71" s="212">
        <f>S67/FuelCell!B39*(1+T57)^6</f>
        <v>4.7240246984327534</v>
      </c>
      <c r="T71" s="939">
        <f t="shared" si="50"/>
        <v>4.3203199052132701</v>
      </c>
      <c r="U71" s="939">
        <f t="shared" si="50"/>
        <v>3.8351960382366475</v>
      </c>
      <c r="V71" s="939">
        <f t="shared" si="50"/>
        <v>3.3046627533792616</v>
      </c>
      <c r="W71" s="939">
        <f t="shared" si="50"/>
        <v>2.8475196064797208</v>
      </c>
      <c r="X71" s="939">
        <f t="shared" si="50"/>
        <v>2.4536143365900256</v>
      </c>
      <c r="Y71" s="212"/>
      <c r="Z71" s="941">
        <f>(1/S71*100)/GasolineLHV</f>
        <v>0.63859949283016149</v>
      </c>
      <c r="AA71" s="941">
        <f>1/SUMIFS('Vehicle data-proc2023'!AL$20:AL$117,'Vehicle data-proc2023'!$N$20:$N$117,Analytica!$C71,'Vehicle data-proc2023'!$Q$20:$Q$117,RIGHT(Analytica!$D71,3))</f>
        <v>0.92039549793810016</v>
      </c>
      <c r="AB71" s="941">
        <f>1/SUMIFS('Vehicle data-proc2023'!AM$20:AM$117,'Vehicle data-proc2023'!$N$20:$N$117,Analytica!$C71,'Vehicle data-proc2023'!$Q$20:$Q$117,RIGHT(Analytica!$D71,3))</f>
        <v>0.93434064891574875</v>
      </c>
      <c r="AC71" s="941">
        <f>1/SUMIFS('Vehicle data-proc2023'!AN$20:AN$117,'Vehicle data-proc2023'!$N$20:$N$117,Analytica!$C71,'Vehicle data-proc2023'!$Q$20:$Q$117,RIGHT(Analytica!$D71,3))</f>
        <v>1.0073956914575406</v>
      </c>
      <c r="AD71" s="941">
        <f>1/SUMIFS('Vehicle data-proc2023'!AO$20:AO$117,'Vehicle data-proc2023'!$N$20:$N$117,Analytica!$C71,'Vehicle data-proc2023'!$Q$20:$Q$117,RIGHT(Analytica!$D71,3))</f>
        <v>1.1139049736780038</v>
      </c>
      <c r="AE71" s="941">
        <f>1/SUMIFS('Vehicle data-proc2023'!AP$20:AP$117,'Vehicle data-proc2023'!$N$20:$N$117,Analytica!$C71,'Vehicle data-proc2023'!$Q$20:$Q$117,RIGHT(Analytica!$D71,3))</f>
        <v>1.2316752006248683</v>
      </c>
      <c r="AF71" s="941"/>
      <c r="AG71" s="212"/>
      <c r="AH71" s="942"/>
      <c r="AI71" s="942"/>
      <c r="AJ71" s="942"/>
      <c r="AK71" s="943">
        <f>SUMIFS('Vehicle data-proc2023'!AD$20:AD$117,'Vehicle data-proc2023'!$N$20:$N$117,Analytica!$C71,'Vehicle data-proc2023'!$Q$20:$Q$117,RIGHT(Analytica!$D71,3))/1000</f>
        <v>2407.968537520615</v>
      </c>
      <c r="AL71" s="943">
        <f>SUMIFS('Vehicle data-proc2023'!AE$20:AE$117,'Vehicle data-proc2023'!$N$20:$N$117,Analytica!$C71,'Vehicle data-proc2023'!$Q$20:$Q$117,RIGHT(Analytica!$D71,3))/1000</f>
        <v>951.98439745383337</v>
      </c>
      <c r="AM71" s="943">
        <f>SUMIFS('Vehicle data-proc2023'!AF$20:AF$117,'Vehicle data-proc2023'!$N$20:$N$117,Analytica!$C71,'Vehicle data-proc2023'!$Q$20:$Q$117,RIGHT(Analytica!$D71,3))/1000</f>
        <v>726.2399337464426</v>
      </c>
      <c r="AN71" s="943">
        <f>SUMIFS('Vehicle data-proc2023'!AG$20:AG$117,'Vehicle data-proc2023'!$N$20:$N$117,Analytica!$C71,'Vehicle data-proc2023'!$Q$20:$Q$117,RIGHT(Analytica!$D71,3))/1000</f>
        <v>500.49547003905155</v>
      </c>
      <c r="AO71" s="943">
        <f>SUMIFS('Vehicle data-proc2023'!AH$20:AH$117,'Vehicle data-proc2023'!$N$20:$N$117,Analytica!$C71,'Vehicle data-proc2023'!$Q$20:$Q$117,RIGHT(Analytica!$D71,3))/1000</f>
        <v>473.72416276051706</v>
      </c>
      <c r="AP71" s="943">
        <f>SUMIFS('Vehicle data-proc2023'!AI$20:AI$117,'Vehicle data-proc2023'!$N$20:$N$117,Analytica!$C71,'Vehicle data-proc2023'!$Q$20:$Q$117,RIGHT(Analytica!$D71,3))/1000</f>
        <v>446.95285548198251</v>
      </c>
      <c r="AQ71" s="943">
        <f>SUMIFS('Vehicle data-proc2023'!AJ$20:AJ$117,'Vehicle data-proc2023'!$N$20:$N$117,Analytica!$C71,'Vehicle data-proc2023'!$Q$20:$Q$117,RIGHT(Analytica!$D71,3))/1000</f>
        <v>257.17260066817499</v>
      </c>
      <c r="AR71" s="942"/>
      <c r="AS71" s="212"/>
      <c r="AT71" s="944">
        <f t="shared" si="39"/>
        <v>2.7E-2</v>
      </c>
      <c r="AU71" s="942">
        <f t="shared" si="40"/>
        <v>65.015150513056597</v>
      </c>
      <c r="AV71" s="942">
        <f t="shared" si="41"/>
        <v>25.703578731253501</v>
      </c>
      <c r="AW71" s="942">
        <f t="shared" si="42"/>
        <v>13.513377691054393</v>
      </c>
      <c r="AX71" s="942">
        <f t="shared" si="43"/>
        <v>12.067727098013528</v>
      </c>
      <c r="AY71" s="945">
        <f t="shared" si="44"/>
        <v>6.9436602180407245</v>
      </c>
      <c r="BA71" s="164">
        <f t="shared" si="49"/>
        <v>0</v>
      </c>
      <c r="BC71" s="167"/>
    </row>
    <row r="72" spans="1:57" x14ac:dyDescent="0.25">
      <c r="A72" s="61" t="str">
        <f t="shared" si="31"/>
        <v>CV1ODS</v>
      </c>
      <c r="B72" s="61" t="str">
        <f t="shared" ref="B72:B113" si="51">D72&amp;C72&amp;"-N"</f>
        <v>TFHCV1ODS-N</v>
      </c>
      <c r="C72" s="61" t="s">
        <v>511</v>
      </c>
      <c r="D72" s="61" t="s">
        <v>551</v>
      </c>
      <c r="E72" t="s">
        <v>266</v>
      </c>
      <c r="F72" s="938">
        <f t="shared" ref="F72:F81" si="52">INDEX($F$17:$F$49,MATCH($E72,$E$17:$E$49,0))</f>
        <v>5.5E-2</v>
      </c>
      <c r="G72" s="939">
        <f t="shared" ref="G72:G81" si="53">G23</f>
        <v>30805.1279861556</v>
      </c>
      <c r="H72" s="939">
        <f t="shared" ref="H72:L81" si="54">(EXP(-((H$58)*$F72))*G72)</f>
        <v>30805.1279861556</v>
      </c>
      <c r="I72" s="939">
        <f t="shared" si="54"/>
        <v>23398.716470661107</v>
      </c>
      <c r="J72" s="939">
        <f t="shared" si="54"/>
        <v>13499.885030894695</v>
      </c>
      <c r="K72" s="939">
        <f t="shared" si="54"/>
        <v>2592.6516865740127</v>
      </c>
      <c r="L72" s="939">
        <f t="shared" si="54"/>
        <v>165.74267717663977</v>
      </c>
      <c r="M72" s="939">
        <f t="shared" si="33"/>
        <v>1</v>
      </c>
      <c r="N72" s="939">
        <f t="shared" si="34"/>
        <v>0.75957212322496848</v>
      </c>
      <c r="O72" s="939">
        <f t="shared" si="35"/>
        <v>0.43823499246494918</v>
      </c>
      <c r="P72" s="939">
        <f t="shared" si="36"/>
        <v>8.4162990257310374E-2</v>
      </c>
      <c r="Q72" s="939">
        <f t="shared" si="37"/>
        <v>5.3803599599108187E-3</v>
      </c>
      <c r="R72" s="939">
        <f t="shared" si="38"/>
        <v>3.2462127748646868E-5</v>
      </c>
      <c r="S72" s="212">
        <v>14.46</v>
      </c>
      <c r="T72" s="942">
        <v>13.9</v>
      </c>
      <c r="U72" s="939">
        <f>T72/((1+U$53)^(U$58-T$58))</f>
        <v>13.093458068993115</v>
      </c>
      <c r="V72" s="939">
        <f>U72/((1+V$53)^(V$58-U$58))</f>
        <v>12.150770373951501</v>
      </c>
      <c r="W72" s="939">
        <f>V72/((1+W$53)^(W$58-V$58))</f>
        <v>11.275953220496399</v>
      </c>
      <c r="X72" s="939">
        <f>W72/((1+X$53)^(X$58-W$58))</f>
        <v>10.464120143641077</v>
      </c>
      <c r="Y72" s="212"/>
      <c r="Z72" s="941">
        <f t="shared" ref="Z72:Z81" si="55">SUMIF($AC$56:$AC$57,$C72,$AD$56:$AD$57)/S72</f>
        <v>0.17621385757647159</v>
      </c>
      <c r="AA72" s="941">
        <f>1/SUMIFS('Vehicle data-proc2023'!AL$20:AL$117,'Vehicle data-proc2023'!$N$20:$N$117,Analytica!$C72,'Vehicle data-proc2023'!$Q$20:$Q$117,RIGHT(Analytica!$D72,3))</f>
        <v>0.170324176066042</v>
      </c>
      <c r="AB72" s="941">
        <f>1/SUMIFS('Vehicle data-proc2023'!AM$20:AM$117,'Vehicle data-proc2023'!$N$20:$N$117,Analytica!$C72,'Vehicle data-proc2023'!$Q$20:$Q$117,RIGHT(Analytica!$D72,3))</f>
        <v>0.17083617224509673</v>
      </c>
      <c r="AC72" s="941">
        <f>1/SUMIFS('Vehicle data-proc2023'!AN$20:AN$117,'Vehicle data-proc2023'!$N$20:$N$117,Analytica!$C72,'Vehicle data-proc2023'!$Q$20:$Q$117,RIGHT(Analytica!$D72,3))</f>
        <v>0.18052275694934541</v>
      </c>
      <c r="AD72" s="941">
        <f>1/SUMIFS('Vehicle data-proc2023'!AO$20:AO$117,'Vehicle data-proc2023'!$N$20:$N$117,Analytica!$C72,'Vehicle data-proc2023'!$Q$20:$Q$117,RIGHT(Analytica!$D72,3))</f>
        <v>0.19960895061701436</v>
      </c>
      <c r="AE72" s="941">
        <f>1/SUMIFS('Vehicle data-proc2023'!AP$20:AP$117,'Vehicle data-proc2023'!$N$20:$N$117,Analytica!$C72,'Vehicle data-proc2023'!$Q$20:$Q$117,RIGHT(Analytica!$D72,3))</f>
        <v>0.22071307706432722</v>
      </c>
      <c r="AF72" s="941"/>
      <c r="AG72" s="212"/>
      <c r="AH72" s="942">
        <v>489.02730000000003</v>
      </c>
      <c r="AI72" s="953">
        <v>295.00710125625767</v>
      </c>
      <c r="AJ72" s="942"/>
      <c r="AK72" s="943">
        <f>SUMIFS('Vehicle data-proc2023'!AD$20:AD$117,'Vehicle data-proc2023'!$N$20:$N$117,Analytica!$C72,'Vehicle data-proc2023'!$Q$20:$Q$117,RIGHT(Analytica!$D72,3))/1000</f>
        <v>396.20416314100021</v>
      </c>
      <c r="AL72" s="943">
        <f>SUMIFS('Vehicle data-proc2023'!AE$20:AE$117,'Vehicle data-proc2023'!$N$20:$N$117,Analytica!$C72,'Vehicle data-proc2023'!$Q$20:$Q$117,RIGHT(Analytica!$D72,3))/1000</f>
        <v>402.00166891362699</v>
      </c>
      <c r="AM72" s="943">
        <f>SUMIFS('Vehicle data-proc2023'!AF$20:AF$117,'Vehicle data-proc2023'!$N$20:$N$117,Analytica!$C72,'Vehicle data-proc2023'!$Q$20:$Q$117,RIGHT(Analytica!$D72,3))/1000</f>
        <v>387.50790448205998</v>
      </c>
      <c r="AN72" s="943">
        <f>SUMIFS('Vehicle data-proc2023'!AG$20:AG$117,'Vehicle data-proc2023'!$N$20:$N$117,Analytica!$C72,'Vehicle data-proc2023'!$Q$20:$Q$117,RIGHT(Analytica!$D72,3))/1000</f>
        <v>399.39253951289021</v>
      </c>
      <c r="AO72" s="943">
        <f>SUMIFS('Vehicle data-proc2023'!AH$20:AH$117,'Vehicle data-proc2023'!$N$20:$N$117,Analytica!$C72,'Vehicle data-proc2023'!$Q$20:$Q$117,RIGHT(Analytica!$D72,3))/1000</f>
        <v>410.03542818395528</v>
      </c>
      <c r="AP72" s="943">
        <f>SUMIFS('Vehicle data-proc2023'!AI$20:AI$117,'Vehicle data-proc2023'!$N$20:$N$117,Analytica!$C72,'Vehicle data-proc2023'!$Q$20:$Q$117,RIGHT(Analytica!$D72,3))/1000</f>
        <v>420.67831685502017</v>
      </c>
      <c r="AQ72" s="943">
        <f>SUMIFS('Vehicle data-proc2023'!AJ$20:AJ$117,'Vehicle data-proc2023'!$N$20:$N$117,Analytica!$C72,'Vehicle data-proc2023'!$Q$20:$Q$117,RIGHT(Analytica!$D72,3))/1000</f>
        <v>434.65442291837672</v>
      </c>
      <c r="AR72" s="942"/>
      <c r="AS72" s="212"/>
      <c r="AT72" s="944">
        <f t="shared" si="39"/>
        <v>2.7E-2</v>
      </c>
      <c r="AU72" s="942">
        <f t="shared" si="40"/>
        <v>10.697512404807005</v>
      </c>
      <c r="AV72" s="942">
        <f t="shared" si="41"/>
        <v>10.854045060667929</v>
      </c>
      <c r="AW72" s="942">
        <f t="shared" si="42"/>
        <v>10.783598566848035</v>
      </c>
      <c r="AX72" s="942">
        <f t="shared" si="43"/>
        <v>11.358314555085544</v>
      </c>
      <c r="AY72" s="945">
        <f t="shared" si="44"/>
        <v>11.735669418796171</v>
      </c>
      <c r="BA72" s="164">
        <f t="shared" si="49"/>
        <v>1</v>
      </c>
      <c r="BB72" s="61" t="s">
        <v>477</v>
      </c>
      <c r="BC72" s="167">
        <f>AJ72*1000</f>
        <v>0</v>
      </c>
    </row>
    <row r="73" spans="1:57" s="168" customFormat="1" x14ac:dyDescent="0.25">
      <c r="A73" s="61" t="str">
        <f t="shared" si="31"/>
        <v>CV1OGS</v>
      </c>
      <c r="B73" s="168" t="str">
        <f t="shared" si="51"/>
        <v>TFHCV1OGS-N</v>
      </c>
      <c r="C73" s="168" t="s">
        <v>573</v>
      </c>
      <c r="D73" s="168" t="s">
        <v>551</v>
      </c>
      <c r="E73" s="174" t="s">
        <v>552</v>
      </c>
      <c r="F73" s="938">
        <f t="shared" si="52"/>
        <v>4.8000000000000001E-2</v>
      </c>
      <c r="G73" s="954">
        <f t="shared" si="53"/>
        <v>17100.2801251579</v>
      </c>
      <c r="H73" s="955">
        <f t="shared" si="54"/>
        <v>17100.2801251579</v>
      </c>
      <c r="I73" s="955">
        <f t="shared" si="54"/>
        <v>13451.556778491855</v>
      </c>
      <c r="J73" s="955">
        <f t="shared" si="54"/>
        <v>8323.5999284680747</v>
      </c>
      <c r="K73" s="955">
        <f t="shared" si="54"/>
        <v>1972.0918752186101</v>
      </c>
      <c r="L73" s="955">
        <f t="shared" si="54"/>
        <v>178.90413861851181</v>
      </c>
      <c r="M73" s="955">
        <f t="shared" si="33"/>
        <v>1</v>
      </c>
      <c r="N73" s="955">
        <f t="shared" si="34"/>
        <v>0.78662786106655347</v>
      </c>
      <c r="O73" s="955">
        <f t="shared" si="35"/>
        <v>0.48675225595997168</v>
      </c>
      <c r="P73" s="955">
        <f t="shared" si="36"/>
        <v>0.11532512103806254</v>
      </c>
      <c r="Q73" s="955">
        <f t="shared" si="37"/>
        <v>1.0462058943426802E-2</v>
      </c>
      <c r="R73" s="955">
        <f t="shared" si="38"/>
        <v>5.8478574191822851E-5</v>
      </c>
      <c r="S73" s="952">
        <f t="shared" ref="S73:X73" si="56">$AD$54*S72</f>
        <v>12.49757142857143</v>
      </c>
      <c r="T73" s="952">
        <f t="shared" si="56"/>
        <v>12.01357142857143</v>
      </c>
      <c r="U73" s="952">
        <f t="shared" si="56"/>
        <v>11.316488759629765</v>
      </c>
      <c r="V73" s="952">
        <f t="shared" si="56"/>
        <v>10.501737251772369</v>
      </c>
      <c r="W73" s="952">
        <f t="shared" si="56"/>
        <v>9.745645283429031</v>
      </c>
      <c r="X73" s="952">
        <f t="shared" si="56"/>
        <v>9.0439895527183598</v>
      </c>
      <c r="Y73" s="952"/>
      <c r="Z73" s="941">
        <f t="shared" si="55"/>
        <v>0.23396358443708967</v>
      </c>
      <c r="AA73" s="941">
        <f>1/SUMIFS('Vehicle data-proc2023'!AL$20:AL$117,'Vehicle data-proc2023'!$N$20:$N$117,Analytica!$C73,'Vehicle data-proc2023'!$Q$20:$Q$117,RIGHT(Analytica!$D73,3))</f>
        <v>0.14896435210389899</v>
      </c>
      <c r="AB73" s="941">
        <f>1/SUMIFS('Vehicle data-proc2023'!AM$20:AM$117,'Vehicle data-proc2023'!$N$20:$N$117,Analytica!$C73,'Vehicle data-proc2023'!$Q$20:$Q$117,RIGHT(Analytica!$D73,3))</f>
        <v>0.14941214043820444</v>
      </c>
      <c r="AC73" s="941">
        <f>1/SUMIFS('Vehicle data-proc2023'!AN$20:AN$117,'Vehicle data-proc2023'!$N$20:$N$117,Analytica!$C73,'Vehicle data-proc2023'!$Q$20:$Q$117,RIGHT(Analytica!$D73,3))</f>
        <v>0.15788396075106742</v>
      </c>
      <c r="AD73" s="941">
        <f>1/SUMIFS('Vehicle data-proc2023'!AO$20:AO$117,'Vehicle data-proc2023'!$N$20:$N$117,Analytica!$C73,'Vehicle data-proc2023'!$Q$20:$Q$117,RIGHT(Analytica!$D73,3))</f>
        <v>0.17457661436902142</v>
      </c>
      <c r="AE73" s="941">
        <f>1/SUMIFS('Vehicle data-proc2023'!AP$20:AP$117,'Vehicle data-proc2023'!$N$20:$N$117,Analytica!$C73,'Vehicle data-proc2023'!$Q$20:$Q$117,RIGHT(Analytica!$D73,3))</f>
        <v>0.19303413810730588</v>
      </c>
      <c r="AF73" s="941"/>
      <c r="AG73" s="952"/>
      <c r="AH73" s="956"/>
      <c r="AI73" s="953">
        <v>199.83569076305221</v>
      </c>
      <c r="AJ73" s="957"/>
      <c r="AK73" s="943">
        <f>SUMIFS('Vehicle data-proc2023'!AD$20:AD$117,'Vehicle data-proc2023'!$N$20:$N$117,Analytica!$C73,'Vehicle data-proc2023'!$Q$20:$Q$117,RIGHT(Analytica!$D73,3))/1000</f>
        <v>312.16401684913149</v>
      </c>
      <c r="AL73" s="943">
        <f>SUMIFS('Vehicle data-proc2023'!AE$20:AE$117,'Vehicle data-proc2023'!$N$20:$N$117,Analytica!$C73,'Vehicle data-proc2023'!$Q$20:$Q$117,RIGHT(Analytica!$D73,3))/1000</f>
        <v>375.62326945122987</v>
      </c>
      <c r="AM73" s="943">
        <f>SUMIFS('Vehicle data-proc2023'!AF$20:AF$117,'Vehicle data-proc2023'!$N$20:$N$117,Analytica!$C73,'Vehicle data-proc2023'!$Q$20:$Q$117,RIGHT(Analytica!$D73,3))/1000</f>
        <v>387.50790448205998</v>
      </c>
      <c r="AN73" s="943">
        <f>SUMIFS('Vehicle data-proc2023'!AG$20:AG$117,'Vehicle data-proc2023'!$N$20:$N$117,Analytica!$C73,'Vehicle data-proc2023'!$Q$20:$Q$117,RIGHT(Analytica!$D73,3))/1000</f>
        <v>399.39253951289021</v>
      </c>
      <c r="AO73" s="943">
        <f>SUMIFS('Vehicle data-proc2023'!AH$20:AH$117,'Vehicle data-proc2023'!$N$20:$N$117,Analytica!$C73,'Vehicle data-proc2023'!$Q$20:$Q$117,RIGHT(Analytica!$D73,3))/1000</f>
        <v>410.03542818395528</v>
      </c>
      <c r="AP73" s="943">
        <f>SUMIFS('Vehicle data-proc2023'!AI$20:AI$117,'Vehicle data-proc2023'!$N$20:$N$117,Analytica!$C73,'Vehicle data-proc2023'!$Q$20:$Q$117,RIGHT(Analytica!$D73,3))/1000</f>
        <v>420.67831685502017</v>
      </c>
      <c r="AQ73" s="943">
        <f>SUMIFS('Vehicle data-proc2023'!AJ$20:AJ$117,'Vehicle data-proc2023'!$N$20:$N$117,Analytica!$C73,'Vehicle data-proc2023'!$Q$20:$Q$117,RIGHT(Analytica!$D73,3))/1000</f>
        <v>434.65442291837672</v>
      </c>
      <c r="AR73" s="956"/>
      <c r="AS73" s="958">
        <f>(1+'Vehicle data-proc2023'!$J$106)*AT73</f>
        <v>2.4299999999999999E-2</v>
      </c>
      <c r="AT73" s="958">
        <f t="shared" si="39"/>
        <v>2.7E-2</v>
      </c>
      <c r="AU73" s="942">
        <f t="shared" si="40"/>
        <v>8.42842845492655</v>
      </c>
      <c r="AV73" s="942">
        <f t="shared" si="41"/>
        <v>10.141828275183206</v>
      </c>
      <c r="AW73" s="942">
        <f t="shared" si="42"/>
        <v>10.783598566848035</v>
      </c>
      <c r="AX73" s="942">
        <f t="shared" si="43"/>
        <v>11.358314555085544</v>
      </c>
      <c r="AY73" s="945">
        <f t="shared" si="44"/>
        <v>11.735669418796171</v>
      </c>
      <c r="BA73" s="173">
        <f t="shared" si="49"/>
        <v>0</v>
      </c>
      <c r="BC73" s="172"/>
    </row>
    <row r="74" spans="1:57" x14ac:dyDescent="0.25">
      <c r="A74" s="61" t="str">
        <f t="shared" si="31"/>
        <v>CV2ODS</v>
      </c>
      <c r="B74" s="61" t="str">
        <f t="shared" si="51"/>
        <v>TFHCV2ODS-N</v>
      </c>
      <c r="C74" s="61" t="s">
        <v>511</v>
      </c>
      <c r="D74" s="61" t="s">
        <v>549</v>
      </c>
      <c r="E74" t="s">
        <v>263</v>
      </c>
      <c r="F74" s="938">
        <f t="shared" si="52"/>
        <v>4.8000000000000001E-2</v>
      </c>
      <c r="G74" s="939">
        <f t="shared" si="53"/>
        <v>30096.280108149898</v>
      </c>
      <c r="H74" s="939">
        <f t="shared" si="54"/>
        <v>30096.280108149898</v>
      </c>
      <c r="I74" s="939">
        <f t="shared" si="54"/>
        <v>23674.572447533814</v>
      </c>
      <c r="J74" s="939">
        <f t="shared" si="54"/>
        <v>14649.432238645182</v>
      </c>
      <c r="K74" s="939">
        <f t="shared" si="54"/>
        <v>3470.8571462678206</v>
      </c>
      <c r="L74" s="939">
        <f t="shared" si="54"/>
        <v>314.86905646934775</v>
      </c>
      <c r="M74" s="939">
        <f t="shared" si="33"/>
        <v>1</v>
      </c>
      <c r="N74" s="939">
        <f t="shared" si="34"/>
        <v>0.78662786106655347</v>
      </c>
      <c r="O74" s="939">
        <f t="shared" si="35"/>
        <v>0.48675225595997162</v>
      </c>
      <c r="P74" s="939">
        <f t="shared" si="36"/>
        <v>0.11532512103806253</v>
      </c>
      <c r="Q74" s="939">
        <f t="shared" si="37"/>
        <v>1.04620589434268E-2</v>
      </c>
      <c r="R74" s="939">
        <f t="shared" si="38"/>
        <v>3.3226697665177755E-5</v>
      </c>
      <c r="S74" s="212">
        <v>22.685167417999999</v>
      </c>
      <c r="T74" s="942">
        <v>21.8</v>
      </c>
      <c r="U74" s="939">
        <f t="shared" ref="U74:X81" si="57">S74/((1+U$53)^(U$58-T$58))</f>
        <v>21.368869667314517</v>
      </c>
      <c r="V74" s="939">
        <f t="shared" si="57"/>
        <v>20.230468739150471</v>
      </c>
      <c r="W74" s="939">
        <f t="shared" si="57"/>
        <v>19.830378430990233</v>
      </c>
      <c r="X74" s="939">
        <f t="shared" si="57"/>
        <v>18.773938780080019</v>
      </c>
      <c r="Y74" s="212"/>
      <c r="Z74" s="941">
        <f t="shared" si="55"/>
        <v>0.1123223969920529</v>
      </c>
      <c r="AA74" s="941">
        <f>1/SUMIFS('Vehicle data-proc2023'!AL$20:AL$117,'Vehicle data-proc2023'!$N$20:$N$117,Analytica!$C74,'Vehicle data-proc2023'!$Q$20:$Q$117,RIGHT(Analytica!$D74,3))</f>
        <v>0.13643182834537301</v>
      </c>
      <c r="AB74" s="941">
        <f>1/SUMIFS('Vehicle data-proc2023'!AM$20:AM$117,'Vehicle data-proc2023'!$N$20:$N$117,Analytica!$C74,'Vehicle data-proc2023'!$Q$20:$Q$117,RIGHT(Analytica!$D74,3))</f>
        <v>0.13684194378774683</v>
      </c>
      <c r="AC74" s="941">
        <f>1/SUMIFS('Vehicle data-proc2023'!AN$20:AN$117,'Vehicle data-proc2023'!$N$20:$N$117,Analytica!$C74,'Vehicle data-proc2023'!$Q$20:$Q$117,RIGHT(Analytica!$D74,3))</f>
        <v>0.14460102116681806</v>
      </c>
      <c r="AD74" s="941">
        <f>1/SUMIFS('Vehicle data-proc2023'!AO$20:AO$117,'Vehicle data-proc2023'!$N$20:$N$117,Analytica!$C74,'Vehicle data-proc2023'!$Q$20:$Q$117,RIGHT(Analytica!$D74,3))</f>
        <v>0.15988930471162904</v>
      </c>
      <c r="AE74" s="941">
        <f>1/SUMIFS('Vehicle data-proc2023'!AP$20:AP$117,'Vehicle data-proc2023'!$N$20:$N$117,Analytica!$C74,'Vehicle data-proc2023'!$Q$20:$Q$117,RIGHT(Analytica!$D74,3))</f>
        <v>0.17679397804304392</v>
      </c>
      <c r="AF74" s="941"/>
      <c r="AG74" s="212"/>
      <c r="AH74" s="942"/>
      <c r="AI74" s="953">
        <v>381.46697397769515</v>
      </c>
      <c r="AJ74" s="942"/>
      <c r="AK74" s="943">
        <f>SUMIFS('Vehicle data-proc2023'!AD$20:AD$117,'Vehicle data-proc2023'!$N$20:$N$117,Analytica!$C74,'Vehicle data-proc2023'!$Q$20:$Q$117,RIGHT(Analytica!$D74,3))/1000</f>
        <v>396.20416314100021</v>
      </c>
      <c r="AL74" s="943">
        <f>SUMIFS('Vehicle data-proc2023'!AE$20:AE$117,'Vehicle data-proc2023'!$N$20:$N$117,Analytica!$C74,'Vehicle data-proc2023'!$Q$20:$Q$117,RIGHT(Analytica!$D74,3))/1000</f>
        <v>476.74778352540619</v>
      </c>
      <c r="AM74" s="943">
        <f>SUMIFS('Vehicle data-proc2023'!AF$20:AF$117,'Vehicle data-proc2023'!$N$20:$N$117,Analytica!$C74,'Vehicle data-proc2023'!$Q$20:$Q$117,RIGHT(Analytica!$D74,3))/1000</f>
        <v>491.83197524024433</v>
      </c>
      <c r="AN74" s="943">
        <f>SUMIFS('Vehicle data-proc2023'!AG$20:AG$117,'Vehicle data-proc2023'!$N$20:$N$117,Analytica!$C74,'Vehicle data-proc2023'!$Q$20:$Q$117,RIGHT(Analytica!$D74,3))/1000</f>
        <v>506.91616695508259</v>
      </c>
      <c r="AO74" s="943">
        <f>SUMIFS('Vehicle data-proc2023'!AH$20:AH$117,'Vehicle data-proc2023'!$N$20:$N$117,Analytica!$C74,'Vehicle data-proc2023'!$Q$20:$Q$117,RIGHT(Analytica!$D74,3))/1000</f>
        <v>520.42431194208189</v>
      </c>
      <c r="AP74" s="943">
        <f>SUMIFS('Vehicle data-proc2023'!AI$20:AI$117,'Vehicle data-proc2023'!$N$20:$N$117,Analytica!$C74,'Vehicle data-proc2023'!$Q$20:$Q$117,RIGHT(Analytica!$D74,3))/1000</f>
        <v>533.93245692908113</v>
      </c>
      <c r="AQ74" s="943">
        <f>SUMIFS('Vehicle data-proc2023'!AJ$20:AJ$117,'Vehicle data-proc2023'!$N$20:$N$117,Analytica!$C74,'Vehicle data-proc2023'!$Q$20:$Q$117,RIGHT(Analytica!$D74,3))/1000</f>
        <v>551.67118115070787</v>
      </c>
      <c r="AR74" s="942"/>
      <c r="AS74" s="212"/>
      <c r="AT74" s="944">
        <f t="shared" si="39"/>
        <v>2.7E-2</v>
      </c>
      <c r="AU74" s="942">
        <f t="shared" si="40"/>
        <v>10.697512404807005</v>
      </c>
      <c r="AV74" s="942">
        <f t="shared" si="41"/>
        <v>12.872190155185967</v>
      </c>
      <c r="AW74" s="942">
        <f t="shared" si="42"/>
        <v>13.686736507787229</v>
      </c>
      <c r="AX74" s="942">
        <f t="shared" si="43"/>
        <v>14.41617633708519</v>
      </c>
      <c r="AY74" s="945">
        <f t="shared" si="44"/>
        <v>14.895121891069111</v>
      </c>
      <c r="BA74" s="164">
        <f t="shared" si="49"/>
        <v>1</v>
      </c>
      <c r="BC74" s="167"/>
    </row>
    <row r="75" spans="1:57" x14ac:dyDescent="0.25">
      <c r="A75" s="61" t="str">
        <f t="shared" si="31"/>
        <v>CV3ODS</v>
      </c>
      <c r="B75" s="61" t="str">
        <f t="shared" si="51"/>
        <v>TFHCV3ODS-N</v>
      </c>
      <c r="C75" s="61" t="s">
        <v>511</v>
      </c>
      <c r="D75" s="61" t="s">
        <v>547</v>
      </c>
      <c r="E75" t="s">
        <v>261</v>
      </c>
      <c r="F75" s="938">
        <f t="shared" si="52"/>
        <v>8.4999999999999992E-2</v>
      </c>
      <c r="G75" s="939">
        <f t="shared" si="53"/>
        <v>54512.527353451602</v>
      </c>
      <c r="H75" s="939">
        <f t="shared" si="54"/>
        <v>54512.527353451602</v>
      </c>
      <c r="I75" s="939">
        <f t="shared" si="54"/>
        <v>35638.643294750975</v>
      </c>
      <c r="J75" s="939">
        <f t="shared" si="54"/>
        <v>15232.488298570934</v>
      </c>
      <c r="K75" s="939">
        <f t="shared" si="54"/>
        <v>1189.3780636954896</v>
      </c>
      <c r="L75" s="939">
        <f t="shared" si="54"/>
        <v>16.965566906785078</v>
      </c>
      <c r="M75" s="939">
        <f t="shared" si="33"/>
        <v>1</v>
      </c>
      <c r="N75" s="939">
        <f t="shared" si="34"/>
        <v>0.65376978512984729</v>
      </c>
      <c r="O75" s="939">
        <f t="shared" si="35"/>
        <v>0.27943096822140734</v>
      </c>
      <c r="P75" s="939">
        <f t="shared" si="36"/>
        <v>2.1818435531042773E-2</v>
      </c>
      <c r="Q75" s="939">
        <f t="shared" si="37"/>
        <v>3.112232679432145E-4</v>
      </c>
      <c r="R75" s="939">
        <f t="shared" si="38"/>
        <v>1.8344407213339054E-5</v>
      </c>
      <c r="S75" s="212">
        <v>23.101409021999999</v>
      </c>
      <c r="T75" s="942">
        <v>22.2</v>
      </c>
      <c r="U75" s="939">
        <f t="shared" si="57"/>
        <v>21.760959019008361</v>
      </c>
      <c r="V75" s="939">
        <f t="shared" si="57"/>
        <v>20.601670000419286</v>
      </c>
      <c r="W75" s="939">
        <f t="shared" si="57"/>
        <v>20.194238585687302</v>
      </c>
      <c r="X75" s="939">
        <f t="shared" si="57"/>
        <v>19.118414720998921</v>
      </c>
      <c r="Y75" s="212"/>
      <c r="Z75" s="941">
        <f t="shared" si="55"/>
        <v>0.11029857001922312</v>
      </c>
      <c r="AA75" s="941">
        <f>1/SUMIFS('Vehicle data-proc2023'!AL$20:AL$117,'Vehicle data-proc2023'!$N$20:$N$117,Analytica!$C75,'Vehicle data-proc2023'!$Q$20:$Q$117,RIGHT(Analytica!$D75,3))</f>
        <v>0.119281768417066</v>
      </c>
      <c r="AB75" s="941">
        <f>1/SUMIFS('Vehicle data-proc2023'!AM$20:AM$117,'Vehicle data-proc2023'!$N$20:$N$117,Analytica!$C75,'Vehicle data-proc2023'!$Q$20:$Q$117,RIGHT(Analytica!$D75,3))</f>
        <v>0.11964033060753712</v>
      </c>
      <c r="AC75" s="941">
        <f>1/SUMIFS('Vehicle data-proc2023'!AN$20:AN$117,'Vehicle data-proc2023'!$N$20:$N$117,Analytica!$C75,'Vehicle data-proc2023'!$Q$20:$Q$117,RIGHT(Analytica!$D75,3))</f>
        <v>0.12642405902549511</v>
      </c>
      <c r="AD75" s="941">
        <f>1/SUMIFS('Vehicle data-proc2023'!AO$20:AO$117,'Vehicle data-proc2023'!$N$20:$N$117,Analytica!$C75,'Vehicle data-proc2023'!$Q$20:$Q$117,RIGHT(Analytica!$D75,3))</f>
        <v>0.13979054043531805</v>
      </c>
      <c r="AE75" s="941">
        <f>1/SUMIFS('Vehicle data-proc2023'!AP$20:AP$117,'Vehicle data-proc2023'!$N$20:$N$117,Analytica!$C75,'Vehicle data-proc2023'!$Q$20:$Q$117,RIGHT(Analytica!$D75,3))</f>
        <v>0.15457022457456068</v>
      </c>
      <c r="AF75" s="941"/>
      <c r="AG75" s="212"/>
      <c r="AH75" s="942"/>
      <c r="AI75" s="953">
        <v>529.30025038783742</v>
      </c>
      <c r="AJ75" s="942"/>
      <c r="AK75" s="943">
        <f>SUMIFS('Vehicle data-proc2023'!AD$20:AD$117,'Vehicle data-proc2023'!$N$20:$N$117,Analytica!$C75,'Vehicle data-proc2023'!$Q$20:$Q$117,RIGHT(Analytica!$D75,3))/1000</f>
        <v>396.20416314100021</v>
      </c>
      <c r="AL75" s="943">
        <f>SUMIFS('Vehicle data-proc2023'!AE$20:AE$117,'Vehicle data-proc2023'!$N$20:$N$117,Analytica!$C75,'Vehicle data-proc2023'!$Q$20:$Q$117,RIGHT(Analytica!$D75,3))/1000</f>
        <v>476.74778352540619</v>
      </c>
      <c r="AM75" s="943">
        <f>SUMIFS('Vehicle data-proc2023'!AF$20:AF$117,'Vehicle data-proc2023'!$N$20:$N$117,Analytica!$C75,'Vehicle data-proc2023'!$Q$20:$Q$117,RIGHT(Analytica!$D75,3))/1000</f>
        <v>491.83197524024433</v>
      </c>
      <c r="AN75" s="943">
        <f>SUMIFS('Vehicle data-proc2023'!AG$20:AG$117,'Vehicle data-proc2023'!$N$20:$N$117,Analytica!$C75,'Vehicle data-proc2023'!$Q$20:$Q$117,RIGHT(Analytica!$D75,3))/1000</f>
        <v>506.91616695508259</v>
      </c>
      <c r="AO75" s="943">
        <f>SUMIFS('Vehicle data-proc2023'!AH$20:AH$117,'Vehicle data-proc2023'!$N$20:$N$117,Analytica!$C75,'Vehicle data-proc2023'!$Q$20:$Q$117,RIGHT(Analytica!$D75,3))/1000</f>
        <v>520.42431194208189</v>
      </c>
      <c r="AP75" s="943">
        <f>SUMIFS('Vehicle data-proc2023'!AI$20:AI$117,'Vehicle data-proc2023'!$N$20:$N$117,Analytica!$C75,'Vehicle data-proc2023'!$Q$20:$Q$117,RIGHT(Analytica!$D75,3))/1000</f>
        <v>533.93245692908113</v>
      </c>
      <c r="AQ75" s="943">
        <f>SUMIFS('Vehicle data-proc2023'!AJ$20:AJ$117,'Vehicle data-proc2023'!$N$20:$N$117,Analytica!$C75,'Vehicle data-proc2023'!$Q$20:$Q$117,RIGHT(Analytica!$D75,3))/1000</f>
        <v>551.67118115070787</v>
      </c>
      <c r="AR75" s="942"/>
      <c r="AS75" s="212"/>
      <c r="AT75" s="944">
        <f t="shared" si="39"/>
        <v>2.7E-2</v>
      </c>
      <c r="AU75" s="942">
        <f t="shared" si="40"/>
        <v>10.697512404807005</v>
      </c>
      <c r="AV75" s="942">
        <f t="shared" si="41"/>
        <v>12.872190155185967</v>
      </c>
      <c r="AW75" s="942">
        <f t="shared" si="42"/>
        <v>13.686736507787229</v>
      </c>
      <c r="AX75" s="942">
        <f t="shared" si="43"/>
        <v>14.41617633708519</v>
      </c>
      <c r="AY75" s="945">
        <f t="shared" si="44"/>
        <v>14.895121891069111</v>
      </c>
      <c r="BA75" s="164">
        <f t="shared" si="49"/>
        <v>1</v>
      </c>
      <c r="BC75" s="167"/>
    </row>
    <row r="76" spans="1:57" x14ac:dyDescent="0.25">
      <c r="A76" s="61" t="str">
        <f t="shared" si="31"/>
        <v>CV4ODS</v>
      </c>
      <c r="B76" s="61" t="str">
        <f t="shared" si="51"/>
        <v>TFHCV4ODS-N</v>
      </c>
      <c r="C76" s="61" t="s">
        <v>511</v>
      </c>
      <c r="D76" s="61" t="s">
        <v>545</v>
      </c>
      <c r="E76" t="s">
        <v>259</v>
      </c>
      <c r="F76" s="938">
        <f t="shared" si="52"/>
        <v>8.4999999999999992E-2</v>
      </c>
      <c r="G76" s="939">
        <f t="shared" si="53"/>
        <v>53608.118344618502</v>
      </c>
      <c r="H76" s="939">
        <f t="shared" si="54"/>
        <v>53608.118344618502</v>
      </c>
      <c r="I76" s="939">
        <f t="shared" si="54"/>
        <v>35047.36801137666</v>
      </c>
      <c r="J76" s="939">
        <f t="shared" si="54"/>
        <v>14979.768413564536</v>
      </c>
      <c r="K76" s="939">
        <f t="shared" si="54"/>
        <v>1169.6452740425702</v>
      </c>
      <c r="L76" s="939">
        <f t="shared" si="54"/>
        <v>16.684093779498756</v>
      </c>
      <c r="M76" s="939">
        <f t="shared" si="33"/>
        <v>1</v>
      </c>
      <c r="N76" s="939">
        <f t="shared" si="34"/>
        <v>0.65376978512984729</v>
      </c>
      <c r="O76" s="939">
        <f t="shared" si="35"/>
        <v>0.27943096822140734</v>
      </c>
      <c r="P76" s="939">
        <f t="shared" si="36"/>
        <v>2.1818435531042773E-2</v>
      </c>
      <c r="Q76" s="939">
        <f t="shared" si="37"/>
        <v>3.112232679432145E-4</v>
      </c>
      <c r="R76" s="939">
        <f t="shared" si="38"/>
        <v>1.8653891068728135E-5</v>
      </c>
      <c r="S76" s="212">
        <v>26.639462655999999</v>
      </c>
      <c r="T76" s="942">
        <v>25.6</v>
      </c>
      <c r="U76" s="939">
        <f t="shared" si="57"/>
        <v>25.093718508406038</v>
      </c>
      <c r="V76" s="939">
        <f t="shared" si="57"/>
        <v>23.756880721204226</v>
      </c>
      <c r="W76" s="939">
        <f t="shared" si="57"/>
        <v>23.287049900612381</v>
      </c>
      <c r="X76" s="939">
        <f t="shared" si="57"/>
        <v>22.046460218809568</v>
      </c>
      <c r="Y76" s="212"/>
      <c r="Z76" s="941">
        <f t="shared" si="55"/>
        <v>9.5649541188545045E-2</v>
      </c>
      <c r="AA76" s="941">
        <f>1/SUMIFS('Vehicle data-proc2023'!AL$20:AL$117,'Vehicle data-proc2023'!$N$20:$N$117,Analytica!$C76,'Vehicle data-proc2023'!$Q$20:$Q$117,RIGHT(Analytica!$D76,3))</f>
        <v>0.102511485821615</v>
      </c>
      <c r="AB76" s="941">
        <f>1/SUMIFS('Vehicle data-proc2023'!AM$20:AM$117,'Vehicle data-proc2023'!$N$20:$N$117,Analytica!$C76,'Vehicle data-proc2023'!$Q$20:$Q$117,RIGHT(Analytica!$D76,3))</f>
        <v>0.10281963637464944</v>
      </c>
      <c r="AC76" s="941">
        <f>1/SUMIFS('Vehicle data-proc2023'!AN$20:AN$117,'Vehicle data-proc2023'!$N$20:$N$117,Analytica!$C76,'Vehicle data-proc2023'!$Q$20:$Q$117,RIGHT(Analytica!$D76,3))</f>
        <v>0.10864961432319646</v>
      </c>
      <c r="AD76" s="941">
        <f>1/SUMIFS('Vehicle data-proc2023'!AO$20:AO$117,'Vehicle data-proc2023'!$N$20:$N$117,Analytica!$C76,'Vehicle data-proc2023'!$Q$20:$Q$117,RIGHT(Analytica!$D76,3))</f>
        <v>0.12013685070233035</v>
      </c>
      <c r="AE76" s="941">
        <f>1/SUMIFS('Vehicle data-proc2023'!AP$20:AP$117,'Vehicle data-proc2023'!$N$20:$N$117,Analytica!$C76,'Vehicle data-proc2023'!$Q$20:$Q$117,RIGHT(Analytica!$D76,3))</f>
        <v>0.13283860220378738</v>
      </c>
      <c r="AF76" s="941"/>
      <c r="AG76" s="212"/>
      <c r="AH76" s="942"/>
      <c r="AI76" s="953">
        <v>754.30982933884297</v>
      </c>
      <c r="AJ76" s="942"/>
      <c r="AK76" s="943">
        <f>SUMIFS('Vehicle data-proc2023'!AD$20:AD$117,'Vehicle data-proc2023'!$N$20:$N$117,Analytica!$C76,'Vehicle data-proc2023'!$Q$20:$Q$117,RIGHT(Analytica!$D76,3))/1000</f>
        <v>715.69083454664781</v>
      </c>
      <c r="AL76" s="943">
        <f>SUMIFS('Vehicle data-proc2023'!AE$20:AE$117,'Vehicle data-proc2023'!$N$20:$N$117,Analytica!$C76,'Vehicle data-proc2023'!$Q$20:$Q$117,RIGHT(Analytica!$D76,3))/1000</f>
        <v>870.65784692986369</v>
      </c>
      <c r="AM76" s="943">
        <f>SUMIFS('Vehicle data-proc2023'!AF$20:AF$117,'Vehicle data-proc2023'!$N$20:$N$117,Analytica!$C76,'Vehicle data-proc2023'!$Q$20:$Q$117,RIGHT(Analytica!$D76,3))/1000</f>
        <v>894.65234635689478</v>
      </c>
      <c r="AN76" s="943">
        <f>SUMIFS('Vehicle data-proc2023'!AG$20:AG$117,'Vehicle data-proc2023'!$N$20:$N$117,Analytica!$C76,'Vehicle data-proc2023'!$Q$20:$Q$117,RIGHT(Analytica!$D76,3))/1000</f>
        <v>918.6468457839261</v>
      </c>
      <c r="AO76" s="943">
        <f>SUMIFS('Vehicle data-proc2023'!AH$20:AH$117,'Vehicle data-proc2023'!$N$20:$N$117,Analytica!$C76,'Vehicle data-proc2023'!$Q$20:$Q$117,RIGHT(Analytica!$D76,3))/1000</f>
        <v>938.12495950684297</v>
      </c>
      <c r="AP76" s="943">
        <f>SUMIFS('Vehicle data-proc2023'!AI$20:AI$117,'Vehicle data-proc2023'!$N$20:$N$117,Analytica!$C76,'Vehicle data-proc2023'!$Q$20:$Q$117,RIGHT(Analytica!$D76,3))/1000</f>
        <v>957.60307322975984</v>
      </c>
      <c r="AQ76" s="943">
        <f>SUMIFS('Vehicle data-proc2023'!AJ$20:AJ$117,'Vehicle data-proc2023'!$N$20:$N$117,Analytica!$C76,'Vehicle data-proc2023'!$Q$20:$Q$117,RIGHT(Analytica!$D76,3))/1000</f>
        <v>993.48523967858819</v>
      </c>
      <c r="AR76" s="942"/>
      <c r="AS76" s="212"/>
      <c r="AT76" s="944">
        <f t="shared" si="39"/>
        <v>2.7E-2</v>
      </c>
      <c r="AU76" s="942">
        <f t="shared" si="40"/>
        <v>19.323652532759489</v>
      </c>
      <c r="AV76" s="942">
        <f t="shared" si="41"/>
        <v>23.507761867106318</v>
      </c>
      <c r="AW76" s="942">
        <f t="shared" si="42"/>
        <v>24.803464836166004</v>
      </c>
      <c r="AX76" s="942">
        <f t="shared" si="43"/>
        <v>25.855282977203515</v>
      </c>
      <c r="AY76" s="945">
        <f t="shared" si="44"/>
        <v>26.824101471321882</v>
      </c>
      <c r="BA76" s="164">
        <f t="shared" si="49"/>
        <v>1</v>
      </c>
      <c r="BC76" s="167"/>
    </row>
    <row r="77" spans="1:57" x14ac:dyDescent="0.25">
      <c r="A77" s="61" t="str">
        <f t="shared" si="31"/>
        <v>CV5ODS</v>
      </c>
      <c r="B77" s="61" t="str">
        <f t="shared" si="51"/>
        <v>TFHCV5ODS-N</v>
      </c>
      <c r="C77" s="61" t="s">
        <v>511</v>
      </c>
      <c r="D77" s="61" t="s">
        <v>543</v>
      </c>
      <c r="E77" t="s">
        <v>257</v>
      </c>
      <c r="F77" s="938">
        <f t="shared" si="52"/>
        <v>0.11</v>
      </c>
      <c r="G77" s="939">
        <f t="shared" si="53"/>
        <v>56756.7653972318</v>
      </c>
      <c r="H77" s="939">
        <f t="shared" si="54"/>
        <v>56756.7653972318</v>
      </c>
      <c r="I77" s="939">
        <f t="shared" si="54"/>
        <v>32745.805033742654</v>
      </c>
      <c r="J77" s="939">
        <f t="shared" si="54"/>
        <v>10900.131608147945</v>
      </c>
      <c r="K77" s="939">
        <f t="shared" si="54"/>
        <v>402.03137879886822</v>
      </c>
      <c r="L77" s="939">
        <f t="shared" si="54"/>
        <v>1.6430103562415428</v>
      </c>
      <c r="M77" s="939">
        <f t="shared" si="33"/>
        <v>1</v>
      </c>
      <c r="N77" s="939">
        <f t="shared" si="34"/>
        <v>0.57694981038048665</v>
      </c>
      <c r="O77" s="939">
        <f t="shared" si="35"/>
        <v>0.19204990862075411</v>
      </c>
      <c r="P77" s="939">
        <f t="shared" si="36"/>
        <v>7.0834089290521219E-3</v>
      </c>
      <c r="Q77" s="939">
        <f t="shared" si="37"/>
        <v>2.8948273298211554E-5</v>
      </c>
      <c r="R77" s="939">
        <f t="shared" si="38"/>
        <v>1.761904493677811E-5</v>
      </c>
      <c r="S77" s="212">
        <v>33.507449121999997</v>
      </c>
      <c r="T77" s="942">
        <v>32.200000000000003</v>
      </c>
      <c r="U77" s="939">
        <f t="shared" si="57"/>
        <v>31.563192811354469</v>
      </c>
      <c r="V77" s="939">
        <f t="shared" si="57"/>
        <v>29.88170153213969</v>
      </c>
      <c r="W77" s="939">
        <f t="shared" si="57"/>
        <v>29.29074245311401</v>
      </c>
      <c r="X77" s="939">
        <f t="shared" si="57"/>
        <v>27.730313243971409</v>
      </c>
      <c r="Y77" s="212"/>
      <c r="Z77" s="941">
        <f t="shared" si="55"/>
        <v>7.6044355727538926E-2</v>
      </c>
      <c r="AA77" s="941">
        <f>1/SUMIFS('Vehicle data-proc2023'!AL$20:AL$117,'Vehicle data-proc2023'!$N$20:$N$117,Analytica!$C77,'Vehicle data-proc2023'!$Q$20:$Q$117,RIGHT(Analytica!$D77,3))</f>
        <v>9.4439576839910805E-2</v>
      </c>
      <c r="AB77" s="941">
        <f>1/SUMIFS('Vehicle data-proc2023'!AM$20:AM$117,'Vehicle data-proc2023'!$N$20:$N$117,Analytica!$C77,'Vehicle data-proc2023'!$Q$20:$Q$117,RIGHT(Analytica!$D77,3))</f>
        <v>9.4723463153705931E-2</v>
      </c>
      <c r="AC77" s="941">
        <f>1/SUMIFS('Vehicle data-proc2023'!AN$20:AN$117,'Vehicle data-proc2023'!$N$20:$N$117,Analytica!$C77,'Vehicle data-proc2023'!$Q$20:$Q$117,RIGHT(Analytica!$D77,3))</f>
        <v>0.1000943798469327</v>
      </c>
      <c r="AD77" s="941">
        <f>1/SUMIFS('Vehicle data-proc2023'!AO$20:AO$117,'Vehicle data-proc2023'!$N$20:$N$117,Analytica!$C77,'Vehicle data-proc2023'!$Q$20:$Q$117,RIGHT(Analytica!$D77,3))</f>
        <v>0.11067709391073265</v>
      </c>
      <c r="AE77" s="941">
        <f>1/SUMIFS('Vehicle data-proc2023'!AP$20:AP$117,'Vehicle data-proc2023'!$N$20:$N$117,Analytica!$C77,'Vehicle data-proc2023'!$Q$20:$Q$117,RIGHT(Analytica!$D77,3))</f>
        <v>0.12237869034462585</v>
      </c>
      <c r="AF77" s="941"/>
      <c r="AG77" s="212"/>
      <c r="AH77" s="942"/>
      <c r="AI77" s="953">
        <v>822.6622572509458</v>
      </c>
      <c r="AJ77" s="942"/>
      <c r="AK77" s="943">
        <f>SUMIFS('Vehicle data-proc2023'!AD$20:AD$117,'Vehicle data-proc2023'!$N$20:$N$117,Analytica!$C77,'Vehicle data-proc2023'!$Q$20:$Q$117,RIGHT(Analytica!$D77,3))/1000</f>
        <v>685.85455456102898</v>
      </c>
      <c r="AL77" s="943">
        <f>SUMIFS('Vehicle data-proc2023'!AE$20:AE$117,'Vehicle data-proc2023'!$N$20:$N$117,Analytica!$C77,'Vehicle data-proc2023'!$Q$20:$Q$117,RIGHT(Analytica!$D77,3))/1000</f>
        <v>827.72774685699324</v>
      </c>
      <c r="AM77" s="943">
        <f>SUMIFS('Vehicle data-proc2023'!AF$20:AF$117,'Vehicle data-proc2023'!$N$20:$N$117,Analytica!$C77,'Vehicle data-proc2023'!$Q$20:$Q$117,RIGHT(Analytica!$D77,3))/1000</f>
        <v>854.49709320833597</v>
      </c>
      <c r="AN77" s="943">
        <f>SUMIFS('Vehicle data-proc2023'!AG$20:AG$117,'Vehicle data-proc2023'!$N$20:$N$117,Analytica!$C77,'Vehicle data-proc2023'!$Q$20:$Q$117,RIGHT(Analytica!$D77,3))/1000</f>
        <v>881.26643955967904</v>
      </c>
      <c r="AO77" s="943">
        <f>SUMIFS('Vehicle data-proc2023'!AH$20:AH$117,'Vehicle data-proc2023'!$N$20:$N$117,Analytica!$C77,'Vehicle data-proc2023'!$Q$20:$Q$117,RIGHT(Analytica!$D77,3))/1000</f>
        <v>898.44787511458867</v>
      </c>
      <c r="AP77" s="943">
        <f>SUMIFS('Vehicle data-proc2023'!AI$20:AI$117,'Vehicle data-proc2023'!$N$20:$N$117,Analytica!$C77,'Vehicle data-proc2023'!$Q$20:$Q$117,RIGHT(Analytica!$D77,3))/1000</f>
        <v>915.62931066949807</v>
      </c>
      <c r="AQ77" s="943">
        <f>SUMIFS('Vehicle data-proc2023'!AJ$20:AJ$117,'Vehicle data-proc2023'!$N$20:$N$117,Analytica!$C77,'Vehicle data-proc2023'!$Q$20:$Q$117,RIGHT(Analytica!$D77,3))/1000</f>
        <v>945.21587798179326</v>
      </c>
      <c r="AR77" s="942"/>
      <c r="AS77" s="212"/>
      <c r="AT77" s="944">
        <f t="shared" si="39"/>
        <v>2.7E-2</v>
      </c>
      <c r="AU77" s="942">
        <f t="shared" si="40"/>
        <v>18.518072973147781</v>
      </c>
      <c r="AV77" s="942">
        <f t="shared" si="41"/>
        <v>22.348649165138816</v>
      </c>
      <c r="AW77" s="942">
        <f t="shared" si="42"/>
        <v>23.794193868111336</v>
      </c>
      <c r="AX77" s="942">
        <f t="shared" si="43"/>
        <v>24.721991388076447</v>
      </c>
      <c r="AY77" s="945">
        <f t="shared" si="44"/>
        <v>25.520828705508418</v>
      </c>
      <c r="BA77" s="164">
        <f t="shared" si="49"/>
        <v>1</v>
      </c>
      <c r="BC77" s="167"/>
    </row>
    <row r="78" spans="1:57" x14ac:dyDescent="0.25">
      <c r="A78" s="61" t="str">
        <f t="shared" si="31"/>
        <v>CV6ODS</v>
      </c>
      <c r="B78" s="61" t="str">
        <f t="shared" si="51"/>
        <v>TFHCV6ODS-N</v>
      </c>
      <c r="C78" s="61" t="s">
        <v>511</v>
      </c>
      <c r="D78" s="61" t="s">
        <v>541</v>
      </c>
      <c r="E78" t="s">
        <v>255</v>
      </c>
      <c r="F78" s="938">
        <f t="shared" si="52"/>
        <v>0.11</v>
      </c>
      <c r="G78" s="939">
        <f t="shared" si="53"/>
        <v>64512.330335483297</v>
      </c>
      <c r="H78" s="939">
        <f t="shared" si="54"/>
        <v>64512.330335483297</v>
      </c>
      <c r="I78" s="939">
        <f t="shared" si="54"/>
        <v>37220.376754260404</v>
      </c>
      <c r="J78" s="939">
        <f t="shared" si="54"/>
        <v>12389.587145841469</v>
      </c>
      <c r="K78" s="939">
        <f t="shared" si="54"/>
        <v>456.96721673232241</v>
      </c>
      <c r="L78" s="939">
        <f t="shared" si="54"/>
        <v>1.8675205696560742</v>
      </c>
      <c r="M78" s="939">
        <f t="shared" si="33"/>
        <v>1</v>
      </c>
      <c r="N78" s="939">
        <f t="shared" si="34"/>
        <v>0.57694981038048665</v>
      </c>
      <c r="O78" s="939">
        <f t="shared" si="35"/>
        <v>0.19204990862075411</v>
      </c>
      <c r="P78" s="939">
        <f t="shared" si="36"/>
        <v>7.0834089290521211E-3</v>
      </c>
      <c r="Q78" s="939">
        <f t="shared" si="37"/>
        <v>2.8948273298211551E-5</v>
      </c>
      <c r="R78" s="939">
        <f t="shared" si="38"/>
        <v>1.5500912690639181E-5</v>
      </c>
      <c r="S78" s="212">
        <v>32.258724309999998</v>
      </c>
      <c r="T78" s="942">
        <v>31</v>
      </c>
      <c r="U78" s="939">
        <f t="shared" si="57"/>
        <v>30.386924756272936</v>
      </c>
      <c r="V78" s="939">
        <f t="shared" si="57"/>
        <v>28.76809774833324</v>
      </c>
      <c r="W78" s="939">
        <f t="shared" si="57"/>
        <v>28.199161989022805</v>
      </c>
      <c r="X78" s="939">
        <f t="shared" si="57"/>
        <v>26.696885421214709</v>
      </c>
      <c r="Y78" s="212"/>
      <c r="Z78" s="941">
        <f t="shared" si="55"/>
        <v>7.8988008207314622E-2</v>
      </c>
      <c r="AA78" s="941">
        <f>1/SUMIFS('Vehicle data-proc2023'!AL$20:AL$117,'Vehicle data-proc2023'!$N$20:$N$117,Analytica!$C78,'Vehicle data-proc2023'!$Q$20:$Q$117,RIGHT(Analytica!$D78,3))</f>
        <v>6.5140074152247901E-2</v>
      </c>
      <c r="AB78" s="941">
        <f>1/SUMIFS('Vehicle data-proc2023'!AM$20:AM$117,'Vehicle data-proc2023'!$N$20:$N$117,Analytica!$C78,'Vehicle data-proc2023'!$Q$20:$Q$117,RIGHT(Analytica!$D78,3))</f>
        <v>6.5335885867528767E-2</v>
      </c>
      <c r="AC78" s="941">
        <f>1/SUMIFS('Vehicle data-proc2023'!AN$20:AN$117,'Vehicle data-proc2023'!$N$20:$N$117,Analytica!$C78,'Vehicle data-proc2023'!$Q$20:$Q$117,RIGHT(Analytica!$D78,3))</f>
        <v>6.9040497041882143E-2</v>
      </c>
      <c r="AD78" s="941">
        <f>1/SUMIFS('Vehicle data-proc2023'!AO$20:AO$117,'Vehicle data-proc2023'!$N$20:$N$117,Analytica!$C78,'Vehicle data-proc2023'!$Q$20:$Q$117,RIGHT(Analytica!$D78,3))</f>
        <v>7.6339966204228477E-2</v>
      </c>
      <c r="AE78" s="941">
        <f>1/SUMIFS('Vehicle data-proc2023'!AP$20:AP$117,'Vehicle data-proc2023'!$N$20:$N$117,Analytica!$C78,'Vehicle data-proc2023'!$Q$20:$Q$117,RIGHT(Analytica!$D78,3))</f>
        <v>8.4411188936363318E-2</v>
      </c>
      <c r="AF78" s="941"/>
      <c r="AG78" s="212"/>
      <c r="AH78" s="942"/>
      <c r="AI78" s="953">
        <v>1063.2917933651609</v>
      </c>
      <c r="AJ78" s="942"/>
      <c r="AK78" s="943">
        <f>SUMIFS('Vehicle data-proc2023'!AD$20:AD$117,'Vehicle data-proc2023'!$N$20:$N$117,Analytica!$C78,'Vehicle data-proc2023'!$Q$20:$Q$117,RIGHT(Analytica!$D78,3))/1000</f>
        <v>685.85455456102898</v>
      </c>
      <c r="AL78" s="943">
        <f>SUMIFS('Vehicle data-proc2023'!AE$20:AE$117,'Vehicle data-proc2023'!$N$20:$N$117,Analytica!$C78,'Vehicle data-proc2023'!$Q$20:$Q$117,RIGHT(Analytica!$D78,3))/1000</f>
        <v>827.72774685699324</v>
      </c>
      <c r="AM78" s="943">
        <f>SUMIFS('Vehicle data-proc2023'!AF$20:AF$117,'Vehicle data-proc2023'!$N$20:$N$117,Analytica!$C78,'Vehicle data-proc2023'!$Q$20:$Q$117,RIGHT(Analytica!$D78,3))/1000</f>
        <v>854.49709320833597</v>
      </c>
      <c r="AN78" s="943">
        <f>SUMIFS('Vehicle data-proc2023'!AG$20:AG$117,'Vehicle data-proc2023'!$N$20:$N$117,Analytica!$C78,'Vehicle data-proc2023'!$Q$20:$Q$117,RIGHT(Analytica!$D78,3))/1000</f>
        <v>881.26643955967904</v>
      </c>
      <c r="AO78" s="943">
        <f>SUMIFS('Vehicle data-proc2023'!AH$20:AH$117,'Vehicle data-proc2023'!$N$20:$N$117,Analytica!$C78,'Vehicle data-proc2023'!$Q$20:$Q$117,RIGHT(Analytica!$D78,3))/1000</f>
        <v>898.44787511458867</v>
      </c>
      <c r="AP78" s="943">
        <f>SUMIFS('Vehicle data-proc2023'!AI$20:AI$117,'Vehicle data-proc2023'!$N$20:$N$117,Analytica!$C78,'Vehicle data-proc2023'!$Q$20:$Q$117,RIGHT(Analytica!$D78,3))/1000</f>
        <v>915.62931066949807</v>
      </c>
      <c r="AQ78" s="943">
        <f>SUMIFS('Vehicle data-proc2023'!AJ$20:AJ$117,'Vehicle data-proc2023'!$N$20:$N$117,Analytica!$C78,'Vehicle data-proc2023'!$Q$20:$Q$117,RIGHT(Analytica!$D78,3))/1000</f>
        <v>945.21587798179326</v>
      </c>
      <c r="AR78" s="942"/>
      <c r="AS78" s="212"/>
      <c r="AT78" s="944">
        <f t="shared" si="39"/>
        <v>2.7E-2</v>
      </c>
      <c r="AU78" s="942">
        <f t="shared" si="40"/>
        <v>18.518072973147781</v>
      </c>
      <c r="AV78" s="942">
        <f t="shared" si="41"/>
        <v>22.348649165138816</v>
      </c>
      <c r="AW78" s="942">
        <f t="shared" si="42"/>
        <v>23.794193868111336</v>
      </c>
      <c r="AX78" s="942">
        <f t="shared" si="43"/>
        <v>24.721991388076447</v>
      </c>
      <c r="AY78" s="945">
        <f t="shared" si="44"/>
        <v>25.520828705508418</v>
      </c>
      <c r="BA78" s="164">
        <f t="shared" si="49"/>
        <v>1</v>
      </c>
      <c r="BC78" s="167"/>
    </row>
    <row r="79" spans="1:57" x14ac:dyDescent="0.25">
      <c r="A79" s="61" t="str">
        <f t="shared" si="31"/>
        <v>CV7ODS</v>
      </c>
      <c r="B79" s="61" t="str">
        <f t="shared" si="51"/>
        <v>TFHCV7ODS-N</v>
      </c>
      <c r="C79" s="61" t="s">
        <v>511</v>
      </c>
      <c r="D79" s="61" t="s">
        <v>539</v>
      </c>
      <c r="E79" t="s">
        <v>253</v>
      </c>
      <c r="F79" s="938">
        <f t="shared" si="52"/>
        <v>0.16</v>
      </c>
      <c r="G79" s="939">
        <f t="shared" si="53"/>
        <v>92421.691229504097</v>
      </c>
      <c r="H79" s="939">
        <f t="shared" si="54"/>
        <v>92421.691229504097</v>
      </c>
      <c r="I79" s="939">
        <f t="shared" si="54"/>
        <v>41527.742782114779</v>
      </c>
      <c r="J79" s="939">
        <f t="shared" si="54"/>
        <v>8384.3066678866562</v>
      </c>
      <c r="K79" s="939">
        <f t="shared" si="54"/>
        <v>69.000723058119178</v>
      </c>
      <c r="L79" s="939">
        <f t="shared" si="54"/>
        <v>2.3147163884250102E-2</v>
      </c>
      <c r="M79" s="939">
        <f t="shared" si="33"/>
        <v>1</v>
      </c>
      <c r="N79" s="939">
        <f t="shared" si="34"/>
        <v>0.44932896411722156</v>
      </c>
      <c r="O79" s="939">
        <f t="shared" si="35"/>
        <v>9.0717953289412484E-2</v>
      </c>
      <c r="P79" s="939">
        <f t="shared" si="36"/>
        <v>7.4658580837667942E-4</v>
      </c>
      <c r="Q79" s="939">
        <f t="shared" si="37"/>
        <v>2.5045163723276199E-7</v>
      </c>
      <c r="R79" s="939">
        <f t="shared" si="38"/>
        <v>1.0819970795781829E-5</v>
      </c>
      <c r="S79" s="212">
        <v>38.190167166999998</v>
      </c>
      <c r="T79" s="942">
        <v>36.700000000000003</v>
      </c>
      <c r="U79" s="939">
        <f t="shared" si="57"/>
        <v>35.974198017910219</v>
      </c>
      <c r="V79" s="939">
        <f t="shared" si="57"/>
        <v>34.057715721413871</v>
      </c>
      <c r="W79" s="939">
        <f t="shared" si="57"/>
        <v>33.384169193456032</v>
      </c>
      <c r="X79" s="939">
        <f t="shared" si="57"/>
        <v>31.605667579309028</v>
      </c>
      <c r="Y79" s="212"/>
      <c r="Z79" s="941">
        <f t="shared" si="55"/>
        <v>6.6720115924434692E-2</v>
      </c>
      <c r="AA79" s="941">
        <f>1/SUMIFS('Vehicle data-proc2023'!AL$20:AL$117,'Vehicle data-proc2023'!$N$20:$N$117,Analytica!$C79,'Vehicle data-proc2023'!$Q$20:$Q$117,RIGHT(Analytica!$D79,3))</f>
        <v>7.0317841528990704E-2</v>
      </c>
      <c r="AB79" s="941">
        <f>1/SUMIFS('Vehicle data-proc2023'!AM$20:AM$117,'Vehicle data-proc2023'!$N$20:$N$117,Analytica!$C79,'Vehicle data-proc2023'!$Q$20:$Q$117,RIGHT(Analytica!$D79,3))</f>
        <v>7.0529217664861518E-2</v>
      </c>
      <c r="AC79" s="941">
        <f>1/SUMIFS('Vehicle data-proc2023'!AN$20:AN$117,'Vehicle data-proc2023'!$N$20:$N$117,Analytica!$C79,'Vehicle data-proc2023'!$Q$20:$Q$117,RIGHT(Analytica!$D79,3))</f>
        <v>7.4528296033668062E-2</v>
      </c>
      <c r="AD79" s="941">
        <f>1/SUMIFS('Vehicle data-proc2023'!AO$20:AO$117,'Vehicle data-proc2023'!$N$20:$N$117,Analytica!$C79,'Vehicle data-proc2023'!$Q$20:$Q$117,RIGHT(Analytica!$D79,3))</f>
        <v>8.2407975669954003E-2</v>
      </c>
      <c r="AE79" s="941">
        <f>1/SUMIFS('Vehicle data-proc2023'!AP$20:AP$117,'Vehicle data-proc2023'!$N$20:$N$117,Analytica!$C79,'Vehicle data-proc2023'!$Q$20:$Q$117,RIGHT(Analytica!$D79,3))</f>
        <v>9.1120752994968135E-2</v>
      </c>
      <c r="AF79" s="941"/>
      <c r="AG79" s="212"/>
      <c r="AH79" s="942"/>
      <c r="AI79" s="953">
        <v>1190.3888460069998</v>
      </c>
      <c r="AJ79" s="942"/>
      <c r="AK79" s="943">
        <f>SUMIFS('Vehicle data-proc2023'!AD$20:AD$117,'Vehicle data-proc2023'!$N$20:$N$117,Analytica!$C79,'Vehicle data-proc2023'!$Q$20:$Q$117,RIGHT(Analytica!$D79,3))/1000</f>
        <v>877.7001338800851</v>
      </c>
      <c r="AL79" s="943">
        <f>SUMIFS('Vehicle data-proc2023'!AE$20:AE$117,'Vehicle data-proc2023'!$N$20:$N$117,Analytica!$C79,'Vehicle data-proc2023'!$Q$20:$Q$117,RIGHT(Analytica!$D79,3))/1000</f>
        <v>1088.4286604757042</v>
      </c>
      <c r="AM79" s="943">
        <f>SUMIFS('Vehicle data-proc2023'!AF$20:AF$117,'Vehicle data-proc2023'!$N$20:$N$117,Analytica!$C79,'Vehicle data-proc2023'!$Q$20:$Q$117,RIGHT(Analytica!$D79,3))/1000</f>
        <v>1116.5616285591618</v>
      </c>
      <c r="AN79" s="943">
        <f>SUMIFS('Vehicle data-proc2023'!AG$20:AG$117,'Vehicle data-proc2023'!$N$20:$N$117,Analytica!$C79,'Vehicle data-proc2023'!$Q$20:$Q$117,RIGHT(Analytica!$D79,3))/1000</f>
        <v>1144.6945966426194</v>
      </c>
      <c r="AO79" s="943">
        <f>SUMIFS('Vehicle data-proc2023'!AH$20:AH$117,'Vehicle data-proc2023'!$N$20:$N$117,Analytica!$C79,'Vehicle data-proc2023'!$Q$20:$Q$117,RIGHT(Analytica!$D79,3))/1000</f>
        <v>1166.6518949681349</v>
      </c>
      <c r="AP79" s="943">
        <f>SUMIFS('Vehicle data-proc2023'!AI$20:AI$117,'Vehicle data-proc2023'!$N$20:$N$117,Analytica!$C79,'Vehicle data-proc2023'!$Q$20:$Q$117,RIGHT(Analytica!$D79,3))/1000</f>
        <v>1188.6091932936499</v>
      </c>
      <c r="AQ79" s="943">
        <f>SUMIFS('Vehicle data-proc2023'!AJ$20:AJ$117,'Vehicle data-proc2023'!$N$20:$N$117,Analytica!$C79,'Vehicle data-proc2023'!$Q$20:$Q$117,RIGHT(Analytica!$D79,3))/1000</f>
        <v>1215.8917526997081</v>
      </c>
      <c r="AR79" s="942"/>
      <c r="AS79" s="212"/>
      <c r="AT79" s="944">
        <f t="shared" si="39"/>
        <v>2.7E-2</v>
      </c>
      <c r="AU79" s="942">
        <f t="shared" si="40"/>
        <v>23.697903614762296</v>
      </c>
      <c r="AV79" s="942">
        <f t="shared" si="41"/>
        <v>29.387573832844012</v>
      </c>
      <c r="AW79" s="942">
        <f t="shared" si="42"/>
        <v>30.906754109350725</v>
      </c>
      <c r="AX79" s="942">
        <f t="shared" si="43"/>
        <v>32.092448218928546</v>
      </c>
      <c r="AY79" s="945">
        <f t="shared" si="44"/>
        <v>32.829077322892118</v>
      </c>
      <c r="BA79" s="164">
        <f t="shared" si="49"/>
        <v>1</v>
      </c>
      <c r="BC79" s="167"/>
    </row>
    <row r="80" spans="1:57" x14ac:dyDescent="0.25">
      <c r="A80" s="61" t="str">
        <f t="shared" si="31"/>
        <v>CV8ODS</v>
      </c>
      <c r="B80" s="61" t="str">
        <f t="shared" si="51"/>
        <v>TFHCV8ODS-N</v>
      </c>
      <c r="C80" s="61" t="s">
        <v>511</v>
      </c>
      <c r="D80" s="61" t="s">
        <v>537</v>
      </c>
      <c r="E80" t="s">
        <v>251</v>
      </c>
      <c r="F80" s="938">
        <f t="shared" si="52"/>
        <v>0.16</v>
      </c>
      <c r="G80" s="939">
        <f t="shared" si="53"/>
        <v>116959.183879244</v>
      </c>
      <c r="H80" s="939">
        <f t="shared" si="54"/>
        <v>116959.183879244</v>
      </c>
      <c r="I80" s="939">
        <f t="shared" si="54"/>
        <v>52553.148936456346</v>
      </c>
      <c r="J80" s="939">
        <f t="shared" si="54"/>
        <v>10610.297779925064</v>
      </c>
      <c r="K80" s="939">
        <f t="shared" si="54"/>
        <v>87.320066843562074</v>
      </c>
      <c r="L80" s="939">
        <f t="shared" si="54"/>
        <v>2.9292619091964327E-2</v>
      </c>
      <c r="M80" s="939">
        <f t="shared" si="33"/>
        <v>1</v>
      </c>
      <c r="N80" s="939">
        <f t="shared" si="34"/>
        <v>0.44932896411722156</v>
      </c>
      <c r="O80" s="939">
        <f t="shared" si="35"/>
        <v>9.0717953289412498E-2</v>
      </c>
      <c r="P80" s="939">
        <f t="shared" si="36"/>
        <v>7.4658580837667942E-4</v>
      </c>
      <c r="Q80" s="939">
        <f t="shared" si="37"/>
        <v>2.5045163723276204E-7</v>
      </c>
      <c r="R80" s="939">
        <f t="shared" si="38"/>
        <v>8.5499912604764987E-6</v>
      </c>
      <c r="S80" s="212">
        <v>43.081006014000003</v>
      </c>
      <c r="T80" s="942">
        <v>41.4</v>
      </c>
      <c r="U80" s="939">
        <f t="shared" si="57"/>
        <v>40.581247900312896</v>
      </c>
      <c r="V80" s="939">
        <f t="shared" si="57"/>
        <v>38.419330541322452</v>
      </c>
      <c r="W80" s="939">
        <f t="shared" si="57"/>
        <v>37.659526011146596</v>
      </c>
      <c r="X80" s="939">
        <f t="shared" si="57"/>
        <v>35.653259885106095</v>
      </c>
      <c r="Y80" s="212"/>
      <c r="Z80" s="941">
        <f t="shared" si="55"/>
        <v>5.914561001030804E-2</v>
      </c>
      <c r="AA80" s="941">
        <f>1/SUMIFS('Vehicle data-proc2023'!AL$20:AL$117,'Vehicle data-proc2023'!$N$20:$N$117,Analytica!$C80,'Vehicle data-proc2023'!$Q$20:$Q$117,RIGHT(Analytica!$D80,3))</f>
        <v>6.9193607941341495E-2</v>
      </c>
      <c r="AB80" s="941">
        <f>1/SUMIFS('Vehicle data-proc2023'!AM$20:AM$117,'Vehicle data-proc2023'!$N$20:$N$117,Analytica!$C80,'Vehicle data-proc2023'!$Q$20:$Q$117,RIGHT(Analytica!$D80,3))</f>
        <v>6.9401604619788601E-2</v>
      </c>
      <c r="AC80" s="941">
        <f>1/SUMIFS('Vehicle data-proc2023'!AN$20:AN$117,'Vehicle data-proc2023'!$N$20:$N$117,Analytica!$C80,'Vehicle data-proc2023'!$Q$20:$Q$117,RIGHT(Analytica!$D80,3))</f>
        <v>7.3336746182173118E-2</v>
      </c>
      <c r="AD80" s="941">
        <f>1/SUMIFS('Vehicle data-proc2023'!AO$20:AO$117,'Vehicle data-proc2023'!$N$20:$N$117,Analytica!$C80,'Vehicle data-proc2023'!$Q$20:$Q$117,RIGHT(Analytica!$D80,3))</f>
        <v>8.109044640392632E-2</v>
      </c>
      <c r="AE80" s="941">
        <f>1/SUMIFS('Vehicle data-proc2023'!AP$20:AP$117,'Vehicle data-proc2023'!$N$20:$N$117,Analytica!$C80,'Vehicle data-proc2023'!$Q$20:$Q$117,RIGHT(Analytica!$D80,3))</f>
        <v>8.966392484408417E-2</v>
      </c>
      <c r="AF80" s="941"/>
      <c r="AG80" s="212"/>
      <c r="AH80" s="942"/>
      <c r="AI80" s="953">
        <f>AI79/AI78*AI79</f>
        <v>1332.6780226650678</v>
      </c>
      <c r="AJ80" s="942"/>
      <c r="AK80" s="943">
        <f>SUMIFS('Vehicle data-proc2023'!AD$20:AD$117,'Vehicle data-proc2023'!$N$20:$N$117,Analytica!$C80,'Vehicle data-proc2023'!$Q$20:$Q$117,RIGHT(Analytica!$D80,3))/1000</f>
        <v>877.7001338800851</v>
      </c>
      <c r="AL80" s="943">
        <f>SUMIFS('Vehicle data-proc2023'!AE$20:AE$117,'Vehicle data-proc2023'!$N$20:$N$117,Analytica!$C80,'Vehicle data-proc2023'!$Q$20:$Q$117,RIGHT(Analytica!$D80,3))/1000</f>
        <v>1088.4286604757042</v>
      </c>
      <c r="AM80" s="943">
        <f>SUMIFS('Vehicle data-proc2023'!AF$20:AF$117,'Vehicle data-proc2023'!$N$20:$N$117,Analytica!$C80,'Vehicle data-proc2023'!$Q$20:$Q$117,RIGHT(Analytica!$D80,3))/1000</f>
        <v>1116.5616285591618</v>
      </c>
      <c r="AN80" s="943">
        <f>SUMIFS('Vehicle data-proc2023'!AG$20:AG$117,'Vehicle data-proc2023'!$N$20:$N$117,Analytica!$C80,'Vehicle data-proc2023'!$Q$20:$Q$117,RIGHT(Analytica!$D80,3))/1000</f>
        <v>1144.6945966426194</v>
      </c>
      <c r="AO80" s="943">
        <f>SUMIFS('Vehicle data-proc2023'!AH$20:AH$117,'Vehicle data-proc2023'!$N$20:$N$117,Analytica!$C80,'Vehicle data-proc2023'!$Q$20:$Q$117,RIGHT(Analytica!$D80,3))/1000</f>
        <v>1166.6518949681349</v>
      </c>
      <c r="AP80" s="943">
        <f>SUMIFS('Vehicle data-proc2023'!AI$20:AI$117,'Vehicle data-proc2023'!$N$20:$N$117,Analytica!$C80,'Vehicle data-proc2023'!$Q$20:$Q$117,RIGHT(Analytica!$D80,3))/1000</f>
        <v>1188.6091932936499</v>
      </c>
      <c r="AQ80" s="943">
        <f>SUMIFS('Vehicle data-proc2023'!AJ$20:AJ$117,'Vehicle data-proc2023'!$N$20:$N$117,Analytica!$C80,'Vehicle data-proc2023'!$Q$20:$Q$117,RIGHT(Analytica!$D80,3))/1000</f>
        <v>1215.8917526997081</v>
      </c>
      <c r="AR80" s="942"/>
      <c r="AS80" s="212"/>
      <c r="AT80" s="944">
        <f t="shared" si="39"/>
        <v>2.7E-2</v>
      </c>
      <c r="AU80" s="942">
        <f t="shared" si="40"/>
        <v>23.697903614762296</v>
      </c>
      <c r="AV80" s="942">
        <f t="shared" si="41"/>
        <v>29.387573832844012</v>
      </c>
      <c r="AW80" s="942">
        <f t="shared" si="42"/>
        <v>30.906754109350725</v>
      </c>
      <c r="AX80" s="942">
        <f t="shared" si="43"/>
        <v>32.092448218928546</v>
      </c>
      <c r="AY80" s="945">
        <f t="shared" si="44"/>
        <v>32.829077322892118</v>
      </c>
      <c r="BA80" s="164">
        <f t="shared" si="49"/>
        <v>1</v>
      </c>
      <c r="BC80" s="167"/>
    </row>
    <row r="81" spans="1:56" x14ac:dyDescent="0.25">
      <c r="A81" s="61" t="str">
        <f t="shared" si="31"/>
        <v>CV9ODS</v>
      </c>
      <c r="B81" s="61" t="str">
        <f t="shared" si="51"/>
        <v>TFHCV9ODS-N</v>
      </c>
      <c r="C81" s="61" t="s">
        <v>511</v>
      </c>
      <c r="D81" s="61" t="s">
        <v>535</v>
      </c>
      <c r="E81" t="s">
        <v>249</v>
      </c>
      <c r="F81" s="938">
        <f t="shared" si="52"/>
        <v>0.18</v>
      </c>
      <c r="G81" s="939">
        <f t="shared" si="53"/>
        <v>104002.58508794699</v>
      </c>
      <c r="H81" s="939">
        <f t="shared" si="54"/>
        <v>104002.58508794699</v>
      </c>
      <c r="I81" s="939">
        <f t="shared" si="54"/>
        <v>42284.29563134932</v>
      </c>
      <c r="J81" s="939">
        <f t="shared" si="54"/>
        <v>6989.5470570949319</v>
      </c>
      <c r="K81" s="939">
        <f t="shared" si="54"/>
        <v>31.568855035569442</v>
      </c>
      <c r="L81" s="939">
        <f t="shared" si="54"/>
        <v>3.8959062151804123E-3</v>
      </c>
      <c r="M81" s="939">
        <f t="shared" si="33"/>
        <v>1</v>
      </c>
      <c r="N81" s="939">
        <f t="shared" si="34"/>
        <v>0.40656965974059917</v>
      </c>
      <c r="O81" s="939">
        <f t="shared" si="35"/>
        <v>6.720551273974977E-2</v>
      </c>
      <c r="P81" s="939">
        <f t="shared" si="36"/>
        <v>3.0353913807886683E-4</v>
      </c>
      <c r="Q81" s="939">
        <f t="shared" si="37"/>
        <v>3.7459705562952537E-8</v>
      </c>
      <c r="R81" s="939">
        <f t="shared" si="38"/>
        <v>9.6151456154130857E-6</v>
      </c>
      <c r="S81" s="212">
        <v>52.0302004999999</v>
      </c>
      <c r="T81" s="942">
        <v>49.999999999999901</v>
      </c>
      <c r="U81" s="939">
        <f t="shared" si="57"/>
        <v>49.011168961730448</v>
      </c>
      <c r="V81" s="939">
        <f t="shared" si="57"/>
        <v>46.400157658601906</v>
      </c>
      <c r="W81" s="939">
        <f t="shared" si="57"/>
        <v>45.482519337133468</v>
      </c>
      <c r="X81" s="939">
        <f t="shared" si="57"/>
        <v>43.05949261486235</v>
      </c>
      <c r="Y81" s="212"/>
      <c r="Z81" s="941">
        <f t="shared" si="55"/>
        <v>4.8972565088535154E-2</v>
      </c>
      <c r="AA81" s="941">
        <f>1/SUMIFS('Vehicle data-proc2023'!AL$20:AL$117,'Vehicle data-proc2023'!$N$20:$N$117,Analytica!$C81,'Vehicle data-proc2023'!$Q$20:$Q$117,RIGHT(Analytica!$D81,3))</f>
        <v>5.4371364101907703E-2</v>
      </c>
      <c r="AB81" s="941">
        <f>1/SUMIFS('Vehicle data-proc2023'!AM$20:AM$117,'Vehicle data-proc2023'!$N$20:$N$117,Analytica!$C81,'Vehicle data-proc2023'!$Q$20:$Q$117,RIGHT(Analytica!$D81,3))</f>
        <v>5.4534804966928384E-2</v>
      </c>
      <c r="AC81" s="941">
        <f>1/SUMIFS('Vehicle data-proc2023'!AN$20:AN$117,'Vehicle data-proc2023'!$N$20:$N$117,Analytica!$C81,'Vehicle data-proc2023'!$Q$20:$Q$117,RIGHT(Analytica!$D81,3))</f>
        <v>5.7626983869672431E-2</v>
      </c>
      <c r="AD81" s="941">
        <f>1/SUMIFS('Vehicle data-proc2023'!AO$20:AO$117,'Vehicle data-proc2023'!$N$20:$N$117,Analytica!$C81,'Vehicle data-proc2023'!$Q$20:$Q$117,RIGHT(Analytica!$D81,3))</f>
        <v>6.3719732469389584E-2</v>
      </c>
      <c r="AE81" s="941">
        <f>1/SUMIFS('Vehicle data-proc2023'!AP$20:AP$117,'Vehicle data-proc2023'!$N$20:$N$117,Analytica!$C81,'Vehicle data-proc2023'!$Q$20:$Q$117,RIGHT(Analytica!$D81,3))</f>
        <v>7.0456651265195916E-2</v>
      </c>
      <c r="AF81" s="941"/>
      <c r="AG81" s="212"/>
      <c r="AH81" s="942"/>
      <c r="AI81" s="953">
        <f>AI80/AI79 *AI80</f>
        <v>1491.9752634207996</v>
      </c>
      <c r="AJ81" s="942"/>
      <c r="AK81" s="943">
        <f>SUMIFS('Vehicle data-proc2023'!AD$20:AD$117,'Vehicle data-proc2023'!$N$20:$N$117,Analytica!$C81,'Vehicle data-proc2023'!$Q$20:$Q$117,RIGHT(Analytica!$D81,3))/1000</f>
        <v>877.7001338800851</v>
      </c>
      <c r="AL81" s="943">
        <f>SUMIFS('Vehicle data-proc2023'!AE$20:AE$117,'Vehicle data-proc2023'!$N$20:$N$117,Analytica!$C81,'Vehicle data-proc2023'!$Q$20:$Q$117,RIGHT(Analytica!$D81,3))/1000</f>
        <v>1088.4286604757042</v>
      </c>
      <c r="AM81" s="943">
        <f>SUMIFS('Vehicle data-proc2023'!AF$20:AF$117,'Vehicle data-proc2023'!$N$20:$N$117,Analytica!$C81,'Vehicle data-proc2023'!$Q$20:$Q$117,RIGHT(Analytica!$D81,3))/1000</f>
        <v>1116.5616285591618</v>
      </c>
      <c r="AN81" s="943">
        <f>SUMIFS('Vehicle data-proc2023'!AG$20:AG$117,'Vehicle data-proc2023'!$N$20:$N$117,Analytica!$C81,'Vehicle data-proc2023'!$Q$20:$Q$117,RIGHT(Analytica!$D81,3))/1000</f>
        <v>1144.6945966426194</v>
      </c>
      <c r="AO81" s="943">
        <f>SUMIFS('Vehicle data-proc2023'!AH$20:AH$117,'Vehicle data-proc2023'!$N$20:$N$117,Analytica!$C81,'Vehicle data-proc2023'!$Q$20:$Q$117,RIGHT(Analytica!$D81,3))/1000</f>
        <v>1166.6518949681349</v>
      </c>
      <c r="AP81" s="943">
        <f>SUMIFS('Vehicle data-proc2023'!AI$20:AI$117,'Vehicle data-proc2023'!$N$20:$N$117,Analytica!$C81,'Vehicle data-proc2023'!$Q$20:$Q$117,RIGHT(Analytica!$D81,3))/1000</f>
        <v>1188.6091932936499</v>
      </c>
      <c r="AQ81" s="943">
        <f>SUMIFS('Vehicle data-proc2023'!AJ$20:AJ$117,'Vehicle data-proc2023'!$N$20:$N$117,Analytica!$C81,'Vehicle data-proc2023'!$Q$20:$Q$117,RIGHT(Analytica!$D81,3))/1000</f>
        <v>1215.8917526997081</v>
      </c>
      <c r="AR81" s="942"/>
      <c r="AS81" s="212"/>
      <c r="AT81" s="944">
        <f t="shared" si="39"/>
        <v>2.7E-2</v>
      </c>
      <c r="AU81" s="942">
        <f t="shared" si="40"/>
        <v>23.697903614762296</v>
      </c>
      <c r="AV81" s="942">
        <f t="shared" si="41"/>
        <v>29.387573832844012</v>
      </c>
      <c r="AW81" s="942">
        <f t="shared" si="42"/>
        <v>30.906754109350725</v>
      </c>
      <c r="AX81" s="942">
        <f t="shared" si="43"/>
        <v>32.092448218928546</v>
      </c>
      <c r="AY81" s="945">
        <f t="shared" si="44"/>
        <v>32.829077322892118</v>
      </c>
      <c r="BA81" s="164">
        <f t="shared" si="49"/>
        <v>1</v>
      </c>
      <c r="BC81" s="167"/>
    </row>
    <row r="82" spans="1:56" x14ac:dyDescent="0.25">
      <c r="A82" s="61" t="str">
        <f t="shared" si="31"/>
        <v>CV1GAS</v>
      </c>
      <c r="B82" s="61" t="str">
        <f t="shared" si="51"/>
        <v>TFHCV1GAS-N</v>
      </c>
      <c r="C82" s="61" t="s">
        <v>509</v>
      </c>
      <c r="D82" s="61" t="s">
        <v>551</v>
      </c>
      <c r="E82" s="61" t="s">
        <v>550</v>
      </c>
      <c r="F82" s="938">
        <f>F73</f>
        <v>4.8000000000000001E-2</v>
      </c>
      <c r="G82" s="939">
        <f>G73</f>
        <v>17100.2801251579</v>
      </c>
      <c r="H82" s="939">
        <f t="shared" ref="H82:L90" si="58">(EXP(-((H$58)*$F82))*G82)</f>
        <v>17100.2801251579</v>
      </c>
      <c r="I82" s="939">
        <f t="shared" si="58"/>
        <v>13451.556778491855</v>
      </c>
      <c r="J82" s="939">
        <f t="shared" si="58"/>
        <v>8323.5999284680747</v>
      </c>
      <c r="K82" s="939">
        <f t="shared" si="58"/>
        <v>1972.0918752186101</v>
      </c>
      <c r="L82" s="939">
        <f t="shared" si="58"/>
        <v>178.90413861851181</v>
      </c>
      <c r="M82" s="939">
        <f t="shared" si="33"/>
        <v>1</v>
      </c>
      <c r="N82" s="939">
        <f t="shared" si="34"/>
        <v>0.78662786106655347</v>
      </c>
      <c r="O82" s="939">
        <f t="shared" si="35"/>
        <v>0.48675225595997168</v>
      </c>
      <c r="P82" s="939">
        <f t="shared" si="36"/>
        <v>0.11532512103806254</v>
      </c>
      <c r="Q82" s="939">
        <f t="shared" si="37"/>
        <v>1.0462058943426802E-2</v>
      </c>
      <c r="R82" s="939">
        <f t="shared" si="38"/>
        <v>5.8478574191822851E-5</v>
      </c>
      <c r="S82" s="959">
        <f t="shared" ref="S82:S90" si="59">S73*(1+$AJ$55)</f>
        <v>14.372207142857143</v>
      </c>
      <c r="T82" s="939">
        <f t="shared" ref="T82:X90" si="60">S82/((1+T$53)^(T$58-S$58))</f>
        <v>13.74210109273692</v>
      </c>
      <c r="U82" s="939">
        <f t="shared" si="60"/>
        <v>12.944721182562253</v>
      </c>
      <c r="V82" s="939">
        <f t="shared" si="60"/>
        <v>12.012742074350669</v>
      </c>
      <c r="W82" s="939">
        <f t="shared" si="60"/>
        <v>11.147862523239853</v>
      </c>
      <c r="X82" s="939">
        <f t="shared" si="60"/>
        <v>10.345251572694997</v>
      </c>
      <c r="Y82" s="212"/>
      <c r="Z82" s="941">
        <f>Z72/S72*S82</f>
        <v>0.17514398772690015</v>
      </c>
      <c r="AA82" s="941">
        <f>1/SUMIFS('Vehicle data-proc2023'!AL$20:AL$117,'Vehicle data-proc2023'!$N$20:$N$117,Analytica!$C82,'Vehicle data-proc2023'!$Q$20:$Q$117,RIGHT(Analytica!$D82,3))</f>
        <v>0.14810797918786262</v>
      </c>
      <c r="AB82" s="941">
        <f>1/SUMIFS('Vehicle data-proc2023'!AM$20:AM$117,'Vehicle data-proc2023'!$N$20:$N$117,Analytica!$C82,'Vehicle data-proc2023'!$Q$20:$Q$117,RIGHT(Analytica!$D82,3))</f>
        <v>0.14855319325660585</v>
      </c>
      <c r="AC82" s="941">
        <f>1/SUMIFS('Vehicle data-proc2023'!AN$20:AN$117,'Vehicle data-proc2023'!$N$20:$N$117,Analytica!$C82,'Vehicle data-proc2023'!$Q$20:$Q$117,RIGHT(Analytica!$D82,3))</f>
        <v>0.15697631039073517</v>
      </c>
      <c r="AD82" s="941">
        <f>1/SUMIFS('Vehicle data-proc2023'!AO$20:AO$117,'Vehicle data-proc2023'!$N$20:$N$117,Analytica!$C82,'Vehicle data-proc2023'!$Q$20:$Q$117,RIGHT(Analytica!$D82,3))</f>
        <v>0.17357300053653429</v>
      </c>
      <c r="AE82" s="941">
        <f>1/SUMIFS('Vehicle data-proc2023'!AP$20:AP$117,'Vehicle data-proc2023'!$N$20:$N$117,Analytica!$C82,'Vehicle data-proc2023'!$Q$20:$Q$117,RIGHT(Analytica!$D82,3))</f>
        <v>0.19192441483854544</v>
      </c>
      <c r="AF82" s="941"/>
      <c r="AG82" s="949"/>
      <c r="AH82" s="942">
        <f>AH72*(1+$AR$57)</f>
        <v>537.9300300000001</v>
      </c>
      <c r="AI82" s="953">
        <f>AI72*(1+$AR$57)</f>
        <v>324.50781138188347</v>
      </c>
      <c r="AJ82" s="953"/>
      <c r="AK82" s="943">
        <f>SUMIFS('Vehicle data-proc2023'!AD$20:AD$117,'Vehicle data-proc2023'!$N$20:$N$117,Analytica!$C82,'Vehicle data-proc2023'!$Q$20:$Q$117,RIGHT(Analytica!$D82,3))/1000</f>
        <v>598.30930679972266</v>
      </c>
      <c r="AL82" s="943">
        <f>SUMIFS('Vehicle data-proc2023'!AE$20:AE$117,'Vehicle data-proc2023'!$N$20:$N$117,Analytica!$C82,'Vehicle data-proc2023'!$Q$20:$Q$117,RIGHT(Analytica!$D82,3))/1000</f>
        <v>588.99088834881991</v>
      </c>
      <c r="AM82" s="943">
        <f>SUMIFS('Vehicle data-proc2023'!AF$20:AF$117,'Vehicle data-proc2023'!$N$20:$N$117,Analytica!$C82,'Vehicle data-proc2023'!$Q$20:$Q$117,RIGHT(Analytica!$D82,3))/1000</f>
        <v>591.03513773094801</v>
      </c>
      <c r="AN82" s="943">
        <f>SUMIFS('Vehicle data-proc2023'!AG$20:AG$117,'Vehicle data-proc2023'!$N$20:$N$117,Analytica!$C82,'Vehicle data-proc2023'!$Q$20:$Q$117,RIGHT(Analytica!$D82,3))/1000</f>
        <v>593.07938711307622</v>
      </c>
      <c r="AO82" s="943">
        <f>SUMIFS('Vehicle data-proc2023'!AH$20:AH$117,'Vehicle data-proc2023'!$N$20:$N$117,Analytica!$C82,'Vehicle data-proc2023'!$Q$20:$Q$117,RIGHT(Analytica!$D82,3))/1000</f>
        <v>599.60308321858258</v>
      </c>
      <c r="AP82" s="943">
        <f>SUMIFS('Vehicle data-proc2023'!AI$20:AI$117,'Vehicle data-proc2023'!$N$20:$N$117,Analytica!$C82,'Vehicle data-proc2023'!$Q$20:$Q$117,RIGHT(Analytica!$D82,3))/1000</f>
        <v>606.12677932408883</v>
      </c>
      <c r="AQ82" s="943">
        <f>SUMIFS('Vehicle data-proc2023'!AJ$20:AJ$117,'Vehicle data-proc2023'!$N$20:$N$117,Analytica!$C82,'Vehicle data-proc2023'!$Q$20:$Q$117,RIGHT(Analytica!$D82,3))/1000</f>
        <v>615.22177787460362</v>
      </c>
      <c r="AR82" s="942"/>
      <c r="AS82" s="212"/>
      <c r="AT82" s="944">
        <f t="shared" si="39"/>
        <v>2.7E-2</v>
      </c>
      <c r="AU82" s="942">
        <f t="shared" si="40"/>
        <v>16.154351283592511</v>
      </c>
      <c r="AV82" s="942">
        <f t="shared" si="41"/>
        <v>15.902753985418137</v>
      </c>
      <c r="AW82" s="942">
        <f t="shared" si="42"/>
        <v>16.013143452053058</v>
      </c>
      <c r="AX82" s="942">
        <f t="shared" si="43"/>
        <v>16.365423041750397</v>
      </c>
      <c r="AY82" s="945">
        <f t="shared" si="44"/>
        <v>16.610988002614299</v>
      </c>
      <c r="BA82" s="164">
        <f t="shared" si="49"/>
        <v>0</v>
      </c>
      <c r="BB82" s="61" t="s">
        <v>524</v>
      </c>
      <c r="BC82" s="167">
        <f>AJ82*1000</f>
        <v>0</v>
      </c>
      <c r="BD82" s="167">
        <f>(BC82-BC72)/5.5</f>
        <v>0</v>
      </c>
    </row>
    <row r="83" spans="1:56" x14ac:dyDescent="0.25">
      <c r="A83" s="61" t="str">
        <f t="shared" si="31"/>
        <v>CV2GAS</v>
      </c>
      <c r="B83" s="61" t="str">
        <f t="shared" si="51"/>
        <v>TFHCV2GAS-N</v>
      </c>
      <c r="C83" s="61" t="s">
        <v>509</v>
      </c>
      <c r="D83" s="61" t="s">
        <v>549</v>
      </c>
      <c r="E83" s="61" t="s">
        <v>548</v>
      </c>
      <c r="F83" s="938">
        <f t="shared" ref="F83:F90" si="61">F74</f>
        <v>4.8000000000000001E-2</v>
      </c>
      <c r="G83" s="939">
        <f t="shared" ref="G83:G90" si="62">G73</f>
        <v>17100.2801251579</v>
      </c>
      <c r="H83" s="939">
        <f t="shared" si="58"/>
        <v>17100.2801251579</v>
      </c>
      <c r="I83" s="939">
        <f t="shared" si="58"/>
        <v>13451.556778491855</v>
      </c>
      <c r="J83" s="939">
        <f t="shared" si="58"/>
        <v>8323.5999284680747</v>
      </c>
      <c r="K83" s="939">
        <f t="shared" si="58"/>
        <v>1972.0918752186101</v>
      </c>
      <c r="L83" s="939">
        <f t="shared" si="58"/>
        <v>178.90413861851181</v>
      </c>
      <c r="M83" s="939">
        <f t="shared" si="33"/>
        <v>1</v>
      </c>
      <c r="N83" s="939">
        <f t="shared" si="34"/>
        <v>0.78662786106655347</v>
      </c>
      <c r="O83" s="939">
        <f t="shared" si="35"/>
        <v>0.48675225595997168</v>
      </c>
      <c r="P83" s="939">
        <f t="shared" si="36"/>
        <v>0.11532512103806254</v>
      </c>
      <c r="Q83" s="939">
        <f t="shared" si="37"/>
        <v>1.0462058943426802E-2</v>
      </c>
      <c r="R83" s="939">
        <f t="shared" si="38"/>
        <v>5.8478574191822851E-5</v>
      </c>
      <c r="S83" s="959">
        <f t="shared" si="59"/>
        <v>26.087942530699998</v>
      </c>
      <c r="T83" s="939">
        <f t="shared" si="60"/>
        <v>24.944195417929475</v>
      </c>
      <c r="U83" s="939">
        <f t="shared" si="60"/>
        <v>23.496818472620845</v>
      </c>
      <c r="V83" s="939">
        <f t="shared" si="60"/>
        <v>21.80512163210318</v>
      </c>
      <c r="W83" s="939">
        <f t="shared" si="60"/>
        <v>20.235221629891608</v>
      </c>
      <c r="X83" s="939">
        <f t="shared" si="60"/>
        <v>18.778349477674478</v>
      </c>
      <c r="Y83" s="212"/>
      <c r="Z83" s="941">
        <f t="shared" ref="Z83:Z90" si="63">Z74/S73*S83</f>
        <v>0.23446637247778451</v>
      </c>
      <c r="AA83" s="941">
        <f>1/SUMIFS('Vehicle data-proc2023'!AL$20:AL$117,'Vehicle data-proc2023'!$N$20:$N$117,Analytica!$C83,'Vehicle data-proc2023'!$Q$20:$Q$117,RIGHT(Analytica!$D83,3))</f>
        <v>0.11863637247423742</v>
      </c>
      <c r="AB83" s="941">
        <f>1/SUMIFS('Vehicle data-proc2023'!AM$20:AM$117,'Vehicle data-proc2023'!$N$20:$N$117,Analytica!$C83,'Vehicle data-proc2023'!$Q$20:$Q$117,RIGHT(Analytica!$D83,3))</f>
        <v>0.11899299459804072</v>
      </c>
      <c r="AC83" s="941">
        <f>1/SUMIFS('Vehicle data-proc2023'!AN$20:AN$117,'Vehicle data-proc2023'!$N$20:$N$117,Analytica!$C83,'Vehicle data-proc2023'!$Q$20:$Q$117,RIGHT(Analytica!$D83,3))</f>
        <v>0.12574001840592877</v>
      </c>
      <c r="AD83" s="941">
        <f>1/SUMIFS('Vehicle data-proc2023'!AO$20:AO$117,'Vehicle data-proc2023'!$N$20:$N$117,Analytica!$C83,'Vehicle data-proc2023'!$Q$20:$Q$117,RIGHT(Analytica!$D83,3))</f>
        <v>0.13903417801011222</v>
      </c>
      <c r="AE83" s="941">
        <f>1/SUMIFS('Vehicle data-proc2023'!AP$20:AP$117,'Vehicle data-proc2023'!$N$20:$N$117,Analytica!$C83,'Vehicle data-proc2023'!$Q$20:$Q$117,RIGHT(Analytica!$D83,3))</f>
        <v>0.15373389395047296</v>
      </c>
      <c r="AF83" s="941"/>
      <c r="AG83" s="949"/>
      <c r="AH83" s="942"/>
      <c r="AI83" s="953">
        <f t="shared" ref="AI83:AI90" si="64">AI74*(1+$AR$57)</f>
        <v>419.61367137546472</v>
      </c>
      <c r="AJ83" s="953"/>
      <c r="AK83" s="943">
        <f>SUMIFS('Vehicle data-proc2023'!AD$20:AD$117,'Vehicle data-proc2023'!$N$20:$N$117,Analytica!$C83,'Vehicle data-proc2023'!$Q$20:$Q$117,RIGHT(Analytica!$D83,3))/1000</f>
        <v>598.30930679972266</v>
      </c>
      <c r="AL83" s="943">
        <f>SUMIFS('Vehicle data-proc2023'!AE$20:AE$117,'Vehicle data-proc2023'!$N$20:$N$117,Analytica!$C83,'Vehicle data-proc2023'!$Q$20:$Q$117,RIGHT(Analytica!$D83,3))/1000</f>
        <v>588.99088834881991</v>
      </c>
      <c r="AM83" s="943">
        <f>SUMIFS('Vehicle data-proc2023'!AF$20:AF$117,'Vehicle data-proc2023'!$N$20:$N$117,Analytica!$C83,'Vehicle data-proc2023'!$Q$20:$Q$117,RIGHT(Analytica!$D83,3))/1000</f>
        <v>591.03513773094801</v>
      </c>
      <c r="AN83" s="943">
        <f>SUMIFS('Vehicle data-proc2023'!AG$20:AG$117,'Vehicle data-proc2023'!$N$20:$N$117,Analytica!$C83,'Vehicle data-proc2023'!$Q$20:$Q$117,RIGHT(Analytica!$D83,3))/1000</f>
        <v>593.07938711307622</v>
      </c>
      <c r="AO83" s="943">
        <f>SUMIFS('Vehicle data-proc2023'!AH$20:AH$117,'Vehicle data-proc2023'!$N$20:$N$117,Analytica!$C83,'Vehicle data-proc2023'!$Q$20:$Q$117,RIGHT(Analytica!$D83,3))/1000</f>
        <v>599.60308321858258</v>
      </c>
      <c r="AP83" s="943">
        <f>SUMIFS('Vehicle data-proc2023'!AI$20:AI$117,'Vehicle data-proc2023'!$N$20:$N$117,Analytica!$C83,'Vehicle data-proc2023'!$Q$20:$Q$117,RIGHT(Analytica!$D83,3))/1000</f>
        <v>606.12677932408883</v>
      </c>
      <c r="AQ83" s="943">
        <f>SUMIFS('Vehicle data-proc2023'!AJ$20:AJ$117,'Vehicle data-proc2023'!$N$20:$N$117,Analytica!$C83,'Vehicle data-proc2023'!$Q$20:$Q$117,RIGHT(Analytica!$D83,3))/1000</f>
        <v>615.22177787460362</v>
      </c>
      <c r="AR83" s="942"/>
      <c r="AS83" s="212"/>
      <c r="AT83" s="944">
        <f t="shared" si="39"/>
        <v>2.7E-2</v>
      </c>
      <c r="AU83" s="942">
        <f t="shared" si="40"/>
        <v>16.154351283592511</v>
      </c>
      <c r="AV83" s="942">
        <f t="shared" si="41"/>
        <v>15.902753985418137</v>
      </c>
      <c r="AW83" s="942">
        <f t="shared" si="42"/>
        <v>16.013143452053058</v>
      </c>
      <c r="AX83" s="942">
        <f t="shared" si="43"/>
        <v>16.365423041750397</v>
      </c>
      <c r="AY83" s="945">
        <f t="shared" si="44"/>
        <v>16.610988002614299</v>
      </c>
      <c r="BA83" s="164">
        <f t="shared" si="49"/>
        <v>0</v>
      </c>
      <c r="BC83" s="167"/>
      <c r="BD83" s="167"/>
    </row>
    <row r="84" spans="1:56" x14ac:dyDescent="0.25">
      <c r="A84" s="61" t="str">
        <f t="shared" si="31"/>
        <v>CV3GAS</v>
      </c>
      <c r="B84" s="61" t="str">
        <f t="shared" si="51"/>
        <v>TFHCV3GAS-N</v>
      </c>
      <c r="C84" s="61" t="s">
        <v>509</v>
      </c>
      <c r="D84" s="61" t="s">
        <v>547</v>
      </c>
      <c r="E84" s="61" t="s">
        <v>546</v>
      </c>
      <c r="F84" s="938">
        <f t="shared" si="61"/>
        <v>8.4999999999999992E-2</v>
      </c>
      <c r="G84" s="939">
        <f t="shared" si="62"/>
        <v>30096.280108149898</v>
      </c>
      <c r="H84" s="939">
        <f t="shared" si="58"/>
        <v>30096.280108149898</v>
      </c>
      <c r="I84" s="939">
        <f t="shared" si="58"/>
        <v>19676.038579512857</v>
      </c>
      <c r="J84" s="939">
        <f t="shared" si="58"/>
        <v>8409.8326904830083</v>
      </c>
      <c r="K84" s="939">
        <f t="shared" si="58"/>
        <v>656.65374726387358</v>
      </c>
      <c r="L84" s="939">
        <f t="shared" si="58"/>
        <v>9.3666626481927722</v>
      </c>
      <c r="M84" s="939">
        <f t="shared" si="33"/>
        <v>1</v>
      </c>
      <c r="N84" s="939">
        <f t="shared" si="34"/>
        <v>0.65376978512984729</v>
      </c>
      <c r="O84" s="939">
        <f t="shared" si="35"/>
        <v>0.27943096822140734</v>
      </c>
      <c r="P84" s="939">
        <f t="shared" si="36"/>
        <v>2.1818435531042773E-2</v>
      </c>
      <c r="Q84" s="939">
        <f t="shared" si="37"/>
        <v>3.112232679432145E-4</v>
      </c>
      <c r="R84" s="939">
        <f t="shared" si="38"/>
        <v>3.3226697665177755E-5</v>
      </c>
      <c r="S84" s="959">
        <f t="shared" si="59"/>
        <v>26.566620375299998</v>
      </c>
      <c r="T84" s="939">
        <f t="shared" si="60"/>
        <v>25.401887076974052</v>
      </c>
      <c r="U84" s="939">
        <f t="shared" si="60"/>
        <v>23.927952756522146</v>
      </c>
      <c r="V84" s="939">
        <f t="shared" si="60"/>
        <v>22.205215607004156</v>
      </c>
      <c r="W84" s="939">
        <f t="shared" si="60"/>
        <v>20.606510100164851</v>
      </c>
      <c r="X84" s="939">
        <f t="shared" si="60"/>
        <v>19.122906348824472</v>
      </c>
      <c r="Y84" s="212"/>
      <c r="Z84" s="941">
        <f t="shared" si="63"/>
        <v>0.12917075654086085</v>
      </c>
      <c r="AA84" s="941">
        <f>1/SUMIFS('Vehicle data-proc2023'!AL$20:AL$117,'Vehicle data-proc2023'!$N$20:$N$117,Analytica!$C84,'Vehicle data-proc2023'!$Q$20:$Q$117,RIGHT(Analytica!$D84,3))</f>
        <v>0.10372327688440522</v>
      </c>
      <c r="AB84" s="941">
        <f>1/SUMIFS('Vehicle data-proc2023'!AM$20:AM$117,'Vehicle data-proc2023'!$N$20:$N$117,Analytica!$C84,'Vehicle data-proc2023'!$Q$20:$Q$117,RIGHT(Analytica!$D84,3))</f>
        <v>0.10403507009351054</v>
      </c>
      <c r="AC84" s="941">
        <f>1/SUMIFS('Vehicle data-proc2023'!AN$20:AN$117,'Vehicle data-proc2023'!$N$20:$N$117,Analytica!$C84,'Vehicle data-proc2023'!$Q$20:$Q$117,RIGHT(Analytica!$D84,3))</f>
        <v>0.10993396436999574</v>
      </c>
      <c r="AD84" s="941">
        <f>1/SUMIFS('Vehicle data-proc2023'!AO$20:AO$117,'Vehicle data-proc2023'!$N$20:$N$117,Analytica!$C84,'Vehicle data-proc2023'!$Q$20:$Q$117,RIGHT(Analytica!$D84,3))</f>
        <v>0.12155699168288527</v>
      </c>
      <c r="AE84" s="941">
        <f>1/SUMIFS('Vehicle data-proc2023'!AP$20:AP$117,'Vehicle data-proc2023'!$N$20:$N$117,Analytica!$C84,'Vehicle data-proc2023'!$Q$20:$Q$117,RIGHT(Analytica!$D84,3))</f>
        <v>0.13440889093440059</v>
      </c>
      <c r="AF84" s="941"/>
      <c r="AG84" s="949"/>
      <c r="AH84" s="942"/>
      <c r="AI84" s="953">
        <f t="shared" si="64"/>
        <v>582.23027542662123</v>
      </c>
      <c r="AJ84" s="953"/>
      <c r="AK84" s="943">
        <f>SUMIFS('Vehicle data-proc2023'!AD$20:AD$117,'Vehicle data-proc2023'!$N$20:$N$117,Analytica!$C84,'Vehicle data-proc2023'!$Q$20:$Q$117,RIGHT(Analytica!$D84,3))/1000</f>
        <v>598.30930679972266</v>
      </c>
      <c r="AL84" s="943">
        <f>SUMIFS('Vehicle data-proc2023'!AE$20:AE$117,'Vehicle data-proc2023'!$N$20:$N$117,Analytica!$C84,'Vehicle data-proc2023'!$Q$20:$Q$117,RIGHT(Analytica!$D84,3))/1000</f>
        <v>588.99088834881991</v>
      </c>
      <c r="AM84" s="943">
        <f>SUMIFS('Vehicle data-proc2023'!AF$20:AF$117,'Vehicle data-proc2023'!$N$20:$N$117,Analytica!$C84,'Vehicle data-proc2023'!$Q$20:$Q$117,RIGHT(Analytica!$D84,3))/1000</f>
        <v>591.03513773094801</v>
      </c>
      <c r="AN84" s="943">
        <f>SUMIFS('Vehicle data-proc2023'!AG$20:AG$117,'Vehicle data-proc2023'!$N$20:$N$117,Analytica!$C84,'Vehicle data-proc2023'!$Q$20:$Q$117,RIGHT(Analytica!$D84,3))/1000</f>
        <v>593.07938711307622</v>
      </c>
      <c r="AO84" s="943">
        <f>SUMIFS('Vehicle data-proc2023'!AH$20:AH$117,'Vehicle data-proc2023'!$N$20:$N$117,Analytica!$C84,'Vehicle data-proc2023'!$Q$20:$Q$117,RIGHT(Analytica!$D84,3))/1000</f>
        <v>599.60308321858258</v>
      </c>
      <c r="AP84" s="943">
        <f>SUMIFS('Vehicle data-proc2023'!AI$20:AI$117,'Vehicle data-proc2023'!$N$20:$N$117,Analytica!$C84,'Vehicle data-proc2023'!$Q$20:$Q$117,RIGHT(Analytica!$D84,3))/1000</f>
        <v>606.12677932408883</v>
      </c>
      <c r="AQ84" s="943">
        <f>SUMIFS('Vehicle data-proc2023'!AJ$20:AJ$117,'Vehicle data-proc2023'!$N$20:$N$117,Analytica!$C84,'Vehicle data-proc2023'!$Q$20:$Q$117,RIGHT(Analytica!$D84,3))/1000</f>
        <v>615.22177787460362</v>
      </c>
      <c r="AR84" s="942"/>
      <c r="AS84" s="212"/>
      <c r="AT84" s="944">
        <f t="shared" si="39"/>
        <v>2.7E-2</v>
      </c>
      <c r="AU84" s="942">
        <f t="shared" si="40"/>
        <v>16.154351283592511</v>
      </c>
      <c r="AV84" s="942">
        <f t="shared" si="41"/>
        <v>15.902753985418137</v>
      </c>
      <c r="AW84" s="942">
        <f t="shared" si="42"/>
        <v>16.013143452053058</v>
      </c>
      <c r="AX84" s="942">
        <f t="shared" si="43"/>
        <v>16.365423041750397</v>
      </c>
      <c r="AY84" s="945">
        <f t="shared" si="44"/>
        <v>16.610988002614299</v>
      </c>
      <c r="BA84" s="164">
        <f t="shared" si="49"/>
        <v>0</v>
      </c>
      <c r="BC84" s="167"/>
      <c r="BD84" s="167"/>
    </row>
    <row r="85" spans="1:56" x14ac:dyDescent="0.25">
      <c r="A85" s="61" t="str">
        <f t="shared" si="31"/>
        <v>CV4GAS</v>
      </c>
      <c r="B85" s="61" t="str">
        <f t="shared" si="51"/>
        <v>TFHCV4GAS-N</v>
      </c>
      <c r="C85" s="61" t="s">
        <v>509</v>
      </c>
      <c r="D85" s="61" t="s">
        <v>545</v>
      </c>
      <c r="E85" s="61" t="s">
        <v>544</v>
      </c>
      <c r="F85" s="938">
        <f t="shared" si="61"/>
        <v>8.4999999999999992E-2</v>
      </c>
      <c r="G85" s="939">
        <f t="shared" si="62"/>
        <v>54512.527353451602</v>
      </c>
      <c r="H85" s="939">
        <f t="shared" si="58"/>
        <v>54512.527353451602</v>
      </c>
      <c r="I85" s="939">
        <f t="shared" si="58"/>
        <v>35638.643294750975</v>
      </c>
      <c r="J85" s="939">
        <f t="shared" si="58"/>
        <v>15232.488298570934</v>
      </c>
      <c r="K85" s="939">
        <f t="shared" si="58"/>
        <v>1189.3780636954896</v>
      </c>
      <c r="L85" s="939">
        <f t="shared" si="58"/>
        <v>16.965566906785078</v>
      </c>
      <c r="M85" s="939">
        <f t="shared" si="33"/>
        <v>1</v>
      </c>
      <c r="N85" s="939">
        <f t="shared" si="34"/>
        <v>0.65376978512984729</v>
      </c>
      <c r="O85" s="939">
        <f t="shared" si="35"/>
        <v>0.27943096822140734</v>
      </c>
      <c r="P85" s="939">
        <f t="shared" si="36"/>
        <v>2.1818435531042773E-2</v>
      </c>
      <c r="Q85" s="939">
        <f t="shared" si="37"/>
        <v>3.112232679432145E-4</v>
      </c>
      <c r="R85" s="939">
        <f t="shared" si="38"/>
        <v>1.8344407213339054E-5</v>
      </c>
      <c r="S85" s="960">
        <f t="shared" si="59"/>
        <v>30.635382054399997</v>
      </c>
      <c r="T85" s="939">
        <f t="shared" si="60"/>
        <v>29.292266178852962</v>
      </c>
      <c r="U85" s="939">
        <f t="shared" si="60"/>
        <v>27.592594169683196</v>
      </c>
      <c r="V85" s="939">
        <f t="shared" si="60"/>
        <v>25.606014393662452</v>
      </c>
      <c r="W85" s="939">
        <f t="shared" si="60"/>
        <v>23.762462097487397</v>
      </c>
      <c r="X85" s="961">
        <f t="shared" si="60"/>
        <v>22.051639753599392</v>
      </c>
      <c r="Y85" s="212"/>
      <c r="Z85" s="941">
        <f t="shared" si="63"/>
        <v>0.12684335552210657</v>
      </c>
      <c r="AA85" s="941">
        <f>1/SUMIFS('Vehicle data-proc2023'!AL$20:AL$117,'Vehicle data-proc2023'!$N$20:$N$117,Analytica!$C85,'Vehicle data-proc2023'!$Q$20:$Q$117,RIGHT(Analytica!$D85,3))</f>
        <v>8.9140422453578269E-2</v>
      </c>
      <c r="AB85" s="941">
        <f>1/SUMIFS('Vehicle data-proc2023'!AM$20:AM$117,'Vehicle data-proc2023'!$N$20:$N$117,Analytica!$C85,'Vehicle data-proc2023'!$Q$20:$Q$117,RIGHT(Analytica!$D85,3))</f>
        <v>8.9408379456216935E-2</v>
      </c>
      <c r="AC85" s="941">
        <f>1/SUMIFS('Vehicle data-proc2023'!AN$20:AN$117,'Vehicle data-proc2023'!$N$20:$N$117,Analytica!$C85,'Vehicle data-proc2023'!$Q$20:$Q$117,RIGHT(Analytica!$D85,3))</f>
        <v>9.4477925498431731E-2</v>
      </c>
      <c r="AD85" s="941">
        <f>1/SUMIFS('Vehicle data-proc2023'!AO$20:AO$117,'Vehicle data-proc2023'!$N$20:$N$117,Analytica!$C85,'Vehicle data-proc2023'!$Q$20:$Q$117,RIGHT(Analytica!$D85,3))</f>
        <v>0.10446682669767859</v>
      </c>
      <c r="AE85" s="941">
        <f>1/SUMIFS('Vehicle data-proc2023'!AP$20:AP$117,'Vehicle data-proc2023'!$N$20:$N$117,Analytica!$C85,'Vehicle data-proc2023'!$Q$20:$Q$117,RIGHT(Analytica!$D85,3))</f>
        <v>0.11551182800329342</v>
      </c>
      <c r="AF85" s="941"/>
      <c r="AG85" s="949"/>
      <c r="AH85" s="942"/>
      <c r="AI85" s="953">
        <f t="shared" si="64"/>
        <v>829.74081227272734</v>
      </c>
      <c r="AJ85" s="953"/>
      <c r="AK85" s="943">
        <f>SUMIFS('Vehicle data-proc2023'!AD$20:AD$117,'Vehicle data-proc2023'!$N$20:$N$117,Analytica!$C85,'Vehicle data-proc2023'!$Q$20:$Q$117,RIGHT(Analytica!$D85,3))/1000</f>
        <v>1022.4160439057858</v>
      </c>
      <c r="AL85" s="943">
        <f>SUMIFS('Vehicle data-proc2023'!AE$20:AE$117,'Vehicle data-proc2023'!$N$20:$N$117,Analytica!$C85,'Vehicle data-proc2023'!$Q$20:$Q$117,RIGHT(Analytica!$D85,3))/1000</f>
        <v>1047.6378756772529</v>
      </c>
      <c r="AM85" s="943">
        <f>SUMIFS('Vehicle data-proc2023'!AF$20:AF$117,'Vehicle data-proc2023'!$N$20:$N$117,Analytica!$C85,'Vehicle data-proc2023'!$Q$20:$Q$117,RIGHT(Analytica!$D85,3))/1000</f>
        <v>1050.0097772323459</v>
      </c>
      <c r="AN85" s="943">
        <f>SUMIFS('Vehicle data-proc2023'!AG$20:AG$117,'Vehicle data-proc2023'!$N$20:$N$117,Analytica!$C85,'Vehicle data-proc2023'!$Q$20:$Q$117,RIGHT(Analytica!$D85,3))/1000</f>
        <v>1052.3816787874387</v>
      </c>
      <c r="AO85" s="943">
        <f>SUMIFS('Vehicle data-proc2023'!AH$20:AH$117,'Vehicle data-proc2023'!$N$20:$N$117,Analytica!$C85,'Vehicle data-proc2023'!$Q$20:$Q$117,RIGHT(Analytica!$D85,3))/1000</f>
        <v>1060.4720565879959</v>
      </c>
      <c r="AP85" s="943">
        <f>SUMIFS('Vehicle data-proc2023'!AI$20:AI$117,'Vehicle data-proc2023'!$N$20:$N$117,Analytica!$C85,'Vehicle data-proc2023'!$Q$20:$Q$117,RIGHT(Analytica!$D85,3))/1000</f>
        <v>1068.5624343885534</v>
      </c>
      <c r="AQ85" s="943">
        <f>SUMIFS('Vehicle data-proc2023'!AJ$20:AJ$117,'Vehicle data-proc2023'!$N$20:$N$117,Analytica!$C85,'Vehicle data-proc2023'!$Q$20:$Q$117,RIGHT(Analytica!$D85,3))/1000</f>
        <v>1089.4420268777396</v>
      </c>
      <c r="AR85" s="942"/>
      <c r="AS85" s="212"/>
      <c r="AT85" s="944">
        <f t="shared" si="39"/>
        <v>2.7E-2</v>
      </c>
      <c r="AU85" s="942">
        <f t="shared" si="40"/>
        <v>27.605233185456218</v>
      </c>
      <c r="AV85" s="942">
        <f t="shared" si="41"/>
        <v>28.286222643285825</v>
      </c>
      <c r="AW85" s="942">
        <f t="shared" si="42"/>
        <v>28.414305327260845</v>
      </c>
      <c r="AX85" s="942">
        <f t="shared" si="43"/>
        <v>28.85118572849094</v>
      </c>
      <c r="AY85" s="945">
        <f t="shared" si="44"/>
        <v>29.41493472569897</v>
      </c>
      <c r="BA85" s="164">
        <f t="shared" si="49"/>
        <v>0</v>
      </c>
      <c r="BC85" s="167"/>
      <c r="BD85" s="167"/>
    </row>
    <row r="86" spans="1:56" x14ac:dyDescent="0.25">
      <c r="A86" s="61" t="str">
        <f t="shared" si="31"/>
        <v>CV5GAS</v>
      </c>
      <c r="B86" s="61" t="str">
        <f t="shared" si="51"/>
        <v>TFHCV5GAS-N</v>
      </c>
      <c r="C86" s="61" t="s">
        <v>509</v>
      </c>
      <c r="D86" s="61" t="s">
        <v>543</v>
      </c>
      <c r="E86" s="61" t="s">
        <v>542</v>
      </c>
      <c r="F86" s="938">
        <f t="shared" si="61"/>
        <v>0.11</v>
      </c>
      <c r="G86" s="939">
        <f t="shared" si="62"/>
        <v>53608.118344618502</v>
      </c>
      <c r="H86" s="939">
        <f t="shared" si="58"/>
        <v>53608.118344618502</v>
      </c>
      <c r="I86" s="939">
        <f t="shared" si="58"/>
        <v>30929.193713782333</v>
      </c>
      <c r="J86" s="939">
        <f t="shared" si="58"/>
        <v>10295.434229414555</v>
      </c>
      <c r="K86" s="939">
        <f t="shared" si="58"/>
        <v>379.72822415195355</v>
      </c>
      <c r="L86" s="939">
        <f t="shared" si="58"/>
        <v>1.5518624608428848</v>
      </c>
      <c r="M86" s="939">
        <f t="shared" si="33"/>
        <v>1</v>
      </c>
      <c r="N86" s="939">
        <f t="shared" si="34"/>
        <v>0.57694981038048665</v>
      </c>
      <c r="O86" s="939">
        <f t="shared" si="35"/>
        <v>0.19204990862075411</v>
      </c>
      <c r="P86" s="939">
        <f t="shared" si="36"/>
        <v>7.0834089290521219E-3</v>
      </c>
      <c r="Q86" s="939">
        <f t="shared" si="37"/>
        <v>2.8948273298211554E-5</v>
      </c>
      <c r="R86" s="939">
        <f t="shared" si="38"/>
        <v>1.8653891068728135E-5</v>
      </c>
      <c r="S86" s="960">
        <f t="shared" si="59"/>
        <v>38.533566490299997</v>
      </c>
      <c r="T86" s="939">
        <f t="shared" si="60"/>
        <v>36.84417855308849</v>
      </c>
      <c r="U86" s="939">
        <f t="shared" si="60"/>
        <v>34.706309854054645</v>
      </c>
      <c r="V86" s="939">
        <f t="shared" si="60"/>
        <v>32.207564979528556</v>
      </c>
      <c r="W86" s="939">
        <f t="shared" si="60"/>
        <v>29.888721856995868</v>
      </c>
      <c r="X86" s="961">
        <f t="shared" si="60"/>
        <v>27.736828127574235</v>
      </c>
      <c r="Y86" s="212"/>
      <c r="Z86" s="941">
        <f t="shared" si="63"/>
        <v>0.1099969723668268</v>
      </c>
      <c r="AA86" s="941">
        <f>1/SUMIFS('Vehicle data-proc2023'!AL$20:AL$117,'Vehicle data-proc2023'!$N$20:$N$117,Analytica!$C86,'Vehicle data-proc2023'!$Q$20:$Q$117,RIGHT(Analytica!$D86,3))</f>
        <v>8.2121371165139845E-2</v>
      </c>
      <c r="AB86" s="941">
        <f>1/SUMIFS('Vehicle data-proc2023'!AM$20:AM$117,'Vehicle data-proc2023'!$N$20:$N$117,Analytica!$C86,'Vehicle data-proc2023'!$Q$20:$Q$117,RIGHT(Analytica!$D86,3))</f>
        <v>8.2368228829309525E-2</v>
      </c>
      <c r="AC86" s="941">
        <f>1/SUMIFS('Vehicle data-proc2023'!AN$20:AN$117,'Vehicle data-proc2023'!$N$20:$N$117,Analytica!$C86,'Vehicle data-proc2023'!$Q$20:$Q$117,RIGHT(Analytica!$D86,3))</f>
        <v>8.7038591171245835E-2</v>
      </c>
      <c r="AD86" s="941">
        <f>1/SUMIFS('Vehicle data-proc2023'!AO$20:AO$117,'Vehicle data-proc2023'!$N$20:$N$117,Analytica!$C86,'Vehicle data-proc2023'!$Q$20:$Q$117,RIGHT(Analytica!$D86,3))</f>
        <v>9.6240951226724075E-2</v>
      </c>
      <c r="AE86" s="941">
        <f>1/SUMIFS('Vehicle data-proc2023'!AP$20:AP$117,'Vehicle data-proc2023'!$N$20:$N$117,Analytica!$C86,'Vehicle data-proc2023'!$Q$20:$Q$117,RIGHT(Analytica!$D86,3))</f>
        <v>0.10641625247358774</v>
      </c>
      <c r="AF86" s="941"/>
      <c r="AG86" s="949"/>
      <c r="AH86" s="942"/>
      <c r="AI86" s="953">
        <f t="shared" si="64"/>
        <v>904.92848297604041</v>
      </c>
      <c r="AJ86" s="953"/>
      <c r="AK86" s="943">
        <f>SUMIFS('Vehicle data-proc2023'!AD$20:AD$117,'Vehicle data-proc2023'!$N$20:$N$117,Analytica!$C86,'Vehicle data-proc2023'!$Q$20:$Q$117,RIGHT(Analytica!$D86,3))/1000</f>
        <v>935.58003017164106</v>
      </c>
      <c r="AL86" s="943">
        <f>SUMIFS('Vehicle data-proc2023'!AE$20:AE$117,'Vehicle data-proc2023'!$N$20:$N$117,Analytica!$C86,'Vehicle data-proc2023'!$Q$20:$Q$117,RIGHT(Analytica!$D86,3))/1000</f>
        <v>955.91020610261251</v>
      </c>
      <c r="AM86" s="943">
        <f>SUMIFS('Vehicle data-proc2023'!AF$20:AF$117,'Vehicle data-proc2023'!$N$20:$N$117,Analytica!$C86,'Vehicle data-proc2023'!$Q$20:$Q$117,RIGHT(Analytica!$D86,3))/1000</f>
        <v>961.41375584437571</v>
      </c>
      <c r="AN86" s="943">
        <f>SUMIFS('Vehicle data-proc2023'!AG$20:AG$117,'Vehicle data-proc2023'!$N$20:$N$117,Analytica!$C86,'Vehicle data-proc2023'!$Q$20:$Q$117,RIGHT(Analytica!$D86,3))/1000</f>
        <v>966.91730558613915</v>
      </c>
      <c r="AO86" s="943">
        <f>SUMIFS('Vehicle data-proc2023'!AH$20:AH$117,'Vehicle data-proc2023'!$N$20:$N$117,Analytica!$C86,'Vehicle data-proc2023'!$Q$20:$Q$117,RIGHT(Analytica!$D86,3))/1000</f>
        <v>974.63568364717787</v>
      </c>
      <c r="AP86" s="943">
        <f>SUMIFS('Vehicle data-proc2023'!AI$20:AI$117,'Vehicle data-proc2023'!$N$20:$N$117,Analytica!$C86,'Vehicle data-proc2023'!$Q$20:$Q$117,RIGHT(Analytica!$D86,3))/1000</f>
        <v>982.35406170821636</v>
      </c>
      <c r="AQ86" s="943">
        <f>SUMIFS('Vehicle data-proc2023'!AJ$20:AJ$117,'Vehicle data-proc2023'!$N$20:$N$117,Analytica!$C86,'Vehicle data-proc2023'!$Q$20:$Q$117,RIGHT(Analytica!$D86,3))/1000</f>
        <v>999.53622293291085</v>
      </c>
      <c r="AR86" s="942"/>
      <c r="AS86" s="212"/>
      <c r="AT86" s="944">
        <f t="shared" si="39"/>
        <v>2.7E-2</v>
      </c>
      <c r="AU86" s="942">
        <f t="shared" si="40"/>
        <v>25.26066081463431</v>
      </c>
      <c r="AV86" s="942">
        <f t="shared" si="41"/>
        <v>25.809575564770537</v>
      </c>
      <c r="AW86" s="942">
        <f t="shared" si="42"/>
        <v>26.106767250825758</v>
      </c>
      <c r="AX86" s="942">
        <f t="shared" si="43"/>
        <v>26.523559666121841</v>
      </c>
      <c r="AY86" s="945">
        <f t="shared" si="44"/>
        <v>26.987478019188593</v>
      </c>
      <c r="BA86" s="164">
        <f t="shared" si="49"/>
        <v>0</v>
      </c>
      <c r="BC86" s="167"/>
      <c r="BD86" s="167"/>
    </row>
    <row r="87" spans="1:56" x14ac:dyDescent="0.25">
      <c r="A87" s="61" t="str">
        <f t="shared" si="31"/>
        <v>CV6GAS</v>
      </c>
      <c r="B87" s="61" t="str">
        <f t="shared" si="51"/>
        <v>TFHCV6GAS-N</v>
      </c>
      <c r="C87" s="61" t="s">
        <v>509</v>
      </c>
      <c r="D87" s="61" t="s">
        <v>541</v>
      </c>
      <c r="E87" s="61" t="s">
        <v>540</v>
      </c>
      <c r="F87" s="938">
        <f t="shared" si="61"/>
        <v>0.11</v>
      </c>
      <c r="G87" s="939">
        <f t="shared" si="62"/>
        <v>56756.7653972318</v>
      </c>
      <c r="H87" s="939">
        <f t="shared" si="58"/>
        <v>56756.7653972318</v>
      </c>
      <c r="I87" s="939">
        <f t="shared" si="58"/>
        <v>32745.805033742654</v>
      </c>
      <c r="J87" s="939">
        <f t="shared" si="58"/>
        <v>10900.131608147945</v>
      </c>
      <c r="K87" s="939">
        <f t="shared" si="58"/>
        <v>402.03137879886822</v>
      </c>
      <c r="L87" s="939">
        <f t="shared" si="58"/>
        <v>1.6430103562415428</v>
      </c>
      <c r="M87" s="939">
        <f t="shared" si="33"/>
        <v>1</v>
      </c>
      <c r="N87" s="939">
        <f t="shared" si="34"/>
        <v>0.57694981038048665</v>
      </c>
      <c r="O87" s="939">
        <f t="shared" si="35"/>
        <v>0.19204990862075411</v>
      </c>
      <c r="P87" s="939">
        <f t="shared" si="36"/>
        <v>7.0834089290521219E-3</v>
      </c>
      <c r="Q87" s="939">
        <f t="shared" si="37"/>
        <v>2.8948273298211554E-5</v>
      </c>
      <c r="R87" s="939">
        <f t="shared" si="38"/>
        <v>1.761904493677811E-5</v>
      </c>
      <c r="S87" s="960">
        <f t="shared" si="59"/>
        <v>37.097532956499997</v>
      </c>
      <c r="T87" s="939">
        <f t="shared" si="60"/>
        <v>35.471103575954757</v>
      </c>
      <c r="U87" s="939">
        <f t="shared" si="60"/>
        <v>33.412907002350742</v>
      </c>
      <c r="V87" s="939">
        <f t="shared" si="60"/>
        <v>31.007283054825621</v>
      </c>
      <c r="W87" s="939">
        <f t="shared" si="60"/>
        <v>28.774856446176141</v>
      </c>
      <c r="X87" s="961">
        <f t="shared" si="60"/>
        <v>26.703157514124257</v>
      </c>
      <c r="Y87" s="212"/>
      <c r="Z87" s="941">
        <f t="shared" si="63"/>
        <v>8.7451009086669751E-2</v>
      </c>
      <c r="AA87" s="941">
        <f>1/SUMIFS('Vehicle data-proc2023'!AL$20:AL$117,'Vehicle data-proc2023'!$N$20:$N$117,Analytica!$C87,'Vehicle data-proc2023'!$Q$20:$Q$117,RIGHT(Analytica!$D87,3))</f>
        <v>5.6643542741085136E-2</v>
      </c>
      <c r="AB87" s="941">
        <f>1/SUMIFS('Vehicle data-proc2023'!AM$20:AM$117,'Vehicle data-proc2023'!$N$20:$N$117,Analytica!$C87,'Vehicle data-proc2023'!$Q$20:$Q$117,RIGHT(Analytica!$D87,3))</f>
        <v>5.6813813797851109E-2</v>
      </c>
      <c r="AC87" s="941">
        <f>1/SUMIFS('Vehicle data-proc2023'!AN$20:AN$117,'Vehicle data-proc2023'!$N$20:$N$117,Analytica!$C87,'Vehicle data-proc2023'!$Q$20:$Q$117,RIGHT(Analytica!$D87,3))</f>
        <v>6.0035214819027953E-2</v>
      </c>
      <c r="AD87" s="941">
        <f>1/SUMIFS('Vehicle data-proc2023'!AO$20:AO$117,'Vehicle data-proc2023'!$N$20:$N$117,Analytica!$C87,'Vehicle data-proc2023'!$Q$20:$Q$117,RIGHT(Analytica!$D87,3))</f>
        <v>6.6382579308024769E-2</v>
      </c>
      <c r="AE87" s="941">
        <f>1/SUMIFS('Vehicle data-proc2023'!AP$20:AP$117,'Vehicle data-proc2023'!$N$20:$N$117,Analytica!$C87,'Vehicle data-proc2023'!$Q$20:$Q$117,RIGHT(Analytica!$D87,3))</f>
        <v>7.3401033857707229E-2</v>
      </c>
      <c r="AF87" s="941"/>
      <c r="AG87" s="949"/>
      <c r="AH87" s="942"/>
      <c r="AI87" s="953">
        <f t="shared" si="64"/>
        <v>1169.6209727016771</v>
      </c>
      <c r="AJ87" s="953"/>
      <c r="AK87" s="943">
        <f>SUMIFS('Vehicle data-proc2023'!AD$20:AD$117,'Vehicle data-proc2023'!$N$20:$N$117,Analytica!$C87,'Vehicle data-proc2023'!$Q$20:$Q$117,RIGHT(Analytica!$D87,3))/1000</f>
        <v>935.58003017164106</v>
      </c>
      <c r="AL87" s="943">
        <f>SUMIFS('Vehicle data-proc2023'!AE$20:AE$117,'Vehicle data-proc2023'!$N$20:$N$117,Analytica!$C87,'Vehicle data-proc2023'!$Q$20:$Q$117,RIGHT(Analytica!$D87,3))/1000</f>
        <v>955.91020610261251</v>
      </c>
      <c r="AM87" s="943">
        <f>SUMIFS('Vehicle data-proc2023'!AF$20:AF$117,'Vehicle data-proc2023'!$N$20:$N$117,Analytica!$C87,'Vehicle data-proc2023'!$Q$20:$Q$117,RIGHT(Analytica!$D87,3))/1000</f>
        <v>961.41375584437571</v>
      </c>
      <c r="AN87" s="943">
        <f>SUMIFS('Vehicle data-proc2023'!AG$20:AG$117,'Vehicle data-proc2023'!$N$20:$N$117,Analytica!$C87,'Vehicle data-proc2023'!$Q$20:$Q$117,RIGHT(Analytica!$D87,3))/1000</f>
        <v>966.91730558613915</v>
      </c>
      <c r="AO87" s="943">
        <f>SUMIFS('Vehicle data-proc2023'!AH$20:AH$117,'Vehicle data-proc2023'!$N$20:$N$117,Analytica!$C87,'Vehicle data-proc2023'!$Q$20:$Q$117,RIGHT(Analytica!$D87,3))/1000</f>
        <v>974.63568364717787</v>
      </c>
      <c r="AP87" s="943">
        <f>SUMIFS('Vehicle data-proc2023'!AI$20:AI$117,'Vehicle data-proc2023'!$N$20:$N$117,Analytica!$C87,'Vehicle data-proc2023'!$Q$20:$Q$117,RIGHT(Analytica!$D87,3))/1000</f>
        <v>982.35406170821636</v>
      </c>
      <c r="AQ87" s="943">
        <f>SUMIFS('Vehicle data-proc2023'!AJ$20:AJ$117,'Vehicle data-proc2023'!$N$20:$N$117,Analytica!$C87,'Vehicle data-proc2023'!$Q$20:$Q$117,RIGHT(Analytica!$D87,3))/1000</f>
        <v>999.53622293291085</v>
      </c>
      <c r="AR87" s="942"/>
      <c r="AS87" s="212"/>
      <c r="AT87" s="944">
        <f t="shared" si="39"/>
        <v>2.7E-2</v>
      </c>
      <c r="AU87" s="942">
        <f t="shared" si="40"/>
        <v>25.26066081463431</v>
      </c>
      <c r="AV87" s="942">
        <f t="shared" si="41"/>
        <v>25.809575564770537</v>
      </c>
      <c r="AW87" s="942">
        <f t="shared" si="42"/>
        <v>26.106767250825758</v>
      </c>
      <c r="AX87" s="942">
        <f t="shared" si="43"/>
        <v>26.523559666121841</v>
      </c>
      <c r="AY87" s="945">
        <f t="shared" si="44"/>
        <v>26.987478019188593</v>
      </c>
      <c r="BA87" s="164">
        <f t="shared" si="49"/>
        <v>0</v>
      </c>
      <c r="BC87" s="167"/>
      <c r="BD87" s="167"/>
    </row>
    <row r="88" spans="1:56" x14ac:dyDescent="0.25">
      <c r="A88" s="61" t="str">
        <f t="shared" si="31"/>
        <v>CV7GAS</v>
      </c>
      <c r="B88" s="61" t="str">
        <f t="shared" si="51"/>
        <v>TFHCV7GAS-N</v>
      </c>
      <c r="C88" s="61" t="s">
        <v>509</v>
      </c>
      <c r="D88" s="61" t="s">
        <v>539</v>
      </c>
      <c r="E88" s="61" t="s">
        <v>538</v>
      </c>
      <c r="F88" s="938">
        <f t="shared" si="61"/>
        <v>0.16</v>
      </c>
      <c r="G88" s="939">
        <f t="shared" si="62"/>
        <v>64512.330335483297</v>
      </c>
      <c r="H88" s="939">
        <f t="shared" si="58"/>
        <v>64512.330335483297</v>
      </c>
      <c r="I88" s="939">
        <f t="shared" si="58"/>
        <v>28987.258562430718</v>
      </c>
      <c r="J88" s="939">
        <f t="shared" si="58"/>
        <v>5852.4265699655216</v>
      </c>
      <c r="K88" s="939">
        <f t="shared" si="58"/>
        <v>48.163990293780166</v>
      </c>
      <c r="L88" s="939">
        <f t="shared" si="58"/>
        <v>1.6157218754222567E-2</v>
      </c>
      <c r="M88" s="939">
        <f t="shared" si="33"/>
        <v>1</v>
      </c>
      <c r="N88" s="939">
        <f t="shared" si="34"/>
        <v>0.44932896411722156</v>
      </c>
      <c r="O88" s="939">
        <f t="shared" si="35"/>
        <v>9.0717953289412484E-2</v>
      </c>
      <c r="P88" s="939">
        <f t="shared" si="36"/>
        <v>7.4658580837667931E-4</v>
      </c>
      <c r="Q88" s="939">
        <f t="shared" si="37"/>
        <v>2.5045163723276199E-7</v>
      </c>
      <c r="R88" s="939">
        <f t="shared" si="38"/>
        <v>1.5500912690639181E-5</v>
      </c>
      <c r="S88" s="960">
        <f t="shared" si="59"/>
        <v>43.918692242049993</v>
      </c>
      <c r="T88" s="939">
        <f t="shared" si="60"/>
        <v>41.993209717339987</v>
      </c>
      <c r="U88" s="939">
        <f t="shared" si="60"/>
        <v>39.556570547944268</v>
      </c>
      <c r="V88" s="939">
        <f t="shared" si="60"/>
        <v>36.70862219716453</v>
      </c>
      <c r="W88" s="939">
        <f t="shared" si="60"/>
        <v>34.065717147569821</v>
      </c>
      <c r="X88" s="961">
        <f t="shared" si="60"/>
        <v>31.613092928011625</v>
      </c>
      <c r="Y88" s="212"/>
      <c r="Z88" s="941">
        <f t="shared" si="63"/>
        <v>9.0836209438411794E-2</v>
      </c>
      <c r="AA88" s="941">
        <f>1/SUMIFS('Vehicle data-proc2023'!AL$20:AL$117,'Vehicle data-proc2023'!$N$20:$N$117,Analytica!$C88,'Vehicle data-proc2023'!$Q$20:$Q$117,RIGHT(Analytica!$D88,3))</f>
        <v>6.1145949155644107E-2</v>
      </c>
      <c r="AB88" s="941">
        <f>1/SUMIFS('Vehicle data-proc2023'!AM$20:AM$117,'Vehicle data-proc2023'!$N$20:$N$117,Analytica!$C88,'Vehicle data-proc2023'!$Q$20:$Q$117,RIGHT(Analytica!$D88,3))</f>
        <v>6.1329754491183934E-2</v>
      </c>
      <c r="AC88" s="941">
        <f>1/SUMIFS('Vehicle data-proc2023'!AN$20:AN$117,'Vehicle data-proc2023'!$N$20:$N$117,Analytica!$C88,'Vehicle data-proc2023'!$Q$20:$Q$117,RIGHT(Analytica!$D88,3))</f>
        <v>6.4807213942320058E-2</v>
      </c>
      <c r="AD88" s="941">
        <f>1/SUMIFS('Vehicle data-proc2023'!AO$20:AO$117,'Vehicle data-proc2023'!$N$20:$N$117,Analytica!$C88,'Vehicle data-proc2023'!$Q$20:$Q$117,RIGHT(Analytica!$D88,3))</f>
        <v>7.1659109278220876E-2</v>
      </c>
      <c r="AE88" s="941">
        <f>1/SUMIFS('Vehicle data-proc2023'!AP$20:AP$117,'Vehicle data-proc2023'!$N$20:$N$117,Analytica!$C88,'Vehicle data-proc2023'!$Q$20:$Q$117,RIGHT(Analytica!$D88,3))</f>
        <v>7.9235437386928814E-2</v>
      </c>
      <c r="AF88" s="941"/>
      <c r="AG88" s="949"/>
      <c r="AH88" s="942"/>
      <c r="AI88" s="953">
        <f t="shared" si="64"/>
        <v>1309.4277306076999</v>
      </c>
      <c r="AJ88" s="953"/>
      <c r="AK88" s="943">
        <f>SUMIFS('Vehicle data-proc2023'!AD$20:AD$117,'Vehicle data-proc2023'!$N$20:$N$117,Analytica!$C88,'Vehicle data-proc2023'!$Q$20:$Q$117,RIGHT(Analytica!$D88,3))/1000</f>
        <v>1216.8719571458175</v>
      </c>
      <c r="AL88" s="943">
        <f>SUMIFS('Vehicle data-proc2023'!AE$20:AE$117,'Vehicle data-proc2023'!$N$20:$N$117,Analytica!$C88,'Vehicle data-proc2023'!$Q$20:$Q$117,RIGHT(Analytica!$D88,3))/1000</f>
        <v>1262.2768438934449</v>
      </c>
      <c r="AM88" s="943">
        <f>SUMIFS('Vehicle data-proc2023'!AF$20:AF$117,'Vehicle data-proc2023'!$N$20:$N$117,Analytica!$C88,'Vehicle data-proc2023'!$Q$20:$Q$117,RIGHT(Analytica!$D88,3))/1000</f>
        <v>1258.6342158304008</v>
      </c>
      <c r="AN88" s="943">
        <f>SUMIFS('Vehicle data-proc2023'!AG$20:AG$117,'Vehicle data-proc2023'!$N$20:$N$117,Analytica!$C88,'Vehicle data-proc2023'!$Q$20:$Q$117,RIGHT(Analytica!$D88,3))/1000</f>
        <v>1254.991587767357</v>
      </c>
      <c r="AO88" s="943">
        <f>SUMIFS('Vehicle data-proc2023'!AH$20:AH$117,'Vehicle data-proc2023'!$N$20:$N$117,Analytica!$C88,'Vehicle data-proc2023'!$Q$20:$Q$117,RIGHT(Analytica!$D88,3))/1000</f>
        <v>1264.4179480459163</v>
      </c>
      <c r="AP88" s="943">
        <f>SUMIFS('Vehicle data-proc2023'!AI$20:AI$117,'Vehicle data-proc2023'!$N$20:$N$117,Analytica!$C88,'Vehicle data-proc2023'!$Q$20:$Q$117,RIGHT(Analytica!$D88,3))/1000</f>
        <v>1273.8443083244761</v>
      </c>
      <c r="AQ88" s="943">
        <f>SUMIFS('Vehicle data-proc2023'!AJ$20:AJ$117,'Vehicle data-proc2023'!$N$20:$N$117,Analytica!$C88,'Vehicle data-proc2023'!$Q$20:$Q$117,RIGHT(Analytica!$D88,3))/1000</f>
        <v>1284.9334289435517</v>
      </c>
      <c r="AR88" s="942"/>
      <c r="AS88" s="212"/>
      <c r="AT88" s="944">
        <f t="shared" si="39"/>
        <v>2.7E-2</v>
      </c>
      <c r="AU88" s="942">
        <f t="shared" si="40"/>
        <v>32.855542842937076</v>
      </c>
      <c r="AV88" s="942">
        <f t="shared" si="41"/>
        <v>34.081474785123014</v>
      </c>
      <c r="AW88" s="942">
        <f t="shared" si="42"/>
        <v>33.884772869718638</v>
      </c>
      <c r="AX88" s="942">
        <f t="shared" si="43"/>
        <v>34.393796324760856</v>
      </c>
      <c r="AY88" s="945">
        <f t="shared" si="44"/>
        <v>34.693202581475894</v>
      </c>
      <c r="BA88" s="164">
        <f t="shared" si="49"/>
        <v>0</v>
      </c>
      <c r="BC88" s="167"/>
      <c r="BD88" s="167"/>
    </row>
    <row r="89" spans="1:56" x14ac:dyDescent="0.25">
      <c r="A89" s="61" t="str">
        <f t="shared" si="31"/>
        <v>CV8GAS</v>
      </c>
      <c r="B89" s="61" t="str">
        <f t="shared" si="51"/>
        <v>TFHCV8GAS-N</v>
      </c>
      <c r="C89" s="61" t="s">
        <v>509</v>
      </c>
      <c r="D89" s="61" t="s">
        <v>537</v>
      </c>
      <c r="E89" s="61" t="s">
        <v>536</v>
      </c>
      <c r="F89" s="938">
        <f t="shared" si="61"/>
        <v>0.16</v>
      </c>
      <c r="G89" s="939">
        <f t="shared" si="62"/>
        <v>92421.691229504097</v>
      </c>
      <c r="H89" s="939">
        <f t="shared" si="58"/>
        <v>92421.691229504097</v>
      </c>
      <c r="I89" s="939">
        <f t="shared" si="58"/>
        <v>41527.742782114779</v>
      </c>
      <c r="J89" s="939">
        <f t="shared" si="58"/>
        <v>8384.3066678866562</v>
      </c>
      <c r="K89" s="939">
        <f t="shared" si="58"/>
        <v>69.000723058119178</v>
      </c>
      <c r="L89" s="939">
        <f t="shared" si="58"/>
        <v>2.3147163884250102E-2</v>
      </c>
      <c r="M89" s="939">
        <f t="shared" si="33"/>
        <v>1</v>
      </c>
      <c r="N89" s="939">
        <f t="shared" si="34"/>
        <v>0.44932896411722156</v>
      </c>
      <c r="O89" s="939">
        <f t="shared" si="35"/>
        <v>9.0717953289412484E-2</v>
      </c>
      <c r="P89" s="939">
        <f t="shared" si="36"/>
        <v>7.4658580837667942E-4</v>
      </c>
      <c r="Q89" s="939">
        <f t="shared" si="37"/>
        <v>2.5045163723276199E-7</v>
      </c>
      <c r="R89" s="939">
        <f t="shared" si="38"/>
        <v>1.0819970795781829E-5</v>
      </c>
      <c r="S89" s="960">
        <f t="shared" si="59"/>
        <v>49.543156916100003</v>
      </c>
      <c r="T89" s="939">
        <f t="shared" si="60"/>
        <v>47.371086711113783</v>
      </c>
      <c r="U89" s="939">
        <f t="shared" si="60"/>
        <v>44.622398383784549</v>
      </c>
      <c r="V89" s="939">
        <f t="shared" si="60"/>
        <v>41.409726402251003</v>
      </c>
      <c r="W89" s="939">
        <f t="shared" si="60"/>
        <v>38.428356673280405</v>
      </c>
      <c r="X89" s="961">
        <f t="shared" si="60"/>
        <v>35.661636164024017</v>
      </c>
      <c r="Y89" s="212"/>
      <c r="Z89" s="941">
        <f t="shared" si="63"/>
        <v>7.6728133313099883E-2</v>
      </c>
      <c r="AA89" s="941">
        <f>1/SUMIFS('Vehicle data-proc2023'!AL$20:AL$117,'Vehicle data-proc2023'!$N$20:$N$117,Analytica!$C89,'Vehicle data-proc2023'!$Q$20:$Q$117,RIGHT(Analytica!$D89,3))</f>
        <v>6.0168354731601301E-2</v>
      </c>
      <c r="AB89" s="941">
        <f>1/SUMIFS('Vehicle data-proc2023'!AM$20:AM$117,'Vehicle data-proc2023'!$N$20:$N$117,Analytica!$C89,'Vehicle data-proc2023'!$Q$20:$Q$117,RIGHT(Analytica!$D89,3))</f>
        <v>6.0349221408511837E-2</v>
      </c>
      <c r="AC89" s="941">
        <f>1/SUMIFS('Vehicle data-proc2023'!AN$20:AN$117,'Vehicle data-proc2023'!$N$20:$N$117,Analytica!$C89,'Vehicle data-proc2023'!$Q$20:$Q$117,RIGHT(Analytica!$D89,3))</f>
        <v>6.3771083636672277E-2</v>
      </c>
      <c r="AD89" s="941">
        <f>1/SUMIFS('Vehicle data-proc2023'!AO$20:AO$117,'Vehicle data-proc2023'!$N$20:$N$117,Analytica!$C89,'Vehicle data-proc2023'!$Q$20:$Q$117,RIGHT(Analytica!$D89,3))</f>
        <v>7.0513431655588113E-2</v>
      </c>
      <c r="AE89" s="941">
        <f>1/SUMIFS('Vehicle data-proc2023'!AP$20:AP$117,'Vehicle data-proc2023'!$N$20:$N$117,Analytica!$C89,'Vehicle data-proc2023'!$Q$20:$Q$117,RIGHT(Analytica!$D89,3))</f>
        <v>7.7968630299203631E-2</v>
      </c>
      <c r="AF89" s="941"/>
      <c r="AG89" s="949"/>
      <c r="AH89" s="942"/>
      <c r="AI89" s="953">
        <f t="shared" si="64"/>
        <v>1465.9458249315746</v>
      </c>
      <c r="AJ89" s="953"/>
      <c r="AK89" s="943">
        <f>SUMIFS('Vehicle data-proc2023'!AD$20:AD$117,'Vehicle data-proc2023'!$N$20:$N$117,Analytica!$C89,'Vehicle data-proc2023'!$Q$20:$Q$117,RIGHT(Analytica!$D89,3))/1000</f>
        <v>1216.8719571458175</v>
      </c>
      <c r="AL89" s="943">
        <f>SUMIFS('Vehicle data-proc2023'!AE$20:AE$117,'Vehicle data-proc2023'!$N$20:$N$117,Analytica!$C89,'Vehicle data-proc2023'!$Q$20:$Q$117,RIGHT(Analytica!$D89,3))/1000</f>
        <v>1262.2768438934449</v>
      </c>
      <c r="AM89" s="943">
        <f>SUMIFS('Vehicle data-proc2023'!AF$20:AF$117,'Vehicle data-proc2023'!$N$20:$N$117,Analytica!$C89,'Vehicle data-proc2023'!$Q$20:$Q$117,RIGHT(Analytica!$D89,3))/1000</f>
        <v>1258.6342158304008</v>
      </c>
      <c r="AN89" s="943">
        <f>SUMIFS('Vehicle data-proc2023'!AG$20:AG$117,'Vehicle data-proc2023'!$N$20:$N$117,Analytica!$C89,'Vehicle data-proc2023'!$Q$20:$Q$117,RIGHT(Analytica!$D89,3))/1000</f>
        <v>1254.991587767357</v>
      </c>
      <c r="AO89" s="943">
        <f>SUMIFS('Vehicle data-proc2023'!AH$20:AH$117,'Vehicle data-proc2023'!$N$20:$N$117,Analytica!$C89,'Vehicle data-proc2023'!$Q$20:$Q$117,RIGHT(Analytica!$D89,3))/1000</f>
        <v>1264.4179480459163</v>
      </c>
      <c r="AP89" s="943">
        <f>SUMIFS('Vehicle data-proc2023'!AI$20:AI$117,'Vehicle data-proc2023'!$N$20:$N$117,Analytica!$C89,'Vehicle data-proc2023'!$Q$20:$Q$117,RIGHT(Analytica!$D89,3))/1000</f>
        <v>1273.8443083244761</v>
      </c>
      <c r="AQ89" s="943">
        <f>SUMIFS('Vehicle data-proc2023'!AJ$20:AJ$117,'Vehicle data-proc2023'!$N$20:$N$117,Analytica!$C89,'Vehicle data-proc2023'!$Q$20:$Q$117,RIGHT(Analytica!$D89,3))/1000</f>
        <v>1284.9334289435517</v>
      </c>
      <c r="AR89" s="942"/>
      <c r="AS89" s="212"/>
      <c r="AT89" s="944">
        <f t="shared" si="39"/>
        <v>2.7E-2</v>
      </c>
      <c r="AU89" s="942">
        <f t="shared" si="40"/>
        <v>32.855542842937076</v>
      </c>
      <c r="AV89" s="942">
        <f t="shared" si="41"/>
        <v>34.081474785123014</v>
      </c>
      <c r="AW89" s="942">
        <f t="shared" si="42"/>
        <v>33.884772869718638</v>
      </c>
      <c r="AX89" s="942">
        <f t="shared" si="43"/>
        <v>34.393796324760856</v>
      </c>
      <c r="AY89" s="945">
        <f t="shared" si="44"/>
        <v>34.693202581475894</v>
      </c>
      <c r="BA89" s="164">
        <f t="shared" si="49"/>
        <v>0</v>
      </c>
      <c r="BC89" s="167"/>
      <c r="BD89" s="167"/>
    </row>
    <row r="90" spans="1:56" ht="15.75" thickBot="1" x14ac:dyDescent="0.3">
      <c r="A90" s="61" t="str">
        <f t="shared" si="31"/>
        <v>CV9GAS</v>
      </c>
      <c r="B90" s="61" t="str">
        <f t="shared" si="51"/>
        <v>TFHCV9GAS-N</v>
      </c>
      <c r="C90" s="61" t="s">
        <v>509</v>
      </c>
      <c r="D90" s="61" t="s">
        <v>535</v>
      </c>
      <c r="E90" s="61" t="s">
        <v>534</v>
      </c>
      <c r="F90" s="938">
        <f t="shared" si="61"/>
        <v>0.18</v>
      </c>
      <c r="G90" s="939">
        <f t="shared" si="62"/>
        <v>116959.183879244</v>
      </c>
      <c r="H90" s="939">
        <f t="shared" si="58"/>
        <v>116959.183879244</v>
      </c>
      <c r="I90" s="939">
        <f t="shared" si="58"/>
        <v>47552.055593322402</v>
      </c>
      <c r="J90" s="939">
        <f t="shared" si="58"/>
        <v>7860.3019222272696</v>
      </c>
      <c r="K90" s="939">
        <f t="shared" si="58"/>
        <v>35.501689865113427</v>
      </c>
      <c r="L90" s="939">
        <f t="shared" si="58"/>
        <v>4.3812565909997049E-3</v>
      </c>
      <c r="M90" s="939">
        <f t="shared" si="33"/>
        <v>1</v>
      </c>
      <c r="N90" s="939">
        <f t="shared" si="34"/>
        <v>0.40656965974059917</v>
      </c>
      <c r="O90" s="939">
        <f t="shared" si="35"/>
        <v>6.7205512739749784E-2</v>
      </c>
      <c r="P90" s="939">
        <f t="shared" si="36"/>
        <v>3.0353913807886688E-4</v>
      </c>
      <c r="Q90" s="939">
        <f t="shared" si="37"/>
        <v>3.7459705562952537E-8</v>
      </c>
      <c r="R90" s="939">
        <f t="shared" si="38"/>
        <v>8.5499912604764987E-6</v>
      </c>
      <c r="S90" s="960">
        <f t="shared" si="59"/>
        <v>59.834730574999881</v>
      </c>
      <c r="T90" s="939">
        <f t="shared" si="60"/>
        <v>57.211457380572085</v>
      </c>
      <c r="U90" s="939">
        <f t="shared" si="60"/>
        <v>53.891785487662389</v>
      </c>
      <c r="V90" s="939">
        <f t="shared" si="60"/>
        <v>50.011746862621877</v>
      </c>
      <c r="W90" s="939">
        <f t="shared" si="60"/>
        <v>46.411058784154974</v>
      </c>
      <c r="X90" s="961">
        <f t="shared" si="60"/>
        <v>43.069608893748722</v>
      </c>
      <c r="Y90" s="212"/>
      <c r="Z90" s="941">
        <f t="shared" si="63"/>
        <v>6.8017451511854232E-2</v>
      </c>
      <c r="AA90" s="941">
        <f>1/SUMIFS('Vehicle data-proc2023'!AL$20:AL$117,'Vehicle data-proc2023'!$N$20:$N$117,Analytica!$C90,'Vehicle data-proc2023'!$Q$20:$Q$117,RIGHT(Analytica!$D90,3))</f>
        <v>4.7279447045137132E-2</v>
      </c>
      <c r="AB90" s="941">
        <f>1/SUMIFS('Vehicle data-proc2023'!AM$20:AM$117,'Vehicle data-proc2023'!$N$20:$N$117,Analytica!$C90,'Vehicle data-proc2023'!$Q$20:$Q$117,RIGHT(Analytica!$D90,3))</f>
        <v>4.7421569536459478E-2</v>
      </c>
      <c r="AC90" s="941">
        <f>1/SUMIFS('Vehicle data-proc2023'!AN$20:AN$117,'Vehicle data-proc2023'!$N$20:$N$117,Analytica!$C90,'Vehicle data-proc2023'!$Q$20:$Q$117,RIGHT(Analytica!$D90,3))</f>
        <v>5.0110420756236902E-2</v>
      </c>
      <c r="AD90" s="941">
        <f>1/SUMIFS('Vehicle data-proc2023'!AO$20:AO$117,'Vehicle data-proc2023'!$N$20:$N$117,Analytica!$C90,'Vehicle data-proc2023'!$Q$20:$Q$117,RIGHT(Analytica!$D90,3))</f>
        <v>5.5408463016860511E-2</v>
      </c>
      <c r="AE90" s="941">
        <f>1/SUMIFS('Vehicle data-proc2023'!AP$20:AP$117,'Vehicle data-proc2023'!$N$20:$N$117,Analytica!$C90,'Vehicle data-proc2023'!$Q$20:$Q$117,RIGHT(Analytica!$D90,3))</f>
        <v>6.1266653274083406E-2</v>
      </c>
      <c r="AF90" s="941"/>
      <c r="AG90" s="949"/>
      <c r="AH90" s="942"/>
      <c r="AI90" s="953">
        <f t="shared" si="64"/>
        <v>1641.1727897628796</v>
      </c>
      <c r="AJ90" s="953"/>
      <c r="AK90" s="943">
        <f>SUMIFS('Vehicle data-proc2023'!AD$20:AD$117,'Vehicle data-proc2023'!$N$20:$N$117,Analytica!$C90,'Vehicle data-proc2023'!$Q$20:$Q$117,RIGHT(Analytica!$D90,3))/1000</f>
        <v>1216.8719571458175</v>
      </c>
      <c r="AL90" s="943">
        <f>SUMIFS('Vehicle data-proc2023'!AE$20:AE$117,'Vehicle data-proc2023'!$N$20:$N$117,Analytica!$C90,'Vehicle data-proc2023'!$Q$20:$Q$117,RIGHT(Analytica!$D90,3))/1000</f>
        <v>1262.2768438934449</v>
      </c>
      <c r="AM90" s="943">
        <f>SUMIFS('Vehicle data-proc2023'!AF$20:AF$117,'Vehicle data-proc2023'!$N$20:$N$117,Analytica!$C90,'Vehicle data-proc2023'!$Q$20:$Q$117,RIGHT(Analytica!$D90,3))/1000</f>
        <v>1258.6342158304008</v>
      </c>
      <c r="AN90" s="943">
        <f>SUMIFS('Vehicle data-proc2023'!AG$20:AG$117,'Vehicle data-proc2023'!$N$20:$N$117,Analytica!$C90,'Vehicle data-proc2023'!$Q$20:$Q$117,RIGHT(Analytica!$D90,3))/1000</f>
        <v>1254.991587767357</v>
      </c>
      <c r="AO90" s="943">
        <f>SUMIFS('Vehicle data-proc2023'!AH$20:AH$117,'Vehicle data-proc2023'!$N$20:$N$117,Analytica!$C90,'Vehicle data-proc2023'!$Q$20:$Q$117,RIGHT(Analytica!$D90,3))/1000</f>
        <v>1264.4179480459163</v>
      </c>
      <c r="AP90" s="943">
        <f>SUMIFS('Vehicle data-proc2023'!AI$20:AI$117,'Vehicle data-proc2023'!$N$20:$N$117,Analytica!$C90,'Vehicle data-proc2023'!$Q$20:$Q$117,RIGHT(Analytica!$D90,3))/1000</f>
        <v>1273.8443083244761</v>
      </c>
      <c r="AQ90" s="943">
        <f>SUMIFS('Vehicle data-proc2023'!AJ$20:AJ$117,'Vehicle data-proc2023'!$N$20:$N$117,Analytica!$C90,'Vehicle data-proc2023'!$Q$20:$Q$117,RIGHT(Analytica!$D90,3))/1000</f>
        <v>1284.9334289435517</v>
      </c>
      <c r="AR90" s="942"/>
      <c r="AS90" s="212"/>
      <c r="AT90" s="944">
        <f t="shared" si="39"/>
        <v>2.7E-2</v>
      </c>
      <c r="AU90" s="942">
        <f t="shared" si="40"/>
        <v>32.855542842937076</v>
      </c>
      <c r="AV90" s="942">
        <f t="shared" si="41"/>
        <v>34.081474785123014</v>
      </c>
      <c r="AW90" s="942">
        <f t="shared" si="42"/>
        <v>33.884772869718638</v>
      </c>
      <c r="AX90" s="942">
        <f t="shared" si="43"/>
        <v>34.393796324760856</v>
      </c>
      <c r="AY90" s="945">
        <f t="shared" si="44"/>
        <v>34.693202581475894</v>
      </c>
      <c r="BA90" s="164">
        <f t="shared" si="49"/>
        <v>0</v>
      </c>
      <c r="BC90" s="167"/>
      <c r="BD90" s="167"/>
    </row>
    <row r="91" spans="1:56" x14ac:dyDescent="0.25">
      <c r="A91" s="61" t="str">
        <f t="shared" ref="A91:A128" si="65">RIGHT(D91,3)&amp;C91</f>
        <v>CV1ELC</v>
      </c>
      <c r="B91" s="61" t="str">
        <f t="shared" si="51"/>
        <v>TFHCV1ELC-N</v>
      </c>
      <c r="C91" s="61" t="s">
        <v>501</v>
      </c>
      <c r="D91" s="61" t="str">
        <f>D73</f>
        <v>TFHCV1</v>
      </c>
      <c r="E91" t="s">
        <v>1360</v>
      </c>
      <c r="F91" s="938">
        <f>F73</f>
        <v>4.8000000000000001E-2</v>
      </c>
      <c r="G91" s="212">
        <f>G72</f>
        <v>30805.1279861556</v>
      </c>
      <c r="H91" s="212">
        <f t="shared" ref="H91:M91" si="66">H73</f>
        <v>17100.2801251579</v>
      </c>
      <c r="I91" s="212">
        <f t="shared" si="66"/>
        <v>13451.556778491855</v>
      </c>
      <c r="J91" s="212">
        <f t="shared" si="66"/>
        <v>8323.5999284680747</v>
      </c>
      <c r="K91" s="212">
        <f t="shared" si="66"/>
        <v>1972.0918752186101</v>
      </c>
      <c r="L91" s="212">
        <f t="shared" si="66"/>
        <v>178.90413861851181</v>
      </c>
      <c r="M91" s="212">
        <f t="shared" si="66"/>
        <v>1</v>
      </c>
      <c r="N91" s="212">
        <f t="shared" ref="N91:N130" si="67">I91/$G91</f>
        <v>0.43666615456157937</v>
      </c>
      <c r="O91" s="212">
        <f t="shared" ref="O91:O130" si="68">J91/$G91</f>
        <v>0.27020176420655861</v>
      </c>
      <c r="P91" s="212">
        <f t="shared" ref="P91:P130" si="69">K91/$G91</f>
        <v>6.401829838541509E-2</v>
      </c>
      <c r="Q91" s="212">
        <f t="shared" ref="Q91:Q130" si="70">L91/$G91</f>
        <v>5.8076090025957587E-3</v>
      </c>
      <c r="R91" s="212">
        <f t="shared" ref="R91:R130" si="71">M91/$G91</f>
        <v>3.2462127748646868E-5</v>
      </c>
      <c r="S91" s="946" t="s">
        <v>532</v>
      </c>
      <c r="T91" s="947"/>
      <c r="U91" s="947"/>
      <c r="V91" s="947"/>
      <c r="W91" s="947"/>
      <c r="X91" s="948" t="s">
        <v>532</v>
      </c>
      <c r="Y91" s="212"/>
      <c r="Z91" s="941">
        <f t="shared" ref="Z91:Z107" si="72">(AA91/AB91)*AA91</f>
        <v>0.55601425097572121</v>
      </c>
      <c r="AA91" s="941">
        <f>1/SUMIFS('Vehicle data-proc2023'!AL$20:AL$117,'Vehicle data-proc2023'!$N$20:$N$117,Analytica!$C91,'Vehicle data-proc2023'!$Q$20:$Q$117,RIGHT(Analytica!$D91,3))</f>
        <v>0.55768563538264859</v>
      </c>
      <c r="AB91" s="941">
        <f>1/SUMIFS('Vehicle data-proc2023'!AM$20:AM$117,'Vehicle data-proc2023'!$N$20:$N$117,Analytica!$C91,'Vehicle data-proc2023'!$Q$20:$Q$117,RIGHT(Analytica!$D91,3))</f>
        <v>0.55936204398784217</v>
      </c>
      <c r="AC91" s="941">
        <f>1/SUMIFS('Vehicle data-proc2023'!AN$20:AN$117,'Vehicle data-proc2023'!$N$20:$N$117,Analytica!$C91,'Vehicle data-proc2023'!$Q$20:$Q$117,RIGHT(Analytica!$D91,3))</f>
        <v>0.59107844074517712</v>
      </c>
      <c r="AD91" s="941">
        <f>1/SUMIFS('Vehicle data-proc2023'!AO$20:AO$117,'Vehicle data-proc2023'!$N$20:$N$117,Analytica!$C91,'Vehicle data-proc2023'!$Q$20:$Q$117,RIGHT(Analytica!$D91,3))</f>
        <v>0.65357160107294576</v>
      </c>
      <c r="AE91" s="941">
        <f>1/SUMIFS('Vehicle data-proc2023'!AP$20:AP$117,'Vehicle data-proc2023'!$N$20:$N$117,Analytica!$C91,'Vehicle data-proc2023'!$Q$20:$Q$117,RIGHT(Analytica!$D91,3))</f>
        <v>0.72267199796787562</v>
      </c>
      <c r="AF91" s="941"/>
      <c r="AG91" s="212"/>
      <c r="AH91" s="212"/>
      <c r="AI91" s="212"/>
      <c r="AJ91" s="212"/>
      <c r="AK91" s="943">
        <f>SUMIFS('Vehicle data-proc2023'!AD$20:AD$117,'Vehicle data-proc2023'!$N$20:$N$117,Analytica!$C91,'Vehicle data-proc2023'!$Q$20:$Q$117,RIGHT(Analytica!$D91,3))/1000</f>
        <v>1327.7927757726811</v>
      </c>
      <c r="AL91" s="943">
        <f>SUMIFS('Vehicle data-proc2023'!AE$20:AE$117,'Vehicle data-proc2023'!$N$20:$N$117,Analytica!$C91,'Vehicle data-proc2023'!$Q$20:$Q$117,RIGHT(Analytica!$D91,3))/1000</f>
        <v>871.54447239677188</v>
      </c>
      <c r="AM91" s="943">
        <f>SUMIFS('Vehicle data-proc2023'!AF$20:AF$117,'Vehicle data-proc2023'!$N$20:$N$117,Analytica!$C91,'Vehicle data-proc2023'!$Q$20:$Q$117,RIGHT(Analytica!$D91,3))/1000</f>
        <v>791.40401330598297</v>
      </c>
      <c r="AN91" s="943">
        <f>SUMIFS('Vehicle data-proc2023'!AG$20:AG$117,'Vehicle data-proc2023'!$N$20:$N$117,Analytica!$C91,'Vehicle data-proc2023'!$Q$20:$Q$117,RIGHT(Analytica!$D91,3))/1000</f>
        <v>711.26355421519372</v>
      </c>
      <c r="AO91" s="943">
        <f>SUMIFS('Vehicle data-proc2023'!AH$20:AH$117,'Vehicle data-proc2023'!$N$20:$N$117,Analytica!$C91,'Vehicle data-proc2023'!$Q$20:$Q$117,RIGHT(Analytica!$D91,3))/1000</f>
        <v>716.96875957082284</v>
      </c>
      <c r="AP91" s="943">
        <f>SUMIFS('Vehicle data-proc2023'!AI$20:AI$117,'Vehicle data-proc2023'!$N$20:$N$117,Analytica!$C91,'Vehicle data-proc2023'!$Q$20:$Q$117,RIGHT(Analytica!$D91,3))/1000</f>
        <v>533.93245692908113</v>
      </c>
      <c r="AQ91" s="943">
        <f>SUMIFS('Vehicle data-proc2023'!AJ$20:AJ$117,'Vehicle data-proc2023'!$N$20:$N$117,Analytica!$C91,'Vehicle data-proc2023'!$Q$20:$Q$117,RIGHT(Analytica!$D91,3))/1000</f>
        <v>551.67118115070787</v>
      </c>
      <c r="AR91" s="942"/>
      <c r="AS91" s="212"/>
      <c r="AT91" s="944">
        <f t="shared" ref="AT91:AT128" si="73">IF($C91&lt;&gt;$AY$55,$AX$56,$AX$55)</f>
        <v>2.0250000000000001E-2</v>
      </c>
      <c r="AU91" s="942">
        <f t="shared" ref="AU91:AU128" si="74">$AT91*AK91</f>
        <v>26.887803709396792</v>
      </c>
      <c r="AV91" s="942">
        <f t="shared" ref="AV91:AV128" si="75">$AT91*AL91</f>
        <v>17.648775566034629</v>
      </c>
      <c r="AW91" s="942">
        <f t="shared" ref="AW91:AW128" si="76">$AT91*AN91</f>
        <v>14.403086972857674</v>
      </c>
      <c r="AX91" s="942">
        <f t="shared" ref="AX91:AX128" si="77">$AT91*AP91</f>
        <v>10.812132252813893</v>
      </c>
      <c r="AY91" s="945">
        <f t="shared" ref="AY91:AY128" si="78">$AT91*AQ91</f>
        <v>11.171341418301834</v>
      </c>
      <c r="BA91" s="74">
        <f t="shared" si="49"/>
        <v>0</v>
      </c>
      <c r="BB91" s="61" t="s">
        <v>533</v>
      </c>
    </row>
    <row r="92" spans="1:56" x14ac:dyDescent="0.25">
      <c r="A92" s="61" t="str">
        <f t="shared" si="65"/>
        <v>CV2ELC</v>
      </c>
      <c r="B92" s="61" t="str">
        <f t="shared" si="51"/>
        <v>TFHCV2ELC-N</v>
      </c>
      <c r="C92" s="61" t="s">
        <v>501</v>
      </c>
      <c r="D92" s="61" t="str">
        <f>D100</f>
        <v>TFHCV2</v>
      </c>
      <c r="E92" t="s">
        <v>994</v>
      </c>
      <c r="F92" s="938">
        <f>F74</f>
        <v>4.8000000000000001E-2</v>
      </c>
      <c r="G92" s="212">
        <f>G91</f>
        <v>30805.1279861556</v>
      </c>
      <c r="H92" s="212">
        <f t="shared" ref="H92:M93" si="79">H100</f>
        <v>17100.2801251579</v>
      </c>
      <c r="I92" s="212">
        <f t="shared" si="79"/>
        <v>13451.556778491855</v>
      </c>
      <c r="J92" s="212">
        <f t="shared" si="79"/>
        <v>8323.5999284680747</v>
      </c>
      <c r="K92" s="212">
        <f t="shared" si="79"/>
        <v>1972.0918752186101</v>
      </c>
      <c r="L92" s="212">
        <f t="shared" si="79"/>
        <v>178.90413861851181</v>
      </c>
      <c r="M92" s="212">
        <f t="shared" si="79"/>
        <v>1</v>
      </c>
      <c r="N92" s="212">
        <f t="shared" si="67"/>
        <v>0.43666615456157937</v>
      </c>
      <c r="O92" s="212">
        <f t="shared" si="68"/>
        <v>0.27020176420655861</v>
      </c>
      <c r="P92" s="212">
        <f t="shared" si="69"/>
        <v>6.401829838541509E-2</v>
      </c>
      <c r="Q92" s="212">
        <f t="shared" si="70"/>
        <v>5.8076090025957587E-3</v>
      </c>
      <c r="R92" s="212">
        <f t="shared" si="71"/>
        <v>3.2462127748646868E-5</v>
      </c>
      <c r="S92" s="962"/>
      <c r="T92" s="212"/>
      <c r="U92" s="212"/>
      <c r="V92" s="212"/>
      <c r="W92" s="212"/>
      <c r="X92" s="963"/>
      <c r="Y92" s="212"/>
      <c r="Z92" s="941">
        <f t="shared" si="72"/>
        <v>0.44537447706359251</v>
      </c>
      <c r="AA92" s="941">
        <f>1/SUMIFS('Vehicle data-proc2023'!AL$20:AL$117,'Vehicle data-proc2023'!$N$20:$N$117,Analytica!$C92,'Vehicle data-proc2023'!$Q$20:$Q$117,RIGHT(Analytica!$D92,3))</f>
        <v>0.44671327720208048</v>
      </c>
      <c r="AB92" s="941">
        <f>1/SUMIFS('Vehicle data-proc2023'!AM$20:AM$117,'Vehicle data-proc2023'!$N$20:$N$117,Analytica!$C92,'Vehicle data-proc2023'!$Q$20:$Q$117,RIGHT(Analytica!$D92,3))</f>
        <v>0.44805610178719285</v>
      </c>
      <c r="AC92" s="941">
        <f>1/SUMIFS('Vehicle data-proc2023'!AN$20:AN$117,'Vehicle data-proc2023'!$N$20:$N$117,Analytica!$C92,'Vehicle data-proc2023'!$Q$20:$Q$117,RIGHT(Analytica!$D92,3))</f>
        <v>0.47346133842519467</v>
      </c>
      <c r="AD92" s="941">
        <f>1/SUMIFS('Vehicle data-proc2023'!AO$20:AO$117,'Vehicle data-proc2023'!$N$20:$N$117,Analytica!$C92,'Vehicle data-proc2023'!$Q$20:$Q$117,RIGHT(Analytica!$D92,3))</f>
        <v>0.52351915358404844</v>
      </c>
      <c r="AE92" s="941">
        <f>1/SUMIFS('Vehicle data-proc2023'!AP$20:AP$117,'Vehicle data-proc2023'!$N$20:$N$117,Analytica!$C92,'Vehicle data-proc2023'!$Q$20:$Q$117,RIGHT(Analytica!$D92,3))</f>
        <v>0.57886944915283944</v>
      </c>
      <c r="AF92" s="941"/>
      <c r="AG92" s="212"/>
      <c r="AH92" s="212"/>
      <c r="AI92" s="212"/>
      <c r="AJ92" s="212"/>
      <c r="AK92" s="943">
        <f>SUMIFS('Vehicle data-proc2023'!AD$20:AD$117,'Vehicle data-proc2023'!$N$20:$N$117,Analytica!$C92,'Vehicle data-proc2023'!$Q$20:$Q$117,RIGHT(Analytica!$D92,3))/1000</f>
        <v>1327.7927757726811</v>
      </c>
      <c r="AL92" s="943">
        <f>SUMIFS('Vehicle data-proc2023'!AE$20:AE$117,'Vehicle data-proc2023'!$N$20:$N$117,Analytica!$C92,'Vehicle data-proc2023'!$Q$20:$Q$117,RIGHT(Analytica!$D92,3))/1000</f>
        <v>871.54447239677188</v>
      </c>
      <c r="AM92" s="943">
        <f>SUMIFS('Vehicle data-proc2023'!AF$20:AF$117,'Vehicle data-proc2023'!$N$20:$N$117,Analytica!$C92,'Vehicle data-proc2023'!$Q$20:$Q$117,RIGHT(Analytica!$D92,3))/1000</f>
        <v>791.40401330598297</v>
      </c>
      <c r="AN92" s="943">
        <f>SUMIFS('Vehicle data-proc2023'!AG$20:AG$117,'Vehicle data-proc2023'!$N$20:$N$117,Analytica!$C92,'Vehicle data-proc2023'!$Q$20:$Q$117,RIGHT(Analytica!$D92,3))/1000</f>
        <v>711.26355421519372</v>
      </c>
      <c r="AO92" s="943">
        <f>SUMIFS('Vehicle data-proc2023'!AH$20:AH$117,'Vehicle data-proc2023'!$N$20:$N$117,Analytica!$C92,'Vehicle data-proc2023'!$Q$20:$Q$117,RIGHT(Analytica!$D92,3))/1000</f>
        <v>716.96875957082284</v>
      </c>
      <c r="AP92" s="943">
        <f>SUMIFS('Vehicle data-proc2023'!AI$20:AI$117,'Vehicle data-proc2023'!$N$20:$N$117,Analytica!$C92,'Vehicle data-proc2023'!$Q$20:$Q$117,RIGHT(Analytica!$D92,3))/1000</f>
        <v>533.93245692908113</v>
      </c>
      <c r="AQ92" s="943">
        <f>SUMIFS('Vehicle data-proc2023'!AJ$20:AJ$117,'Vehicle data-proc2023'!$N$20:$N$117,Analytica!$C92,'Vehicle data-proc2023'!$Q$20:$Q$117,RIGHT(Analytica!$D92,3))/1000</f>
        <v>551.67118115070787</v>
      </c>
      <c r="AR92" s="942"/>
      <c r="AS92" s="212"/>
      <c r="AT92" s="944">
        <f t="shared" si="73"/>
        <v>2.0250000000000001E-2</v>
      </c>
      <c r="AU92" s="942">
        <f t="shared" si="74"/>
        <v>26.887803709396792</v>
      </c>
      <c r="AV92" s="942">
        <f t="shared" si="75"/>
        <v>17.648775566034629</v>
      </c>
      <c r="AW92" s="942">
        <f t="shared" si="76"/>
        <v>14.403086972857674</v>
      </c>
      <c r="AX92" s="942">
        <f t="shared" si="77"/>
        <v>10.812132252813893</v>
      </c>
      <c r="AY92" s="945">
        <f t="shared" si="78"/>
        <v>11.171341418301834</v>
      </c>
      <c r="BA92" s="74">
        <f t="shared" si="49"/>
        <v>0</v>
      </c>
      <c r="BB92" s="61" t="s">
        <v>533</v>
      </c>
    </row>
    <row r="93" spans="1:56" ht="15.75" thickBot="1" x14ac:dyDescent="0.3">
      <c r="A93" s="61" t="str">
        <f t="shared" si="65"/>
        <v>CV3ELC</v>
      </c>
      <c r="B93" s="61" t="str">
        <f t="shared" si="51"/>
        <v>TFHCV3ELC-N</v>
      </c>
      <c r="C93" s="61" t="s">
        <v>501</v>
      </c>
      <c r="D93" s="61" t="str">
        <f>D101</f>
        <v>TFHCV3</v>
      </c>
      <c r="E93" t="s">
        <v>995</v>
      </c>
      <c r="F93" s="938">
        <f>F75</f>
        <v>8.4999999999999992E-2</v>
      </c>
      <c r="G93" s="212">
        <f>G92</f>
        <v>30805.1279861556</v>
      </c>
      <c r="H93" s="212">
        <f t="shared" si="79"/>
        <v>30096.280108149898</v>
      </c>
      <c r="I93" s="212">
        <f t="shared" si="79"/>
        <v>19676.038579512857</v>
      </c>
      <c r="J93" s="212">
        <f t="shared" si="79"/>
        <v>8409.8326904830083</v>
      </c>
      <c r="K93" s="212">
        <f t="shared" si="79"/>
        <v>656.65374726387358</v>
      </c>
      <c r="L93" s="212">
        <f t="shared" si="79"/>
        <v>9.3666626481927722</v>
      </c>
      <c r="M93" s="212">
        <f t="shared" si="79"/>
        <v>1</v>
      </c>
      <c r="N93" s="212">
        <f t="shared" si="67"/>
        <v>0.63872607795545067</v>
      </c>
      <c r="O93" s="212">
        <f t="shared" si="68"/>
        <v>0.27300106314320605</v>
      </c>
      <c r="P93" s="212">
        <f t="shared" si="69"/>
        <v>2.1316377830307539E-2</v>
      </c>
      <c r="Q93" s="212">
        <f t="shared" si="70"/>
        <v>3.0406179946411275E-4</v>
      </c>
      <c r="R93" s="212">
        <f t="shared" si="71"/>
        <v>3.2462127748646868E-5</v>
      </c>
      <c r="S93" s="964" t="s">
        <v>532</v>
      </c>
      <c r="T93" s="965"/>
      <c r="U93" s="965"/>
      <c r="V93" s="965"/>
      <c r="W93" s="965"/>
      <c r="X93" s="966" t="s">
        <v>532</v>
      </c>
      <c r="Y93" s="212"/>
      <c r="Z93" s="941">
        <f t="shared" si="72"/>
        <v>0.38938901483814226</v>
      </c>
      <c r="AA93" s="941">
        <f>1/SUMIFS('Vehicle data-proc2023'!AL$20:AL$117,'Vehicle data-proc2023'!$N$20:$N$117,Analytica!$C93,'Vehicle data-proc2023'!$Q$20:$Q$117,RIGHT(Analytica!$D93,3))</f>
        <v>0.39055952211648487</v>
      </c>
      <c r="AB93" s="941">
        <f>1/SUMIFS('Vehicle data-proc2023'!AM$20:AM$117,'Vehicle data-proc2023'!$N$20:$N$117,Analytica!$C93,'Vehicle data-proc2023'!$Q$20:$Q$117,RIGHT(Analytica!$D93,3))</f>
        <v>0.39173354795142884</v>
      </c>
      <c r="AC93" s="941">
        <f>1/SUMIFS('Vehicle data-proc2023'!AN$20:AN$117,'Vehicle data-proc2023'!$N$20:$N$117,Analytica!$C93,'Vehicle data-proc2023'!$Q$20:$Q$117,RIGHT(Analytica!$D93,3))</f>
        <v>0.41394523850770848</v>
      </c>
      <c r="AD93" s="941">
        <f>1/SUMIFS('Vehicle data-proc2023'!AO$20:AO$117,'Vehicle data-proc2023'!$N$20:$N$117,Analytica!$C93,'Vehicle data-proc2023'!$Q$20:$Q$117,RIGHT(Analytica!$D93,3))</f>
        <v>0.45771057382321367</v>
      </c>
      <c r="AE93" s="941">
        <f>1/SUMIFS('Vehicle data-proc2023'!AP$20:AP$117,'Vehicle data-proc2023'!$N$20:$N$117,Analytica!$C93,'Vehicle data-proc2023'!$Q$20:$Q$117,RIGHT(Analytica!$D93,3))</f>
        <v>0.50610310229640254</v>
      </c>
      <c r="AF93" s="941"/>
      <c r="AG93" s="212"/>
      <c r="AH93" s="212"/>
      <c r="AI93" s="212"/>
      <c r="AJ93" s="212"/>
      <c r="AK93" s="943">
        <f>SUMIFS('Vehicle data-proc2023'!AD$20:AD$117,'Vehicle data-proc2023'!$N$20:$N$117,Analytica!$C93,'Vehicle data-proc2023'!$Q$20:$Q$117,RIGHT(Analytica!$D93,3))/1000</f>
        <v>1327.7927757726811</v>
      </c>
      <c r="AL93" s="943">
        <f>SUMIFS('Vehicle data-proc2023'!AE$20:AE$117,'Vehicle data-proc2023'!$N$20:$N$117,Analytica!$C93,'Vehicle data-proc2023'!$Q$20:$Q$117,RIGHT(Analytica!$D93,3))/1000</f>
        <v>871.54447239677188</v>
      </c>
      <c r="AM93" s="943">
        <f>SUMIFS('Vehicle data-proc2023'!AF$20:AF$117,'Vehicle data-proc2023'!$N$20:$N$117,Analytica!$C93,'Vehicle data-proc2023'!$Q$20:$Q$117,RIGHT(Analytica!$D93,3))/1000</f>
        <v>791.40401330598297</v>
      </c>
      <c r="AN93" s="943">
        <f>SUMIFS('Vehicle data-proc2023'!AG$20:AG$117,'Vehicle data-proc2023'!$N$20:$N$117,Analytica!$C93,'Vehicle data-proc2023'!$Q$20:$Q$117,RIGHT(Analytica!$D93,3))/1000</f>
        <v>711.26355421519372</v>
      </c>
      <c r="AO93" s="943">
        <f>SUMIFS('Vehicle data-proc2023'!AH$20:AH$117,'Vehicle data-proc2023'!$N$20:$N$117,Analytica!$C93,'Vehicle data-proc2023'!$Q$20:$Q$117,RIGHT(Analytica!$D93,3))/1000</f>
        <v>716.96875957082284</v>
      </c>
      <c r="AP93" s="943">
        <f>SUMIFS('Vehicle data-proc2023'!AI$20:AI$117,'Vehicle data-proc2023'!$N$20:$N$117,Analytica!$C93,'Vehicle data-proc2023'!$Q$20:$Q$117,RIGHT(Analytica!$D93,3))/1000</f>
        <v>533.93245692908113</v>
      </c>
      <c r="AQ93" s="943">
        <f>SUMIFS('Vehicle data-proc2023'!AJ$20:AJ$117,'Vehicle data-proc2023'!$N$20:$N$117,Analytica!$C93,'Vehicle data-proc2023'!$Q$20:$Q$117,RIGHT(Analytica!$D93,3))/1000</f>
        <v>551.67118115070787</v>
      </c>
      <c r="AR93" s="942"/>
      <c r="AS93" s="212"/>
      <c r="AT93" s="944">
        <f t="shared" si="73"/>
        <v>2.0250000000000001E-2</v>
      </c>
      <c r="AU93" s="942">
        <f t="shared" si="74"/>
        <v>26.887803709396792</v>
      </c>
      <c r="AV93" s="942">
        <f t="shared" si="75"/>
        <v>17.648775566034629</v>
      </c>
      <c r="AW93" s="942">
        <f t="shared" si="76"/>
        <v>14.403086972857674</v>
      </c>
      <c r="AX93" s="942">
        <f t="shared" si="77"/>
        <v>10.812132252813893</v>
      </c>
      <c r="AY93" s="945">
        <f t="shared" si="78"/>
        <v>11.171341418301834</v>
      </c>
      <c r="BA93" s="74">
        <f t="shared" si="49"/>
        <v>0</v>
      </c>
      <c r="BB93" s="61" t="s">
        <v>533</v>
      </c>
    </row>
    <row r="94" spans="1:56" x14ac:dyDescent="0.25">
      <c r="A94" s="61" t="str">
        <f t="shared" si="65"/>
        <v>CV4ELC</v>
      </c>
      <c r="B94" s="61" t="str">
        <f t="shared" si="51"/>
        <v>TFHCV4ELC-N</v>
      </c>
      <c r="C94" s="61" t="s">
        <v>501</v>
      </c>
      <c r="D94" s="61" t="str">
        <f t="shared" ref="D94:D99" si="80">D102</f>
        <v>TFHCV4</v>
      </c>
      <c r="E94" t="s">
        <v>1367</v>
      </c>
      <c r="F94" s="938">
        <f t="shared" ref="F94:F99" si="81">F76</f>
        <v>8.4999999999999992E-2</v>
      </c>
      <c r="G94" s="212">
        <f t="shared" ref="G94:G99" si="82">G93</f>
        <v>30805.1279861556</v>
      </c>
      <c r="H94" s="212">
        <f t="shared" ref="H94:M94" si="83">H102</f>
        <v>54512.527353451602</v>
      </c>
      <c r="I94" s="212">
        <f t="shared" si="83"/>
        <v>35638.643294750975</v>
      </c>
      <c r="J94" s="212">
        <f t="shared" si="83"/>
        <v>15232.488298570934</v>
      </c>
      <c r="K94" s="212">
        <f t="shared" si="83"/>
        <v>1189.3780636954896</v>
      </c>
      <c r="L94" s="212">
        <f t="shared" si="83"/>
        <v>16.965566906785078</v>
      </c>
      <c r="M94" s="212">
        <f t="shared" si="83"/>
        <v>1</v>
      </c>
      <c r="N94" s="212">
        <f t="shared" ref="N94:N99" si="84">I94/$G94</f>
        <v>1.1569061914226633</v>
      </c>
      <c r="O94" s="212">
        <f t="shared" ref="O94:O99" si="85">J94/$G94</f>
        <v>0.49447898107797827</v>
      </c>
      <c r="P94" s="212">
        <f t="shared" ref="P94:P99" si="86">K94/$G94</f>
        <v>3.8609742645121237E-2</v>
      </c>
      <c r="Q94" s="212">
        <f t="shared" ref="Q94:Q99" si="87">L94/$G94</f>
        <v>5.5073840025627295E-4</v>
      </c>
      <c r="R94" s="212">
        <f t="shared" ref="R94:R99" si="88">M94/$G94</f>
        <v>3.2462127748646868E-5</v>
      </c>
      <c r="S94" s="212"/>
      <c r="T94" s="212"/>
      <c r="U94" s="212"/>
      <c r="V94" s="212"/>
      <c r="W94" s="212"/>
      <c r="X94" s="967"/>
      <c r="Y94" s="212"/>
      <c r="Z94" s="941">
        <f t="shared" ref="Z94:Z99" si="89">(AA94/AB94)*AA94</f>
        <v>0.33464331559961874</v>
      </c>
      <c r="AA94" s="941">
        <f>1/SUMIFS('Vehicle data-proc2023'!AL$20:AL$117,'Vehicle data-proc2023'!$N$20:$N$117,Analytica!$C94,'Vehicle data-proc2023'!$Q$20:$Q$117,RIGHT(Analytica!$D94,3))</f>
        <v>0.33564925675777102</v>
      </c>
      <c r="AB94" s="941">
        <f>1/SUMIFS('Vehicle data-proc2023'!AM$20:AM$117,'Vehicle data-proc2023'!$N$20:$N$117,Analytica!$C94,'Vehicle data-proc2023'!$Q$20:$Q$117,RIGHT(Analytica!$D94,3))</f>
        <v>0.33665822178511923</v>
      </c>
      <c r="AC94" s="941">
        <f>1/SUMIFS('Vehicle data-proc2023'!AN$20:AN$117,'Vehicle data-proc2023'!$N$20:$N$117,Analytica!$C94,'Vehicle data-proc2023'!$Q$20:$Q$117,RIGHT(Analytica!$D94,3))</f>
        <v>0.35574708533694765</v>
      </c>
      <c r="AD94" s="941">
        <f>1/SUMIFS('Vehicle data-proc2023'!AO$20:AO$117,'Vehicle data-proc2023'!$N$20:$N$117,Analytica!$C94,'Vehicle data-proc2023'!$Q$20:$Q$117,RIGHT(Analytica!$D94,3))</f>
        <v>0.39335928383309055</v>
      </c>
      <c r="AE94" s="941">
        <f>1/SUMIFS('Vehicle data-proc2023'!AP$20:AP$117,'Vehicle data-proc2023'!$N$20:$N$117,Analytica!$C94,'Vehicle data-proc2023'!$Q$20:$Q$117,RIGHT(Analytica!$D94,3))</f>
        <v>0.43494812060407229</v>
      </c>
      <c r="AF94" s="941"/>
      <c r="AG94" s="212"/>
      <c r="AH94" s="212"/>
      <c r="AI94" s="212"/>
      <c r="AJ94" s="212"/>
      <c r="AK94" s="943">
        <f>SUMIFS('Vehicle data-proc2023'!AD$20:AD$117,'Vehicle data-proc2023'!$N$20:$N$117,Analytica!$C94,'Vehicle data-proc2023'!$Q$20:$Q$117,RIGHT(Analytica!$D94,3))/1000</f>
        <v>4672.5244059478564</v>
      </c>
      <c r="AL94" s="943">
        <f>SUMIFS('Vehicle data-proc2023'!AE$20:AE$117,'Vehicle data-proc2023'!$N$20:$N$117,Analytica!$C94,'Vehicle data-proc2023'!$Q$20:$Q$117,RIGHT(Analytica!$D94,3))/1000</f>
        <v>3562.747436944936</v>
      </c>
      <c r="AM94" s="943">
        <f>SUMIFS('Vehicle data-proc2023'!AF$20:AF$117,'Vehicle data-proc2023'!$N$20:$N$117,Analytica!$C94,'Vehicle data-proc2023'!$Q$20:$Q$117,RIGHT(Analytica!$D94,3))/1000</f>
        <v>2493.9232058614548</v>
      </c>
      <c r="AN94" s="943">
        <f>SUMIFS('Vehicle data-proc2023'!AG$20:AG$117,'Vehicle data-proc2023'!$N$20:$N$117,Analytica!$C94,'Vehicle data-proc2023'!$Q$20:$Q$117,RIGHT(Analytica!$D94,3))/1000</f>
        <v>2137.6484621669615</v>
      </c>
      <c r="AO94" s="943">
        <f>SUMIFS('Vehicle data-proc2023'!AH$20:AH$117,'Vehicle data-proc2023'!$N$20:$N$117,Analytica!$C94,'Vehicle data-proc2023'!$Q$20:$Q$117,RIGHT(Analytica!$D94,3))/1000</f>
        <v>1781.373718472468</v>
      </c>
      <c r="AP94" s="943">
        <f>SUMIFS('Vehicle data-proc2023'!AI$20:AI$117,'Vehicle data-proc2023'!$N$20:$N$117,Analytica!$C94,'Vehicle data-proc2023'!$Q$20:$Q$117,RIGHT(Analytica!$D94,3))/1000</f>
        <v>1662.6154705743036</v>
      </c>
      <c r="AQ94" s="943">
        <f>SUMIFS('Vehicle data-proc2023'!AJ$20:AJ$117,'Vehicle data-proc2023'!$N$20:$N$117,Analytica!$C94,'Vehicle data-proc2023'!$Q$20:$Q$117,RIGHT(Analytica!$D94,3))/1000</f>
        <v>993.48523967858819</v>
      </c>
      <c r="AR94" s="942"/>
      <c r="AS94" s="212"/>
      <c r="AT94" s="944">
        <f t="shared" si="73"/>
        <v>2.0250000000000001E-2</v>
      </c>
      <c r="AU94" s="942">
        <f t="shared" ref="AU94:AU99" si="90">$AT94*AK94</f>
        <v>94.618619220444089</v>
      </c>
      <c r="AV94" s="942">
        <f t="shared" ref="AV94:AV99" si="91">$AT94*AL94</f>
        <v>72.145635598134959</v>
      </c>
      <c r="AW94" s="942">
        <f t="shared" ref="AW94:AW99" si="92">$AT94*AN94</f>
        <v>43.287381358880971</v>
      </c>
      <c r="AX94" s="942">
        <f t="shared" ref="AX94:AX99" si="93">$AT94*AP94</f>
        <v>33.667963279129651</v>
      </c>
      <c r="AY94" s="945">
        <f t="shared" ref="AY94:AY99" si="94">$AT94*AQ94</f>
        <v>20.118076103491411</v>
      </c>
      <c r="BA94" s="74"/>
    </row>
    <row r="95" spans="1:56" x14ac:dyDescent="0.25">
      <c r="A95" s="61" t="str">
        <f t="shared" si="65"/>
        <v>CV5ELC</v>
      </c>
      <c r="B95" s="61" t="str">
        <f t="shared" si="51"/>
        <v>TFHCV5ELC-N</v>
      </c>
      <c r="C95" s="61" t="s">
        <v>501</v>
      </c>
      <c r="D95" s="61" t="str">
        <f t="shared" si="80"/>
        <v>TFHCV5</v>
      </c>
      <c r="E95" t="s">
        <v>1368</v>
      </c>
      <c r="F95" s="938">
        <f t="shared" si="81"/>
        <v>0.11</v>
      </c>
      <c r="G95" s="212">
        <f t="shared" si="82"/>
        <v>30805.1279861556</v>
      </c>
      <c r="H95" s="212">
        <f t="shared" ref="H95:M95" si="95">H103</f>
        <v>53608.118344618502</v>
      </c>
      <c r="I95" s="212">
        <f t="shared" si="95"/>
        <v>30929.193713782333</v>
      </c>
      <c r="J95" s="212">
        <f t="shared" si="95"/>
        <v>10295.434229414555</v>
      </c>
      <c r="K95" s="212">
        <f t="shared" si="95"/>
        <v>379.72822415195355</v>
      </c>
      <c r="L95" s="212">
        <f t="shared" si="95"/>
        <v>1.5518624608428848</v>
      </c>
      <c r="M95" s="212">
        <f t="shared" si="95"/>
        <v>1</v>
      </c>
      <c r="N95" s="212">
        <f t="shared" si="84"/>
        <v>1.0040274374994478</v>
      </c>
      <c r="O95" s="212">
        <f t="shared" si="85"/>
        <v>0.33421170118304705</v>
      </c>
      <c r="P95" s="212">
        <f t="shared" si="86"/>
        <v>1.232678612218753E-2</v>
      </c>
      <c r="Q95" s="212">
        <f t="shared" si="87"/>
        <v>5.037675745221123E-5</v>
      </c>
      <c r="R95" s="212">
        <f t="shared" si="88"/>
        <v>3.2462127748646868E-5</v>
      </c>
      <c r="S95" s="212"/>
      <c r="T95" s="212"/>
      <c r="U95" s="212"/>
      <c r="V95" s="212"/>
      <c r="W95" s="212"/>
      <c r="X95" s="967"/>
      <c r="Y95" s="212"/>
      <c r="Z95" s="941">
        <f t="shared" si="89"/>
        <v>0.30829299628460721</v>
      </c>
      <c r="AA95" s="941">
        <f>1/SUMIFS('Vehicle data-proc2023'!AL$20:AL$117,'Vehicle data-proc2023'!$N$20:$N$117,Analytica!$C95,'Vehicle data-proc2023'!$Q$20:$Q$117,RIGHT(Analytica!$D95,3))</f>
        <v>0.30921972811899956</v>
      </c>
      <c r="AB95" s="941">
        <f>1/SUMIFS('Vehicle data-proc2023'!AM$20:AM$117,'Vehicle data-proc2023'!$N$20:$N$117,Analytica!$C95,'Vehicle data-proc2023'!$Q$20:$Q$117,RIGHT(Analytica!$D95,3))</f>
        <v>0.31014924571856733</v>
      </c>
      <c r="AC95" s="941">
        <f>1/SUMIFS('Vehicle data-proc2023'!AN$20:AN$117,'Vehicle data-proc2023'!$N$20:$N$117,Analytica!$C95,'Vehicle data-proc2023'!$Q$20:$Q$117,RIGHT(Analytica!$D95,3))</f>
        <v>0.32773502336817151</v>
      </c>
      <c r="AD95" s="941">
        <f>1/SUMIFS('Vehicle data-proc2023'!AO$20:AO$117,'Vehicle data-proc2023'!$N$20:$N$117,Analytica!$C95,'Vehicle data-proc2023'!$Q$20:$Q$117,RIGHT(Analytica!$D95,3))</f>
        <v>0.36238558063524307</v>
      </c>
      <c r="AE95" s="941">
        <f>1/SUMIFS('Vehicle data-proc2023'!AP$20:AP$117,'Vehicle data-proc2023'!$N$20:$N$117,Analytica!$C95,'Vehicle data-proc2023'!$Q$20:$Q$117,RIGHT(Analytica!$D95,3))</f>
        <v>0.40069964968259153</v>
      </c>
      <c r="AF95" s="941"/>
      <c r="AG95" s="212"/>
      <c r="AH95" s="212"/>
      <c r="AI95" s="212"/>
      <c r="AJ95" s="212"/>
      <c r="AK95" s="943">
        <f>SUMIFS('Vehicle data-proc2023'!AD$20:AD$117,'Vehicle data-proc2023'!$N$20:$N$117,Analytica!$C95,'Vehicle data-proc2023'!$Q$20:$Q$117,RIGHT(Analytica!$D95,3))/1000</f>
        <v>3566.8217975551311</v>
      </c>
      <c r="AL95" s="943">
        <f>SUMIFS('Vehicle data-proc2023'!AE$20:AE$117,'Vehicle data-proc2023'!$N$20:$N$117,Analytica!$C95,'Vehicle data-proc2023'!$Q$20:$Q$117,RIGHT(Analytica!$D95,3))/1000</f>
        <v>2719.6616032872325</v>
      </c>
      <c r="AM95" s="943">
        <f>SUMIFS('Vehicle data-proc2023'!AF$20:AF$117,'Vehicle data-proc2023'!$N$20:$N$117,Analytica!$C95,'Vehicle data-proc2023'!$Q$20:$Q$117,RIGHT(Analytica!$D95,3))/1000</f>
        <v>1903.7631223010626</v>
      </c>
      <c r="AN95" s="943">
        <f>SUMIFS('Vehicle data-proc2023'!AG$20:AG$117,'Vehicle data-proc2023'!$N$20:$N$117,Analytica!$C95,'Vehicle data-proc2023'!$Q$20:$Q$117,RIGHT(Analytica!$D95,3))/1000</f>
        <v>1631.7969619723394</v>
      </c>
      <c r="AO95" s="943">
        <f>SUMIFS('Vehicle data-proc2023'!AH$20:AH$117,'Vehicle data-proc2023'!$N$20:$N$117,Analytica!$C95,'Vehicle data-proc2023'!$Q$20:$Q$117,RIGHT(Analytica!$D95,3))/1000</f>
        <v>1359.8308016436163</v>
      </c>
      <c r="AP95" s="943">
        <f>SUMIFS('Vehicle data-proc2023'!AI$20:AI$117,'Vehicle data-proc2023'!$N$20:$N$117,Analytica!$C95,'Vehicle data-proc2023'!$Q$20:$Q$117,RIGHT(Analytica!$D95,3))/1000</f>
        <v>1269.1754148673754</v>
      </c>
      <c r="AQ95" s="943">
        <f>SUMIFS('Vehicle data-proc2023'!AJ$20:AJ$117,'Vehicle data-proc2023'!$N$20:$N$117,Analytica!$C95,'Vehicle data-proc2023'!$Q$20:$Q$117,RIGHT(Analytica!$D95,3))/1000</f>
        <v>945.21587798179326</v>
      </c>
      <c r="AR95" s="942"/>
      <c r="AS95" s="212"/>
      <c r="AT95" s="944">
        <f t="shared" si="73"/>
        <v>2.0250000000000001E-2</v>
      </c>
      <c r="AU95" s="942">
        <f t="shared" si="90"/>
        <v>72.22814140049141</v>
      </c>
      <c r="AV95" s="942">
        <f t="shared" si="91"/>
        <v>55.073147466566461</v>
      </c>
      <c r="AW95" s="942">
        <f t="shared" si="92"/>
        <v>33.043888479939874</v>
      </c>
      <c r="AX95" s="942">
        <f t="shared" si="93"/>
        <v>25.700802151064352</v>
      </c>
      <c r="AY95" s="945">
        <f t="shared" si="94"/>
        <v>19.140621529131312</v>
      </c>
      <c r="BA95" s="74"/>
    </row>
    <row r="96" spans="1:56" x14ac:dyDescent="0.25">
      <c r="A96" s="1007" t="str">
        <f t="shared" si="65"/>
        <v>CV6ELC</v>
      </c>
      <c r="B96" s="1007" t="str">
        <f t="shared" si="51"/>
        <v>TFHCV6ELC-N</v>
      </c>
      <c r="C96" s="1007" t="s">
        <v>501</v>
      </c>
      <c r="D96" s="1007" t="str">
        <f t="shared" si="80"/>
        <v>TFHCV6</v>
      </c>
      <c r="E96" s="1008" t="s">
        <v>1369</v>
      </c>
      <c r="F96" s="1009">
        <f t="shared" si="81"/>
        <v>0.11</v>
      </c>
      <c r="G96" s="1007">
        <f t="shared" si="82"/>
        <v>30805.1279861556</v>
      </c>
      <c r="H96" s="1007">
        <f t="shared" ref="H96:M96" si="96">H104</f>
        <v>56756.7653972318</v>
      </c>
      <c r="I96" s="1007">
        <f t="shared" si="96"/>
        <v>32745.805033742654</v>
      </c>
      <c r="J96" s="1007">
        <f t="shared" si="96"/>
        <v>10900.131608147945</v>
      </c>
      <c r="K96" s="1007">
        <f t="shared" si="96"/>
        <v>402.03137879886822</v>
      </c>
      <c r="L96" s="1007">
        <f t="shared" si="96"/>
        <v>1.6430103562415428</v>
      </c>
      <c r="M96" s="1007">
        <f t="shared" si="96"/>
        <v>1</v>
      </c>
      <c r="N96" s="1007">
        <f t="shared" si="84"/>
        <v>1.0629985062376377</v>
      </c>
      <c r="O96" s="1007">
        <f t="shared" si="85"/>
        <v>0.35384146474076228</v>
      </c>
      <c r="P96" s="1007">
        <f t="shared" si="86"/>
        <v>1.3050793977533502E-2</v>
      </c>
      <c r="Q96" s="1007">
        <f t="shared" si="87"/>
        <v>5.3335612076662768E-5</v>
      </c>
      <c r="R96" s="1007">
        <f t="shared" si="88"/>
        <v>3.2462127748646868E-5</v>
      </c>
      <c r="S96" s="1007"/>
      <c r="T96" s="1007"/>
      <c r="U96" s="1007"/>
      <c r="V96" s="1007"/>
      <c r="W96" s="1007"/>
      <c r="X96" s="1010"/>
      <c r="Y96" s="1007"/>
      <c r="Z96" s="1006">
        <f t="shared" si="89"/>
        <v>0.21264632170726872</v>
      </c>
      <c r="AA96" s="1006">
        <f>1/SUMIFS('Vehicle data-proc2023'!AL$20:AL$117,'Vehicle data-proc2023'!$N$20:$N$117,Analytica!$C96,'Vehicle data-proc2023'!$Q$20:$Q$117,RIGHT(Analytica!$D96,3))</f>
        <v>0.21328553867997815</v>
      </c>
      <c r="AB96" s="1006">
        <f>1/SUMIFS('Vehicle data-proc2023'!AM$20:AM$117,'Vehicle data-proc2023'!$N$20:$N$117,Analytica!$C96,'Vehicle data-proc2023'!$Q$20:$Q$117,RIGHT(Analytica!$D96,3))</f>
        <v>0.21392667714530933</v>
      </c>
      <c r="AC96" s="1006">
        <f>1/SUMIFS('Vehicle data-proc2023'!AN$20:AN$117,'Vehicle data-proc2023'!$N$20:$N$117,Analytica!$C96,'Vehicle data-proc2023'!$Q$20:$Q$117,RIGHT(Analytica!$D96,3))</f>
        <v>0.22605653729982925</v>
      </c>
      <c r="AD96" s="1006">
        <f>1/SUMIFS('Vehicle data-proc2023'!AO$20:AO$117,'Vehicle data-proc2023'!$N$20:$N$117,Analytica!$C96,'Vehicle data-proc2023'!$Q$20:$Q$117,RIGHT(Analytica!$D96,3))</f>
        <v>0.24995689714176231</v>
      </c>
      <c r="AE96" s="1006">
        <f>1/SUMIFS('Vehicle data-proc2023'!AP$20:AP$117,'Vehicle data-proc2023'!$N$20:$N$117,Analytica!$C96,'Vehicle data-proc2023'!$Q$20:$Q$117,RIGHT(Analytica!$D96,3))</f>
        <v>0.27638417882102423</v>
      </c>
      <c r="AF96" s="941"/>
      <c r="AG96" s="212"/>
      <c r="AH96" s="212"/>
      <c r="AI96" s="212"/>
      <c r="AJ96" s="212"/>
      <c r="AK96" s="943">
        <f>SUMIFS('Vehicle data-proc2023'!AD$20:AD$117,'Vehicle data-proc2023'!$N$20:$N$117,Analytica!$C96,'Vehicle data-proc2023'!$Q$20:$Q$117,RIGHT(Analytica!$D96,3))/1000</f>
        <v>3566.8217975551311</v>
      </c>
      <c r="AL96" s="943">
        <f>SUMIFS('Vehicle data-proc2023'!AE$20:AE$117,'Vehicle data-proc2023'!$N$20:$N$117,Analytica!$C96,'Vehicle data-proc2023'!$Q$20:$Q$117,RIGHT(Analytica!$D96,3))/1000</f>
        <v>2719.6616032872325</v>
      </c>
      <c r="AM96" s="943">
        <f>SUMIFS('Vehicle data-proc2023'!AF$20:AF$117,'Vehicle data-proc2023'!$N$20:$N$117,Analytica!$C96,'Vehicle data-proc2023'!$Q$20:$Q$117,RIGHT(Analytica!$D96,3))/1000</f>
        <v>1903.7631223010626</v>
      </c>
      <c r="AN96" s="943">
        <f>SUMIFS('Vehicle data-proc2023'!AG$20:AG$117,'Vehicle data-proc2023'!$N$20:$N$117,Analytica!$C96,'Vehicle data-proc2023'!$Q$20:$Q$117,RIGHT(Analytica!$D96,3))/1000</f>
        <v>1631.7969619723394</v>
      </c>
      <c r="AO96" s="943">
        <f>SUMIFS('Vehicle data-proc2023'!AH$20:AH$117,'Vehicle data-proc2023'!$N$20:$N$117,Analytica!$C96,'Vehicle data-proc2023'!$Q$20:$Q$117,RIGHT(Analytica!$D96,3))/1000</f>
        <v>1359.8308016436163</v>
      </c>
      <c r="AP96" s="943">
        <f>SUMIFS('Vehicle data-proc2023'!AI$20:AI$117,'Vehicle data-proc2023'!$N$20:$N$117,Analytica!$C96,'Vehicle data-proc2023'!$Q$20:$Q$117,RIGHT(Analytica!$D96,3))/1000</f>
        <v>1269.1754148673754</v>
      </c>
      <c r="AQ96" s="943">
        <f>SUMIFS('Vehicle data-proc2023'!AJ$20:AJ$117,'Vehicle data-proc2023'!$N$20:$N$117,Analytica!$C96,'Vehicle data-proc2023'!$Q$20:$Q$117,RIGHT(Analytica!$D96,3))/1000</f>
        <v>945.21587798179326</v>
      </c>
      <c r="AR96" s="942"/>
      <c r="AS96" s="212"/>
      <c r="AT96" s="944">
        <f t="shared" si="73"/>
        <v>2.0250000000000001E-2</v>
      </c>
      <c r="AU96" s="942">
        <f t="shared" si="90"/>
        <v>72.22814140049141</v>
      </c>
      <c r="AV96" s="942">
        <f t="shared" si="91"/>
        <v>55.073147466566461</v>
      </c>
      <c r="AW96" s="942">
        <f t="shared" si="92"/>
        <v>33.043888479939874</v>
      </c>
      <c r="AX96" s="942">
        <f t="shared" si="93"/>
        <v>25.700802151064352</v>
      </c>
      <c r="AY96" s="945">
        <f t="shared" si="94"/>
        <v>19.140621529131312</v>
      </c>
      <c r="BA96" s="74"/>
    </row>
    <row r="97" spans="1:55" x14ac:dyDescent="0.25">
      <c r="A97" s="61" t="str">
        <f t="shared" si="65"/>
        <v>CV7ELC</v>
      </c>
      <c r="B97" s="61" t="str">
        <f t="shared" si="51"/>
        <v>TFHCV7ELC-N</v>
      </c>
      <c r="C97" s="61" t="s">
        <v>501</v>
      </c>
      <c r="D97" s="61" t="str">
        <f t="shared" si="80"/>
        <v>TFHCV7</v>
      </c>
      <c r="E97" t="s">
        <v>1370</v>
      </c>
      <c r="F97" s="938">
        <f t="shared" si="81"/>
        <v>0.16</v>
      </c>
      <c r="G97" s="212">
        <f t="shared" si="82"/>
        <v>30805.1279861556</v>
      </c>
      <c r="H97" s="212">
        <f t="shared" ref="H97:M97" si="97">H105</f>
        <v>64512.330335483297</v>
      </c>
      <c r="I97" s="212">
        <f t="shared" si="97"/>
        <v>28987.258562430718</v>
      </c>
      <c r="J97" s="212">
        <f t="shared" si="97"/>
        <v>5852.4265699655216</v>
      </c>
      <c r="K97" s="212">
        <f t="shared" si="97"/>
        <v>48.163990293780166</v>
      </c>
      <c r="L97" s="212">
        <f t="shared" si="97"/>
        <v>1.6157218754222567E-2</v>
      </c>
      <c r="M97" s="212">
        <f t="shared" si="97"/>
        <v>1</v>
      </c>
      <c r="N97" s="212">
        <f t="shared" si="84"/>
        <v>0.94098809053668386</v>
      </c>
      <c r="O97" s="212">
        <f t="shared" si="85"/>
        <v>0.18998221895379599</v>
      </c>
      <c r="P97" s="212">
        <f t="shared" si="86"/>
        <v>1.5635056058012798E-3</v>
      </c>
      <c r="Q97" s="212">
        <f t="shared" si="87"/>
        <v>5.2449769926240608E-7</v>
      </c>
      <c r="R97" s="212">
        <f t="shared" si="88"/>
        <v>3.2462127748646868E-5</v>
      </c>
      <c r="S97" s="212"/>
      <c r="T97" s="212"/>
      <c r="U97" s="212"/>
      <c r="V97" s="212"/>
      <c r="W97" s="212"/>
      <c r="X97" s="967"/>
      <c r="Y97" s="212"/>
      <c r="Z97" s="941">
        <f t="shared" si="89"/>
        <v>0.22954886905081143</v>
      </c>
      <c r="AA97" s="941">
        <f>1/SUMIFS('Vehicle data-proc2023'!AL$20:AL$117,'Vehicle data-proc2023'!$N$20:$N$117,Analytica!$C97,'Vehicle data-proc2023'!$Q$20:$Q$117,RIGHT(Analytica!$D97,3))</f>
        <v>0.23023889525011493</v>
      </c>
      <c r="AB97" s="941">
        <f>1/SUMIFS('Vehicle data-proc2023'!AM$20:AM$117,'Vehicle data-proc2023'!$N$20:$N$117,Analytica!$C97,'Vehicle data-proc2023'!$Q$20:$Q$117,RIGHT(Analytica!$D97,3))</f>
        <v>0.23093099567508416</v>
      </c>
      <c r="AC97" s="941">
        <f>1/SUMIFS('Vehicle data-proc2023'!AN$20:AN$117,'Vehicle data-proc2023'!$N$20:$N$117,Analytica!$C97,'Vehicle data-proc2023'!$Q$20:$Q$117,RIGHT(Analytica!$D97,3))</f>
        <v>0.24402501798339188</v>
      </c>
      <c r="AD97" s="941">
        <f>1/SUMIFS('Vehicle data-proc2023'!AO$20:AO$117,'Vehicle data-proc2023'!$N$20:$N$117,Analytica!$C97,'Vehicle data-proc2023'!$Q$20:$Q$117,RIGHT(Analytica!$D97,3))</f>
        <v>0.26982513776715028</v>
      </c>
      <c r="AE97" s="941">
        <f>1/SUMIFS('Vehicle data-proc2023'!AP$20:AP$117,'Vehicle data-proc2023'!$N$20:$N$117,Analytica!$C97,'Vehicle data-proc2023'!$Q$20:$Q$117,RIGHT(Analytica!$D97,3))</f>
        <v>0.29835303598263324</v>
      </c>
      <c r="AF97" s="941"/>
      <c r="AG97" s="212"/>
      <c r="AH97" s="212"/>
      <c r="AI97" s="212"/>
      <c r="AJ97" s="212"/>
      <c r="AK97" s="943">
        <f>SUMIFS('Vehicle data-proc2023'!AD$20:AD$117,'Vehicle data-proc2023'!$N$20:$N$117,Analytica!$C97,'Vehicle data-proc2023'!$Q$20:$Q$117,RIGHT(Analytica!$D97,3))/1000</f>
        <v>6464.3237159920936</v>
      </c>
      <c r="AL97" s="943">
        <f>SUMIFS('Vehicle data-proc2023'!AE$20:AE$117,'Vehicle data-proc2023'!$N$20:$N$117,Analytica!$C97,'Vehicle data-proc2023'!$Q$20:$Q$117,RIGHT(Analytica!$D97,3))/1000</f>
        <v>4928.9743080670405</v>
      </c>
      <c r="AM97" s="943">
        <f>SUMIFS('Vehicle data-proc2023'!AF$20:AF$117,'Vehicle data-proc2023'!$N$20:$N$117,Analytica!$C97,'Vehicle data-proc2023'!$Q$20:$Q$117,RIGHT(Analytica!$D97,3))/1000</f>
        <v>3450.2820156469279</v>
      </c>
      <c r="AN97" s="943">
        <f>SUMIFS('Vehicle data-proc2023'!AG$20:AG$117,'Vehicle data-proc2023'!$N$20:$N$117,Analytica!$C97,'Vehicle data-proc2023'!$Q$20:$Q$117,RIGHT(Analytica!$D97,3))/1000</f>
        <v>2957.3845848402243</v>
      </c>
      <c r="AO97" s="943">
        <f>SUMIFS('Vehicle data-proc2023'!AH$20:AH$117,'Vehicle data-proc2023'!$N$20:$N$117,Analytica!$C97,'Vehicle data-proc2023'!$Q$20:$Q$117,RIGHT(Analytica!$D97,3))/1000</f>
        <v>2464.4871540335203</v>
      </c>
      <c r="AP97" s="943">
        <f>SUMIFS('Vehicle data-proc2023'!AI$20:AI$117,'Vehicle data-proc2023'!$N$20:$N$117,Analytica!$C97,'Vehicle data-proc2023'!$Q$20:$Q$117,RIGHT(Analytica!$D97,3))/1000</f>
        <v>2300.1880104312854</v>
      </c>
      <c r="AQ97" s="943">
        <f>SUMIFS('Vehicle data-proc2023'!AJ$20:AJ$117,'Vehicle data-proc2023'!$N$20:$N$117,Analytica!$C97,'Vehicle data-proc2023'!$Q$20:$Q$117,RIGHT(Analytica!$D97,3))/1000</f>
        <v>1215.8917526997081</v>
      </c>
      <c r="AR97" s="942"/>
      <c r="AS97" s="212"/>
      <c r="AT97" s="944">
        <f t="shared" si="73"/>
        <v>2.0250000000000001E-2</v>
      </c>
      <c r="AU97" s="942">
        <f t="shared" si="90"/>
        <v>130.90255524883989</v>
      </c>
      <c r="AV97" s="942">
        <f t="shared" si="91"/>
        <v>99.81172973835757</v>
      </c>
      <c r="AW97" s="942">
        <f t="shared" si="92"/>
        <v>59.887037843014546</v>
      </c>
      <c r="AX97" s="942">
        <f t="shared" si="93"/>
        <v>46.578807211233531</v>
      </c>
      <c r="AY97" s="945">
        <f t="shared" si="94"/>
        <v>24.621807992169092</v>
      </c>
      <c r="BA97" s="74"/>
    </row>
    <row r="98" spans="1:55" x14ac:dyDescent="0.25">
      <c r="A98" s="61" t="str">
        <f t="shared" si="65"/>
        <v>CV8ELC</v>
      </c>
      <c r="B98" s="61" t="str">
        <f t="shared" si="51"/>
        <v>TFHCV8ELC-N</v>
      </c>
      <c r="C98" s="61" t="s">
        <v>501</v>
      </c>
      <c r="D98" s="61" t="str">
        <f t="shared" si="80"/>
        <v>TFHCV8</v>
      </c>
      <c r="E98" t="s">
        <v>1371</v>
      </c>
      <c r="F98" s="938">
        <f t="shared" si="81"/>
        <v>0.16</v>
      </c>
      <c r="G98" s="212">
        <f t="shared" si="82"/>
        <v>30805.1279861556</v>
      </c>
      <c r="H98" s="212">
        <f t="shared" ref="H98:M98" si="98">H106</f>
        <v>92421.691229504097</v>
      </c>
      <c r="I98" s="212">
        <f t="shared" si="98"/>
        <v>41527.742782114779</v>
      </c>
      <c r="J98" s="212">
        <f t="shared" si="98"/>
        <v>8384.3066678866562</v>
      </c>
      <c r="K98" s="212">
        <f t="shared" si="98"/>
        <v>69.000723058119178</v>
      </c>
      <c r="L98" s="212">
        <f t="shared" si="98"/>
        <v>2.3147163884250102E-2</v>
      </c>
      <c r="M98" s="212">
        <f t="shared" si="98"/>
        <v>1</v>
      </c>
      <c r="N98" s="212">
        <f t="shared" si="84"/>
        <v>1.348078891305958</v>
      </c>
      <c r="O98" s="212">
        <f t="shared" si="85"/>
        <v>0.27217243413676839</v>
      </c>
      <c r="P98" s="212">
        <f t="shared" si="86"/>
        <v>2.2399102866616687E-3</v>
      </c>
      <c r="Q98" s="212">
        <f t="shared" si="87"/>
        <v>7.5140619102939197E-7</v>
      </c>
      <c r="R98" s="212">
        <f t="shared" si="88"/>
        <v>3.2462127748646868E-5</v>
      </c>
      <c r="S98" s="212"/>
      <c r="T98" s="212"/>
      <c r="U98" s="212"/>
      <c r="V98" s="212"/>
      <c r="W98" s="212"/>
      <c r="X98" s="967"/>
      <c r="Y98" s="212"/>
      <c r="Z98" s="941">
        <f t="shared" si="89"/>
        <v>0.22587886805273732</v>
      </c>
      <c r="AA98" s="941">
        <f>1/SUMIFS('Vehicle data-proc2023'!AL$20:AL$117,'Vehicle data-proc2023'!$N$20:$N$117,Analytica!$C98,'Vehicle data-proc2023'!$Q$20:$Q$117,RIGHT(Analytica!$D98,3))</f>
        <v>0.22655786219228544</v>
      </c>
      <c r="AB98" s="941">
        <f>1/SUMIFS('Vehicle data-proc2023'!AM$20:AM$117,'Vehicle data-proc2023'!$N$20:$N$117,Analytica!$C98,'Vehicle data-proc2023'!$Q$20:$Q$117,RIGHT(Analytica!$D98,3))</f>
        <v>0.22723889739501718</v>
      </c>
      <c r="AC98" s="941">
        <f>1/SUMIFS('Vehicle data-proc2023'!AN$20:AN$117,'Vehicle data-proc2023'!$N$20:$N$117,Analytica!$C98,'Vehicle data-proc2023'!$Q$20:$Q$117,RIGHT(Analytica!$D98,3))</f>
        <v>0.24012357397603376</v>
      </c>
      <c r="AD98" s="941">
        <f>1/SUMIFS('Vehicle data-proc2023'!AO$20:AO$117,'Vehicle data-proc2023'!$N$20:$N$117,Analytica!$C98,'Vehicle data-proc2023'!$Q$20:$Q$117,RIGHT(Analytica!$D98,3))</f>
        <v>0.26551120440295778</v>
      </c>
      <c r="AE98" s="941">
        <f>1/SUMIFS('Vehicle data-proc2023'!AP$20:AP$117,'Vehicle data-proc2023'!$N$20:$N$117,Analytica!$C98,'Vehicle data-proc2023'!$Q$20:$Q$117,RIGHT(Analytica!$D98,3))</f>
        <v>0.29358300185280983</v>
      </c>
      <c r="AF98" s="941"/>
      <c r="AG98" s="212"/>
      <c r="AH98" s="212"/>
      <c r="AI98" s="212"/>
      <c r="AJ98" s="212"/>
      <c r="AK98" s="943">
        <f>SUMIFS('Vehicle data-proc2023'!AD$20:AD$117,'Vehicle data-proc2023'!$N$20:$N$117,Analytica!$C98,'Vehicle data-proc2023'!$Q$20:$Q$117,RIGHT(Analytica!$D98,3))/1000</f>
        <v>6464.3237159920936</v>
      </c>
      <c r="AL98" s="943">
        <f>SUMIFS('Vehicle data-proc2023'!AE$20:AE$117,'Vehicle data-proc2023'!$N$20:$N$117,Analytica!$C98,'Vehicle data-proc2023'!$Q$20:$Q$117,RIGHT(Analytica!$D98,3))/1000</f>
        <v>4928.9743080670405</v>
      </c>
      <c r="AM98" s="943">
        <f>SUMIFS('Vehicle data-proc2023'!AF$20:AF$117,'Vehicle data-proc2023'!$N$20:$N$117,Analytica!$C98,'Vehicle data-proc2023'!$Q$20:$Q$117,RIGHT(Analytica!$D98,3))/1000</f>
        <v>3450.2820156469279</v>
      </c>
      <c r="AN98" s="943">
        <f>SUMIFS('Vehicle data-proc2023'!AG$20:AG$117,'Vehicle data-proc2023'!$N$20:$N$117,Analytica!$C98,'Vehicle data-proc2023'!$Q$20:$Q$117,RIGHT(Analytica!$D98,3))/1000</f>
        <v>2957.3845848402243</v>
      </c>
      <c r="AO98" s="943">
        <f>SUMIFS('Vehicle data-proc2023'!AH$20:AH$117,'Vehicle data-proc2023'!$N$20:$N$117,Analytica!$C98,'Vehicle data-proc2023'!$Q$20:$Q$117,RIGHT(Analytica!$D98,3))/1000</f>
        <v>2464.4871540335203</v>
      </c>
      <c r="AP98" s="943">
        <f>SUMIFS('Vehicle data-proc2023'!AI$20:AI$117,'Vehicle data-proc2023'!$N$20:$N$117,Analytica!$C98,'Vehicle data-proc2023'!$Q$20:$Q$117,RIGHT(Analytica!$D98,3))/1000</f>
        <v>2300.1880104312854</v>
      </c>
      <c r="AQ98" s="943">
        <f>SUMIFS('Vehicle data-proc2023'!AJ$20:AJ$117,'Vehicle data-proc2023'!$N$20:$N$117,Analytica!$C98,'Vehicle data-proc2023'!$Q$20:$Q$117,RIGHT(Analytica!$D98,3))/1000</f>
        <v>1215.8917526997081</v>
      </c>
      <c r="AR98" s="942"/>
      <c r="AS98" s="212"/>
      <c r="AT98" s="944">
        <f t="shared" si="73"/>
        <v>2.0250000000000001E-2</v>
      </c>
      <c r="AU98" s="942">
        <f t="shared" si="90"/>
        <v>130.90255524883989</v>
      </c>
      <c r="AV98" s="942">
        <f t="shared" si="91"/>
        <v>99.81172973835757</v>
      </c>
      <c r="AW98" s="942">
        <f t="shared" si="92"/>
        <v>59.887037843014546</v>
      </c>
      <c r="AX98" s="942">
        <f t="shared" si="93"/>
        <v>46.578807211233531</v>
      </c>
      <c r="AY98" s="945">
        <f t="shared" si="94"/>
        <v>24.621807992169092</v>
      </c>
      <c r="BA98" s="74"/>
    </row>
    <row r="99" spans="1:55" x14ac:dyDescent="0.25">
      <c r="A99" s="61" t="str">
        <f t="shared" si="65"/>
        <v>CV9ELC</v>
      </c>
      <c r="B99" s="61" t="str">
        <f t="shared" si="51"/>
        <v>TFHCV9ELC-N</v>
      </c>
      <c r="C99" s="61" t="s">
        <v>501</v>
      </c>
      <c r="D99" s="61" t="str">
        <f t="shared" si="80"/>
        <v>TFHCV9</v>
      </c>
      <c r="E99" t="s">
        <v>1372</v>
      </c>
      <c r="F99" s="938">
        <f t="shared" si="81"/>
        <v>0.18</v>
      </c>
      <c r="G99" s="212">
        <f t="shared" si="82"/>
        <v>30805.1279861556</v>
      </c>
      <c r="H99" s="212">
        <f t="shared" ref="H99:M99" si="99">H107</f>
        <v>116959.183879244</v>
      </c>
      <c r="I99" s="212">
        <f t="shared" si="99"/>
        <v>47552.055593322402</v>
      </c>
      <c r="J99" s="212">
        <f t="shared" si="99"/>
        <v>7860.3019222272696</v>
      </c>
      <c r="K99" s="212">
        <f t="shared" si="99"/>
        <v>35.501689865113427</v>
      </c>
      <c r="L99" s="212">
        <f t="shared" si="99"/>
        <v>4.3812565909997049E-3</v>
      </c>
      <c r="M99" s="212">
        <f t="shared" si="99"/>
        <v>1</v>
      </c>
      <c r="N99" s="212">
        <f t="shared" si="84"/>
        <v>1.5436409033811898</v>
      </c>
      <c r="O99" s="212">
        <f t="shared" si="85"/>
        <v>0.25516212514227621</v>
      </c>
      <c r="P99" s="212">
        <f t="shared" si="86"/>
        <v>1.152460391694154E-3</v>
      </c>
      <c r="Q99" s="212">
        <f t="shared" si="87"/>
        <v>1.4222491115663353E-7</v>
      </c>
      <c r="R99" s="212">
        <f t="shared" si="88"/>
        <v>3.2462127748646868E-5</v>
      </c>
      <c r="S99" s="212"/>
      <c r="T99" s="212"/>
      <c r="U99" s="212"/>
      <c r="V99" s="212"/>
      <c r="W99" s="212"/>
      <c r="X99" s="967"/>
      <c r="Y99" s="212"/>
      <c r="Z99" s="941">
        <f t="shared" si="89"/>
        <v>0.17749243814881846</v>
      </c>
      <c r="AA99" s="941">
        <f>1/SUMIFS('Vehicle data-proc2023'!AL$20:AL$117,'Vehicle data-proc2023'!$N$20:$N$117,Analytica!$C99,'Vehicle data-proc2023'!$Q$20:$Q$117,RIGHT(Analytica!$D99,3))</f>
        <v>0.17802598219548429</v>
      </c>
      <c r="AB99" s="941">
        <f>1/SUMIFS('Vehicle data-proc2023'!AM$20:AM$117,'Vehicle data-proc2023'!$N$20:$N$117,Analytica!$C99,'Vehicle data-proc2023'!$Q$20:$Q$117,RIGHT(Analytica!$D99,3))</f>
        <v>0.17856113008089788</v>
      </c>
      <c r="AC99" s="941">
        <f>1/SUMIFS('Vehicle data-proc2023'!AN$20:AN$117,'Vehicle data-proc2023'!$N$20:$N$117,Analytica!$C99,'Vehicle data-proc2023'!$Q$20:$Q$117,RIGHT(Analytica!$D99,3))</f>
        <v>0.18868572775060849</v>
      </c>
      <c r="AD99" s="941">
        <f>1/SUMIFS('Vehicle data-proc2023'!AO$20:AO$117,'Vehicle data-proc2023'!$N$20:$N$117,Analytica!$C99,'Vehicle data-proc2023'!$Q$20:$Q$117,RIGHT(Analytica!$D99,3))</f>
        <v>0.20863497073266474</v>
      </c>
      <c r="AE99" s="941">
        <f>1/SUMIFS('Vehicle data-proc2023'!AP$20:AP$117,'Vehicle data-proc2023'!$N$20:$N$117,Analytica!$C99,'Vehicle data-proc2023'!$Q$20:$Q$117,RIGHT(Analytica!$D99,3))</f>
        <v>0.23069339441588738</v>
      </c>
      <c r="AF99" s="941"/>
      <c r="AG99" s="212"/>
      <c r="AH99" s="212"/>
      <c r="AI99" s="212"/>
      <c r="AJ99" s="212"/>
      <c r="AK99" s="943">
        <f>SUMIFS('Vehicle data-proc2023'!AD$20:AD$117,'Vehicle data-proc2023'!$N$20:$N$117,Analytica!$C99,'Vehicle data-proc2023'!$Q$20:$Q$117,RIGHT(Analytica!$D99,3))/1000</f>
        <v>6464.3237159920936</v>
      </c>
      <c r="AL99" s="943">
        <f>SUMIFS('Vehicle data-proc2023'!AE$20:AE$117,'Vehicle data-proc2023'!$N$20:$N$117,Analytica!$C99,'Vehicle data-proc2023'!$Q$20:$Q$117,RIGHT(Analytica!$D99,3))/1000</f>
        <v>4928.9743080670405</v>
      </c>
      <c r="AM99" s="943">
        <f>SUMIFS('Vehicle data-proc2023'!AF$20:AF$117,'Vehicle data-proc2023'!$N$20:$N$117,Analytica!$C99,'Vehicle data-proc2023'!$Q$20:$Q$117,RIGHT(Analytica!$D99,3))/1000</f>
        <v>3450.2820156469279</v>
      </c>
      <c r="AN99" s="943">
        <f>SUMIFS('Vehicle data-proc2023'!AG$20:AG$117,'Vehicle data-proc2023'!$N$20:$N$117,Analytica!$C99,'Vehicle data-proc2023'!$Q$20:$Q$117,RIGHT(Analytica!$D99,3))/1000</f>
        <v>2957.3845848402243</v>
      </c>
      <c r="AO99" s="943">
        <f>SUMIFS('Vehicle data-proc2023'!AH$20:AH$117,'Vehicle data-proc2023'!$N$20:$N$117,Analytica!$C99,'Vehicle data-proc2023'!$Q$20:$Q$117,RIGHT(Analytica!$D99,3))/1000</f>
        <v>2464.4871540335203</v>
      </c>
      <c r="AP99" s="943">
        <f>SUMIFS('Vehicle data-proc2023'!AI$20:AI$117,'Vehicle data-proc2023'!$N$20:$N$117,Analytica!$C99,'Vehicle data-proc2023'!$Q$20:$Q$117,RIGHT(Analytica!$D99,3))/1000</f>
        <v>2300.1880104312854</v>
      </c>
      <c r="AQ99" s="943">
        <f>SUMIFS('Vehicle data-proc2023'!AJ$20:AJ$117,'Vehicle data-proc2023'!$N$20:$N$117,Analytica!$C99,'Vehicle data-proc2023'!$Q$20:$Q$117,RIGHT(Analytica!$D99,3))/1000</f>
        <v>1215.8917526997081</v>
      </c>
      <c r="AR99" s="942"/>
      <c r="AS99" s="212"/>
      <c r="AT99" s="944">
        <f t="shared" si="73"/>
        <v>2.0250000000000001E-2</v>
      </c>
      <c r="AU99" s="942">
        <f t="shared" si="90"/>
        <v>130.90255524883989</v>
      </c>
      <c r="AV99" s="942">
        <f t="shared" si="91"/>
        <v>99.81172973835757</v>
      </c>
      <c r="AW99" s="942">
        <f t="shared" si="92"/>
        <v>59.887037843014546</v>
      </c>
      <c r="AX99" s="942">
        <f t="shared" si="93"/>
        <v>46.578807211233531</v>
      </c>
      <c r="AY99" s="945">
        <f t="shared" si="94"/>
        <v>24.621807992169092</v>
      </c>
      <c r="BA99" s="74"/>
    </row>
    <row r="100" spans="1:55" x14ac:dyDescent="0.25">
      <c r="A100" s="61" t="str">
        <f t="shared" si="65"/>
        <v>CV2HGN</v>
      </c>
      <c r="B100" s="61" t="str">
        <f t="shared" si="51"/>
        <v>TFHCV2HGN-N</v>
      </c>
      <c r="C100" s="61" t="s">
        <v>504</v>
      </c>
      <c r="D100" s="61" t="str">
        <f t="shared" ref="D100:D107" si="100">D83</f>
        <v>TFHCV2</v>
      </c>
      <c r="E100" t="s">
        <v>996</v>
      </c>
      <c r="F100" s="938">
        <f t="shared" ref="F100:F107" si="101">F74</f>
        <v>4.8000000000000001E-2</v>
      </c>
      <c r="G100" s="212">
        <f t="shared" ref="G100:M107" si="102">G83</f>
        <v>17100.2801251579</v>
      </c>
      <c r="H100" s="212">
        <f t="shared" si="102"/>
        <v>17100.2801251579</v>
      </c>
      <c r="I100" s="212">
        <f t="shared" si="102"/>
        <v>13451.556778491855</v>
      </c>
      <c r="J100" s="212">
        <f t="shared" si="102"/>
        <v>8323.5999284680747</v>
      </c>
      <c r="K100" s="212">
        <f t="shared" si="102"/>
        <v>1972.0918752186101</v>
      </c>
      <c r="L100" s="212">
        <f t="shared" si="102"/>
        <v>178.90413861851181</v>
      </c>
      <c r="M100" s="212">
        <f t="shared" si="102"/>
        <v>1</v>
      </c>
      <c r="N100" s="212">
        <f t="shared" si="67"/>
        <v>0.78662786106655347</v>
      </c>
      <c r="O100" s="212">
        <f t="shared" si="68"/>
        <v>0.48675225595997168</v>
      </c>
      <c r="P100" s="212">
        <f t="shared" si="69"/>
        <v>0.11532512103806254</v>
      </c>
      <c r="Q100" s="212">
        <f t="shared" si="70"/>
        <v>1.0462058943426802E-2</v>
      </c>
      <c r="R100" s="212">
        <f t="shared" si="71"/>
        <v>5.8478574191822851E-5</v>
      </c>
      <c r="S100" s="968" t="s">
        <v>532</v>
      </c>
      <c r="T100" s="212"/>
      <c r="U100" s="212"/>
      <c r="V100" s="212"/>
      <c r="W100" s="212"/>
      <c r="X100" s="969" t="s">
        <v>532</v>
      </c>
      <c r="Y100" s="212"/>
      <c r="Z100" s="941">
        <f t="shared" si="72"/>
        <v>0.28848119537073613</v>
      </c>
      <c r="AA100" s="941">
        <f>1/SUMIFS('Vehicle data-proc2023'!AL$20:AL$117,'Vehicle data-proc2023'!$N$20:$N$117,Analytica!$C100,'Vehicle data-proc2023'!$Q$20:$Q$117,RIGHT(Analytica!$D100,3))</f>
        <v>0.28934837273316583</v>
      </c>
      <c r="AB100" s="941">
        <f>1/SUMIFS('Vehicle data-proc2023'!AM$20:AM$117,'Vehicle data-proc2023'!$N$20:$N$117,Analytica!$C100,'Vehicle data-proc2023'!$Q$20:$Q$117,RIGHT(Analytica!$D100,3))</f>
        <v>0.29021815683943175</v>
      </c>
      <c r="AC100" s="941">
        <f>1/SUMIFS('Vehicle data-proc2023'!AN$20:AN$117,'Vehicle data-proc2023'!$N$20:$N$117,Analytica!$C100,'Vehicle data-proc2023'!$Q$20:$Q$117,RIGHT(Analytica!$D100,3))</f>
        <v>0.3066738214799557</v>
      </c>
      <c r="AD100" s="941">
        <f>1/SUMIFS('Vehicle data-proc2023'!AO$20:AO$117,'Vehicle data-proc2023'!$N$20:$N$117,Analytica!$C100,'Vehicle data-proc2023'!$Q$20:$Q$117,RIGHT(Analytica!$D100,3))</f>
        <v>0.33909763357148603</v>
      </c>
      <c r="AE100" s="941">
        <f>1/SUMIFS('Vehicle data-proc2023'!AP$20:AP$117,'Vehicle data-proc2023'!$N$20:$N$117,Analytica!$C100,'Vehicle data-proc2023'!$Q$20:$Q$117,RIGHT(Analytica!$D100,3))</f>
        <v>0.37494952956490746</v>
      </c>
      <c r="AF100" s="941"/>
      <c r="AG100" s="212"/>
      <c r="AH100" s="212"/>
      <c r="AI100" s="212"/>
      <c r="AJ100" s="212"/>
      <c r="AK100" s="943">
        <f>SUMIFS('Vehicle data-proc2023'!AD$20:AD$117,'Vehicle data-proc2023'!$N$20:$N$117,Analytica!$C100,'Vehicle data-proc2023'!$Q$20:$Q$117,RIGHT(Analytica!$D100,3))/1000</f>
        <v>2522.9906381765995</v>
      </c>
      <c r="AL100" s="943">
        <f>SUMIFS('Vehicle data-proc2023'!AE$20:AE$117,'Vehicle data-proc2023'!$N$20:$N$117,Analytica!$C100,'Vehicle data-proc2023'!$Q$20:$Q$117,RIGHT(Analytica!$D100,3))/1000</f>
        <v>1080.9827502171779</v>
      </c>
      <c r="AM100" s="943">
        <f>SUMIFS('Vehicle data-proc2023'!AF$20:AF$117,'Vehicle data-proc2023'!$N$20:$N$117,Analytica!$C100,'Vehicle data-proc2023'!$Q$20:$Q$117,RIGHT(Analytica!$D100,3))/1000</f>
        <v>851.67291194386314</v>
      </c>
      <c r="AN100" s="943">
        <f>SUMIFS('Vehicle data-proc2023'!AG$20:AG$117,'Vehicle data-proc2023'!$N$20:$N$117,Analytica!$C100,'Vehicle data-proc2023'!$Q$20:$Q$117,RIGHT(Analytica!$D100,3))/1000</f>
        <v>622.36307367054837</v>
      </c>
      <c r="AO100" s="943">
        <f>SUMIFS('Vehicle data-proc2023'!AH$20:AH$117,'Vehicle data-proc2023'!$N$20:$N$117,Analytica!$C100,'Vehicle data-proc2023'!$Q$20:$Q$117,RIGHT(Analytica!$D100,3))/1000</f>
        <v>593.95867654201027</v>
      </c>
      <c r="AP100" s="943">
        <f>SUMIFS('Vehicle data-proc2023'!AI$20:AI$117,'Vehicle data-proc2023'!$N$20:$N$117,Analytica!$C100,'Vehicle data-proc2023'!$Q$20:$Q$117,RIGHT(Analytica!$D100,3))/1000</f>
        <v>565.55427941347216</v>
      </c>
      <c r="AQ100" s="943">
        <f>SUMIFS('Vehicle data-proc2023'!AJ$20:AJ$117,'Vehicle data-proc2023'!$N$20:$N$117,Analytica!$C100,'Vehicle data-proc2023'!$Q$20:$Q$117,RIGHT(Analytica!$D100,3))/1000</f>
        <v>551.67118115070787</v>
      </c>
      <c r="AR100" s="942"/>
      <c r="AS100" s="212"/>
      <c r="AT100" s="944">
        <f t="shared" si="73"/>
        <v>2.7E-2</v>
      </c>
      <c r="AU100" s="942">
        <f t="shared" si="74"/>
        <v>68.120747230768188</v>
      </c>
      <c r="AV100" s="942">
        <f t="shared" si="75"/>
        <v>29.186534255863805</v>
      </c>
      <c r="AW100" s="942">
        <f t="shared" si="76"/>
        <v>16.803802989104806</v>
      </c>
      <c r="AX100" s="942">
        <f t="shared" si="77"/>
        <v>15.269965544163748</v>
      </c>
      <c r="AY100" s="945">
        <f t="shared" si="78"/>
        <v>14.895121891069111</v>
      </c>
      <c r="BA100" s="74">
        <f t="shared" si="49"/>
        <v>0</v>
      </c>
      <c r="BB100" s="61" t="s">
        <v>531</v>
      </c>
    </row>
    <row r="101" spans="1:55" x14ac:dyDescent="0.25">
      <c r="A101" s="61" t="str">
        <f t="shared" si="65"/>
        <v>CV3HGN</v>
      </c>
      <c r="B101" s="61" t="str">
        <f t="shared" si="51"/>
        <v>TFHCV3HGN-N</v>
      </c>
      <c r="C101" s="61" t="s">
        <v>504</v>
      </c>
      <c r="D101" s="61" t="str">
        <f t="shared" si="100"/>
        <v>TFHCV3</v>
      </c>
      <c r="E101" t="s">
        <v>997</v>
      </c>
      <c r="F101" s="938">
        <f t="shared" si="101"/>
        <v>8.4999999999999992E-2</v>
      </c>
      <c r="G101" s="212">
        <f t="shared" si="102"/>
        <v>30096.280108149898</v>
      </c>
      <c r="H101" s="212">
        <f t="shared" si="102"/>
        <v>30096.280108149898</v>
      </c>
      <c r="I101" s="212">
        <f t="shared" si="102"/>
        <v>19676.038579512857</v>
      </c>
      <c r="J101" s="212">
        <f t="shared" si="102"/>
        <v>8409.8326904830083</v>
      </c>
      <c r="K101" s="212">
        <f t="shared" si="102"/>
        <v>656.65374726387358</v>
      </c>
      <c r="L101" s="212">
        <f t="shared" si="102"/>
        <v>9.3666626481927722</v>
      </c>
      <c r="M101" s="212">
        <f t="shared" si="102"/>
        <v>1</v>
      </c>
      <c r="N101" s="212">
        <f t="shared" si="67"/>
        <v>0.65376978512984729</v>
      </c>
      <c r="O101" s="212">
        <f t="shared" si="68"/>
        <v>0.27943096822140734</v>
      </c>
      <c r="P101" s="212">
        <f t="shared" si="69"/>
        <v>2.1818435531042773E-2</v>
      </c>
      <c r="Q101" s="212">
        <f t="shared" si="70"/>
        <v>3.112232679432145E-4</v>
      </c>
      <c r="R101" s="212">
        <f t="shared" si="71"/>
        <v>3.3226697665177755E-5</v>
      </c>
      <c r="S101" s="968"/>
      <c r="T101" s="212"/>
      <c r="U101" s="212"/>
      <c r="V101" s="212"/>
      <c r="W101" s="212"/>
      <c r="X101" s="969"/>
      <c r="Y101" s="212"/>
      <c r="Z101" s="941">
        <f t="shared" si="72"/>
        <v>0.25221788461106948</v>
      </c>
      <c r="AA101" s="941">
        <f>1/SUMIFS('Vehicle data-proc2023'!AL$20:AL$117,'Vehicle data-proc2023'!$N$20:$N$117,Analytica!$C101,'Vehicle data-proc2023'!$Q$20:$Q$117,RIGHT(Analytica!$D101,3))</f>
        <v>0.25297605409817775</v>
      </c>
      <c r="AB101" s="941">
        <f>1/SUMIFS('Vehicle data-proc2023'!AM$20:AM$117,'Vehicle data-proc2023'!$N$20:$N$117,Analytica!$C101,'Vehicle data-proc2023'!$Q$20:$Q$117,RIGHT(Analytica!$D101,3))</f>
        <v>0.25373650265035735</v>
      </c>
      <c r="AC101" s="941">
        <f>1/SUMIFS('Vehicle data-proc2023'!AN$20:AN$117,'Vehicle data-proc2023'!$N$20:$N$117,Analytica!$C101,'Vehicle data-proc2023'!$Q$20:$Q$117,RIGHT(Analytica!$D101,3))</f>
        <v>0.26812362039703852</v>
      </c>
      <c r="AD101" s="941">
        <f>1/SUMIFS('Vehicle data-proc2023'!AO$20:AO$117,'Vehicle data-proc2023'!$N$20:$N$117,Analytica!$C101,'Vehicle data-proc2023'!$Q$20:$Q$117,RIGHT(Analytica!$D101,3))</f>
        <v>0.29647162168094532</v>
      </c>
      <c r="AE101" s="941">
        <f>1/SUMIFS('Vehicle data-proc2023'!AP$20:AP$117,'Vehicle data-proc2023'!$N$20:$N$117,Analytica!$C101,'Vehicle data-proc2023'!$Q$20:$Q$117,RIGHT(Analytica!$D101,3))</f>
        <v>0.32781678216926086</v>
      </c>
      <c r="AF101" s="941"/>
      <c r="AG101" s="212"/>
      <c r="AH101" s="212"/>
      <c r="AI101" s="212"/>
      <c r="AJ101" s="212"/>
      <c r="AK101" s="943">
        <f>SUMIFS('Vehicle data-proc2023'!AD$20:AD$117,'Vehicle data-proc2023'!$N$20:$N$117,Analytica!$C101,'Vehicle data-proc2023'!$Q$20:$Q$117,RIGHT(Analytica!$D101,3))/1000</f>
        <v>2522.9906381765995</v>
      </c>
      <c r="AL101" s="943">
        <f>SUMIFS('Vehicle data-proc2023'!AE$20:AE$117,'Vehicle data-proc2023'!$N$20:$N$117,Analytica!$C101,'Vehicle data-proc2023'!$Q$20:$Q$117,RIGHT(Analytica!$D101,3))/1000</f>
        <v>1080.9827502171779</v>
      </c>
      <c r="AM101" s="943">
        <f>SUMIFS('Vehicle data-proc2023'!AF$20:AF$117,'Vehicle data-proc2023'!$N$20:$N$117,Analytica!$C101,'Vehicle data-proc2023'!$Q$20:$Q$117,RIGHT(Analytica!$D101,3))/1000</f>
        <v>851.67291194386314</v>
      </c>
      <c r="AN101" s="943">
        <f>SUMIFS('Vehicle data-proc2023'!AG$20:AG$117,'Vehicle data-proc2023'!$N$20:$N$117,Analytica!$C101,'Vehicle data-proc2023'!$Q$20:$Q$117,RIGHT(Analytica!$D101,3))/1000</f>
        <v>622.36307367054837</v>
      </c>
      <c r="AO101" s="943">
        <f>SUMIFS('Vehicle data-proc2023'!AH$20:AH$117,'Vehicle data-proc2023'!$N$20:$N$117,Analytica!$C101,'Vehicle data-proc2023'!$Q$20:$Q$117,RIGHT(Analytica!$D101,3))/1000</f>
        <v>593.95867654201027</v>
      </c>
      <c r="AP101" s="943">
        <f>SUMIFS('Vehicle data-proc2023'!AI$20:AI$117,'Vehicle data-proc2023'!$N$20:$N$117,Analytica!$C101,'Vehicle data-proc2023'!$Q$20:$Q$117,RIGHT(Analytica!$D101,3))/1000</f>
        <v>565.55427941347216</v>
      </c>
      <c r="AQ101" s="943">
        <f>SUMIFS('Vehicle data-proc2023'!AJ$20:AJ$117,'Vehicle data-proc2023'!$N$20:$N$117,Analytica!$C101,'Vehicle data-proc2023'!$Q$20:$Q$117,RIGHT(Analytica!$D101,3))/1000</f>
        <v>551.67118115070787</v>
      </c>
      <c r="AR101" s="942"/>
      <c r="AS101" s="212"/>
      <c r="AT101" s="944">
        <f t="shared" si="73"/>
        <v>2.7E-2</v>
      </c>
      <c r="AU101" s="942">
        <f t="shared" si="74"/>
        <v>68.120747230768188</v>
      </c>
      <c r="AV101" s="942">
        <f t="shared" si="75"/>
        <v>29.186534255863805</v>
      </c>
      <c r="AW101" s="942">
        <f t="shared" si="76"/>
        <v>16.803802989104806</v>
      </c>
      <c r="AX101" s="942">
        <f t="shared" si="77"/>
        <v>15.269965544163748</v>
      </c>
      <c r="AY101" s="945">
        <f t="shared" si="78"/>
        <v>14.895121891069111</v>
      </c>
      <c r="BA101" s="74">
        <f t="shared" si="49"/>
        <v>0</v>
      </c>
      <c r="BB101" s="61" t="s">
        <v>531</v>
      </c>
    </row>
    <row r="102" spans="1:55" x14ac:dyDescent="0.25">
      <c r="A102" s="61" t="str">
        <f t="shared" si="65"/>
        <v>CV4HGN</v>
      </c>
      <c r="B102" s="61" t="str">
        <f t="shared" si="51"/>
        <v>TFHCV4HGN-N</v>
      </c>
      <c r="C102" s="61" t="s">
        <v>504</v>
      </c>
      <c r="D102" s="61" t="str">
        <f t="shared" si="100"/>
        <v>TFHCV4</v>
      </c>
      <c r="E102" t="s">
        <v>998</v>
      </c>
      <c r="F102" s="938">
        <f t="shared" si="101"/>
        <v>8.4999999999999992E-2</v>
      </c>
      <c r="G102" s="212">
        <f t="shared" si="102"/>
        <v>54512.527353451602</v>
      </c>
      <c r="H102" s="212">
        <f t="shared" si="102"/>
        <v>54512.527353451602</v>
      </c>
      <c r="I102" s="212">
        <f t="shared" si="102"/>
        <v>35638.643294750975</v>
      </c>
      <c r="J102" s="212">
        <f t="shared" si="102"/>
        <v>15232.488298570934</v>
      </c>
      <c r="K102" s="212">
        <f t="shared" si="102"/>
        <v>1189.3780636954896</v>
      </c>
      <c r="L102" s="212">
        <f t="shared" si="102"/>
        <v>16.965566906785078</v>
      </c>
      <c r="M102" s="212">
        <f t="shared" si="102"/>
        <v>1</v>
      </c>
      <c r="N102" s="212">
        <f t="shared" si="67"/>
        <v>0.65376978512984729</v>
      </c>
      <c r="O102" s="212">
        <f t="shared" si="68"/>
        <v>0.27943096822140734</v>
      </c>
      <c r="P102" s="212">
        <f t="shared" si="69"/>
        <v>2.1818435531042773E-2</v>
      </c>
      <c r="Q102" s="212">
        <f t="shared" si="70"/>
        <v>3.112232679432145E-4</v>
      </c>
      <c r="R102" s="212">
        <f t="shared" si="71"/>
        <v>1.8344407213339054E-5</v>
      </c>
      <c r="S102" s="968"/>
      <c r="T102" s="212"/>
      <c r="U102" s="212"/>
      <c r="V102" s="212"/>
      <c r="W102" s="212"/>
      <c r="X102" s="970"/>
      <c r="Y102" s="212"/>
      <c r="Z102" s="941">
        <f t="shared" si="72"/>
        <v>0.21562320269889015</v>
      </c>
      <c r="AA102" s="941">
        <f>1/SUMIFS('Vehicle data-proc2023'!AL$20:AL$117,'Vehicle data-proc2023'!$N$20:$N$117,Analytica!$C102,'Vehicle data-proc2023'!$Q$20:$Q$117,RIGHT(Analytica!$D102,3))</f>
        <v>0.21627136820567391</v>
      </c>
      <c r="AB102" s="941">
        <f>1/SUMIFS('Vehicle data-proc2023'!AM$20:AM$117,'Vehicle data-proc2023'!$N$20:$N$117,Analytica!$C102,'Vehicle data-proc2023'!$Q$20:$Q$117,RIGHT(Analytica!$D102,3))</f>
        <v>0.21692148210446247</v>
      </c>
      <c r="AC102" s="941">
        <f>1/SUMIFS('Vehicle data-proc2023'!AN$20:AN$117,'Vehicle data-proc2023'!$N$20:$N$117,Analytica!$C102,'Vehicle data-proc2023'!$Q$20:$Q$117,RIGHT(Analytica!$D102,3))</f>
        <v>0.22922115074584032</v>
      </c>
      <c r="AD102" s="941">
        <f>1/SUMIFS('Vehicle data-proc2023'!AO$20:AO$117,'Vehicle data-proc2023'!$N$20:$N$117,Analytica!$C102,'Vehicle data-proc2023'!$Q$20:$Q$117,RIGHT(Analytica!$D102,3))</f>
        <v>0.25345609679803616</v>
      </c>
      <c r="AE102" s="941">
        <f>1/SUMIFS('Vehicle data-proc2023'!AP$20:AP$117,'Vehicle data-proc2023'!$N$20:$N$117,Analytica!$C102,'Vehicle data-proc2023'!$Q$20:$Q$117,RIGHT(Analytica!$D102,3))</f>
        <v>0.28025333960269916</v>
      </c>
      <c r="AF102" s="941"/>
      <c r="AG102" s="212"/>
      <c r="AH102" s="212"/>
      <c r="AI102" s="212"/>
      <c r="AJ102" s="212"/>
      <c r="AK102" s="943">
        <f>SUMIFS('Vehicle data-proc2023'!AD$20:AD$117,'Vehicle data-proc2023'!$N$20:$N$117,Analytica!$C102,'Vehicle data-proc2023'!$Q$20:$Q$117,RIGHT(Analytica!$D102,3))/1000</f>
        <v>4002.1895351525573</v>
      </c>
      <c r="AL102" s="943">
        <f>SUMIFS('Vehicle data-proc2023'!AE$20:AE$117,'Vehicle data-proc2023'!$N$20:$N$117,Analytica!$C102,'Vehicle data-proc2023'!$Q$20:$Q$117,RIGHT(Analytica!$D102,3))/1000</f>
        <v>1781.373718472468</v>
      </c>
      <c r="AM102" s="943">
        <f>SUMIFS('Vehicle data-proc2023'!AF$20:AF$117,'Vehicle data-proc2023'!$N$20:$N$117,Analytica!$C102,'Vehicle data-proc2023'!$Q$20:$Q$117,RIGHT(Analytica!$D102,3))/1000</f>
        <v>1429.9058145549259</v>
      </c>
      <c r="AN102" s="943">
        <f>SUMIFS('Vehicle data-proc2023'!AG$20:AG$117,'Vehicle data-proc2023'!$N$20:$N$117,Analytica!$C102,'Vehicle data-proc2023'!$Q$20:$Q$117,RIGHT(Analytica!$D102,3))/1000</f>
        <v>1078.4379106373833</v>
      </c>
      <c r="AO102" s="943">
        <f>SUMIFS('Vehicle data-proc2023'!AH$20:AH$117,'Vehicle data-proc2023'!$N$20:$N$117,Analytica!$C102,'Vehicle data-proc2023'!$Q$20:$Q$117,RIGHT(Analytica!$D102,3))/1000</f>
        <v>1048.9240193517257</v>
      </c>
      <c r="AP102" s="943">
        <f>SUMIFS('Vehicle data-proc2023'!AI$20:AI$117,'Vehicle data-proc2023'!$N$20:$N$117,Analytica!$C102,'Vehicle data-proc2023'!$Q$20:$Q$117,RIGHT(Analytica!$D102,3))/1000</f>
        <v>1019.4101280660681</v>
      </c>
      <c r="AQ102" s="943">
        <f>SUMIFS('Vehicle data-proc2023'!AJ$20:AJ$117,'Vehicle data-proc2023'!$N$20:$N$117,Analytica!$C102,'Vehicle data-proc2023'!$Q$20:$Q$117,RIGHT(Analytica!$D102,3))/1000</f>
        <v>993.48523967858819</v>
      </c>
      <c r="AR102" s="942"/>
      <c r="AS102" s="212"/>
      <c r="AT102" s="944">
        <f t="shared" si="73"/>
        <v>2.7E-2</v>
      </c>
      <c r="AU102" s="942">
        <f t="shared" si="74"/>
        <v>108.05911744911904</v>
      </c>
      <c r="AV102" s="942">
        <f t="shared" si="75"/>
        <v>48.097090398756634</v>
      </c>
      <c r="AW102" s="942">
        <f t="shared" si="76"/>
        <v>29.117823587209347</v>
      </c>
      <c r="AX102" s="942">
        <f t="shared" si="77"/>
        <v>27.524073457783839</v>
      </c>
      <c r="AY102" s="945">
        <f t="shared" si="78"/>
        <v>26.824101471321882</v>
      </c>
      <c r="BA102" s="74">
        <f t="shared" si="49"/>
        <v>0</v>
      </c>
      <c r="BB102" s="61" t="s">
        <v>531</v>
      </c>
    </row>
    <row r="103" spans="1:55" x14ac:dyDescent="0.25">
      <c r="A103" s="61" t="str">
        <f t="shared" si="65"/>
        <v>CV5HGN</v>
      </c>
      <c r="B103" s="61" t="str">
        <f t="shared" si="51"/>
        <v>TFHCV5HGN-N</v>
      </c>
      <c r="C103" s="61" t="s">
        <v>504</v>
      </c>
      <c r="D103" s="61" t="str">
        <f t="shared" si="100"/>
        <v>TFHCV5</v>
      </c>
      <c r="E103" t="s">
        <v>999</v>
      </c>
      <c r="F103" s="938">
        <f t="shared" si="101"/>
        <v>0.11</v>
      </c>
      <c r="G103" s="212">
        <f t="shared" si="102"/>
        <v>53608.118344618502</v>
      </c>
      <c r="H103" s="212">
        <f t="shared" si="102"/>
        <v>53608.118344618502</v>
      </c>
      <c r="I103" s="212">
        <f t="shared" si="102"/>
        <v>30929.193713782333</v>
      </c>
      <c r="J103" s="212">
        <f t="shared" si="102"/>
        <v>10295.434229414555</v>
      </c>
      <c r="K103" s="212">
        <f t="shared" si="102"/>
        <v>379.72822415195355</v>
      </c>
      <c r="L103" s="212">
        <f t="shared" si="102"/>
        <v>1.5518624608428848</v>
      </c>
      <c r="M103" s="212">
        <f t="shared" si="102"/>
        <v>1</v>
      </c>
      <c r="N103" s="212">
        <f t="shared" si="67"/>
        <v>0.57694981038048665</v>
      </c>
      <c r="O103" s="212">
        <f t="shared" si="68"/>
        <v>0.19204990862075411</v>
      </c>
      <c r="P103" s="212">
        <f t="shared" si="69"/>
        <v>7.0834089290521219E-3</v>
      </c>
      <c r="Q103" s="212">
        <f t="shared" si="70"/>
        <v>2.8948273298211554E-5</v>
      </c>
      <c r="R103" s="212">
        <f t="shared" si="71"/>
        <v>1.8653891068728135E-5</v>
      </c>
      <c r="S103" s="968"/>
      <c r="T103" s="212"/>
      <c r="U103" s="212"/>
      <c r="V103" s="212"/>
      <c r="W103" s="212"/>
      <c r="X103" s="970"/>
      <c r="Y103" s="212"/>
      <c r="Z103" s="941">
        <f t="shared" si="72"/>
        <v>0.19864470655692903</v>
      </c>
      <c r="AA103" s="941">
        <f>1/SUMIFS('Vehicle data-proc2023'!AL$20:AL$117,'Vehicle data-proc2023'!$N$20:$N$117,Analytica!$C103,'Vehicle data-proc2023'!$Q$20:$Q$117,RIGHT(Analytica!$D103,3))</f>
        <v>0.19924183453427008</v>
      </c>
      <c r="AB103" s="941">
        <f>1/SUMIFS('Vehicle data-proc2023'!AM$20:AM$117,'Vehicle data-proc2023'!$N$20:$N$117,Analytica!$C103,'Vehicle data-proc2023'!$Q$20:$Q$117,RIGHT(Analytica!$D103,3))</f>
        <v>0.19984075748429125</v>
      </c>
      <c r="AC103" s="941">
        <f>1/SUMIFS('Vehicle data-proc2023'!AN$20:AN$117,'Vehicle data-proc2023'!$N$20:$N$117,Analytica!$C103,'Vehicle data-proc2023'!$Q$20:$Q$117,RIGHT(Analytica!$D103,3))</f>
        <v>0.21117193166885198</v>
      </c>
      <c r="AD103" s="941">
        <f>1/SUMIFS('Vehicle data-proc2023'!AO$20:AO$117,'Vehicle data-proc2023'!$N$20:$N$117,Analytica!$C103,'Vehicle data-proc2023'!$Q$20:$Q$117,RIGHT(Analytica!$D103,3))</f>
        <v>0.23349858152241262</v>
      </c>
      <c r="AE103" s="941">
        <f>1/SUMIFS('Vehicle data-proc2023'!AP$20:AP$117,'Vehicle data-proc2023'!$N$20:$N$117,Analytica!$C103,'Vehicle data-proc2023'!$Q$20:$Q$117,RIGHT(Analytica!$D103,3))</f>
        <v>0.25818576901818791</v>
      </c>
      <c r="AF103" s="941"/>
      <c r="AG103" s="212"/>
      <c r="AH103" s="212"/>
      <c r="AI103" s="212"/>
      <c r="AJ103" s="212"/>
      <c r="AK103" s="943">
        <f>SUMIFS('Vehicle data-proc2023'!AD$20:AD$117,'Vehicle data-proc2023'!$N$20:$N$117,Analytica!$C103,'Vehicle data-proc2023'!$Q$20:$Q$117,RIGHT(Analytica!$D103,3))/1000</f>
        <v>4181.3755668412123</v>
      </c>
      <c r="AL103" s="943">
        <f>SUMIFS('Vehicle data-proc2023'!AE$20:AE$117,'Vehicle data-proc2023'!$N$20:$N$117,Analytica!$C103,'Vehicle data-proc2023'!$Q$20:$Q$117,RIGHT(Analytica!$D103,3))/1000</f>
        <v>1813.1077355248217</v>
      </c>
      <c r="AM103" s="943">
        <f>SUMIFS('Vehicle data-proc2023'!AF$20:AF$117,'Vehicle data-proc2023'!$N$20:$N$117,Analytica!$C103,'Vehicle data-proc2023'!$Q$20:$Q$117,RIGHT(Analytica!$D103,3))/1000</f>
        <v>1437.1606416999607</v>
      </c>
      <c r="AN103" s="943">
        <f>SUMIFS('Vehicle data-proc2023'!AG$20:AG$117,'Vehicle data-proc2023'!$N$20:$N$117,Analytica!$C103,'Vehicle data-proc2023'!$Q$20:$Q$117,RIGHT(Analytica!$D103,3))/1000</f>
        <v>1061.2135478750995</v>
      </c>
      <c r="AO103" s="943">
        <f>SUMIFS('Vehicle data-proc2023'!AH$20:AH$117,'Vehicle data-proc2023'!$N$20:$N$117,Analytica!$C103,'Vehicle data-proc2023'!$Q$20:$Q$117,RIGHT(Analytica!$D103,3))/1000</f>
        <v>1011.9825087271777</v>
      </c>
      <c r="AP103" s="943">
        <f>SUMIFS('Vehicle data-proc2023'!AI$20:AI$117,'Vehicle data-proc2023'!$N$20:$N$117,Analytica!$C103,'Vehicle data-proc2023'!$Q$20:$Q$117,RIGHT(Analytica!$D103,3))/1000</f>
        <v>962.7514695792554</v>
      </c>
      <c r="AQ103" s="943">
        <f>SUMIFS('Vehicle data-proc2023'!AJ$20:AJ$117,'Vehicle data-proc2023'!$N$20:$N$117,Analytica!$C103,'Vehicle data-proc2023'!$Q$20:$Q$117,RIGHT(Analytica!$D103,3))/1000</f>
        <v>945.21587798179326</v>
      </c>
      <c r="AR103" s="942"/>
      <c r="AS103" s="212"/>
      <c r="AT103" s="944">
        <f t="shared" si="73"/>
        <v>2.7E-2</v>
      </c>
      <c r="AU103" s="942">
        <f t="shared" si="74"/>
        <v>112.89714030471274</v>
      </c>
      <c r="AV103" s="942">
        <f t="shared" si="75"/>
        <v>48.953908859170184</v>
      </c>
      <c r="AW103" s="942">
        <f t="shared" si="76"/>
        <v>28.652765792627687</v>
      </c>
      <c r="AX103" s="942">
        <f t="shared" si="77"/>
        <v>25.994289678639895</v>
      </c>
      <c r="AY103" s="945">
        <f t="shared" si="78"/>
        <v>25.520828705508418</v>
      </c>
      <c r="BA103" s="74">
        <f t="shared" si="49"/>
        <v>0</v>
      </c>
      <c r="BB103" s="61" t="s">
        <v>531</v>
      </c>
    </row>
    <row r="104" spans="1:55" x14ac:dyDescent="0.25">
      <c r="A104" s="61" t="str">
        <f t="shared" si="65"/>
        <v>CV6HGN</v>
      </c>
      <c r="B104" s="61" t="str">
        <f t="shared" si="51"/>
        <v>TFHCV6HGN-N</v>
      </c>
      <c r="C104" s="61" t="s">
        <v>504</v>
      </c>
      <c r="D104" s="61" t="str">
        <f t="shared" si="100"/>
        <v>TFHCV6</v>
      </c>
      <c r="E104" t="s">
        <v>1000</v>
      </c>
      <c r="F104" s="938">
        <f t="shared" si="101"/>
        <v>0.11</v>
      </c>
      <c r="G104" s="212">
        <f t="shared" si="102"/>
        <v>56756.7653972318</v>
      </c>
      <c r="H104" s="212">
        <f t="shared" si="102"/>
        <v>56756.7653972318</v>
      </c>
      <c r="I104" s="212">
        <f t="shared" si="102"/>
        <v>32745.805033742654</v>
      </c>
      <c r="J104" s="212">
        <f t="shared" si="102"/>
        <v>10900.131608147945</v>
      </c>
      <c r="K104" s="212">
        <f t="shared" si="102"/>
        <v>402.03137879886822</v>
      </c>
      <c r="L104" s="212">
        <f t="shared" si="102"/>
        <v>1.6430103562415428</v>
      </c>
      <c r="M104" s="212">
        <f t="shared" si="102"/>
        <v>1</v>
      </c>
      <c r="N104" s="212">
        <f t="shared" si="67"/>
        <v>0.57694981038048665</v>
      </c>
      <c r="O104" s="212">
        <f t="shared" si="68"/>
        <v>0.19204990862075411</v>
      </c>
      <c r="P104" s="212">
        <f t="shared" si="69"/>
        <v>7.0834089290521219E-3</v>
      </c>
      <c r="Q104" s="212">
        <f t="shared" si="70"/>
        <v>2.8948273298211554E-5</v>
      </c>
      <c r="R104" s="212">
        <f t="shared" si="71"/>
        <v>1.761904493677811E-5</v>
      </c>
      <c r="S104" s="968"/>
      <c r="T104" s="212"/>
      <c r="U104" s="212"/>
      <c r="V104" s="212"/>
      <c r="W104" s="212"/>
      <c r="X104" s="970"/>
      <c r="Y104" s="212"/>
      <c r="Z104" s="941">
        <f t="shared" si="72"/>
        <v>0.13701597728465742</v>
      </c>
      <c r="AA104" s="941">
        <f>1/SUMIFS('Vehicle data-proc2023'!AL$20:AL$117,'Vehicle data-proc2023'!$N$20:$N$117,Analytica!$C104,'Vehicle data-proc2023'!$Q$20:$Q$117,RIGHT(Analytica!$D104,3))</f>
        <v>0.13742784868459301</v>
      </c>
      <c r="AB104" s="941">
        <f>1/SUMIFS('Vehicle data-proc2023'!AM$20:AM$117,'Vehicle data-proc2023'!$N$20:$N$117,Analytica!$C104,'Vehicle data-proc2023'!$Q$20:$Q$117,RIGHT(Analytica!$D104,3))</f>
        <v>0.13784095817408171</v>
      </c>
      <c r="AC104" s="941">
        <f>1/SUMIFS('Vehicle data-proc2023'!AN$20:AN$117,'Vehicle data-proc2023'!$N$20:$N$117,Analytica!$C104,'Vehicle data-proc2023'!$Q$20:$Q$117,RIGHT(Analytica!$D104,3))</f>
        <v>0.1456566806848415</v>
      </c>
      <c r="AD104" s="941">
        <f>1/SUMIFS('Vehicle data-proc2023'!AO$20:AO$117,'Vehicle data-proc2023'!$N$20:$N$117,Analytica!$C104,'Vehicle data-proc2023'!$Q$20:$Q$117,RIGHT(Analytica!$D104,3))</f>
        <v>0.16105657631861348</v>
      </c>
      <c r="AE104" s="941">
        <f>1/SUMIFS('Vehicle data-proc2023'!AP$20:AP$117,'Vehicle data-proc2023'!$N$20:$N$117,Analytica!$C104,'Vehicle data-proc2023'!$Q$20:$Q$117,RIGHT(Analytica!$D104,3))</f>
        <v>0.17808466218997712</v>
      </c>
      <c r="AF104" s="941"/>
      <c r="AG104" s="212"/>
      <c r="AH104" s="212"/>
      <c r="AI104" s="212"/>
      <c r="AJ104" s="212"/>
      <c r="AK104" s="943">
        <f>SUMIFS('Vehicle data-proc2023'!AD$20:AD$117,'Vehicle data-proc2023'!$N$20:$N$117,Analytica!$C104,'Vehicle data-proc2023'!$Q$20:$Q$117,RIGHT(Analytica!$D104,3))/1000</f>
        <v>4181.3755668412123</v>
      </c>
      <c r="AL104" s="943">
        <f>SUMIFS('Vehicle data-proc2023'!AE$20:AE$117,'Vehicle data-proc2023'!$N$20:$N$117,Analytica!$C104,'Vehicle data-proc2023'!$Q$20:$Q$117,RIGHT(Analytica!$D104,3))/1000</f>
        <v>1813.1077355248217</v>
      </c>
      <c r="AM104" s="943">
        <f>SUMIFS('Vehicle data-proc2023'!AF$20:AF$117,'Vehicle data-proc2023'!$N$20:$N$117,Analytica!$C104,'Vehicle data-proc2023'!$Q$20:$Q$117,RIGHT(Analytica!$D104,3))/1000</f>
        <v>1437.1606416999607</v>
      </c>
      <c r="AN104" s="943">
        <f>SUMIFS('Vehicle data-proc2023'!AG$20:AG$117,'Vehicle data-proc2023'!$N$20:$N$117,Analytica!$C104,'Vehicle data-proc2023'!$Q$20:$Q$117,RIGHT(Analytica!$D104,3))/1000</f>
        <v>1061.2135478750995</v>
      </c>
      <c r="AO104" s="943">
        <f>SUMIFS('Vehicle data-proc2023'!AH$20:AH$117,'Vehicle data-proc2023'!$N$20:$N$117,Analytica!$C104,'Vehicle data-proc2023'!$Q$20:$Q$117,RIGHT(Analytica!$D104,3))/1000</f>
        <v>1011.9825087271777</v>
      </c>
      <c r="AP104" s="943">
        <f>SUMIFS('Vehicle data-proc2023'!AI$20:AI$117,'Vehicle data-proc2023'!$N$20:$N$117,Analytica!$C104,'Vehicle data-proc2023'!$Q$20:$Q$117,RIGHT(Analytica!$D104,3))/1000</f>
        <v>962.7514695792554</v>
      </c>
      <c r="AQ104" s="943">
        <f>SUMIFS('Vehicle data-proc2023'!AJ$20:AJ$117,'Vehicle data-proc2023'!$N$20:$N$117,Analytica!$C104,'Vehicle data-proc2023'!$Q$20:$Q$117,RIGHT(Analytica!$D104,3))/1000</f>
        <v>945.21587798179326</v>
      </c>
      <c r="AR104" s="942"/>
      <c r="AS104" s="212"/>
      <c r="AT104" s="944">
        <f t="shared" si="73"/>
        <v>2.7E-2</v>
      </c>
      <c r="AU104" s="942">
        <f t="shared" si="74"/>
        <v>112.89714030471274</v>
      </c>
      <c r="AV104" s="942">
        <f t="shared" si="75"/>
        <v>48.953908859170184</v>
      </c>
      <c r="AW104" s="942">
        <f t="shared" si="76"/>
        <v>28.652765792627687</v>
      </c>
      <c r="AX104" s="942">
        <f t="shared" si="77"/>
        <v>25.994289678639895</v>
      </c>
      <c r="AY104" s="945">
        <f t="shared" si="78"/>
        <v>25.520828705508418</v>
      </c>
      <c r="BA104" s="74">
        <f t="shared" si="49"/>
        <v>0</v>
      </c>
      <c r="BB104" s="61" t="s">
        <v>531</v>
      </c>
    </row>
    <row r="105" spans="1:55" x14ac:dyDescent="0.25">
      <c r="A105" s="61" t="str">
        <f t="shared" si="65"/>
        <v>CV7HGN</v>
      </c>
      <c r="B105" s="61" t="str">
        <f t="shared" si="51"/>
        <v>TFHCV7HGN-N</v>
      </c>
      <c r="C105" s="61" t="s">
        <v>504</v>
      </c>
      <c r="D105" s="61" t="str">
        <f t="shared" si="100"/>
        <v>TFHCV7</v>
      </c>
      <c r="E105" t="s">
        <v>1001</v>
      </c>
      <c r="F105" s="938">
        <f t="shared" si="101"/>
        <v>0.16</v>
      </c>
      <c r="G105" s="212">
        <f t="shared" si="102"/>
        <v>64512.330335483297</v>
      </c>
      <c r="H105" s="212">
        <f t="shared" si="102"/>
        <v>64512.330335483297</v>
      </c>
      <c r="I105" s="212">
        <f t="shared" si="102"/>
        <v>28987.258562430718</v>
      </c>
      <c r="J105" s="212">
        <f t="shared" si="102"/>
        <v>5852.4265699655216</v>
      </c>
      <c r="K105" s="212">
        <f t="shared" si="102"/>
        <v>48.163990293780166</v>
      </c>
      <c r="L105" s="212">
        <f t="shared" si="102"/>
        <v>1.6157218754222567E-2</v>
      </c>
      <c r="M105" s="212">
        <f t="shared" si="102"/>
        <v>1</v>
      </c>
      <c r="N105" s="212">
        <f t="shared" si="67"/>
        <v>0.44932896411722156</v>
      </c>
      <c r="O105" s="212">
        <f t="shared" si="68"/>
        <v>9.0717953289412484E-2</v>
      </c>
      <c r="P105" s="212">
        <f t="shared" si="69"/>
        <v>7.4658580837667931E-4</v>
      </c>
      <c r="Q105" s="212">
        <f t="shared" si="70"/>
        <v>2.5045163723276199E-7</v>
      </c>
      <c r="R105" s="212">
        <f t="shared" si="71"/>
        <v>1.5500912690639181E-5</v>
      </c>
      <c r="S105" s="968"/>
      <c r="T105" s="212"/>
      <c r="U105" s="212"/>
      <c r="V105" s="212"/>
      <c r="W105" s="212"/>
      <c r="X105" s="970"/>
      <c r="Y105" s="212"/>
      <c r="Z105" s="941">
        <f t="shared" si="72"/>
        <v>0.147603705383693</v>
      </c>
      <c r="AA105" s="941">
        <f>1/SUMIFS('Vehicle data-proc2023'!AL$20:AL$117,'Vehicle data-proc2023'!$N$20:$N$117,Analytica!$C105,'Vehicle data-proc2023'!$Q$20:$Q$117,RIGHT(Analytica!$D105,3))</f>
        <v>0.14804740360033058</v>
      </c>
      <c r="AB105" s="941">
        <f>1/SUMIFS('Vehicle data-proc2023'!AM$20:AM$117,'Vehicle data-proc2023'!$N$20:$N$117,Analytica!$C105,'Vehicle data-proc2023'!$Q$20:$Q$117,RIGHT(Analytica!$D105,3))</f>
        <v>0.14849243557825104</v>
      </c>
      <c r="AC105" s="941">
        <f>1/SUMIFS('Vehicle data-proc2023'!AN$20:AN$117,'Vehicle data-proc2023'!$N$20:$N$117,Analytica!$C105,'Vehicle data-proc2023'!$Q$20:$Q$117,RIGHT(Analytica!$D105,3))</f>
        <v>0.15691210769022793</v>
      </c>
      <c r="AD105" s="941">
        <f>1/SUMIFS('Vehicle data-proc2023'!AO$20:AO$117,'Vehicle data-proc2023'!$N$20:$N$117,Analytica!$C105,'Vehicle data-proc2023'!$Q$20:$Q$117,RIGHT(Analytica!$D105,3))</f>
        <v>0.17350200985429787</v>
      </c>
      <c r="AE105" s="941">
        <f>1/SUMIFS('Vehicle data-proc2023'!AP$20:AP$117,'Vehicle data-proc2023'!$N$20:$N$117,Analytica!$C105,'Vehicle data-proc2023'!$Q$20:$Q$117,RIGHT(Analytica!$D105,3))</f>
        <v>0.19184591849922369</v>
      </c>
      <c r="AF105" s="941"/>
      <c r="AG105" s="212"/>
      <c r="AH105" s="212"/>
      <c r="AI105" s="212"/>
      <c r="AJ105" s="212"/>
      <c r="AK105" s="943">
        <f>SUMIFS('Vehicle data-proc2023'!AD$20:AD$117,'Vehicle data-proc2023'!$N$20:$N$117,Analytica!$C105,'Vehicle data-proc2023'!$Q$20:$Q$117,RIGHT(Analytica!$D105,3))/1000</f>
        <v>5872.9680361672163</v>
      </c>
      <c r="AL105" s="943">
        <f>SUMIFS('Vehicle data-proc2023'!AE$20:AE$117,'Vehicle data-proc2023'!$N$20:$N$117,Analytica!$C105,'Vehicle data-proc2023'!$Q$20:$Q$117,RIGHT(Analytica!$D105,3))/1000</f>
        <v>2464.4871540335203</v>
      </c>
      <c r="AM105" s="943">
        <f>SUMIFS('Vehicle data-proc2023'!AF$20:AF$117,'Vehicle data-proc2023'!$N$20:$N$117,Analytica!$C105,'Vehicle data-proc2023'!$Q$20:$Q$117,RIGHT(Analytica!$D105,3))/1000</f>
        <v>1930.2094138028374</v>
      </c>
      <c r="AN105" s="943">
        <f>SUMIFS('Vehicle data-proc2023'!AG$20:AG$117,'Vehicle data-proc2023'!$N$20:$N$117,Analytica!$C105,'Vehicle data-proc2023'!$Q$20:$Q$117,RIGHT(Analytica!$D105,3))/1000</f>
        <v>1395.9316735721545</v>
      </c>
      <c r="AO105" s="943">
        <f>SUMIFS('Vehicle data-proc2023'!AH$20:AH$117,'Vehicle data-proc2023'!$N$20:$N$117,Analytica!$C105,'Vehicle data-proc2023'!$Q$20:$Q$117,RIGHT(Analytica!$D105,3))/1000</f>
        <v>1325.6591701213001</v>
      </c>
      <c r="AP105" s="943">
        <f>SUMIFS('Vehicle data-proc2023'!AI$20:AI$117,'Vehicle data-proc2023'!$N$20:$N$117,Analytica!$C105,'Vehicle data-proc2023'!$Q$20:$Q$117,RIGHT(Analytica!$D105,3))/1000</f>
        <v>1255.3866666704457</v>
      </c>
      <c r="AQ105" s="943">
        <f>SUMIFS('Vehicle data-proc2023'!AJ$20:AJ$117,'Vehicle data-proc2023'!$N$20:$N$117,Analytica!$C105,'Vehicle data-proc2023'!$Q$20:$Q$117,RIGHT(Analytica!$D105,3))/1000</f>
        <v>1215.8917526997081</v>
      </c>
      <c r="AR105" s="942"/>
      <c r="AS105" s="212"/>
      <c r="AT105" s="944">
        <f t="shared" si="73"/>
        <v>2.7E-2</v>
      </c>
      <c r="AU105" s="942">
        <f t="shared" si="74"/>
        <v>158.57013697651485</v>
      </c>
      <c r="AV105" s="942">
        <f t="shared" si="75"/>
        <v>66.541153158905047</v>
      </c>
      <c r="AW105" s="942">
        <f t="shared" si="76"/>
        <v>37.690155186448173</v>
      </c>
      <c r="AX105" s="942">
        <f t="shared" si="77"/>
        <v>33.895440000102035</v>
      </c>
      <c r="AY105" s="945">
        <f t="shared" si="78"/>
        <v>32.829077322892118</v>
      </c>
      <c r="BA105" s="74">
        <f t="shared" si="49"/>
        <v>0</v>
      </c>
      <c r="BB105" s="61" t="s">
        <v>531</v>
      </c>
    </row>
    <row r="106" spans="1:55" x14ac:dyDescent="0.25">
      <c r="A106" s="61" t="str">
        <f t="shared" si="65"/>
        <v>CV8HGN</v>
      </c>
      <c r="B106" s="61" t="str">
        <f t="shared" si="51"/>
        <v>TFHCV8HGN-N</v>
      </c>
      <c r="C106" s="61" t="s">
        <v>504</v>
      </c>
      <c r="D106" s="61" t="str">
        <f t="shared" si="100"/>
        <v>TFHCV8</v>
      </c>
      <c r="E106" t="s">
        <v>1002</v>
      </c>
      <c r="F106" s="938">
        <f t="shared" si="101"/>
        <v>0.16</v>
      </c>
      <c r="G106" s="212">
        <f t="shared" si="102"/>
        <v>92421.691229504097</v>
      </c>
      <c r="H106" s="212">
        <f t="shared" si="102"/>
        <v>92421.691229504097</v>
      </c>
      <c r="I106" s="212">
        <f t="shared" si="102"/>
        <v>41527.742782114779</v>
      </c>
      <c r="J106" s="212">
        <f t="shared" si="102"/>
        <v>8384.3066678866562</v>
      </c>
      <c r="K106" s="212">
        <f t="shared" si="102"/>
        <v>69.000723058119178</v>
      </c>
      <c r="L106" s="212">
        <f t="shared" si="102"/>
        <v>2.3147163884250102E-2</v>
      </c>
      <c r="M106" s="212">
        <f t="shared" si="102"/>
        <v>1</v>
      </c>
      <c r="N106" s="212">
        <f t="shared" si="67"/>
        <v>0.44932896411722156</v>
      </c>
      <c r="O106" s="212">
        <f t="shared" si="68"/>
        <v>9.0717953289412484E-2</v>
      </c>
      <c r="P106" s="212">
        <f t="shared" si="69"/>
        <v>7.4658580837667942E-4</v>
      </c>
      <c r="Q106" s="212">
        <f t="shared" si="70"/>
        <v>2.5045163723276199E-7</v>
      </c>
      <c r="R106" s="212">
        <f t="shared" si="71"/>
        <v>1.0819970795781829E-5</v>
      </c>
      <c r="S106" s="968"/>
      <c r="T106" s="212"/>
      <c r="U106" s="212"/>
      <c r="V106" s="212"/>
      <c r="W106" s="212"/>
      <c r="X106" s="970"/>
      <c r="Y106" s="212"/>
      <c r="Z106" s="941">
        <f t="shared" si="72"/>
        <v>0.14524383426641169</v>
      </c>
      <c r="AA106" s="941">
        <f>1/SUMIFS('Vehicle data-proc2023'!AL$20:AL$117,'Vehicle data-proc2023'!$N$20:$N$117,Analytica!$C106,'Vehicle data-proc2023'!$Q$20:$Q$117,RIGHT(Analytica!$D106,3))</f>
        <v>0.14568043868683658</v>
      </c>
      <c r="AB106" s="941">
        <f>1/SUMIFS('Vehicle data-proc2023'!AM$20:AM$117,'Vehicle data-proc2023'!$N$20:$N$117,Analytica!$C106,'Vehicle data-proc2023'!$Q$20:$Q$117,RIGHT(Analytica!$D106,3))</f>
        <v>0.14611835554452188</v>
      </c>
      <c r="AC106" s="941">
        <f>1/SUMIFS('Vehicle data-proc2023'!AN$20:AN$117,'Vehicle data-proc2023'!$N$20:$N$117,Analytica!$C106,'Vehicle data-proc2023'!$Q$20:$Q$117,RIGHT(Analytica!$D106,3))</f>
        <v>0.15440341490418077</v>
      </c>
      <c r="AD106" s="941">
        <f>1/SUMIFS('Vehicle data-proc2023'!AO$20:AO$117,'Vehicle data-proc2023'!$N$20:$N$117,Analytica!$C106,'Vehicle data-proc2023'!$Q$20:$Q$117,RIGHT(Analytica!$D106,3))</f>
        <v>0.17072807961466688</v>
      </c>
      <c r="AE106" s="941">
        <f>1/SUMIFS('Vehicle data-proc2023'!AP$20:AP$117,'Vehicle data-proc2023'!$N$20:$N$117,Analytica!$C106,'Vehicle data-proc2023'!$Q$20:$Q$117,RIGHT(Analytica!$D106,3))</f>
        <v>0.18877870795150914</v>
      </c>
      <c r="AF106" s="941"/>
      <c r="AG106" s="212"/>
      <c r="AH106" s="212"/>
      <c r="AI106" s="212"/>
      <c r="AJ106" s="212"/>
      <c r="AK106" s="943">
        <f>SUMIFS('Vehicle data-proc2023'!AD$20:AD$117,'Vehicle data-proc2023'!$N$20:$N$117,Analytica!$C106,'Vehicle data-proc2023'!$Q$20:$Q$117,RIGHT(Analytica!$D106,3))/1000</f>
        <v>5872.9680361672163</v>
      </c>
      <c r="AL106" s="943">
        <f>SUMIFS('Vehicle data-proc2023'!AE$20:AE$117,'Vehicle data-proc2023'!$N$20:$N$117,Analytica!$C106,'Vehicle data-proc2023'!$Q$20:$Q$117,RIGHT(Analytica!$D106,3))/1000</f>
        <v>2464.4871540335203</v>
      </c>
      <c r="AM106" s="943">
        <f>SUMIFS('Vehicle data-proc2023'!AF$20:AF$117,'Vehicle data-proc2023'!$N$20:$N$117,Analytica!$C106,'Vehicle data-proc2023'!$Q$20:$Q$117,RIGHT(Analytica!$D106,3))/1000</f>
        <v>1930.2094138028374</v>
      </c>
      <c r="AN106" s="943">
        <f>SUMIFS('Vehicle data-proc2023'!AG$20:AG$117,'Vehicle data-proc2023'!$N$20:$N$117,Analytica!$C106,'Vehicle data-proc2023'!$Q$20:$Q$117,RIGHT(Analytica!$D106,3))/1000</f>
        <v>1395.9316735721545</v>
      </c>
      <c r="AO106" s="943">
        <f>SUMIFS('Vehicle data-proc2023'!AH$20:AH$117,'Vehicle data-proc2023'!$N$20:$N$117,Analytica!$C106,'Vehicle data-proc2023'!$Q$20:$Q$117,RIGHT(Analytica!$D106,3))/1000</f>
        <v>1325.6591701213001</v>
      </c>
      <c r="AP106" s="943">
        <f>SUMIFS('Vehicle data-proc2023'!AI$20:AI$117,'Vehicle data-proc2023'!$N$20:$N$117,Analytica!$C106,'Vehicle data-proc2023'!$Q$20:$Q$117,RIGHT(Analytica!$D106,3))/1000</f>
        <v>1255.3866666704457</v>
      </c>
      <c r="AQ106" s="943">
        <f>SUMIFS('Vehicle data-proc2023'!AJ$20:AJ$117,'Vehicle data-proc2023'!$N$20:$N$117,Analytica!$C106,'Vehicle data-proc2023'!$Q$20:$Q$117,RIGHT(Analytica!$D106,3))/1000</f>
        <v>1215.8917526997081</v>
      </c>
      <c r="AR106" s="942"/>
      <c r="AS106" s="212"/>
      <c r="AT106" s="944">
        <f t="shared" si="73"/>
        <v>2.7E-2</v>
      </c>
      <c r="AU106" s="942">
        <f t="shared" si="74"/>
        <v>158.57013697651485</v>
      </c>
      <c r="AV106" s="942">
        <f t="shared" si="75"/>
        <v>66.541153158905047</v>
      </c>
      <c r="AW106" s="942">
        <f t="shared" si="76"/>
        <v>37.690155186448173</v>
      </c>
      <c r="AX106" s="942">
        <f t="shared" si="77"/>
        <v>33.895440000102035</v>
      </c>
      <c r="AY106" s="945">
        <f t="shared" si="78"/>
        <v>32.829077322892118</v>
      </c>
      <c r="BA106" s="74">
        <f t="shared" si="49"/>
        <v>0</v>
      </c>
      <c r="BB106" s="61" t="s">
        <v>531</v>
      </c>
    </row>
    <row r="107" spans="1:55" ht="15.6" customHeight="1" x14ac:dyDescent="0.25">
      <c r="A107" s="61" t="str">
        <f t="shared" si="65"/>
        <v>CV9HGN</v>
      </c>
      <c r="B107" s="61" t="str">
        <f t="shared" si="51"/>
        <v>TFHCV9HGN-N</v>
      </c>
      <c r="C107" s="61" t="s">
        <v>504</v>
      </c>
      <c r="D107" s="61" t="str">
        <f t="shared" si="100"/>
        <v>TFHCV9</v>
      </c>
      <c r="E107" t="s">
        <v>1003</v>
      </c>
      <c r="F107" s="938">
        <f t="shared" si="101"/>
        <v>0.18</v>
      </c>
      <c r="G107" s="212">
        <f t="shared" si="102"/>
        <v>116959.183879244</v>
      </c>
      <c r="H107" s="212">
        <f t="shared" si="102"/>
        <v>116959.183879244</v>
      </c>
      <c r="I107" s="212">
        <f t="shared" si="102"/>
        <v>47552.055593322402</v>
      </c>
      <c r="J107" s="212">
        <f t="shared" si="102"/>
        <v>7860.3019222272696</v>
      </c>
      <c r="K107" s="212">
        <f t="shared" si="102"/>
        <v>35.501689865113427</v>
      </c>
      <c r="L107" s="212">
        <f t="shared" si="102"/>
        <v>4.3812565909997049E-3</v>
      </c>
      <c r="M107" s="212">
        <f t="shared" si="102"/>
        <v>1</v>
      </c>
      <c r="N107" s="212">
        <f t="shared" si="67"/>
        <v>0.40656965974059917</v>
      </c>
      <c r="O107" s="212">
        <f t="shared" si="68"/>
        <v>6.7205512739749784E-2</v>
      </c>
      <c r="P107" s="212">
        <f t="shared" si="69"/>
        <v>3.0353913807886688E-4</v>
      </c>
      <c r="Q107" s="212">
        <f t="shared" si="70"/>
        <v>3.7459705562952537E-8</v>
      </c>
      <c r="R107" s="212">
        <f t="shared" si="71"/>
        <v>8.5499912604764987E-6</v>
      </c>
      <c r="S107" s="971" t="s">
        <v>532</v>
      </c>
      <c r="T107" s="972"/>
      <c r="U107" s="972"/>
      <c r="V107" s="972"/>
      <c r="W107" s="972"/>
      <c r="X107" s="973" t="s">
        <v>532</v>
      </c>
      <c r="Y107" s="212"/>
      <c r="Z107" s="941">
        <f t="shared" si="72"/>
        <v>0.1141305625102096</v>
      </c>
      <c r="AA107" s="941">
        <f>1/SUMIFS('Vehicle data-proc2023'!AL$20:AL$117,'Vehicle data-proc2023'!$N$20:$N$117,Analytica!$C107,'Vehicle data-proc2023'!$Q$20:$Q$117,RIGHT(Analytica!$D107,3))</f>
        <v>0.11447364012413526</v>
      </c>
      <c r="AB107" s="941">
        <f>1/SUMIFS('Vehicle data-proc2023'!AM$20:AM$117,'Vehicle data-proc2023'!$N$20:$N$117,Analytica!$C107,'Vehicle data-proc2023'!$Q$20:$Q$117,RIGHT(Analytica!$D107,3))</f>
        <v>0.11481774903280431</v>
      </c>
      <c r="AC107" s="941">
        <f>1/SUMIFS('Vehicle data-proc2023'!AN$20:AN$117,'Vehicle data-proc2023'!$N$20:$N$117,Analytica!$C107,'Vehicle data-proc2023'!$Q$20:$Q$117,RIGHT(Analytica!$D107,3))</f>
        <v>0.12132803217097823</v>
      </c>
      <c r="AD107" s="941">
        <f>1/SUMIFS('Vehicle data-proc2023'!AO$20:AO$117,'Vehicle data-proc2023'!$N$20:$N$117,Analytica!$C107,'Vehicle data-proc2023'!$Q$20:$Q$117,RIGHT(Analytica!$D107,3))</f>
        <v>0.13415572413882385</v>
      </c>
      <c r="AE107" s="941">
        <f>1/SUMIFS('Vehicle data-proc2023'!AP$20:AP$117,'Vehicle data-proc2023'!$N$20:$N$117,Analytica!$C107,'Vehicle data-proc2023'!$Q$20:$Q$117,RIGHT(Analytica!$D107,3))</f>
        <v>0.14833965405331348</v>
      </c>
      <c r="AF107" s="941"/>
      <c r="AG107" s="212"/>
      <c r="AH107" s="212"/>
      <c r="AI107" s="212"/>
      <c r="AJ107" s="212"/>
      <c r="AK107" s="943">
        <f>SUMIFS('Vehicle data-proc2023'!AD$20:AD$117,'Vehicle data-proc2023'!$N$20:$N$117,Analytica!$C107,'Vehicle data-proc2023'!$Q$20:$Q$117,RIGHT(Analytica!$D107,3))/1000</f>
        <v>5872.9680361672163</v>
      </c>
      <c r="AL107" s="943">
        <f>SUMIFS('Vehicle data-proc2023'!AE$20:AE$117,'Vehicle data-proc2023'!$N$20:$N$117,Analytica!$C107,'Vehicle data-proc2023'!$Q$20:$Q$117,RIGHT(Analytica!$D107,3))/1000</f>
        <v>2464.4871540335203</v>
      </c>
      <c r="AM107" s="943">
        <f>SUMIFS('Vehicle data-proc2023'!AF$20:AF$117,'Vehicle data-proc2023'!$N$20:$N$117,Analytica!$C107,'Vehicle data-proc2023'!$Q$20:$Q$117,RIGHT(Analytica!$D107,3))/1000</f>
        <v>1930.2094138028374</v>
      </c>
      <c r="AN107" s="943">
        <f>SUMIFS('Vehicle data-proc2023'!AG$20:AG$117,'Vehicle data-proc2023'!$N$20:$N$117,Analytica!$C107,'Vehicle data-proc2023'!$Q$20:$Q$117,RIGHT(Analytica!$D107,3))/1000</f>
        <v>1395.9316735721545</v>
      </c>
      <c r="AO107" s="943">
        <f>SUMIFS('Vehicle data-proc2023'!AH$20:AH$117,'Vehicle data-proc2023'!$N$20:$N$117,Analytica!$C107,'Vehicle data-proc2023'!$Q$20:$Q$117,RIGHT(Analytica!$D107,3))/1000</f>
        <v>1325.6591701213001</v>
      </c>
      <c r="AP107" s="943">
        <f>SUMIFS('Vehicle data-proc2023'!AI$20:AI$117,'Vehicle data-proc2023'!$N$20:$N$117,Analytica!$C107,'Vehicle data-proc2023'!$Q$20:$Q$117,RIGHT(Analytica!$D107,3))/1000</f>
        <v>1255.3866666704457</v>
      </c>
      <c r="AQ107" s="943">
        <f>SUMIFS('Vehicle data-proc2023'!AJ$20:AJ$117,'Vehicle data-proc2023'!$N$20:$N$117,Analytica!$C107,'Vehicle data-proc2023'!$Q$20:$Q$117,RIGHT(Analytica!$D107,3))/1000</f>
        <v>1215.8917526997081</v>
      </c>
      <c r="AR107" s="942"/>
      <c r="AS107" s="212"/>
      <c r="AT107" s="944">
        <f t="shared" si="73"/>
        <v>2.7E-2</v>
      </c>
      <c r="AU107" s="942">
        <f t="shared" si="74"/>
        <v>158.57013697651485</v>
      </c>
      <c r="AV107" s="942">
        <f t="shared" si="75"/>
        <v>66.541153158905047</v>
      </c>
      <c r="AW107" s="942">
        <f t="shared" si="76"/>
        <v>37.690155186448173</v>
      </c>
      <c r="AX107" s="942">
        <f t="shared" si="77"/>
        <v>33.895440000102035</v>
      </c>
      <c r="AY107" s="945">
        <f t="shared" si="78"/>
        <v>32.829077322892118</v>
      </c>
      <c r="BA107" s="74">
        <f t="shared" si="49"/>
        <v>0</v>
      </c>
      <c r="BB107" s="61" t="s">
        <v>531</v>
      </c>
    </row>
    <row r="108" spans="1:55" x14ac:dyDescent="0.25">
      <c r="A108" s="61" t="str">
        <f t="shared" si="65"/>
        <v>LCVODS</v>
      </c>
      <c r="B108" s="61" t="str">
        <f t="shared" si="51"/>
        <v>TFLCVODS-N</v>
      </c>
      <c r="C108" s="61" t="s">
        <v>511</v>
      </c>
      <c r="D108" s="61" t="s">
        <v>527</v>
      </c>
      <c r="E108" s="61" t="s">
        <v>247</v>
      </c>
      <c r="F108" s="938">
        <f>INDEX($F$17:$F$49,MATCH($E108,$E$17:$E$49,0))</f>
        <v>0.04</v>
      </c>
      <c r="G108" s="939">
        <f>G33</f>
        <v>24753.4936084117</v>
      </c>
      <c r="H108" s="939">
        <f t="shared" ref="H108:L117" si="103">(EXP(-((H$58)*$F108))*G108)</f>
        <v>24753.4936084117</v>
      </c>
      <c r="I108" s="939">
        <f t="shared" si="103"/>
        <v>20266.446463325919</v>
      </c>
      <c r="J108" s="939">
        <f t="shared" si="103"/>
        <v>13585.00532627545</v>
      </c>
      <c r="K108" s="939">
        <f t="shared" si="103"/>
        <v>4091.7249730706026</v>
      </c>
      <c r="L108" s="939">
        <f t="shared" si="103"/>
        <v>553.75475815683149</v>
      </c>
      <c r="M108" s="939">
        <f t="shared" ref="M108:M130" si="104">H108/$G108</f>
        <v>1</v>
      </c>
      <c r="N108" s="939">
        <f t="shared" si="67"/>
        <v>0.81873075307798182</v>
      </c>
      <c r="O108" s="939">
        <f t="shared" si="68"/>
        <v>0.54881163609402639</v>
      </c>
      <c r="P108" s="939">
        <f t="shared" si="69"/>
        <v>0.16529888822158656</v>
      </c>
      <c r="Q108" s="939">
        <f t="shared" si="70"/>
        <v>2.2370771856165598E-2</v>
      </c>
      <c r="R108" s="939">
        <f t="shared" si="71"/>
        <v>4.0398337940474847E-5</v>
      </c>
      <c r="S108" s="959">
        <f>S122/S124*S110</f>
        <v>11.966666666666667</v>
      </c>
      <c r="T108" s="942">
        <f>W33</f>
        <v>11.124053535325499</v>
      </c>
      <c r="U108" s="939">
        <f t="shared" ref="U108:X113" si="105">T108/((1+U$53)^(U$58-T$58))</f>
        <v>10.478584785756766</v>
      </c>
      <c r="V108" s="939">
        <f t="shared" si="105"/>
        <v>9.7241597219628435</v>
      </c>
      <c r="W108" s="939">
        <f t="shared" si="105"/>
        <v>9.0240508839300659</v>
      </c>
      <c r="X108" s="939">
        <f t="shared" si="105"/>
        <v>8.3743476746720358</v>
      </c>
      <c r="Y108" s="212"/>
      <c r="Z108" s="941">
        <f>SUMIF($AC$56:$AC$57,$C108,$AD$56:$AD$57)/S108</f>
        <v>0.21292916829156933</v>
      </c>
      <c r="AA108" s="941">
        <f>1/SUMIFS('Vehicle data-proc2023'!AL$20:AL$117,'Vehicle data-proc2023'!$N$20:$N$117,Analytica!$C108,'Vehicle data-proc2023'!$Q$20:$Q$117,RIGHT(Analytica!$D108,3))</f>
        <v>0.23594563867169499</v>
      </c>
      <c r="AB108" s="941">
        <f>1/SUMIFS('Vehicle data-proc2023'!AM$20:AM$117,'Vehicle data-proc2023'!$N$20:$N$117,Analytica!$C108,'Vehicle data-proc2023'!$Q$20:$Q$117,RIGHT(Analytica!$D108,3))</f>
        <v>0.23665489362454264</v>
      </c>
      <c r="AC108" s="941">
        <f>1/SUMIFS('Vehicle data-proc2023'!AN$20:AN$117,'Vehicle data-proc2023'!$N$20:$N$117,Analytica!$C108,'Vehicle data-proc2023'!$Q$20:$Q$117,RIGHT(Analytica!$D108,3))</f>
        <v>0.25007346676770725</v>
      </c>
      <c r="AD108" s="941">
        <f>1/SUMIFS('Vehicle data-proc2023'!AO$20:AO$117,'Vehicle data-proc2023'!$N$20:$N$117,Analytica!$C108,'Vehicle data-proc2023'!$Q$20:$Q$117,RIGHT(Analytica!$D108,3))</f>
        <v>0.27651307304523115</v>
      </c>
      <c r="AE108" s="941">
        <f>1/SUMIFS('Vehicle data-proc2023'!AP$20:AP$117,'Vehicle data-proc2023'!$N$20:$N$117,Analytica!$C108,'Vehicle data-proc2023'!$Q$20:$Q$117,RIGHT(Analytica!$D108,3))</f>
        <v>0.30574806897022955</v>
      </c>
      <c r="AF108" s="941"/>
      <c r="AG108" s="212"/>
      <c r="AH108" s="974">
        <f>AH122/AH124*AH110</f>
        <v>64.352048125819607</v>
      </c>
      <c r="AI108" s="974">
        <v>285.80088368995087</v>
      </c>
      <c r="AJ108" s="942"/>
      <c r="AK108" s="943">
        <f>SUMIFS('Vehicle data-proc2023'!AD$20:AD$117,'Vehicle data-proc2023'!$N$20:$N$117,Analytica!$C108,'Vehicle data-proc2023'!$Q$20:$Q$117,RIGHT(Analytica!$D108,3))/1000</f>
        <v>449.29991329948109</v>
      </c>
      <c r="AL108" s="943">
        <f>SUMIFS('Vehicle data-proc2023'!AE$20:AE$117,'Vehicle data-proc2023'!$N$20:$N$117,Analytica!$C108,'Vehicle data-proc2023'!$Q$20:$Q$117,RIGHT(Analytica!$D108,3))/1000</f>
        <v>496.02431464990411</v>
      </c>
      <c r="AM108" s="943">
        <f>SUMIFS('Vehicle data-proc2023'!AF$20:AF$117,'Vehicle data-proc2023'!$N$20:$N$117,Analytica!$C108,'Vehicle data-proc2023'!$Q$20:$Q$117,RIGHT(Analytica!$D108,3))/1000</f>
        <v>504.86263896951328</v>
      </c>
      <c r="AN108" s="943">
        <f>SUMIFS('Vehicle data-proc2023'!AG$20:AG$117,'Vehicle data-proc2023'!$N$20:$N$117,Analytica!$C108,'Vehicle data-proc2023'!$Q$20:$Q$117,RIGHT(Analytica!$D108,3))/1000</f>
        <v>363.56136717159279</v>
      </c>
      <c r="AO108" s="943">
        <f>SUMIFS('Vehicle data-proc2023'!AH$20:AH$117,'Vehicle data-proc2023'!$N$20:$N$117,Analytica!$C108,'Vehicle data-proc2023'!$Q$20:$Q$117,RIGHT(Analytica!$D108,3))/1000</f>
        <v>371.50085823323019</v>
      </c>
      <c r="AP108" s="943">
        <f>SUMIFS('Vehicle data-proc2023'!AI$20:AI$117,'Vehicle data-proc2023'!$N$20:$N$117,Analytica!$C108,'Vehicle data-proc2023'!$Q$20:$Q$117,RIGHT(Analytica!$D108,3))/1000</f>
        <v>379.44034929486759</v>
      </c>
      <c r="AQ108" s="943">
        <f>SUMIFS('Vehicle data-proc2023'!AJ$20:AJ$117,'Vehicle data-proc2023'!$N$20:$N$117,Analytica!$C108,'Vehicle data-proc2023'!$Q$20:$Q$117,RIGHT(Analytica!$D108,3))/1000</f>
        <v>387.39622422821134</v>
      </c>
      <c r="AR108" s="942"/>
      <c r="AS108" s="212"/>
      <c r="AT108" s="944">
        <f t="shared" si="73"/>
        <v>2.7E-2</v>
      </c>
      <c r="AU108" s="942">
        <f t="shared" si="74"/>
        <v>12.13109765908599</v>
      </c>
      <c r="AV108" s="942">
        <f t="shared" si="75"/>
        <v>13.392656495547412</v>
      </c>
      <c r="AW108" s="942">
        <f t="shared" si="76"/>
        <v>9.8161569136330051</v>
      </c>
      <c r="AX108" s="942">
        <f t="shared" si="77"/>
        <v>10.244889430961425</v>
      </c>
      <c r="AY108" s="945">
        <f t="shared" si="78"/>
        <v>10.459698054161706</v>
      </c>
      <c r="BA108" s="164">
        <f t="shared" si="49"/>
        <v>0.74392467269385154</v>
      </c>
      <c r="BC108" s="167"/>
    </row>
    <row r="109" spans="1:55" x14ac:dyDescent="0.25">
      <c r="A109" s="61" t="str">
        <f t="shared" si="65"/>
        <v>LCVODSH</v>
      </c>
      <c r="B109" s="61" t="str">
        <f t="shared" si="51"/>
        <v>TFLCVODSH-N</v>
      </c>
      <c r="C109" s="61" t="s">
        <v>521</v>
      </c>
      <c r="D109" s="61" t="s">
        <v>527</v>
      </c>
      <c r="E109" s="61" t="s">
        <v>530</v>
      </c>
      <c r="F109" s="938">
        <f>F108</f>
        <v>0.04</v>
      </c>
      <c r="G109" s="939">
        <f>$G$38/$G$39 * G108</f>
        <v>27649.267007664359</v>
      </c>
      <c r="H109" s="939">
        <f t="shared" si="103"/>
        <v>27649.267007664359</v>
      </c>
      <c r="I109" s="939">
        <f t="shared" si="103"/>
        <v>22637.305199239239</v>
      </c>
      <c r="J109" s="939">
        <f t="shared" si="103"/>
        <v>15174.239463276865</v>
      </c>
      <c r="K109" s="939">
        <f t="shared" si="103"/>
        <v>4570.393096508712</v>
      </c>
      <c r="L109" s="939">
        <f t="shared" si="103"/>
        <v>618.53544421866593</v>
      </c>
      <c r="M109" s="939">
        <f t="shared" si="104"/>
        <v>1</v>
      </c>
      <c r="N109" s="939">
        <f t="shared" si="67"/>
        <v>0.81873075307798193</v>
      </c>
      <c r="O109" s="939">
        <f t="shared" si="68"/>
        <v>0.5488116360940265</v>
      </c>
      <c r="P109" s="939">
        <f t="shared" si="69"/>
        <v>0.16529888822158656</v>
      </c>
      <c r="Q109" s="939">
        <f t="shared" si="70"/>
        <v>2.2370771856165601E-2</v>
      </c>
      <c r="R109" s="939">
        <f t="shared" si="71"/>
        <v>3.6167324064062912E-5</v>
      </c>
      <c r="S109" s="959">
        <f>S123/S125*S112</f>
        <v>15.751426694738184</v>
      </c>
      <c r="T109" s="942">
        <f>W34</f>
        <v>14.176565003733501</v>
      </c>
      <c r="U109" s="939">
        <f t="shared" si="105"/>
        <v>13.353975499189914</v>
      </c>
      <c r="V109" s="939">
        <f t="shared" si="105"/>
        <v>12.392531370630406</v>
      </c>
      <c r="W109" s="939">
        <f t="shared" si="105"/>
        <v>11.500308187728439</v>
      </c>
      <c r="X109" s="939">
        <f t="shared" si="105"/>
        <v>10.67232226066222</v>
      </c>
      <c r="Y109" s="212"/>
      <c r="Z109" s="941">
        <f>AA109/AA108 *Z108</f>
        <v>0.21837716429938203</v>
      </c>
      <c r="AA109" s="941">
        <f>1/SUMIFS('Vehicle data-proc2023'!AL$20:AL$117,'Vehicle data-proc2023'!$N$20:$N$117,Analytica!$C109,'Vehicle data-proc2023'!$Q$20:$Q$117,RIGHT(Analytica!$D109,3))</f>
        <v>0.24198253304299144</v>
      </c>
      <c r="AB109" s="941">
        <f>1/SUMIFS('Vehicle data-proc2023'!AM$20:AM$117,'Vehicle data-proc2023'!$N$20:$N$117,Analytica!$C109,'Vehicle data-proc2023'!$Q$20:$Q$117,RIGHT(Analytica!$D109,3))</f>
        <v>0.24270993496077886</v>
      </c>
      <c r="AC109" s="941">
        <f>1/SUMIFS('Vehicle data-proc2023'!AN$20:AN$117,'Vehicle data-proc2023'!$N$20:$N$117,Analytica!$C109,'Vehicle data-proc2023'!$Q$20:$Q$117,RIGHT(Analytica!$D109,3))</f>
        <v>0.25647183510559879</v>
      </c>
      <c r="AD109" s="941">
        <f>1/SUMIFS('Vehicle data-proc2023'!AO$20:AO$117,'Vehicle data-proc2023'!$N$20:$N$117,Analytica!$C109,'Vehicle data-proc2023'!$Q$20:$Q$117,RIGHT(Analytica!$D109,3))</f>
        <v>0.28358792394586324</v>
      </c>
      <c r="AE109" s="941">
        <f>1/SUMIFS('Vehicle data-proc2023'!AP$20:AP$117,'Vehicle data-proc2023'!$N$20:$N$117,Analytica!$C109,'Vehicle data-proc2023'!$Q$20:$Q$117,RIGHT(Analytica!$D109,3))</f>
        <v>0.31357092514588203</v>
      </c>
      <c r="AF109" s="941"/>
      <c r="AG109" s="212"/>
      <c r="AH109" s="974">
        <f>AH123/AH124*AH112</f>
        <v>156.3771639383817</v>
      </c>
      <c r="AI109" s="974">
        <v>286.80088368995098</v>
      </c>
      <c r="AJ109" s="942"/>
      <c r="AK109" s="943">
        <f>SUMIFS('Vehicle data-proc2023'!AD$20:AD$117,'Vehicle data-proc2023'!$N$20:$N$117,Analytica!$C109,'Vehicle data-proc2023'!$Q$20:$Q$117,RIGHT(Analytica!$D109,3))/1000</f>
        <v>684.96798910243899</v>
      </c>
      <c r="AL109" s="943">
        <f>SUMIFS('Vehicle data-proc2023'!AE$20:AE$117,'Vehicle data-proc2023'!$N$20:$N$117,Analytica!$C109,'Vehicle data-proc2023'!$Q$20:$Q$117,RIGHT(Analytica!$D109,3))/1000</f>
        <v>676.04693374770159</v>
      </c>
      <c r="AM109" s="943">
        <f>SUMIFS('Vehicle data-proc2023'!AF$20:AF$117,'Vehicle data-proc2023'!$N$20:$N$117,Analytica!$C109,'Vehicle data-proc2023'!$Q$20:$Q$117,RIGHT(Analytica!$D109,3))/1000</f>
        <v>671.50401988044803</v>
      </c>
      <c r="AN109" s="943">
        <f>SUMIFS('Vehicle data-proc2023'!AG$20:AG$117,'Vehicle data-proc2023'!$N$20:$N$117,Analytica!$C109,'Vehicle data-proc2023'!$Q$20:$Q$117,RIGHT(Analytica!$D109,3))/1000</f>
        <v>363.56136717159279</v>
      </c>
      <c r="AO109" s="943">
        <f>SUMIFS('Vehicle data-proc2023'!AH$20:AH$117,'Vehicle data-proc2023'!$N$20:$N$117,Analytica!$C109,'Vehicle data-proc2023'!$Q$20:$Q$117,RIGHT(Analytica!$D109,3))/1000</f>
        <v>371.50085823323019</v>
      </c>
      <c r="AP109" s="943">
        <f>SUMIFS('Vehicle data-proc2023'!AI$20:AI$117,'Vehicle data-proc2023'!$N$20:$N$117,Analytica!$C109,'Vehicle data-proc2023'!$Q$20:$Q$117,RIGHT(Analytica!$D109,3))/1000</f>
        <v>379.44034929486759</v>
      </c>
      <c r="AQ109" s="943">
        <f>SUMIFS('Vehicle data-proc2023'!AJ$20:AJ$117,'Vehicle data-proc2023'!$N$20:$N$117,Analytica!$C109,'Vehicle data-proc2023'!$Q$20:$Q$117,RIGHT(Analytica!$D109,3))/1000</f>
        <v>387.39622422821134</v>
      </c>
      <c r="AR109" s="942"/>
      <c r="AS109" s="212"/>
      <c r="AT109" s="944">
        <f t="shared" si="73"/>
        <v>2.7E-2</v>
      </c>
      <c r="AU109" s="942">
        <f t="shared" si="74"/>
        <v>18.494135705765853</v>
      </c>
      <c r="AV109" s="942">
        <f t="shared" si="75"/>
        <v>18.253267211187943</v>
      </c>
      <c r="AW109" s="942">
        <f t="shared" si="76"/>
        <v>9.8161569136330051</v>
      </c>
      <c r="AX109" s="942">
        <f t="shared" si="77"/>
        <v>10.244889430961425</v>
      </c>
      <c r="AY109" s="945">
        <f t="shared" si="78"/>
        <v>10.459698054161706</v>
      </c>
      <c r="BA109" s="164">
        <f t="shared" si="49"/>
        <v>0</v>
      </c>
      <c r="BC109" s="167"/>
    </row>
    <row r="110" spans="1:55" x14ac:dyDescent="0.25">
      <c r="A110" s="61" t="str">
        <f t="shared" si="65"/>
        <v>LCVOGS</v>
      </c>
      <c r="B110" s="61" t="str">
        <f t="shared" si="51"/>
        <v>TFLCVOGS-N</v>
      </c>
      <c r="C110" s="61" t="s">
        <v>573</v>
      </c>
      <c r="D110" s="61" t="s">
        <v>527</v>
      </c>
      <c r="E110" s="61" t="s">
        <v>246</v>
      </c>
      <c r="F110" s="938">
        <f>INDEX($F$17:$F$49,MATCH($E110,$E$17:$E$49,0))</f>
        <v>3.4999999999999996E-2</v>
      </c>
      <c r="G110" s="939">
        <f>G34</f>
        <v>16984.001252855</v>
      </c>
      <c r="H110" s="939">
        <f t="shared" si="103"/>
        <v>16984.001252855</v>
      </c>
      <c r="I110" s="939">
        <f t="shared" si="103"/>
        <v>14257.339092462144</v>
      </c>
      <c r="J110" s="939">
        <f t="shared" si="103"/>
        <v>10046.977049539084</v>
      </c>
      <c r="K110" s="939">
        <f t="shared" si="103"/>
        <v>3515.8165340871446</v>
      </c>
      <c r="L110" s="939">
        <f t="shared" si="103"/>
        <v>610.95730357659954</v>
      </c>
      <c r="M110" s="939">
        <f t="shared" si="104"/>
        <v>1</v>
      </c>
      <c r="N110" s="939">
        <f t="shared" si="67"/>
        <v>0.83945702076920736</v>
      </c>
      <c r="O110" s="939">
        <f t="shared" si="68"/>
        <v>0.59155536436681511</v>
      </c>
      <c r="P110" s="939">
        <f t="shared" si="69"/>
        <v>0.2070075526811527</v>
      </c>
      <c r="Q110" s="939">
        <f t="shared" si="70"/>
        <v>3.5972518753429675E-2</v>
      </c>
      <c r="R110" s="939">
        <f t="shared" si="71"/>
        <v>5.8878940545997701E-5</v>
      </c>
      <c r="S110" s="212">
        <v>14.36</v>
      </c>
      <c r="T110" s="942">
        <f>W34</f>
        <v>14.176565003733501</v>
      </c>
      <c r="U110" s="939">
        <f t="shared" si="105"/>
        <v>13.353975499189914</v>
      </c>
      <c r="V110" s="939">
        <f t="shared" si="105"/>
        <v>12.392531370630406</v>
      </c>
      <c r="W110" s="939">
        <f t="shared" si="105"/>
        <v>11.500308187728439</v>
      </c>
      <c r="X110" s="939">
        <f t="shared" si="105"/>
        <v>10.67232226066222</v>
      </c>
      <c r="Y110" s="212"/>
      <c r="Z110" s="941">
        <f>SUMIF($AC$56:$AC$57,$C110,$AD$56:$AD$57)/S110</f>
        <v>0.20361954096010662</v>
      </c>
      <c r="AA110" s="941">
        <f>1/SUMIFS('Vehicle data-proc2023'!AL$20:AL$117,'Vehicle data-proc2023'!$N$20:$N$117,Analytica!$C110,'Vehicle data-proc2023'!$Q$20:$Q$117,RIGHT(Analytica!$D110,3))</f>
        <v>0.206254237709705</v>
      </c>
      <c r="AB110" s="941">
        <f>1/SUMIFS('Vehicle data-proc2023'!AM$20:AM$117,'Vehicle data-proc2023'!$N$20:$N$117,Analytica!$C110,'Vehicle data-proc2023'!$Q$20:$Q$117,RIGHT(Analytica!$D110,3))</f>
        <v>0.2068742400139009</v>
      </c>
      <c r="AC110" s="941">
        <f>1/SUMIFS('Vehicle data-proc2023'!AN$20:AN$117,'Vehicle data-proc2023'!$N$20:$N$117,Analytica!$C110,'Vehicle data-proc2023'!$Q$20:$Q$117,RIGHT(Analytica!$D110,3))</f>
        <v>0.21860421981084194</v>
      </c>
      <c r="AD110" s="941">
        <f>1/SUMIFS('Vehicle data-proc2023'!AO$20:AO$117,'Vehicle data-proc2023'!$N$20:$N$117,Analytica!$C110,'Vehicle data-proc2023'!$Q$20:$Q$117,RIGHT(Analytica!$D110,3))</f>
        <v>0.24171666583364532</v>
      </c>
      <c r="AE110" s="941">
        <f>1/SUMIFS('Vehicle data-proc2023'!AP$20:AP$117,'Vehicle data-proc2023'!$N$20:$N$117,Analytica!$C110,'Vehicle data-proc2023'!$Q$20:$Q$117,RIGHT(Analytica!$D110,3))</f>
        <v>0.26727272964945947</v>
      </c>
      <c r="AF110" s="941"/>
      <c r="AG110" s="212"/>
      <c r="AH110" s="942">
        <v>62.089100000000002</v>
      </c>
      <c r="AI110" s="942">
        <v>183.51728669017189</v>
      </c>
      <c r="AJ110" s="942"/>
      <c r="AK110" s="943">
        <f>SUMIFS('Vehicle data-proc2023'!AD$20:AD$117,'Vehicle data-proc2023'!$N$20:$N$117,Analytica!$C110,'Vehicle data-proc2023'!$Q$20:$Q$117,RIGHT(Analytica!$D110,3))/1000</f>
        <v>322.55453757929689</v>
      </c>
      <c r="AL110" s="943">
        <f>SUMIFS('Vehicle data-proc2023'!AE$20:AE$117,'Vehicle data-proc2023'!$N$20:$N$117,Analytica!$C110,'Vehicle data-proc2023'!$Q$20:$Q$117,RIGHT(Analytica!$D110,3))/1000</f>
        <v>350.63787759734595</v>
      </c>
      <c r="AM110" s="943">
        <f>SUMIFS('Vehicle data-proc2023'!AF$20:AF$117,'Vehicle data-proc2023'!$N$20:$N$117,Analytica!$C110,'Vehicle data-proc2023'!$Q$20:$Q$117,RIGHT(Analytica!$D110,3))/1000</f>
        <v>357.09962238446946</v>
      </c>
      <c r="AN110" s="943">
        <f>SUMIFS('Vehicle data-proc2023'!AG$20:AG$117,'Vehicle data-proc2023'!$N$20:$N$117,Analytica!$C110,'Vehicle data-proc2023'!$Q$20:$Q$117,RIGHT(Analytica!$D110,3))/1000</f>
        <v>363.56136717159279</v>
      </c>
      <c r="AO110" s="943">
        <f>SUMIFS('Vehicle data-proc2023'!AH$20:AH$117,'Vehicle data-proc2023'!$N$20:$N$117,Analytica!$C110,'Vehicle data-proc2023'!$Q$20:$Q$117,RIGHT(Analytica!$D110,3))/1000</f>
        <v>371.50085823323019</v>
      </c>
      <c r="AP110" s="943">
        <f>SUMIFS('Vehicle data-proc2023'!AI$20:AI$117,'Vehicle data-proc2023'!$N$20:$N$117,Analytica!$C110,'Vehicle data-proc2023'!$Q$20:$Q$117,RIGHT(Analytica!$D110,3))/1000</f>
        <v>379.44034929486759</v>
      </c>
      <c r="AQ110" s="943">
        <f>SUMIFS('Vehicle data-proc2023'!AJ$20:AJ$117,'Vehicle data-proc2023'!$N$20:$N$117,Analytica!$C110,'Vehicle data-proc2023'!$Q$20:$Q$117,RIGHT(Analytica!$D110,3))/1000</f>
        <v>387.39622422821134</v>
      </c>
      <c r="AR110" s="942"/>
      <c r="AS110" s="212"/>
      <c r="AT110" s="944">
        <f t="shared" si="73"/>
        <v>2.7E-2</v>
      </c>
      <c r="AU110" s="942">
        <f t="shared" si="74"/>
        <v>8.7089725146410153</v>
      </c>
      <c r="AV110" s="942">
        <f t="shared" si="75"/>
        <v>9.4672226951283402</v>
      </c>
      <c r="AW110" s="942">
        <f t="shared" si="76"/>
        <v>9.8161569136330051</v>
      </c>
      <c r="AX110" s="942">
        <f t="shared" si="77"/>
        <v>10.244889430961425</v>
      </c>
      <c r="AY110" s="945">
        <f t="shared" si="78"/>
        <v>10.459698054161706</v>
      </c>
      <c r="BA110" s="164">
        <f t="shared" si="49"/>
        <v>0.25607532730614846</v>
      </c>
      <c r="BB110" s="61" t="s">
        <v>129</v>
      </c>
      <c r="BC110" s="167">
        <f>AJ110*1000</f>
        <v>0</v>
      </c>
    </row>
    <row r="111" spans="1:55" x14ac:dyDescent="0.25">
      <c r="A111" s="61" t="str">
        <f t="shared" si="65"/>
        <v>LCVOGSH</v>
      </c>
      <c r="B111" s="61" t="str">
        <f t="shared" si="51"/>
        <v>TFLCVOGSH-N</v>
      </c>
      <c r="C111" s="61" t="s">
        <v>519</v>
      </c>
      <c r="D111" s="61" t="s">
        <v>527</v>
      </c>
      <c r="E111" s="61" t="s">
        <v>529</v>
      </c>
      <c r="F111" s="938">
        <f>F110</f>
        <v>3.4999999999999996E-2</v>
      </c>
      <c r="G111" s="939">
        <f>$G$38/$G$39 * G110</f>
        <v>18970.86499899621</v>
      </c>
      <c r="H111" s="939">
        <f t="shared" si="103"/>
        <v>18970.86499899621</v>
      </c>
      <c r="I111" s="939">
        <f t="shared" si="103"/>
        <v>15925.225813472191</v>
      </c>
      <c r="J111" s="939">
        <f t="shared" si="103"/>
        <v>11222.316956834862</v>
      </c>
      <c r="K111" s="939">
        <f t="shared" si="103"/>
        <v>3927.1123356867433</v>
      </c>
      <c r="L111" s="939">
        <f t="shared" si="103"/>
        <v>682.42979694517373</v>
      </c>
      <c r="M111" s="939">
        <f t="shared" si="104"/>
        <v>1</v>
      </c>
      <c r="N111" s="939">
        <f t="shared" si="67"/>
        <v>0.83945702076920736</v>
      </c>
      <c r="O111" s="939">
        <f t="shared" si="68"/>
        <v>0.59155536436681511</v>
      </c>
      <c r="P111" s="939">
        <f t="shared" si="69"/>
        <v>0.20700755268115267</v>
      </c>
      <c r="Q111" s="939">
        <f t="shared" si="70"/>
        <v>3.5972518753429668E-2</v>
      </c>
      <c r="R111" s="939">
        <f t="shared" si="71"/>
        <v>5.2712409268260151E-5</v>
      </c>
      <c r="S111" s="212">
        <v>15.36</v>
      </c>
      <c r="T111" s="942">
        <f>W35</f>
        <v>11.0775109229247</v>
      </c>
      <c r="U111" s="939">
        <f t="shared" si="105"/>
        <v>10.434742789793365</v>
      </c>
      <c r="V111" s="939">
        <f t="shared" si="105"/>
        <v>9.6834742114674519</v>
      </c>
      <c r="W111" s="939">
        <f t="shared" si="105"/>
        <v>8.9862946019019283</v>
      </c>
      <c r="X111" s="939">
        <f t="shared" si="105"/>
        <v>8.3393097258978717</v>
      </c>
      <c r="Y111" s="212"/>
      <c r="Z111" s="941">
        <f>AA111/AA110*Z110</f>
        <v>0.26648447154333066</v>
      </c>
      <c r="AA111" s="941">
        <f>1/SUMIFS('Vehicle data-proc2023'!AL$20:AL$117,'Vehicle data-proc2023'!$N$20:$N$117,Analytica!$C111,'Vehicle data-proc2023'!$Q$20:$Q$117,RIGHT(Analytica!$D111,3))</f>
        <v>0.26993259723737301</v>
      </c>
      <c r="AB111" s="941">
        <f>1/SUMIFS('Vehicle data-proc2023'!AM$20:AM$117,'Vehicle data-proc2023'!$N$20:$N$117,Analytica!$C111,'Vehicle data-proc2023'!$Q$20:$Q$117,RIGHT(Analytica!$D111,3))</f>
        <v>0.2707440173280492</v>
      </c>
      <c r="AC111" s="941">
        <f>1/SUMIFS('Vehicle data-proc2023'!AN$20:AN$117,'Vehicle data-proc2023'!$N$20:$N$117,Analytica!$C111,'Vehicle data-proc2023'!$Q$20:$Q$117,RIGHT(Analytica!$D111,3))</f>
        <v>0.28609547845335548</v>
      </c>
      <c r="AD111" s="941">
        <f>1/SUMIFS('Vehicle data-proc2023'!AO$20:AO$117,'Vehicle data-proc2023'!$N$20:$N$117,Analytica!$C111,'Vehicle data-proc2023'!$Q$20:$Q$117,RIGHT(Analytica!$D111,3))</f>
        <v>0.31634359675977686</v>
      </c>
      <c r="AE111" s="941">
        <f>1/SUMIFS('Vehicle data-proc2023'!AP$20:AP$117,'Vehicle data-proc2023'!$N$20:$N$117,Analytica!$C111,'Vehicle data-proc2023'!$Q$20:$Q$117,RIGHT(Analytica!$D111,3))</f>
        <v>0.3497897686181996</v>
      </c>
      <c r="AF111" s="941"/>
      <c r="AG111" s="212"/>
      <c r="AH111" s="942">
        <v>62.089100000000002</v>
      </c>
      <c r="AI111" s="942">
        <v>183.51728669017189</v>
      </c>
      <c r="AJ111" s="942"/>
      <c r="AK111" s="943">
        <f>SUMIFS('Vehicle data-proc2023'!AD$20:AD$117,'Vehicle data-proc2023'!$N$20:$N$117,Analytica!$C111,'Vehicle data-proc2023'!$Q$20:$Q$117,RIGHT(Analytica!$D111,3))/1000</f>
        <v>462.61103749439326</v>
      </c>
      <c r="AL111" s="943">
        <f>SUMIFS('Vehicle data-proc2023'!AE$20:AE$117,'Vehicle data-proc2023'!$N$20:$N$117,Analytica!$C111,'Vehicle data-proc2023'!$Q$20:$Q$117,RIGHT(Analytica!$D111,3))/1000</f>
        <v>450.69795583180115</v>
      </c>
      <c r="AM111" s="943">
        <f>SUMIFS('Vehicle data-proc2023'!AF$20:AF$117,'Vehicle data-proc2023'!$N$20:$N$117,Analytica!$C111,'Vehicle data-proc2023'!$Q$20:$Q$117,RIGHT(Analytica!$D111,3))/1000</f>
        <v>447.83490632433029</v>
      </c>
      <c r="AN111" s="943">
        <f>SUMIFS('Vehicle data-proc2023'!AG$20:AG$117,'Vehicle data-proc2023'!$N$20:$N$117,Analytica!$C111,'Vehicle data-proc2023'!$Q$20:$Q$117,RIGHT(Analytica!$D111,3))/1000</f>
        <v>363.56136717159279</v>
      </c>
      <c r="AO111" s="943">
        <f>SUMIFS('Vehicle data-proc2023'!AH$20:AH$117,'Vehicle data-proc2023'!$N$20:$N$117,Analytica!$C111,'Vehicle data-proc2023'!$Q$20:$Q$117,RIGHT(Analytica!$D111,3))/1000</f>
        <v>371.50085823323019</v>
      </c>
      <c r="AP111" s="943">
        <f>SUMIFS('Vehicle data-proc2023'!AI$20:AI$117,'Vehicle data-proc2023'!$N$20:$N$117,Analytica!$C111,'Vehicle data-proc2023'!$Q$20:$Q$117,RIGHT(Analytica!$D111,3))/1000</f>
        <v>379.44034929486759</v>
      </c>
      <c r="AQ111" s="943">
        <f>SUMIFS('Vehicle data-proc2023'!AJ$20:AJ$117,'Vehicle data-proc2023'!$N$20:$N$117,Analytica!$C111,'Vehicle data-proc2023'!$Q$20:$Q$117,RIGHT(Analytica!$D111,3))/1000</f>
        <v>387.39622422821134</v>
      </c>
      <c r="AR111" s="942"/>
      <c r="AS111" s="212"/>
      <c r="AT111" s="944">
        <f t="shared" si="73"/>
        <v>2.7E-2</v>
      </c>
      <c r="AU111" s="942">
        <f t="shared" si="74"/>
        <v>12.490498012348619</v>
      </c>
      <c r="AV111" s="942">
        <f t="shared" si="75"/>
        <v>12.168844807458632</v>
      </c>
      <c r="AW111" s="942">
        <f t="shared" si="76"/>
        <v>9.8161569136330051</v>
      </c>
      <c r="AX111" s="942">
        <f t="shared" si="77"/>
        <v>10.244889430961425</v>
      </c>
      <c r="AY111" s="945">
        <f t="shared" si="78"/>
        <v>10.459698054161706</v>
      </c>
      <c r="BA111" s="164">
        <f t="shared" si="49"/>
        <v>0</v>
      </c>
      <c r="BB111" s="61" t="s">
        <v>129</v>
      </c>
      <c r="BC111" s="167">
        <f>AJ111*1000</f>
        <v>0</v>
      </c>
    </row>
    <row r="112" spans="1:55" x14ac:dyDescent="0.25">
      <c r="A112" s="61" t="str">
        <f t="shared" si="65"/>
        <v>LCVGAS</v>
      </c>
      <c r="B112" s="61" t="str">
        <f t="shared" si="51"/>
        <v>TFLCVGAS-N</v>
      </c>
      <c r="C112" s="61" t="s">
        <v>509</v>
      </c>
      <c r="D112" s="61" t="s">
        <v>527</v>
      </c>
      <c r="E112" s="61" t="s">
        <v>528</v>
      </c>
      <c r="F112" s="938">
        <f>F110</f>
        <v>3.4999999999999996E-2</v>
      </c>
      <c r="G112" s="939">
        <f>G110</f>
        <v>16984.001252855</v>
      </c>
      <c r="H112" s="939">
        <f t="shared" si="103"/>
        <v>16984.001252855</v>
      </c>
      <c r="I112" s="939">
        <f t="shared" si="103"/>
        <v>14257.339092462144</v>
      </c>
      <c r="J112" s="939">
        <f t="shared" si="103"/>
        <v>10046.977049539084</v>
      </c>
      <c r="K112" s="939">
        <f t="shared" si="103"/>
        <v>3515.8165340871446</v>
      </c>
      <c r="L112" s="939">
        <f t="shared" si="103"/>
        <v>610.95730357659954</v>
      </c>
      <c r="M112" s="939">
        <f t="shared" si="104"/>
        <v>1</v>
      </c>
      <c r="N112" s="939">
        <f t="shared" si="67"/>
        <v>0.83945702076920736</v>
      </c>
      <c r="O112" s="939">
        <f t="shared" si="68"/>
        <v>0.59155536436681511</v>
      </c>
      <c r="P112" s="939">
        <f t="shared" si="69"/>
        <v>0.2070075526811527</v>
      </c>
      <c r="Q112" s="939">
        <f t="shared" si="70"/>
        <v>3.5972518753429675E-2</v>
      </c>
      <c r="R112" s="939">
        <f t="shared" si="71"/>
        <v>5.8878940545997701E-5</v>
      </c>
      <c r="S112" s="212">
        <f>S110*(1+$AJ$55)</f>
        <v>16.513999999999999</v>
      </c>
      <c r="T112" s="212">
        <f>T110*(1+$AJ$55)</f>
        <v>16.303049754293525</v>
      </c>
      <c r="U112" s="939">
        <f t="shared" si="105"/>
        <v>15.357071824068401</v>
      </c>
      <c r="V112" s="939">
        <f t="shared" si="105"/>
        <v>14.251411076224967</v>
      </c>
      <c r="W112" s="939">
        <f t="shared" si="105"/>
        <v>13.225354415887704</v>
      </c>
      <c r="X112" s="939">
        <f t="shared" si="105"/>
        <v>12.273170599761553</v>
      </c>
      <c r="Y112" s="212"/>
      <c r="Z112" s="941">
        <f t="shared" ref="Z112:Z120" si="106">(AA112/AB112)*AA112</f>
        <v>0.17525998848037599</v>
      </c>
      <c r="AA112" s="941">
        <f>1/SUMIFS('Vehicle data-proc2023'!AL$20:AL$117,'Vehicle data-proc2023'!$N$20:$N$117,Analytica!$C112,'Vehicle data-proc2023'!$Q$20:$Q$117,RIGHT(Analytica!$D112,3))</f>
        <v>0.17578682176098046</v>
      </c>
      <c r="AB112" s="941">
        <f>1/SUMIFS('Vehicle data-proc2023'!AM$20:AM$117,'Vehicle data-proc2023'!$N$20:$N$117,Analytica!$C112,'Vehicle data-proc2023'!$Q$20:$Q$117,RIGHT(Analytica!$D112,3))</f>
        <v>0.17631523870770266</v>
      </c>
      <c r="AC112" s="941">
        <f>1/SUMIFS('Vehicle data-proc2023'!AN$20:AN$117,'Vehicle data-proc2023'!$N$20:$N$117,Analytica!$C112,'Vehicle data-proc2023'!$Q$20:$Q$117,RIGHT(Analytica!$D112,3))</f>
        <v>0.1863124920525136</v>
      </c>
      <c r="AD112" s="941">
        <f>1/SUMIFS('Vehicle data-proc2023'!AO$20:AO$117,'Vehicle data-proc2023'!$N$20:$N$117,Analytica!$C112,'Vehicle data-proc2023'!$Q$20:$Q$117,RIGHT(Analytica!$D112,3))</f>
        <v>0.2060108191006548</v>
      </c>
      <c r="AE112" s="941">
        <f>1/SUMIFS('Vehicle data-proc2023'!AP$20:AP$117,'Vehicle data-proc2023'!$N$20:$N$117,Analytica!$C112,'Vehicle data-proc2023'!$Q$20:$Q$117,RIGHT(Analytica!$D112,3))</f>
        <v>0.22779179817186146</v>
      </c>
      <c r="AF112" s="941"/>
      <c r="AG112" s="212"/>
      <c r="AH112" s="942">
        <f>AH110*(1+$AR$57)</f>
        <v>68.298010000000005</v>
      </c>
      <c r="AI112" s="942">
        <f>AI110*(1+$AR$57)</f>
        <v>201.86901535918909</v>
      </c>
      <c r="AJ112" s="942"/>
      <c r="AK112" s="943">
        <f>SUMIFS('Vehicle data-proc2023'!AD$20:AD$117,'Vehicle data-proc2023'!$N$20:$N$117,Analytica!$C112,'Vehicle data-proc2023'!$Q$20:$Q$117,RIGHT(Analytica!$D112,3))/1000</f>
        <v>519.12041439989491</v>
      </c>
      <c r="AL112" s="943">
        <f>SUMIFS('Vehicle data-proc2023'!AE$20:AE$117,'Vehicle data-proc2023'!$N$20:$N$117,Analytica!$C112,'Vehicle data-proc2023'!$Q$20:$Q$117,RIGHT(Analytica!$D112,3))/1000</f>
        <v>545.62674611489456</v>
      </c>
      <c r="AM112" s="943">
        <f>SUMIFS('Vehicle data-proc2023'!AF$20:AF$117,'Vehicle data-proc2023'!$N$20:$N$117,Analytica!$C112,'Vehicle data-proc2023'!$Q$20:$Q$117,RIGHT(Analytica!$D112,3))/1000</f>
        <v>551.3701241175919</v>
      </c>
      <c r="AN112" s="943">
        <f>SUMIFS('Vehicle data-proc2023'!AG$20:AG$117,'Vehicle data-proc2023'!$N$20:$N$117,Analytica!$C112,'Vehicle data-proc2023'!$Q$20:$Q$117,RIGHT(Analytica!$D112,3))/1000</f>
        <v>557.11350212028935</v>
      </c>
      <c r="AO112" s="943">
        <f>SUMIFS('Vehicle data-proc2023'!AH$20:AH$117,'Vehicle data-proc2023'!$N$20:$N$117,Analytica!$C112,'Vehicle data-proc2023'!$Q$20:$Q$117,RIGHT(Analytica!$D112,3))/1000</f>
        <v>565.34503849646865</v>
      </c>
      <c r="AP112" s="943">
        <f>SUMIFS('Vehicle data-proc2023'!AI$20:AI$117,'Vehicle data-proc2023'!$N$20:$N$117,Analytica!$C112,'Vehicle data-proc2023'!$Q$20:$Q$117,RIGHT(Analytica!$D112,3))/1000</f>
        <v>573.57657487264794</v>
      </c>
      <c r="AQ112" s="943">
        <f>SUMIFS('Vehicle data-proc2023'!AJ$20:AJ$117,'Vehicle data-proc2023'!$N$20:$N$117,Analytica!$C112,'Vehicle data-proc2023'!$Q$20:$Q$117,RIGHT(Analytica!$D112,3))/1000</f>
        <v>580.79572210982678</v>
      </c>
      <c r="AR112" s="942"/>
      <c r="AS112" s="212"/>
      <c r="AT112" s="944">
        <f t="shared" si="73"/>
        <v>2.7E-2</v>
      </c>
      <c r="AU112" s="942">
        <f t="shared" si="74"/>
        <v>14.016251188797163</v>
      </c>
      <c r="AV112" s="942">
        <f t="shared" si="75"/>
        <v>14.731922145102153</v>
      </c>
      <c r="AW112" s="942">
        <f t="shared" si="76"/>
        <v>15.042064557247812</v>
      </c>
      <c r="AX112" s="942">
        <f t="shared" si="77"/>
        <v>15.486567521561494</v>
      </c>
      <c r="AY112" s="945">
        <f t="shared" si="78"/>
        <v>15.681484496965323</v>
      </c>
      <c r="BA112" s="164">
        <f t="shared" si="49"/>
        <v>0</v>
      </c>
      <c r="BB112" s="61" t="s">
        <v>524</v>
      </c>
      <c r="BC112" s="167">
        <f>AJ112*1000</f>
        <v>0</v>
      </c>
    </row>
    <row r="113" spans="1:57" x14ac:dyDescent="0.25">
      <c r="A113" s="1007" t="str">
        <f t="shared" si="65"/>
        <v>LCVELC</v>
      </c>
      <c r="B113" s="1007" t="str">
        <f t="shared" si="51"/>
        <v>TFLCVELC-N</v>
      </c>
      <c r="C113" s="1007" t="s">
        <v>501</v>
      </c>
      <c r="D113" s="1007" t="s">
        <v>527</v>
      </c>
      <c r="E113" s="1008" t="s">
        <v>1004</v>
      </c>
      <c r="F113" s="1009">
        <f>F110</f>
        <v>3.4999999999999996E-2</v>
      </c>
      <c r="G113" s="1018">
        <f>G108</f>
        <v>24753.4936084117</v>
      </c>
      <c r="H113" s="1018">
        <f t="shared" si="103"/>
        <v>24753.4936084117</v>
      </c>
      <c r="I113" s="1018">
        <f t="shared" si="103"/>
        <v>20779.493998146903</v>
      </c>
      <c r="J113" s="1018">
        <f t="shared" si="103"/>
        <v>14643.061930875612</v>
      </c>
      <c r="K113" s="1018">
        <f t="shared" si="103"/>
        <v>5124.1601321858616</v>
      </c>
      <c r="L113" s="1018">
        <f t="shared" si="103"/>
        <v>890.44551304149149</v>
      </c>
      <c r="M113" s="1018">
        <f t="shared" si="104"/>
        <v>1</v>
      </c>
      <c r="N113" s="1018">
        <f t="shared" si="67"/>
        <v>0.83945702076920736</v>
      </c>
      <c r="O113" s="1018">
        <f t="shared" si="68"/>
        <v>0.59155536436681511</v>
      </c>
      <c r="P113" s="1018">
        <f t="shared" si="69"/>
        <v>0.2070075526811527</v>
      </c>
      <c r="Q113" s="1018">
        <f t="shared" si="70"/>
        <v>3.5972518753429675E-2</v>
      </c>
      <c r="R113" s="1018">
        <f t="shared" si="71"/>
        <v>4.0398337940474847E-5</v>
      </c>
      <c r="S113" s="1019">
        <v>23.5</v>
      </c>
      <c r="T113" s="1007">
        <f>T112*(1+$AJ$55)</f>
        <v>18.748507217437552</v>
      </c>
      <c r="U113" s="1018">
        <f t="shared" si="105"/>
        <v>17.66063259767866</v>
      </c>
      <c r="V113" s="1018">
        <f t="shared" si="105"/>
        <v>16.38912273765871</v>
      </c>
      <c r="W113" s="1018">
        <f t="shared" si="105"/>
        <v>15.209157578270858</v>
      </c>
      <c r="X113" s="1018">
        <f t="shared" si="105"/>
        <v>14.114146189725783</v>
      </c>
      <c r="Y113" s="1007"/>
      <c r="Z113" s="1006">
        <f t="shared" si="106"/>
        <v>0.82174669541157208</v>
      </c>
      <c r="AA113" s="1006">
        <f>1/SUMIFS('Vehicle data-proc2023'!AL$20:AL$117,'Vehicle data-proc2023'!$N$20:$N$117,Analytica!$C113,'Vehicle data-proc2023'!$Q$20:$Q$117,RIGHT(Analytica!$D113,3))</f>
        <v>0.82421687420778977</v>
      </c>
      <c r="AB113" s="1006">
        <f>1/SUMIFS('Vehicle data-proc2023'!AM$20:AM$117,'Vehicle data-proc2023'!$N$20:$N$117,Analytica!$C113,'Vehicle data-proc2023'!$Q$20:$Q$117,RIGHT(Analytica!$D113,3))</f>
        <v>0.8266944783862078</v>
      </c>
      <c r="AC113" s="1006">
        <f>1/SUMIFS('Vehicle data-proc2023'!AN$20:AN$117,'Vehicle data-proc2023'!$N$20:$N$117,Analytica!$C113,'Vehicle data-proc2023'!$Q$20:$Q$117,RIGHT(Analytica!$D113,3))</f>
        <v>0.87356889604720478</v>
      </c>
      <c r="AD113" s="1006">
        <f>1/SUMIFS('Vehicle data-proc2023'!AO$20:AO$117,'Vehicle data-proc2023'!$N$20:$N$117,Analytica!$C113,'Vehicle data-proc2023'!$Q$20:$Q$117,RIGHT(Analytica!$D113,3))</f>
        <v>0.96592902511773071</v>
      </c>
      <c r="AE113" s="1020">
        <f>1/SUMIFS('Vehicle data-proc2023'!AP$20:AP$117,'Vehicle data-proc2023'!$N$20:$N$117,Analytica!$C113,'Vehicle data-proc2023'!$Q$20:$Q$117,RIGHT(Analytica!$D113,3))</f>
        <v>1.068054146372071</v>
      </c>
      <c r="AF113" s="975"/>
      <c r="AG113" s="943"/>
      <c r="AH113" s="943">
        <f>AH112*(1+$AR$57)</f>
        <v>75.127811000000008</v>
      </c>
      <c r="AI113" s="943">
        <f>AI112*(1+$AR$57)</f>
        <v>222.05591689510803</v>
      </c>
      <c r="AJ113" s="943"/>
      <c r="AK113" s="943">
        <f>SUMIFS('Vehicle data-proc2023'!AD$20:AD$117,'Vehicle data-proc2023'!$N$20:$N$117,Analytica!$C113,'Vehicle data-proc2023'!$Q$20:$Q$117,RIGHT(Analytica!$D113,3))/1000</f>
        <v>1200.3559594665694</v>
      </c>
      <c r="AL113" s="943">
        <f>SUMIFS('Vehicle data-proc2023'!AE$20:AE$117,'Vehicle data-proc2023'!$N$20:$N$117,Analytica!$C113,'Vehicle data-proc2023'!$Q$20:$Q$117,RIGHT(Analytica!$D113,3))/1000</f>
        <v>820.96300033176112</v>
      </c>
      <c r="AM113" s="943">
        <f>SUMIFS('Vehicle data-proc2023'!AF$20:AF$117,'Vehicle data-proc2023'!$N$20:$N$117,Analytica!$C113,'Vehicle data-proc2023'!$Q$20:$Q$117,RIGHT(Analytica!$D113,3))/1000</f>
        <v>755.33369376548785</v>
      </c>
      <c r="AN113" s="943">
        <f>SUMIFS('Vehicle data-proc2023'!AG$20:AG$117,'Vehicle data-proc2023'!$N$20:$N$117,Analytica!$C113,'Vehicle data-proc2023'!$Q$20:$Q$117,RIGHT(Analytica!$D113,3))/1000</f>
        <v>689.70438719921458</v>
      </c>
      <c r="AO113" s="943">
        <f>SUMIFS('Vehicle data-proc2023'!AH$20:AH$117,'Vehicle data-proc2023'!$N$20:$N$117,Analytica!$C113,'Vehicle data-proc2023'!$Q$20:$Q$117,RIGHT(Analytica!$D113,3))/1000</f>
        <v>696.54423846668703</v>
      </c>
      <c r="AP113" s="943">
        <f>SUMIFS('Vehicle data-proc2023'!AI$20:AI$117,'Vehicle data-proc2023'!$N$20:$N$117,Analytica!$C113,'Vehicle data-proc2023'!$Q$20:$Q$117,RIGHT(Analytica!$D113,3))/1000</f>
        <v>379.44034929486759</v>
      </c>
      <c r="AQ113" s="943">
        <f>SUMIFS('Vehicle data-proc2023'!AJ$20:AJ$117,'Vehicle data-proc2023'!$N$20:$N$117,Analytica!$C113,'Vehicle data-proc2023'!$Q$20:$Q$117,RIGHT(Analytica!$D113,3))/1000</f>
        <v>387.39622422821134</v>
      </c>
      <c r="AR113" s="942"/>
      <c r="AS113" s="212"/>
      <c r="AT113" s="944">
        <f t="shared" si="73"/>
        <v>2.0250000000000001E-2</v>
      </c>
      <c r="AU113" s="942">
        <f t="shared" si="74"/>
        <v>24.307208179198032</v>
      </c>
      <c r="AV113" s="942">
        <f t="shared" si="75"/>
        <v>16.624500756718163</v>
      </c>
      <c r="AW113" s="942">
        <f t="shared" si="76"/>
        <v>13.966513840784096</v>
      </c>
      <c r="AX113" s="942">
        <f t="shared" si="77"/>
        <v>7.683667073221069</v>
      </c>
      <c r="AY113" s="945">
        <f t="shared" si="78"/>
        <v>7.8447735406212802</v>
      </c>
      <c r="BA113" s="164">
        <f t="shared" si="49"/>
        <v>0</v>
      </c>
      <c r="BB113" s="61" t="str">
        <f>C113</f>
        <v>ELC</v>
      </c>
      <c r="BC113" s="167">
        <f>AJ113*1000</f>
        <v>0</v>
      </c>
    </row>
    <row r="114" spans="1:57" x14ac:dyDescent="0.25">
      <c r="A114" s="61" t="str">
        <f t="shared" si="65"/>
        <v>MBTODS</v>
      </c>
      <c r="B114" s="61" t="str">
        <f>D114&amp;C114&amp;"H-N"</f>
        <v>TPPUMBTODSH-N</v>
      </c>
      <c r="C114" s="61" t="s">
        <v>511</v>
      </c>
      <c r="D114" s="61" t="s">
        <v>523</v>
      </c>
      <c r="E114" s="61" t="s">
        <v>526</v>
      </c>
      <c r="F114" s="938">
        <f>F115</f>
        <v>3.4999999999999996E-2</v>
      </c>
      <c r="G114" s="939">
        <f>G115</f>
        <v>30917.830131483901</v>
      </c>
      <c r="H114" s="939">
        <f t="shared" si="103"/>
        <v>30917.830131483901</v>
      </c>
      <c r="I114" s="939">
        <f t="shared" si="103"/>
        <v>25954.189570823906</v>
      </c>
      <c r="J114" s="939">
        <f t="shared" si="103"/>
        <v>18289.608268861255</v>
      </c>
      <c r="K114" s="939">
        <f t="shared" si="103"/>
        <v>6400.2243497300842</v>
      </c>
      <c r="L114" s="939">
        <f t="shared" si="103"/>
        <v>1112.1922242201579</v>
      </c>
      <c r="M114" s="939">
        <f t="shared" si="104"/>
        <v>1</v>
      </c>
      <c r="N114" s="939">
        <f t="shared" si="67"/>
        <v>0.83945702076920736</v>
      </c>
      <c r="O114" s="939">
        <f t="shared" si="68"/>
        <v>0.59155536436681511</v>
      </c>
      <c r="P114" s="939">
        <f t="shared" si="69"/>
        <v>0.2070075526811527</v>
      </c>
      <c r="Q114" s="939">
        <f t="shared" si="70"/>
        <v>3.5972518753429682E-2</v>
      </c>
      <c r="R114" s="939">
        <f t="shared" si="71"/>
        <v>3.2343796306122114E-5</v>
      </c>
      <c r="S114" s="212">
        <f>S115/1.3</f>
        <v>8.8076923076923066</v>
      </c>
      <c r="T114" s="939">
        <f>S114/((1+T$57)^(T$58-S$58))</f>
        <v>8.0550062340997179</v>
      </c>
      <c r="U114" s="939">
        <f>T114/((1+U$57)^(U$58-T$58))</f>
        <v>7.1505186362966207</v>
      </c>
      <c r="V114" s="939">
        <f>U114/((1+V$57)^(V$58-U$58))</f>
        <v>6.1613675987156</v>
      </c>
      <c r="W114" s="939">
        <f>V114/((1+W$57)^(W$58-V$58))</f>
        <v>5.3090485624080355</v>
      </c>
      <c r="X114" s="939">
        <f>W114/((1+X$57)^(X$58-W$58))</f>
        <v>4.5746331778487761</v>
      </c>
      <c r="Y114" s="212"/>
      <c r="Z114" s="941">
        <f t="shared" si="106"/>
        <v>0.23340065991082923</v>
      </c>
      <c r="AA114" s="941">
        <f>1/SUMIFS('Vehicle data-proc2023'!AL$20:AL$117,'Vehicle data-proc2023'!$N$20:$N$117,Analytica!$C114,'Vehicle data-proc2023'!$Q$20:$Q$117,RIGHT(Analytica!$D114,3))</f>
        <v>0.23693697386285403</v>
      </c>
      <c r="AB114" s="941">
        <f>1/SUMIFS('Vehicle data-proc2023'!AM$20:AM$117,'Vehicle data-proc2023'!$N$20:$N$117,Analytica!$C114,'Vehicle data-proc2023'!$Q$20:$Q$117,RIGHT(Analytica!$D114,3))</f>
        <v>0.24052686742503102</v>
      </c>
      <c r="AC114" s="941">
        <f>1/SUMIFS('Vehicle data-proc2023'!AN$20:AN$117,'Vehicle data-proc2023'!$N$20:$N$117,Analytica!$C114,'Vehicle data-proc2023'!$Q$20:$Q$117,RIGHT(Analytica!$D114,3))</f>
        <v>0.25933339216798273</v>
      </c>
      <c r="AD114" s="941">
        <f>1/SUMIFS('Vehicle data-proc2023'!AO$20:AO$117,'Vehicle data-proc2023'!$N$20:$N$117,Analytica!$C114,'Vehicle data-proc2023'!$Q$20:$Q$117,RIGHT(Analytica!$D114,3))</f>
        <v>0.28675202586855569</v>
      </c>
      <c r="AE114" s="975">
        <f>1/SUMIFS('Vehicle data-proc2023'!AP$20:AP$117,'Vehicle data-proc2023'!$N$20:$N$117,Analytica!$C114,'Vehicle data-proc2023'!$Q$20:$Q$117,RIGHT(Analytica!$D114,3))</f>
        <v>0.31706955919682966</v>
      </c>
      <c r="AF114" s="975"/>
      <c r="AG114" s="943">
        <v>1</v>
      </c>
      <c r="AH114" s="943">
        <f>AH66/AH67*AH115</f>
        <v>487.93844290017597</v>
      </c>
      <c r="AI114" s="943">
        <f>AI66/AI67*AI115</f>
        <v>911.62921065175237</v>
      </c>
      <c r="AJ114" s="943"/>
      <c r="AK114" s="943">
        <f>SUMIFS('Vehicle data-proc2023'!AD$20:AD$117,'Vehicle data-proc2023'!$N$20:$N$117,Analytica!$C114,'Vehicle data-proc2023'!$Q$20:$Q$117,RIGHT(Analytica!$D114,3))/1000</f>
        <v>449.29991329948109</v>
      </c>
      <c r="AL114" s="943">
        <f>SUMIFS('Vehicle data-proc2023'!AE$20:AE$117,'Vehicle data-proc2023'!$N$20:$N$117,Analytica!$C114,'Vehicle data-proc2023'!$Q$20:$Q$117,RIGHT(Analytica!$D114,3))/1000</f>
        <v>496.02431464990411</v>
      </c>
      <c r="AM114" s="943">
        <f>SUMIFS('Vehicle data-proc2023'!AF$20:AF$117,'Vehicle data-proc2023'!$N$20:$N$117,Analytica!$C114,'Vehicle data-proc2023'!$Q$20:$Q$117,RIGHT(Analytica!$D114,3))/1000</f>
        <v>504.86263896951328</v>
      </c>
      <c r="AN114" s="943">
        <f>SUMIFS('Vehicle data-proc2023'!AG$20:AG$117,'Vehicle data-proc2023'!$N$20:$N$117,Analytica!$C114,'Vehicle data-proc2023'!$Q$20:$Q$117,RIGHT(Analytica!$D114,3))/1000</f>
        <v>363.56136717159279</v>
      </c>
      <c r="AO114" s="943">
        <f>SUMIFS('Vehicle data-proc2023'!AH$20:AH$117,'Vehicle data-proc2023'!$N$20:$N$117,Analytica!$C114,'Vehicle data-proc2023'!$Q$20:$Q$117,RIGHT(Analytica!$D114,3))/1000</f>
        <v>371.50085823323019</v>
      </c>
      <c r="AP114" s="943">
        <f>SUMIFS('Vehicle data-proc2023'!AI$20:AI$117,'Vehicle data-proc2023'!$N$20:$N$117,Analytica!$C114,'Vehicle data-proc2023'!$Q$20:$Q$117,RIGHT(Analytica!$D114,3))/1000</f>
        <v>379.44034929486759</v>
      </c>
      <c r="AQ114" s="943">
        <f>SUMIFS('Vehicle data-proc2023'!AJ$20:AJ$117,'Vehicle data-proc2023'!$N$20:$N$117,Analytica!$C114,'Vehicle data-proc2023'!$Q$20:$Q$117,RIGHT(Analytica!$D114,3))/1000</f>
        <v>387.39622422821134</v>
      </c>
      <c r="AR114" s="942"/>
      <c r="AS114" s="212"/>
      <c r="AT114" s="944">
        <f t="shared" si="73"/>
        <v>2.7E-2</v>
      </c>
      <c r="AU114" s="942">
        <f t="shared" si="74"/>
        <v>12.13109765908599</v>
      </c>
      <c r="AV114" s="942">
        <f t="shared" si="75"/>
        <v>13.392656495547412</v>
      </c>
      <c r="AW114" s="942">
        <f t="shared" si="76"/>
        <v>9.8161569136330051</v>
      </c>
      <c r="AX114" s="942">
        <f t="shared" si="77"/>
        <v>10.244889430961425</v>
      </c>
      <c r="AY114" s="945">
        <f t="shared" si="78"/>
        <v>10.459698054161706</v>
      </c>
      <c r="BA114" s="164">
        <f t="shared" si="49"/>
        <v>0</v>
      </c>
      <c r="BC114" s="169">
        <f>BC112-BC110</f>
        <v>0</v>
      </c>
      <c r="BD114" s="167">
        <f>BC114/5.5</f>
        <v>0</v>
      </c>
      <c r="BE114" s="61" t="s">
        <v>63</v>
      </c>
    </row>
    <row r="115" spans="1:57" x14ac:dyDescent="0.25">
      <c r="A115" s="61" t="str">
        <f t="shared" si="65"/>
        <v>MBTODS</v>
      </c>
      <c r="B115" s="61" t="str">
        <f>D115&amp;C115&amp;"-N"</f>
        <v>TPPUMBTODS-N</v>
      </c>
      <c r="C115" s="61" t="s">
        <v>511</v>
      </c>
      <c r="D115" s="61" t="s">
        <v>523</v>
      </c>
      <c r="E115" s="61" t="s">
        <v>305</v>
      </c>
      <c r="F115" s="938">
        <f>INDEX($F$17:$F$49,MATCH($E115,$E$17:$E$49,0))</f>
        <v>3.4999999999999996E-2</v>
      </c>
      <c r="G115" s="939">
        <f>G35</f>
        <v>30917.830131483901</v>
      </c>
      <c r="H115" s="939">
        <f t="shared" si="103"/>
        <v>30917.830131483901</v>
      </c>
      <c r="I115" s="939">
        <f t="shared" si="103"/>
        <v>25954.189570823906</v>
      </c>
      <c r="J115" s="939">
        <f t="shared" si="103"/>
        <v>18289.608268861255</v>
      </c>
      <c r="K115" s="939">
        <f t="shared" si="103"/>
        <v>6400.2243497300842</v>
      </c>
      <c r="L115" s="939">
        <f t="shared" si="103"/>
        <v>1112.1922242201579</v>
      </c>
      <c r="M115" s="939">
        <f t="shared" si="104"/>
        <v>1</v>
      </c>
      <c r="N115" s="939">
        <f t="shared" si="67"/>
        <v>0.83945702076920736</v>
      </c>
      <c r="O115" s="939">
        <f t="shared" si="68"/>
        <v>0.59155536436681511</v>
      </c>
      <c r="P115" s="939">
        <f t="shared" si="69"/>
        <v>0.2070075526811527</v>
      </c>
      <c r="Q115" s="939">
        <f t="shared" si="70"/>
        <v>3.5972518753429682E-2</v>
      </c>
      <c r="R115" s="939">
        <f t="shared" si="71"/>
        <v>3.2343796306122114E-5</v>
      </c>
      <c r="S115" s="212">
        <v>11.45</v>
      </c>
      <c r="T115" s="942">
        <f>W35</f>
        <v>11.0775109229247</v>
      </c>
      <c r="U115" s="939">
        <f t="shared" ref="U115:X117" si="107">T115/((1+U$57)^(U$58-T$58))</f>
        <v>9.8336296703072001</v>
      </c>
      <c r="V115" s="939">
        <f t="shared" si="107"/>
        <v>8.4733164557947447</v>
      </c>
      <c r="W115" s="939">
        <f t="shared" si="107"/>
        <v>7.3011791339706908</v>
      </c>
      <c r="X115" s="939">
        <f t="shared" si="107"/>
        <v>6.2911868126763029</v>
      </c>
      <c r="Y115" s="212"/>
      <c r="Z115" s="941">
        <f t="shared" si="106"/>
        <v>0.23340065991082923</v>
      </c>
      <c r="AA115" s="941">
        <f>1/SUMIFS('Vehicle data-proc2023'!AL$20:AL$117,'Vehicle data-proc2023'!$N$20:$N$117,Analytica!$C115,'Vehicle data-proc2023'!$Q$20:$Q$117,RIGHT(Analytica!$D115,3))</f>
        <v>0.23693697386285403</v>
      </c>
      <c r="AB115" s="941">
        <f>1/SUMIFS('Vehicle data-proc2023'!AM$20:AM$117,'Vehicle data-proc2023'!$N$20:$N$117,Analytica!$C115,'Vehicle data-proc2023'!$Q$20:$Q$117,RIGHT(Analytica!$D115,3))</f>
        <v>0.24052686742503102</v>
      </c>
      <c r="AC115" s="941">
        <f>1/SUMIFS('Vehicle data-proc2023'!AN$20:AN$117,'Vehicle data-proc2023'!$N$20:$N$117,Analytica!$C115,'Vehicle data-proc2023'!$Q$20:$Q$117,RIGHT(Analytica!$D115,3))</f>
        <v>0.25933339216798273</v>
      </c>
      <c r="AD115" s="941">
        <f>1/SUMIFS('Vehicle data-proc2023'!AO$20:AO$117,'Vehicle data-proc2023'!$N$20:$N$117,Analytica!$C115,'Vehicle data-proc2023'!$Q$20:$Q$117,RIGHT(Analytica!$D115,3))</f>
        <v>0.28675202586855569</v>
      </c>
      <c r="AE115" s="975">
        <f>1/SUMIFS('Vehicle data-proc2023'!AP$20:AP$117,'Vehicle data-proc2023'!$N$20:$N$117,Analytica!$C115,'Vehicle data-proc2023'!$Q$20:$Q$117,RIGHT(Analytica!$D115,3))</f>
        <v>0.31706955919682966</v>
      </c>
      <c r="AF115" s="975"/>
      <c r="AG115" s="943"/>
      <c r="AH115" s="943">
        <v>213.108</v>
      </c>
      <c r="AI115" s="943">
        <v>487.2057272727273</v>
      </c>
      <c r="AJ115" s="943"/>
      <c r="AK115" s="943">
        <f>SUMIFS('Vehicle data-proc2023'!AD$20:AD$117,'Vehicle data-proc2023'!$N$20:$N$117,Analytica!$C115,'Vehicle data-proc2023'!$Q$20:$Q$117,RIGHT(Analytica!$D115,3))/1000</f>
        <v>449.29991329948109</v>
      </c>
      <c r="AL115" s="943">
        <f>SUMIFS('Vehicle data-proc2023'!AE$20:AE$117,'Vehicle data-proc2023'!$N$20:$N$117,Analytica!$C115,'Vehicle data-proc2023'!$Q$20:$Q$117,RIGHT(Analytica!$D115,3))/1000</f>
        <v>496.02431464990411</v>
      </c>
      <c r="AM115" s="943">
        <f>SUMIFS('Vehicle data-proc2023'!AF$20:AF$117,'Vehicle data-proc2023'!$N$20:$N$117,Analytica!$C115,'Vehicle data-proc2023'!$Q$20:$Q$117,RIGHT(Analytica!$D115,3))/1000</f>
        <v>504.86263896951328</v>
      </c>
      <c r="AN115" s="943">
        <f>SUMIFS('Vehicle data-proc2023'!AG$20:AG$117,'Vehicle data-proc2023'!$N$20:$N$117,Analytica!$C115,'Vehicle data-proc2023'!$Q$20:$Q$117,RIGHT(Analytica!$D115,3))/1000</f>
        <v>363.56136717159279</v>
      </c>
      <c r="AO115" s="943">
        <f>SUMIFS('Vehicle data-proc2023'!AH$20:AH$117,'Vehicle data-proc2023'!$N$20:$N$117,Analytica!$C115,'Vehicle data-proc2023'!$Q$20:$Q$117,RIGHT(Analytica!$D115,3))/1000</f>
        <v>371.50085823323019</v>
      </c>
      <c r="AP115" s="943">
        <f>SUMIFS('Vehicle data-proc2023'!AI$20:AI$117,'Vehicle data-proc2023'!$N$20:$N$117,Analytica!$C115,'Vehicle data-proc2023'!$Q$20:$Q$117,RIGHT(Analytica!$D115,3))/1000</f>
        <v>379.44034929486759</v>
      </c>
      <c r="AQ115" s="943">
        <f>SUMIFS('Vehicle data-proc2023'!AJ$20:AJ$117,'Vehicle data-proc2023'!$N$20:$N$117,Analytica!$C115,'Vehicle data-proc2023'!$Q$20:$Q$117,RIGHT(Analytica!$D115,3))/1000</f>
        <v>387.39622422821134</v>
      </c>
      <c r="AR115" s="942"/>
      <c r="AS115" s="212"/>
      <c r="AT115" s="944">
        <f t="shared" si="73"/>
        <v>2.7E-2</v>
      </c>
      <c r="AU115" s="942">
        <f t="shared" si="74"/>
        <v>12.13109765908599</v>
      </c>
      <c r="AV115" s="942">
        <f t="shared" si="75"/>
        <v>13.392656495547412</v>
      </c>
      <c r="AW115" s="942">
        <f t="shared" si="76"/>
        <v>9.8161569136330051</v>
      </c>
      <c r="AX115" s="942">
        <f t="shared" si="77"/>
        <v>10.244889430961425</v>
      </c>
      <c r="AY115" s="945">
        <f t="shared" si="78"/>
        <v>10.459698054161706</v>
      </c>
      <c r="BA115" s="164">
        <f t="shared" si="49"/>
        <v>0.58515987307786188</v>
      </c>
    </row>
    <row r="116" spans="1:57" x14ac:dyDescent="0.25">
      <c r="A116" s="61" t="str">
        <f t="shared" si="65"/>
        <v>MBTOGS</v>
      </c>
      <c r="B116" s="61" t="str">
        <f>D116&amp;C116&amp;"-N"</f>
        <v>TPPUMBTOGS-N</v>
      </c>
      <c r="C116" s="61" t="s">
        <v>573</v>
      </c>
      <c r="D116" s="61" t="s">
        <v>523</v>
      </c>
      <c r="E116" s="61" t="s">
        <v>304</v>
      </c>
      <c r="F116" s="938">
        <f>INDEX($F$17:$F$49,MATCH($E116,$E$17:$E$49,0))</f>
        <v>3.4999999999999996E-2</v>
      </c>
      <c r="G116" s="939">
        <f>G36</f>
        <v>20965.008962084201</v>
      </c>
      <c r="H116" s="939">
        <f t="shared" si="103"/>
        <v>20965.008962084201</v>
      </c>
      <c r="I116" s="939">
        <f t="shared" si="103"/>
        <v>17599.223963710934</v>
      </c>
      <c r="J116" s="939">
        <f t="shared" si="103"/>
        <v>12401.963515519263</v>
      </c>
      <c r="K116" s="939">
        <f t="shared" si="103"/>
        <v>4339.9151971794827</v>
      </c>
      <c r="L116" s="939">
        <f t="shared" si="103"/>
        <v>754.16417805439505</v>
      </c>
      <c r="M116" s="939">
        <f t="shared" si="104"/>
        <v>1</v>
      </c>
      <c r="N116" s="939">
        <f t="shared" si="67"/>
        <v>0.83945702076920725</v>
      </c>
      <c r="O116" s="939">
        <f t="shared" si="68"/>
        <v>0.59155536436681511</v>
      </c>
      <c r="P116" s="939">
        <f t="shared" si="69"/>
        <v>0.20700755268115265</v>
      </c>
      <c r="Q116" s="939">
        <f t="shared" si="70"/>
        <v>3.5972518753429675E-2</v>
      </c>
      <c r="R116" s="939">
        <f t="shared" si="71"/>
        <v>4.7698524804283543E-5</v>
      </c>
      <c r="S116" s="212">
        <v>14.36</v>
      </c>
      <c r="T116" s="942">
        <f>W36</f>
        <v>14.5644836562465</v>
      </c>
      <c r="U116" s="939">
        <f t="shared" si="107"/>
        <v>12.929054154067694</v>
      </c>
      <c r="V116" s="939">
        <f t="shared" si="107"/>
        <v>11.140542301721721</v>
      </c>
      <c r="W116" s="939">
        <f t="shared" si="107"/>
        <v>9.5994402450084504</v>
      </c>
      <c r="X116" s="939">
        <f t="shared" si="107"/>
        <v>8.2715231019989606</v>
      </c>
      <c r="Y116" s="212"/>
      <c r="Z116" s="941">
        <f t="shared" si="106"/>
        <v>0.19776436705859718</v>
      </c>
      <c r="AA116" s="941">
        <f>1/SUMIFS('Vehicle data-proc2023'!AL$20:AL$117,'Vehicle data-proc2023'!$N$20:$N$117,Analytica!$C116,'Vehicle data-proc2023'!$Q$20:$Q$117,RIGHT(Analytica!$D116,3))</f>
        <v>0.20076074629210003</v>
      </c>
      <c r="AB116" s="941">
        <f>1/SUMIFS('Vehicle data-proc2023'!AM$20:AM$117,'Vehicle data-proc2023'!$N$20:$N$117,Analytica!$C116,'Vehicle data-proc2023'!$Q$20:$Q$117,RIGHT(Analytica!$D116,3))</f>
        <v>0.2038025244447535</v>
      </c>
      <c r="AC116" s="941">
        <f>1/SUMIFS('Vehicle data-proc2023'!AN$20:AN$117,'Vehicle data-proc2023'!$N$20:$N$117,Analytica!$C116,'Vehicle data-proc2023'!$Q$20:$Q$117,RIGHT(Analytica!$D116,3))</f>
        <v>0.21973761419035504</v>
      </c>
      <c r="AD116" s="941">
        <f>1/SUMIFS('Vehicle data-proc2023'!AO$20:AO$117,'Vehicle data-proc2023'!$N$20:$N$117,Analytica!$C116,'Vehicle data-proc2023'!$Q$20:$Q$117,RIGHT(Analytica!$D116,3))</f>
        <v>0.24296989100344107</v>
      </c>
      <c r="AE116" s="975">
        <f>1/SUMIFS('Vehicle data-proc2023'!AP$20:AP$117,'Vehicle data-proc2023'!$N$20:$N$117,Analytica!$C116,'Vehicle data-proc2023'!$Q$20:$Q$117,RIGHT(Analytica!$D116,3))</f>
        <v>0.26865845500208052</v>
      </c>
      <c r="AF116" s="975"/>
      <c r="AG116" s="943"/>
      <c r="AH116" s="943">
        <v>170.4864</v>
      </c>
      <c r="AI116" s="943">
        <v>433.22666666666669</v>
      </c>
      <c r="AJ116" s="943"/>
      <c r="AK116" s="943">
        <f>SUMIFS('Vehicle data-proc2023'!AD$20:AD$117,'Vehicle data-proc2023'!$N$20:$N$117,Analytica!$C116,'Vehicle data-proc2023'!$Q$20:$Q$117,RIGHT(Analytica!$D116,3))/1000</f>
        <v>322.55453757929689</v>
      </c>
      <c r="AL116" s="943">
        <f>SUMIFS('Vehicle data-proc2023'!AE$20:AE$117,'Vehicle data-proc2023'!$N$20:$N$117,Analytica!$C116,'Vehicle data-proc2023'!$Q$20:$Q$117,RIGHT(Analytica!$D116,3))/1000</f>
        <v>350.63787759734595</v>
      </c>
      <c r="AM116" s="943">
        <f>SUMIFS('Vehicle data-proc2023'!AF$20:AF$117,'Vehicle data-proc2023'!$N$20:$N$117,Analytica!$C116,'Vehicle data-proc2023'!$Q$20:$Q$117,RIGHT(Analytica!$D116,3))/1000</f>
        <v>357.09962238446946</v>
      </c>
      <c r="AN116" s="943">
        <f>SUMIFS('Vehicle data-proc2023'!AG$20:AG$117,'Vehicle data-proc2023'!$N$20:$N$117,Analytica!$C116,'Vehicle data-proc2023'!$Q$20:$Q$117,RIGHT(Analytica!$D116,3))/1000</f>
        <v>363.56136717159279</v>
      </c>
      <c r="AO116" s="943">
        <f>SUMIFS('Vehicle data-proc2023'!AH$20:AH$117,'Vehicle data-proc2023'!$N$20:$N$117,Analytica!$C116,'Vehicle data-proc2023'!$Q$20:$Q$117,RIGHT(Analytica!$D116,3))/1000</f>
        <v>371.50085823323019</v>
      </c>
      <c r="AP116" s="943">
        <f>SUMIFS('Vehicle data-proc2023'!AI$20:AI$117,'Vehicle data-proc2023'!$N$20:$N$117,Analytica!$C116,'Vehicle data-proc2023'!$Q$20:$Q$117,RIGHT(Analytica!$D116,3))/1000</f>
        <v>379.44034929486759</v>
      </c>
      <c r="AQ116" s="943">
        <f>SUMIFS('Vehicle data-proc2023'!AJ$20:AJ$117,'Vehicle data-proc2023'!$N$20:$N$117,Analytica!$C116,'Vehicle data-proc2023'!$Q$20:$Q$117,RIGHT(Analytica!$D116,3))/1000</f>
        <v>387.39622422821134</v>
      </c>
      <c r="AR116" s="942"/>
      <c r="AS116" s="212"/>
      <c r="AT116" s="944">
        <f t="shared" si="73"/>
        <v>2.7E-2</v>
      </c>
      <c r="AU116" s="942">
        <f t="shared" si="74"/>
        <v>8.7089725146410153</v>
      </c>
      <c r="AV116" s="942">
        <f t="shared" si="75"/>
        <v>9.4672226951283402</v>
      </c>
      <c r="AW116" s="942">
        <f t="shared" si="76"/>
        <v>9.8161569136330051</v>
      </c>
      <c r="AX116" s="942">
        <f t="shared" si="77"/>
        <v>10.244889430961425</v>
      </c>
      <c r="AY116" s="945">
        <f t="shared" si="78"/>
        <v>10.459698054161706</v>
      </c>
      <c r="BA116" s="164">
        <f t="shared" si="49"/>
        <v>0.41484012692213817</v>
      </c>
      <c r="BB116" s="61" t="s">
        <v>129</v>
      </c>
      <c r="BC116" s="167">
        <f>AJ116*1000</f>
        <v>0</v>
      </c>
    </row>
    <row r="117" spans="1:57" x14ac:dyDescent="0.25">
      <c r="A117" s="61" t="str">
        <f t="shared" si="65"/>
        <v>MBTGAS</v>
      </c>
      <c r="B117" s="61" t="str">
        <f>D117&amp;C117&amp;"-N"</f>
        <v>TPPUMBTGAS-N</v>
      </c>
      <c r="C117" s="61" t="s">
        <v>509</v>
      </c>
      <c r="D117" s="61" t="s">
        <v>523</v>
      </c>
      <c r="E117" s="61" t="s">
        <v>525</v>
      </c>
      <c r="F117" s="938">
        <f>F116</f>
        <v>3.4999999999999996E-2</v>
      </c>
      <c r="G117" s="939">
        <f>G116</f>
        <v>20965.008962084201</v>
      </c>
      <c r="H117" s="939">
        <f t="shared" si="103"/>
        <v>20965.008962084201</v>
      </c>
      <c r="I117" s="939">
        <f t="shared" si="103"/>
        <v>17599.223963710934</v>
      </c>
      <c r="J117" s="939">
        <f t="shared" si="103"/>
        <v>12401.963515519263</v>
      </c>
      <c r="K117" s="939">
        <f t="shared" si="103"/>
        <v>4339.9151971794827</v>
      </c>
      <c r="L117" s="939">
        <f t="shared" si="103"/>
        <v>754.16417805439505</v>
      </c>
      <c r="M117" s="939">
        <f t="shared" si="104"/>
        <v>1</v>
      </c>
      <c r="N117" s="939">
        <f t="shared" si="67"/>
        <v>0.83945702076920725</v>
      </c>
      <c r="O117" s="939">
        <f t="shared" si="68"/>
        <v>0.59155536436681511</v>
      </c>
      <c r="P117" s="939">
        <f t="shared" si="69"/>
        <v>0.20700755268115265</v>
      </c>
      <c r="Q117" s="939">
        <f t="shared" si="70"/>
        <v>3.5972518753429675E-2</v>
      </c>
      <c r="R117" s="939">
        <f t="shared" si="71"/>
        <v>4.7698524804283543E-5</v>
      </c>
      <c r="S117" s="212">
        <f>S70/S67*S116</f>
        <v>14.661861861861862</v>
      </c>
      <c r="T117" s="212">
        <f>T70/T67*T116</f>
        <v>13.817957687727693</v>
      </c>
      <c r="U117" s="939">
        <f t="shared" si="107"/>
        <v>12.266354747607245</v>
      </c>
      <c r="V117" s="939">
        <f t="shared" si="107"/>
        <v>10.569515938693012</v>
      </c>
      <c r="W117" s="939">
        <f t="shared" si="107"/>
        <v>9.1074055395371154</v>
      </c>
      <c r="X117" s="939">
        <f t="shared" si="107"/>
        <v>7.8475529194242357</v>
      </c>
      <c r="Y117" s="212"/>
      <c r="Z117" s="941">
        <f t="shared" si="106"/>
        <v>0.16855105586597574</v>
      </c>
      <c r="AA117" s="941">
        <f>1/SUMIFS('Vehicle data-proc2023'!AL$20:AL$117,'Vehicle data-proc2023'!$N$20:$N$117,Analytica!$C117,'Vehicle data-proc2023'!$Q$20:$Q$117,RIGHT(Analytica!$D117,3))</f>
        <v>0.17110481664246663</v>
      </c>
      <c r="AB117" s="941">
        <f>1/SUMIFS('Vehicle data-proc2023'!AM$20:AM$117,'Vehicle data-proc2023'!$N$20:$N$117,Analytica!$C117,'Vehicle data-proc2023'!$Q$20:$Q$117,RIGHT(Analytica!$D117,3))</f>
        <v>0.17369727011103256</v>
      </c>
      <c r="AC117" s="941">
        <f>1/SUMIFS('Vehicle data-proc2023'!AN$20:AN$117,'Vehicle data-proc2023'!$N$20:$N$117,Analytica!$C117,'Vehicle data-proc2023'!$Q$20:$Q$117,RIGHT(Analytica!$D117,3))</f>
        <v>0.18727846394229747</v>
      </c>
      <c r="AD117" s="941">
        <f>1/SUMIFS('Vehicle data-proc2023'!AO$20:AO$117,'Vehicle data-proc2023'!$N$20:$N$117,Analytica!$C117,'Vehicle data-proc2023'!$Q$20:$Q$117,RIGHT(Analytica!$D117,3))</f>
        <v>0.20707892064366076</v>
      </c>
      <c r="AE117" s="975">
        <f>1/SUMIFS('Vehicle data-proc2023'!AP$20:AP$117,'Vehicle data-proc2023'!$N$20:$N$117,Analytica!$C117,'Vehicle data-proc2023'!$Q$20:$Q$117,RIGHT(Analytica!$D117,3))</f>
        <v>0.22897282726622464</v>
      </c>
      <c r="AF117" s="975"/>
      <c r="AG117" s="943"/>
      <c r="AH117" s="943">
        <f>AH116*(1+$AR$57)</f>
        <v>187.53504000000001</v>
      </c>
      <c r="AI117" s="943">
        <f>AI116*(1+$AR$57)</f>
        <v>476.54933333333338</v>
      </c>
      <c r="AJ117" s="943"/>
      <c r="AK117" s="943">
        <f>SUMIFS('Vehicle data-proc2023'!AD$20:AD$117,'Vehicle data-proc2023'!$N$20:$N$117,Analytica!$C117,'Vehicle data-proc2023'!$Q$20:$Q$117,RIGHT(Analytica!$D117,3))/1000</f>
        <v>519.12041439989491</v>
      </c>
      <c r="AL117" s="943">
        <f>SUMIFS('Vehicle data-proc2023'!AE$20:AE$117,'Vehicle data-proc2023'!$N$20:$N$117,Analytica!$C117,'Vehicle data-proc2023'!$Q$20:$Q$117,RIGHT(Analytica!$D117,3))/1000</f>
        <v>545.62674611489456</v>
      </c>
      <c r="AM117" s="943">
        <f>SUMIFS('Vehicle data-proc2023'!AF$20:AF$117,'Vehicle data-proc2023'!$N$20:$N$117,Analytica!$C117,'Vehicle data-proc2023'!$Q$20:$Q$117,RIGHT(Analytica!$D117,3))/1000</f>
        <v>551.3701241175919</v>
      </c>
      <c r="AN117" s="943">
        <f>SUMIFS('Vehicle data-proc2023'!AG$20:AG$117,'Vehicle data-proc2023'!$N$20:$N$117,Analytica!$C117,'Vehicle data-proc2023'!$Q$20:$Q$117,RIGHT(Analytica!$D117,3))/1000</f>
        <v>557.11350212028935</v>
      </c>
      <c r="AO117" s="943">
        <f>SUMIFS('Vehicle data-proc2023'!AH$20:AH$117,'Vehicle data-proc2023'!$N$20:$N$117,Analytica!$C117,'Vehicle data-proc2023'!$Q$20:$Q$117,RIGHT(Analytica!$D117,3))/1000</f>
        <v>565.34503849646865</v>
      </c>
      <c r="AP117" s="943">
        <f>SUMIFS('Vehicle data-proc2023'!AI$20:AI$117,'Vehicle data-proc2023'!$N$20:$N$117,Analytica!$C117,'Vehicle data-proc2023'!$Q$20:$Q$117,RIGHT(Analytica!$D117,3))/1000</f>
        <v>573.57657487264794</v>
      </c>
      <c r="AQ117" s="943">
        <f>SUMIFS('Vehicle data-proc2023'!AJ$20:AJ$117,'Vehicle data-proc2023'!$N$20:$N$117,Analytica!$C117,'Vehicle data-proc2023'!$Q$20:$Q$117,RIGHT(Analytica!$D117,3))/1000</f>
        <v>580.79572210982678</v>
      </c>
      <c r="AR117" s="942"/>
      <c r="AS117" s="212"/>
      <c r="AT117" s="944">
        <f t="shared" si="73"/>
        <v>2.7E-2</v>
      </c>
      <c r="AU117" s="942">
        <f t="shared" si="74"/>
        <v>14.016251188797163</v>
      </c>
      <c r="AV117" s="942">
        <f t="shared" si="75"/>
        <v>14.731922145102153</v>
      </c>
      <c r="AW117" s="942">
        <f t="shared" si="76"/>
        <v>15.042064557247812</v>
      </c>
      <c r="AX117" s="942">
        <f t="shared" si="77"/>
        <v>15.486567521561494</v>
      </c>
      <c r="AY117" s="945">
        <f t="shared" si="78"/>
        <v>15.681484496965323</v>
      </c>
      <c r="BA117" s="164">
        <f t="shared" si="49"/>
        <v>0</v>
      </c>
      <c r="BB117" s="61" t="s">
        <v>524</v>
      </c>
      <c r="BC117" s="167">
        <f>AJ117*1000</f>
        <v>0</v>
      </c>
    </row>
    <row r="118" spans="1:57" x14ac:dyDescent="0.25">
      <c r="A118" s="61" t="str">
        <f t="shared" si="65"/>
        <v>MBTHGN</v>
      </c>
      <c r="B118" s="61" t="str">
        <f>D118&amp;C118&amp;"F-N"</f>
        <v>TPPUMBTHGNF-N</v>
      </c>
      <c r="C118" s="61" t="s">
        <v>504</v>
      </c>
      <c r="D118" s="61" t="s">
        <v>523</v>
      </c>
      <c r="E118" s="61" t="s">
        <v>1005</v>
      </c>
      <c r="F118" s="938">
        <f>F116</f>
        <v>3.4999999999999996E-2</v>
      </c>
      <c r="G118" s="939">
        <f>G117</f>
        <v>20965.008962084201</v>
      </c>
      <c r="H118" s="939">
        <f t="shared" ref="H118:L127" si="108">(EXP(-((H$58)*$F118))*G118)</f>
        <v>20965.008962084201</v>
      </c>
      <c r="I118" s="939">
        <f t="shared" si="108"/>
        <v>17599.223963710934</v>
      </c>
      <c r="J118" s="939">
        <f t="shared" si="108"/>
        <v>12401.963515519263</v>
      </c>
      <c r="K118" s="939">
        <f t="shared" si="108"/>
        <v>4339.9151971794827</v>
      </c>
      <c r="L118" s="939">
        <f t="shared" si="108"/>
        <v>754.16417805439505</v>
      </c>
      <c r="M118" s="939">
        <f t="shared" si="104"/>
        <v>1</v>
      </c>
      <c r="N118" s="939">
        <f t="shared" si="67"/>
        <v>0.83945702076920725</v>
      </c>
      <c r="O118" s="939">
        <f t="shared" si="68"/>
        <v>0.59155536436681511</v>
      </c>
      <c r="P118" s="939">
        <f t="shared" si="69"/>
        <v>0.20700755268115265</v>
      </c>
      <c r="Q118" s="939">
        <f t="shared" si="70"/>
        <v>3.5972518753429675E-2</v>
      </c>
      <c r="R118" s="939">
        <f t="shared" si="71"/>
        <v>4.7698524804283543E-5</v>
      </c>
      <c r="S118" s="939">
        <f t="shared" ref="S118:X118" si="109">S116*S71/S67</f>
        <v>8.1485879482876076</v>
      </c>
      <c r="T118" s="939">
        <f t="shared" si="109"/>
        <v>7.679573341026396</v>
      </c>
      <c r="U118" s="939">
        <f t="shared" si="109"/>
        <v>7.336597135278125</v>
      </c>
      <c r="V118" s="939">
        <f t="shared" si="109"/>
        <v>6.32170534381601</v>
      </c>
      <c r="W118" s="939">
        <f t="shared" si="109"/>
        <v>5.4472063433692828</v>
      </c>
      <c r="X118" s="939">
        <f t="shared" si="109"/>
        <v>4.6936792105105329</v>
      </c>
      <c r="Y118" s="212"/>
      <c r="Z118" s="941">
        <f t="shared" si="106"/>
        <v>0.40137480683209231</v>
      </c>
      <c r="AA118" s="941">
        <f>1/SUMIFS('Vehicle data-proc2023'!AL$20:AL$117,'Vehicle data-proc2023'!$N$20:$N$117,Analytica!$C118,'Vehicle data-proc2023'!$Q$20:$Q$117,RIGHT(Analytica!$D118,3))</f>
        <v>0.40745614066351282</v>
      </c>
      <c r="AB118" s="941">
        <f>1/SUMIFS('Vehicle data-proc2023'!AM$20:AM$117,'Vehicle data-proc2023'!$N$20:$N$117,Analytica!$C118,'Vehicle data-proc2023'!$Q$20:$Q$117,RIGHT(Analytica!$D118,3))</f>
        <v>0.41362961436156093</v>
      </c>
      <c r="AC118" s="941">
        <f>1/SUMIFS('Vehicle data-proc2023'!AN$20:AN$117,'Vehicle data-proc2023'!$N$20:$N$117,Analytica!$C118,'Vehicle data-proc2023'!$Q$20:$Q$117,RIGHT(Analytica!$D118,3))</f>
        <v>0.44597084783866037</v>
      </c>
      <c r="AD118" s="941">
        <f>1/SUMIFS('Vehicle data-proc2023'!AO$20:AO$117,'Vehicle data-proc2023'!$N$20:$N$117,Analytica!$C118,'Vehicle data-proc2023'!$Q$20:$Q$117,RIGHT(Analytica!$D118,3))</f>
        <v>0.49312216613129889</v>
      </c>
      <c r="AE118" s="975">
        <f>1/SUMIFS('Vehicle data-proc2023'!AP$20:AP$117,'Vehicle data-proc2023'!$N$20:$N$117,Analytica!$C118,'Vehicle data-proc2023'!$Q$20:$Q$117,RIGHT(Analytica!$D118,3))</f>
        <v>0.54525866860695826</v>
      </c>
      <c r="AF118" s="975"/>
      <c r="AG118" s="943"/>
      <c r="AH118" s="943"/>
      <c r="AI118" s="943"/>
      <c r="AJ118" s="943"/>
      <c r="AK118" s="943">
        <f>SUMIFS('Vehicle data-proc2023'!AD$20:AD$117,'Vehicle data-proc2023'!$N$20:$N$117,Analytica!$C118,'Vehicle data-proc2023'!$Q$20:$Q$117,RIGHT(Analytica!$D118,3))/1000</f>
        <v>4486.5356914122794</v>
      </c>
      <c r="AL118" s="943">
        <f>SUMIFS('Vehicle data-proc2023'!AE$20:AE$117,'Vehicle data-proc2023'!$N$20:$N$117,Analytica!$C118,'Vehicle data-proc2023'!$Q$20:$Q$117,RIGHT(Analytica!$D118,3))/1000</f>
        <v>1793.7891316594641</v>
      </c>
      <c r="AM118" s="943">
        <f>SUMIFS('Vehicle data-proc2023'!AF$20:AF$117,'Vehicle data-proc2023'!$N$20:$N$117,Analytica!$C118,'Vehicle data-proc2023'!$Q$20:$Q$117,RIGHT(Analytica!$D118,3))/1000</f>
        <v>1377.0389964110029</v>
      </c>
      <c r="AN118" s="943">
        <f>SUMIFS('Vehicle data-proc2023'!AG$20:AG$117,'Vehicle data-proc2023'!$N$20:$N$117,Analytica!$C118,'Vehicle data-proc2023'!$Q$20:$Q$117,RIGHT(Analytica!$D118,3))/1000</f>
        <v>960.28886116254182</v>
      </c>
      <c r="AO118" s="943">
        <f>SUMIFS('Vehicle data-proc2023'!AH$20:AH$117,'Vehicle data-proc2023'!$N$20:$N$117,Analytica!$C118,'Vehicle data-proc2023'!$Q$20:$Q$117,RIGHT(Analytica!$D118,3))/1000</f>
        <v>914.45644042789343</v>
      </c>
      <c r="AP118" s="943">
        <f>SUMIFS('Vehicle data-proc2023'!AI$20:AI$117,'Vehicle data-proc2023'!$N$20:$N$117,Analytica!$C118,'Vehicle data-proc2023'!$Q$20:$Q$117,RIGHT(Analytica!$D118,3))/1000</f>
        <v>868.6240196932448</v>
      </c>
      <c r="AQ118" s="943">
        <f>SUMIFS('Vehicle data-proc2023'!AJ$20:AJ$117,'Vehicle data-proc2023'!$N$20:$N$117,Analytica!$C118,'Vehicle data-proc2023'!$Q$20:$Q$117,RIGHT(Analytica!$D118,3))/1000</f>
        <v>387.39622422821134</v>
      </c>
      <c r="AR118" s="942"/>
      <c r="AS118" s="212"/>
      <c r="AT118" s="944">
        <f t="shared" si="73"/>
        <v>2.7E-2</v>
      </c>
      <c r="AU118" s="942">
        <f t="shared" si="74"/>
        <v>121.13646366813154</v>
      </c>
      <c r="AV118" s="942">
        <f t="shared" si="75"/>
        <v>48.432306554805528</v>
      </c>
      <c r="AW118" s="942">
        <f t="shared" si="76"/>
        <v>25.927799251388628</v>
      </c>
      <c r="AX118" s="942">
        <f t="shared" si="77"/>
        <v>23.45284853171761</v>
      </c>
      <c r="AY118" s="945">
        <f t="shared" si="78"/>
        <v>10.459698054161706</v>
      </c>
      <c r="BA118" s="164">
        <v>0</v>
      </c>
      <c r="BC118" s="169">
        <f>BC117-BC116</f>
        <v>0</v>
      </c>
      <c r="BD118" s="167">
        <f>BC118/5.5</f>
        <v>0</v>
      </c>
      <c r="BE118" s="61" t="s">
        <v>522</v>
      </c>
    </row>
    <row r="119" spans="1:57" x14ac:dyDescent="0.25">
      <c r="A119" s="61" t="str">
        <f t="shared" si="65"/>
        <v>MBTBGS</v>
      </c>
      <c r="B119" s="61" t="str">
        <f t="shared" ref="B119:B125" si="110">D119&amp;C119&amp;"-N"</f>
        <v>TPPUMBTBGS-N</v>
      </c>
      <c r="C119" s="61" t="s">
        <v>506</v>
      </c>
      <c r="D119" s="61" t="s">
        <v>523</v>
      </c>
      <c r="E119" s="61" t="s">
        <v>1006</v>
      </c>
      <c r="F119" s="938">
        <f>F116</f>
        <v>3.4999999999999996E-2</v>
      </c>
      <c r="G119" s="939">
        <f>G118</f>
        <v>20965.008962084201</v>
      </c>
      <c r="H119" s="939">
        <f t="shared" si="108"/>
        <v>20965.008962084201</v>
      </c>
      <c r="I119" s="939">
        <f t="shared" si="108"/>
        <v>17599.223963710934</v>
      </c>
      <c r="J119" s="939">
        <f t="shared" si="108"/>
        <v>12401.963515519263</v>
      </c>
      <c r="K119" s="939">
        <f t="shared" si="108"/>
        <v>4339.9151971794827</v>
      </c>
      <c r="L119" s="939">
        <f t="shared" si="108"/>
        <v>754.16417805439505</v>
      </c>
      <c r="M119" s="939">
        <f t="shared" si="104"/>
        <v>1</v>
      </c>
      <c r="N119" s="939">
        <f t="shared" si="67"/>
        <v>0.83945702076920725</v>
      </c>
      <c r="O119" s="939">
        <f t="shared" si="68"/>
        <v>0.59155536436681511</v>
      </c>
      <c r="P119" s="939">
        <f t="shared" si="69"/>
        <v>0.20700755268115265</v>
      </c>
      <c r="Q119" s="939">
        <f t="shared" si="70"/>
        <v>3.5972518753429675E-2</v>
      </c>
      <c r="R119" s="939">
        <f t="shared" si="71"/>
        <v>4.7698524804283543E-5</v>
      </c>
      <c r="S119" s="939">
        <v>19.333899391304378</v>
      </c>
      <c r="T119" s="939">
        <f>S119</f>
        <v>19.333899391304378</v>
      </c>
      <c r="U119" s="939">
        <f t="shared" ref="U119:X124" si="111">T119/((1+U$57)^(U$58-T$58))</f>
        <v>17.162917556110038</v>
      </c>
      <c r="V119" s="939">
        <f t="shared" si="111"/>
        <v>14.788723658849419</v>
      </c>
      <c r="W119" s="939">
        <f t="shared" si="111"/>
        <v>12.742958575825156</v>
      </c>
      <c r="X119" s="939">
        <f t="shared" si="111"/>
        <v>10.980189839981735</v>
      </c>
      <c r="Y119" s="212"/>
      <c r="Z119" s="941">
        <f t="shared" si="106"/>
        <v>0.19776436705859718</v>
      </c>
      <c r="AA119" s="941">
        <f>1/SUMIFS('Vehicle data-proc2023'!AL$20:AL$117,'Vehicle data-proc2023'!$N$20:$N$117,Analytica!$C119,'Vehicle data-proc2023'!$Q$20:$Q$117,RIGHT(Analytica!$D119,3))</f>
        <v>0.20076074629210003</v>
      </c>
      <c r="AB119" s="941">
        <f>1/SUMIFS('Vehicle data-proc2023'!AM$20:AM$117,'Vehicle data-proc2023'!$N$20:$N$117,Analytica!$C119,'Vehicle data-proc2023'!$Q$20:$Q$117,RIGHT(Analytica!$D119,3))</f>
        <v>0.2038025244447535</v>
      </c>
      <c r="AC119" s="941">
        <f>1/SUMIFS('Vehicle data-proc2023'!AN$20:AN$117,'Vehicle data-proc2023'!$N$20:$N$117,Analytica!$C119,'Vehicle data-proc2023'!$Q$20:$Q$117,RIGHT(Analytica!$D119,3))</f>
        <v>0.21973761419035504</v>
      </c>
      <c r="AD119" s="941">
        <f>1/SUMIFS('Vehicle data-proc2023'!AO$20:AO$117,'Vehicle data-proc2023'!$N$20:$N$117,Analytica!$C119,'Vehicle data-proc2023'!$Q$20:$Q$117,RIGHT(Analytica!$D119,3))</f>
        <v>0.24296989100344107</v>
      </c>
      <c r="AE119" s="975">
        <f>1/SUMIFS('Vehicle data-proc2023'!AP$20:AP$117,'Vehicle data-proc2023'!$N$20:$N$117,Analytica!$C119,'Vehicle data-proc2023'!$Q$20:$Q$117,RIGHT(Analytica!$D119,3))</f>
        <v>0.26865845500208052</v>
      </c>
      <c r="AF119" s="975"/>
      <c r="AG119" s="943"/>
      <c r="AH119" s="943"/>
      <c r="AI119" s="943"/>
      <c r="AJ119" s="943"/>
      <c r="AK119" s="943">
        <f>SUMIFS('Vehicle data-proc2023'!AD$20:AD$117,'Vehicle data-proc2023'!$N$20:$N$117,Analytica!$C119,'Vehicle data-proc2023'!$Q$20:$Q$117,RIGHT(Analytica!$D119,3))/1000</f>
        <v>322.55453757929689</v>
      </c>
      <c r="AL119" s="943">
        <f>SUMIFS('Vehicle data-proc2023'!AE$20:AE$117,'Vehicle data-proc2023'!$N$20:$N$117,Analytica!$C119,'Vehicle data-proc2023'!$Q$20:$Q$117,RIGHT(Analytica!$D119,3))/1000</f>
        <v>350.63787759734595</v>
      </c>
      <c r="AM119" s="943">
        <f>SUMIFS('Vehicle data-proc2023'!AF$20:AF$117,'Vehicle data-proc2023'!$N$20:$N$117,Analytica!$C119,'Vehicle data-proc2023'!$Q$20:$Q$117,RIGHT(Analytica!$D119,3))/1000</f>
        <v>357.09962238446946</v>
      </c>
      <c r="AN119" s="943">
        <f>SUMIFS('Vehicle data-proc2023'!AG$20:AG$117,'Vehicle data-proc2023'!$N$20:$N$117,Analytica!$C119,'Vehicle data-proc2023'!$Q$20:$Q$117,RIGHT(Analytica!$D119,3))/1000</f>
        <v>363.56136717159279</v>
      </c>
      <c r="AO119" s="943">
        <f>SUMIFS('Vehicle data-proc2023'!AH$20:AH$117,'Vehicle data-proc2023'!$N$20:$N$117,Analytica!$C119,'Vehicle data-proc2023'!$Q$20:$Q$117,RIGHT(Analytica!$D119,3))/1000</f>
        <v>371.50085823323019</v>
      </c>
      <c r="AP119" s="943">
        <f>SUMIFS('Vehicle data-proc2023'!AI$20:AI$117,'Vehicle data-proc2023'!$N$20:$N$117,Analytica!$C119,'Vehicle data-proc2023'!$Q$20:$Q$117,RIGHT(Analytica!$D119,3))/1000</f>
        <v>379.44034929486759</v>
      </c>
      <c r="AQ119" s="943">
        <f>SUMIFS('Vehicle data-proc2023'!AJ$20:AJ$117,'Vehicle data-proc2023'!$N$20:$N$117,Analytica!$C119,'Vehicle data-proc2023'!$Q$20:$Q$117,RIGHT(Analytica!$D119,3))/1000</f>
        <v>387.39622422821134</v>
      </c>
      <c r="AR119" s="942"/>
      <c r="AS119" s="212"/>
      <c r="AT119" s="944">
        <f t="shared" si="73"/>
        <v>2.7E-2</v>
      </c>
      <c r="AU119" s="942">
        <f t="shared" si="74"/>
        <v>8.7089725146410153</v>
      </c>
      <c r="AV119" s="942">
        <f t="shared" si="75"/>
        <v>9.4672226951283402</v>
      </c>
      <c r="AW119" s="942">
        <f t="shared" si="76"/>
        <v>9.8161569136330051</v>
      </c>
      <c r="AX119" s="942">
        <f t="shared" si="77"/>
        <v>10.244889430961425</v>
      </c>
      <c r="AY119" s="945">
        <f t="shared" si="78"/>
        <v>10.459698054161706</v>
      </c>
      <c r="BA119" s="164">
        <v>1</v>
      </c>
      <c r="BC119" s="167">
        <f>BC118-BC117</f>
        <v>0</v>
      </c>
      <c r="BD119" s="167">
        <f>BC119/5.5</f>
        <v>0</v>
      </c>
      <c r="BE119" s="61" t="s">
        <v>522</v>
      </c>
    </row>
    <row r="120" spans="1:57" x14ac:dyDescent="0.25">
      <c r="A120" s="61" t="str">
        <f t="shared" si="65"/>
        <v>MBTELC</v>
      </c>
      <c r="B120" s="61" t="str">
        <f t="shared" si="110"/>
        <v>TPPUMBTELC-N</v>
      </c>
      <c r="C120" s="61" t="s">
        <v>501</v>
      </c>
      <c r="D120" s="61" t="s">
        <v>523</v>
      </c>
      <c r="E120" t="s">
        <v>500</v>
      </c>
      <c r="F120" s="938">
        <f>F117</f>
        <v>3.4999999999999996E-2</v>
      </c>
      <c r="G120" s="939">
        <f>G119</f>
        <v>20965.008962084201</v>
      </c>
      <c r="H120" s="939">
        <f t="shared" si="108"/>
        <v>20965.008962084201</v>
      </c>
      <c r="I120" s="939">
        <f t="shared" si="108"/>
        <v>17599.223963710934</v>
      </c>
      <c r="J120" s="939">
        <f t="shared" si="108"/>
        <v>12401.963515519263</v>
      </c>
      <c r="K120" s="939">
        <f t="shared" si="108"/>
        <v>4339.9151971794827</v>
      </c>
      <c r="L120" s="939">
        <f t="shared" si="108"/>
        <v>754.16417805439505</v>
      </c>
      <c r="M120" s="939">
        <f t="shared" si="104"/>
        <v>1</v>
      </c>
      <c r="N120" s="939">
        <f t="shared" si="67"/>
        <v>0.83945702076920725</v>
      </c>
      <c r="O120" s="939">
        <f t="shared" si="68"/>
        <v>0.59155536436681511</v>
      </c>
      <c r="P120" s="939">
        <f t="shared" si="69"/>
        <v>0.20700755268115265</v>
      </c>
      <c r="Q120" s="939">
        <f t="shared" si="70"/>
        <v>3.5972518753429675E-2</v>
      </c>
      <c r="R120" s="939">
        <f t="shared" si="71"/>
        <v>4.7698524804283543E-5</v>
      </c>
      <c r="S120" s="952">
        <v>19.333899391304378</v>
      </c>
      <c r="T120" s="212">
        <f>S120</f>
        <v>19.333899391304378</v>
      </c>
      <c r="U120" s="939">
        <f t="shared" si="111"/>
        <v>17.162917556110038</v>
      </c>
      <c r="V120" s="939">
        <f t="shared" si="111"/>
        <v>14.788723658849419</v>
      </c>
      <c r="W120" s="939">
        <f t="shared" si="111"/>
        <v>12.742958575825156</v>
      </c>
      <c r="X120" s="939">
        <f t="shared" si="111"/>
        <v>10.980189839981735</v>
      </c>
      <c r="Y120" s="212"/>
      <c r="Z120" s="941">
        <f t="shared" si="106"/>
        <v>0.79029032448844172</v>
      </c>
      <c r="AA120" s="941">
        <f>1/SUMIFS('Vehicle data-proc2023'!AL$20:AL$117,'Vehicle data-proc2023'!$N$20:$N$117,Analytica!$C120,'Vehicle data-proc2023'!$Q$20:$Q$117,RIGHT(Analytica!$D120,3))</f>
        <v>0.80226421822852978</v>
      </c>
      <c r="AB120" s="941">
        <f>1/SUMIFS('Vehicle data-proc2023'!AM$20:AM$117,'Vehicle data-proc2023'!$N$20:$N$117,Analytica!$C120,'Vehicle data-proc2023'!$Q$20:$Q$117,RIGHT(Analytica!$D120,3))</f>
        <v>0.81441953153919366</v>
      </c>
      <c r="AC120" s="941">
        <f>1/SUMIFS('Vehicle data-proc2023'!AN$20:AN$117,'Vehicle data-proc2023'!$N$20:$N$117,Analytica!$C120,'Vehicle data-proc2023'!$Q$20:$Q$117,RIGHT(Analytica!$D120,3))</f>
        <v>0.87809807703810294</v>
      </c>
      <c r="AD120" s="941">
        <f>1/SUMIFS('Vehicle data-proc2023'!AO$20:AO$117,'Vehicle data-proc2023'!$N$20:$N$117,Analytica!$C120,'Vehicle data-proc2023'!$Q$20:$Q$117,RIGHT(Analytica!$D120,3))</f>
        <v>0.9709370644365708</v>
      </c>
      <c r="AE120" s="975">
        <f>1/SUMIFS('Vehicle data-proc2023'!AP$20:AP$117,'Vehicle data-proc2023'!$N$20:$N$117,Analytica!$C120,'Vehicle data-proc2023'!$Q$20:$Q$117,RIGHT(Analytica!$D120,3))</f>
        <v>1.07359167244344</v>
      </c>
      <c r="AF120" s="975"/>
      <c r="AG120" s="943"/>
      <c r="AH120" s="975"/>
      <c r="AI120" s="943"/>
      <c r="AJ120" s="943"/>
      <c r="AK120" s="943">
        <f>SUMIFS('Vehicle data-proc2023'!AD$20:AD$117,'Vehicle data-proc2023'!$N$20:$N$117,Analytica!$C120,'Vehicle data-proc2023'!$Q$20:$Q$117,RIGHT(Analytica!$D120,3))/1000</f>
        <v>1200.3559594665694</v>
      </c>
      <c r="AL120" s="943">
        <f>SUMIFS('Vehicle data-proc2023'!AE$20:AE$117,'Vehicle data-proc2023'!$N$20:$N$117,Analytica!$C120,'Vehicle data-proc2023'!$Q$20:$Q$117,RIGHT(Analytica!$D120,3))/1000</f>
        <v>820.96300033176112</v>
      </c>
      <c r="AM120" s="943">
        <f>SUMIFS('Vehicle data-proc2023'!AF$20:AF$117,'Vehicle data-proc2023'!$N$20:$N$117,Analytica!$C120,'Vehicle data-proc2023'!$Q$20:$Q$117,RIGHT(Analytica!$D120,3))/1000</f>
        <v>755.33369376548785</v>
      </c>
      <c r="AN120" s="943">
        <f>SUMIFS('Vehicle data-proc2023'!AG$20:AG$117,'Vehicle data-proc2023'!$N$20:$N$117,Analytica!$C120,'Vehicle data-proc2023'!$Q$20:$Q$117,RIGHT(Analytica!$D120,3))/1000</f>
        <v>363.56136717159279</v>
      </c>
      <c r="AO120" s="943">
        <f>SUMIFS('Vehicle data-proc2023'!AH$20:AH$117,'Vehicle data-proc2023'!$N$20:$N$117,Analytica!$C120,'Vehicle data-proc2023'!$Q$20:$Q$117,RIGHT(Analytica!$D120,3))/1000</f>
        <v>371.50085823323019</v>
      </c>
      <c r="AP120" s="943">
        <f>SUMIFS('Vehicle data-proc2023'!AI$20:AI$117,'Vehicle data-proc2023'!$N$20:$N$117,Analytica!$C120,'Vehicle data-proc2023'!$Q$20:$Q$117,RIGHT(Analytica!$D120,3))/1000</f>
        <v>379.44034929486759</v>
      </c>
      <c r="AQ120" s="943">
        <f>SUMIFS('Vehicle data-proc2023'!AJ$20:AJ$117,'Vehicle data-proc2023'!$N$20:$N$117,Analytica!$C120,'Vehicle data-proc2023'!$Q$20:$Q$117,RIGHT(Analytica!$D120,3))/1000</f>
        <v>387.39622422821134</v>
      </c>
      <c r="AR120" s="942"/>
      <c r="AS120" s="212"/>
      <c r="AT120" s="944">
        <f t="shared" si="73"/>
        <v>2.0250000000000001E-2</v>
      </c>
      <c r="AU120" s="942">
        <f t="shared" si="74"/>
        <v>24.307208179198032</v>
      </c>
      <c r="AV120" s="942">
        <f t="shared" si="75"/>
        <v>16.624500756718163</v>
      </c>
      <c r="AW120" s="942">
        <f t="shared" si="76"/>
        <v>7.3621176852247538</v>
      </c>
      <c r="AX120" s="942">
        <f t="shared" si="77"/>
        <v>7.683667073221069</v>
      </c>
      <c r="AY120" s="945">
        <f t="shared" si="78"/>
        <v>7.8447735406212802</v>
      </c>
      <c r="BA120" s="164">
        <v>1</v>
      </c>
      <c r="BC120" s="167">
        <f>BC119-BC118</f>
        <v>0</v>
      </c>
      <c r="BD120" s="61">
        <f>BC120/5.5</f>
        <v>0</v>
      </c>
      <c r="BE120" s="61" t="s">
        <v>522</v>
      </c>
    </row>
    <row r="121" spans="1:57" x14ac:dyDescent="0.25">
      <c r="A121" s="61" t="str">
        <f t="shared" si="65"/>
        <v>SUVODSH</v>
      </c>
      <c r="B121" s="61" t="str">
        <f t="shared" si="110"/>
        <v>TPPRSUVODSH-N</v>
      </c>
      <c r="C121" s="61" t="s">
        <v>521</v>
      </c>
      <c r="D121" s="61" t="s">
        <v>516</v>
      </c>
      <c r="E121" s="61" t="s">
        <v>520</v>
      </c>
      <c r="F121" s="938">
        <f>F122</f>
        <v>2.4E-2</v>
      </c>
      <c r="G121" s="939">
        <f>G123</f>
        <v>22250.436222693301</v>
      </c>
      <c r="H121" s="939">
        <f t="shared" si="108"/>
        <v>22250.436222693301</v>
      </c>
      <c r="I121" s="939">
        <f t="shared" si="108"/>
        <v>19734.366611778401</v>
      </c>
      <c r="J121" s="939">
        <f t="shared" si="108"/>
        <v>15523.602597326451</v>
      </c>
      <c r="K121" s="939">
        <f t="shared" si="108"/>
        <v>7556.1485848747261</v>
      </c>
      <c r="L121" s="939">
        <f t="shared" si="108"/>
        <v>2275.8682181128447</v>
      </c>
      <c r="M121" s="939">
        <f t="shared" si="104"/>
        <v>1</v>
      </c>
      <c r="N121" s="939">
        <f t="shared" si="67"/>
        <v>0.88692043671715748</v>
      </c>
      <c r="O121" s="939">
        <f t="shared" si="68"/>
        <v>0.69767632607103103</v>
      </c>
      <c r="P121" s="939">
        <f t="shared" si="69"/>
        <v>0.33959552564493917</v>
      </c>
      <c r="Q121" s="939">
        <f t="shared" si="70"/>
        <v>0.10228420671553749</v>
      </c>
      <c r="R121" s="939">
        <f t="shared" si="71"/>
        <v>4.4942939095283732E-5</v>
      </c>
      <c r="S121" s="212">
        <f>S122/1.3</f>
        <v>9.2051282051282044</v>
      </c>
      <c r="T121" s="212">
        <f>T122/1.3</f>
        <v>8.6630075528088462</v>
      </c>
      <c r="U121" s="939">
        <f t="shared" si="111"/>
        <v>7.6902481702003831</v>
      </c>
      <c r="V121" s="939">
        <f t="shared" si="111"/>
        <v>6.6264348520731602</v>
      </c>
      <c r="W121" s="939">
        <f t="shared" si="111"/>
        <v>5.7097817751732842</v>
      </c>
      <c r="X121" s="939">
        <f t="shared" si="111"/>
        <v>4.9199318559513454</v>
      </c>
      <c r="Y121" s="212"/>
      <c r="Z121" s="941">
        <f>Z64/Z65 *Z122</f>
        <v>0.29845274217055912</v>
      </c>
      <c r="AA121" s="941">
        <f>1/SUMIFS('Vehicle data-proc2023'!AL$20:AL$117,'Vehicle data-proc2023'!$N$20:$N$117,Analytica!$C121,'Vehicle data-proc2023'!$Q$20:$Q$117,RIGHT(Analytica!$D121,3))</f>
        <v>0.50166252636530251</v>
      </c>
      <c r="AB121" s="941">
        <f>1/SUMIFS('Vehicle data-proc2023'!AM$20:AM$117,'Vehicle data-proc2023'!$N$20:$N$117,Analytica!$C121,'Vehicle data-proc2023'!$Q$20:$Q$117,RIGHT(Analytica!$D121,3))</f>
        <v>0.50926334545412344</v>
      </c>
      <c r="AC121" s="941">
        <f>1/SUMIFS('Vehicle data-proc2023'!AN$20:AN$117,'Vehicle data-proc2023'!$N$20:$N$117,Analytica!$C121,'Vehicle data-proc2023'!$Q$20:$Q$117,RIGHT(Analytica!$D121,3))</f>
        <v>0.54908207260711606</v>
      </c>
      <c r="AD121" s="941">
        <f>1/SUMIFS('Vehicle data-proc2023'!AO$20:AO$117,'Vehicle data-proc2023'!$N$20:$N$117,Analytica!$C121,'Vehicle data-proc2023'!$Q$20:$Q$117,RIGHT(Analytica!$D121,3))</f>
        <v>0.60713506799852335</v>
      </c>
      <c r="AE121" s="941">
        <f>1/SUMIFS('Vehicle data-proc2023'!AP$20:AP$117,'Vehicle data-proc2023'!$N$20:$N$117,Analytica!$C121,'Vehicle data-proc2023'!$Q$20:$Q$117,RIGHT(Analytica!$D121,3))</f>
        <v>0.67132585306117754</v>
      </c>
      <c r="AF121" s="941"/>
      <c r="AG121" s="943">
        <v>1</v>
      </c>
      <c r="AH121" s="943">
        <f>AH64/AH65*AH122</f>
        <v>783.91454624056792</v>
      </c>
      <c r="AI121" s="943">
        <f>AI64/AI65*AI122</f>
        <v>0</v>
      </c>
      <c r="AJ121" s="943"/>
      <c r="AK121" s="943">
        <f>SUMIFS('Vehicle data-proc2023'!AD$20:AD$117,'Vehicle data-proc2023'!$N$20:$N$117,Analytica!$C121,'Vehicle data-proc2023'!$Q$20:$Q$117,RIGHT(Analytica!$D121,3))/1000</f>
        <v>684.96798910243899</v>
      </c>
      <c r="AL121" s="943">
        <f>SUMIFS('Vehicle data-proc2023'!AE$20:AE$117,'Vehicle data-proc2023'!$N$20:$N$117,Analytica!$C121,'Vehicle data-proc2023'!$Q$20:$Q$117,RIGHT(Analytica!$D121,3))/1000</f>
        <v>676.04693374770159</v>
      </c>
      <c r="AM121" s="943">
        <f>SUMIFS('Vehicle data-proc2023'!AF$20:AF$117,'Vehicle data-proc2023'!$N$20:$N$117,Analytica!$C121,'Vehicle data-proc2023'!$Q$20:$Q$117,RIGHT(Analytica!$D121,3))/1000</f>
        <v>671.50401988044803</v>
      </c>
      <c r="AN121" s="943">
        <f>SUMIFS('Vehicle data-proc2023'!AG$20:AG$117,'Vehicle data-proc2023'!$N$20:$N$117,Analytica!$C121,'Vehicle data-proc2023'!$Q$20:$Q$117,RIGHT(Analytica!$D121,3))/1000</f>
        <v>363.56136717159279</v>
      </c>
      <c r="AO121" s="943">
        <f>SUMIFS('Vehicle data-proc2023'!AH$20:AH$117,'Vehicle data-proc2023'!$N$20:$N$117,Analytica!$C121,'Vehicle data-proc2023'!$Q$20:$Q$117,RIGHT(Analytica!$D121,3))/1000</f>
        <v>371.50085823323019</v>
      </c>
      <c r="AP121" s="943">
        <f>SUMIFS('Vehicle data-proc2023'!AI$20:AI$117,'Vehicle data-proc2023'!$N$20:$N$117,Analytica!$C121,'Vehicle data-proc2023'!$Q$20:$Q$117,RIGHT(Analytica!$D121,3))/1000</f>
        <v>379.44034929486759</v>
      </c>
      <c r="AQ121" s="943">
        <f>SUMIFS('Vehicle data-proc2023'!AJ$20:AJ$117,'Vehicle data-proc2023'!$N$20:$N$117,Analytica!$C121,'Vehicle data-proc2023'!$Q$20:$Q$117,RIGHT(Analytica!$D121,3))/1000</f>
        <v>387.39622422821134</v>
      </c>
      <c r="AR121" s="942"/>
      <c r="AS121" s="212"/>
      <c r="AT121" s="944">
        <f t="shared" si="73"/>
        <v>2.7E-2</v>
      </c>
      <c r="AU121" s="942">
        <f t="shared" si="74"/>
        <v>18.494135705765853</v>
      </c>
      <c r="AV121" s="942">
        <f t="shared" si="75"/>
        <v>18.253267211187943</v>
      </c>
      <c r="AW121" s="942">
        <f t="shared" si="76"/>
        <v>9.8161569136330051</v>
      </c>
      <c r="AX121" s="942">
        <f t="shared" si="77"/>
        <v>10.244889430961425</v>
      </c>
      <c r="AY121" s="945">
        <f t="shared" si="78"/>
        <v>10.459698054161706</v>
      </c>
      <c r="BA121" s="164">
        <f t="shared" ref="BA121:BA130" si="112">SUMIF($E$17:$E$41,E121,$AR$17:$AR$41)/SUMIF($D$17:$D$41,D121,$AR$17:$AR$41)</f>
        <v>0</v>
      </c>
      <c r="BC121" s="169" t="e">
        <f>#REF!-#REF!</f>
        <v>#REF!</v>
      </c>
      <c r="BD121" s="170" t="e">
        <f>BC121/5.5</f>
        <v>#REF!</v>
      </c>
    </row>
    <row r="122" spans="1:57" x14ac:dyDescent="0.25">
      <c r="A122" s="61" t="str">
        <f t="shared" si="65"/>
        <v>SUVODS</v>
      </c>
      <c r="B122" s="61" t="str">
        <f t="shared" si="110"/>
        <v>TPPRSUVODS-N</v>
      </c>
      <c r="C122" s="61" t="s">
        <v>511</v>
      </c>
      <c r="D122" s="61" t="s">
        <v>516</v>
      </c>
      <c r="E122" s="61" t="s">
        <v>301</v>
      </c>
      <c r="F122" s="938">
        <f>INDEX($F$17:$F$49,MATCH($E122,$E$17:$E$49,0))</f>
        <v>2.4E-2</v>
      </c>
      <c r="G122" s="939">
        <f>G37</f>
        <v>20405.076992301299</v>
      </c>
      <c r="H122" s="939">
        <f t="shared" si="108"/>
        <v>20405.076992301299</v>
      </c>
      <c r="I122" s="939">
        <f t="shared" si="108"/>
        <v>18097.67979725909</v>
      </c>
      <c r="J122" s="939">
        <f t="shared" si="108"/>
        <v>14236.139149185296</v>
      </c>
      <c r="K122" s="939">
        <f t="shared" si="108"/>
        <v>6929.4728470260143</v>
      </c>
      <c r="L122" s="939">
        <f t="shared" si="108"/>
        <v>2087.1171131270039</v>
      </c>
      <c r="M122" s="939">
        <f t="shared" si="104"/>
        <v>1</v>
      </c>
      <c r="N122" s="939">
        <f t="shared" si="67"/>
        <v>0.88692043671715748</v>
      </c>
      <c r="O122" s="939">
        <f t="shared" si="68"/>
        <v>0.69767632607103103</v>
      </c>
      <c r="P122" s="939">
        <f t="shared" si="69"/>
        <v>0.33959552564493917</v>
      </c>
      <c r="Q122" s="939">
        <f t="shared" si="70"/>
        <v>0.10228420671553748</v>
      </c>
      <c r="R122" s="939">
        <f t="shared" si="71"/>
        <v>4.9007411262270333E-5</v>
      </c>
      <c r="S122" s="212">
        <f>S124/1.2</f>
        <v>11.966666666666667</v>
      </c>
      <c r="T122" s="942">
        <f>W37</f>
        <v>11.2619098186515</v>
      </c>
      <c r="U122" s="939">
        <f t="shared" si="111"/>
        <v>9.9973226212604978</v>
      </c>
      <c r="V122" s="939">
        <f t="shared" si="111"/>
        <v>8.6143653076951079</v>
      </c>
      <c r="W122" s="939">
        <f t="shared" si="111"/>
        <v>7.4227163077252687</v>
      </c>
      <c r="X122" s="939">
        <f t="shared" si="111"/>
        <v>6.3959114127367478</v>
      </c>
      <c r="Y122" s="212"/>
      <c r="Z122" s="941">
        <f>(AA122/AB122)*AA122</f>
        <v>0.22957903243889161</v>
      </c>
      <c r="AA122" s="941">
        <f>1/SUMIFS('Vehicle data-proc2023'!AL$20:AL$117,'Vehicle data-proc2023'!$N$20:$N$117,Analytica!$C122,'Vehicle data-proc2023'!$Q$20:$Q$117,RIGHT(Analytica!$D122,3))</f>
        <v>0.23305744392160199</v>
      </c>
      <c r="AB122" s="941">
        <f>1/SUMIFS('Vehicle data-proc2023'!AM$20:AM$117,'Vehicle data-proc2023'!$N$20:$N$117,Analytica!$C122,'Vehicle data-proc2023'!$Q$20:$Q$117,RIGHT(Analytica!$D122,3))</f>
        <v>0.23658855771912971</v>
      </c>
      <c r="AC122" s="941">
        <f>1/SUMIFS('Vehicle data-proc2023'!AN$20:AN$117,'Vehicle data-proc2023'!$N$20:$N$117,Analytica!$C122,'Vehicle data-proc2023'!$Q$20:$Q$117,RIGHT(Analytica!$D122,3))</f>
        <v>0.25508715046378805</v>
      </c>
      <c r="AD122" s="941">
        <f>1/SUMIFS('Vehicle data-proc2023'!AO$20:AO$117,'Vehicle data-proc2023'!$N$20:$N$117,Analytica!$C122,'Vehicle data-proc2023'!$Q$20:$Q$117,RIGHT(Analytica!$D122,3))</f>
        <v>0.28205684025891897</v>
      </c>
      <c r="AE122" s="975">
        <f>1/SUMIFS('Vehicle data-proc2023'!AP$20:AP$117,'Vehicle data-proc2023'!$N$20:$N$117,Analytica!$C122,'Vehicle data-proc2023'!$Q$20:$Q$117,RIGHT(Analytica!$D122,3))</f>
        <v>0.31187796402994067</v>
      </c>
      <c r="AF122" s="975"/>
      <c r="AG122" s="943"/>
      <c r="AH122" s="943">
        <v>342.37610000000001</v>
      </c>
      <c r="AI122" s="943">
        <v>578.12285436396212</v>
      </c>
      <c r="AJ122" s="943"/>
      <c r="AK122" s="943">
        <f>SUMIFS('Vehicle data-proc2023'!AD$20:AD$117,'Vehicle data-proc2023'!$N$20:$N$117,Analytica!$C122,'Vehicle data-proc2023'!$Q$20:$Q$117,RIGHT(Analytica!$D122,3))/1000</f>
        <v>449.29991329948109</v>
      </c>
      <c r="AL122" s="943">
        <f>SUMIFS('Vehicle data-proc2023'!AE$20:AE$117,'Vehicle data-proc2023'!$N$20:$N$117,Analytica!$C122,'Vehicle data-proc2023'!$Q$20:$Q$117,RIGHT(Analytica!$D122,3))/1000</f>
        <v>496.02431464990411</v>
      </c>
      <c r="AM122" s="943">
        <f>SUMIFS('Vehicle data-proc2023'!AF$20:AF$117,'Vehicle data-proc2023'!$N$20:$N$117,Analytica!$C122,'Vehicle data-proc2023'!$Q$20:$Q$117,RIGHT(Analytica!$D122,3))/1000</f>
        <v>504.86263896951328</v>
      </c>
      <c r="AN122" s="943">
        <f>SUMIFS('Vehicle data-proc2023'!AG$20:AG$117,'Vehicle data-proc2023'!$N$20:$N$117,Analytica!$C122,'Vehicle data-proc2023'!$Q$20:$Q$117,RIGHT(Analytica!$D122,3))/1000</f>
        <v>363.56136717159279</v>
      </c>
      <c r="AO122" s="943">
        <f>SUMIFS('Vehicle data-proc2023'!AH$20:AH$117,'Vehicle data-proc2023'!$N$20:$N$117,Analytica!$C122,'Vehicle data-proc2023'!$Q$20:$Q$117,RIGHT(Analytica!$D122,3))/1000</f>
        <v>371.50085823323019</v>
      </c>
      <c r="AP122" s="943">
        <f>SUMIFS('Vehicle data-proc2023'!AI$20:AI$117,'Vehicle data-proc2023'!$N$20:$N$117,Analytica!$C122,'Vehicle data-proc2023'!$Q$20:$Q$117,RIGHT(Analytica!$D122,3))/1000</f>
        <v>379.44034929486759</v>
      </c>
      <c r="AQ122" s="943">
        <f>SUMIFS('Vehicle data-proc2023'!AJ$20:AJ$117,'Vehicle data-proc2023'!$N$20:$N$117,Analytica!$C122,'Vehicle data-proc2023'!$Q$20:$Q$117,RIGHT(Analytica!$D122,3))/1000</f>
        <v>387.39622422821134</v>
      </c>
      <c r="AR122" s="942"/>
      <c r="AS122" s="212"/>
      <c r="AT122" s="944">
        <f t="shared" si="73"/>
        <v>2.7E-2</v>
      </c>
      <c r="AU122" s="942">
        <f t="shared" si="74"/>
        <v>12.13109765908599</v>
      </c>
      <c r="AV122" s="942">
        <f t="shared" si="75"/>
        <v>13.392656495547412</v>
      </c>
      <c r="AW122" s="942">
        <f t="shared" si="76"/>
        <v>9.8161569136330051</v>
      </c>
      <c r="AX122" s="942">
        <f t="shared" si="77"/>
        <v>10.244889430961425</v>
      </c>
      <c r="AY122" s="945">
        <f t="shared" si="78"/>
        <v>10.459698054161706</v>
      </c>
      <c r="BA122" s="164">
        <f t="shared" si="112"/>
        <v>0.46134144546391248</v>
      </c>
    </row>
    <row r="123" spans="1:57" x14ac:dyDescent="0.25">
      <c r="A123" s="61" t="str">
        <f t="shared" si="65"/>
        <v>SUVOGSH</v>
      </c>
      <c r="B123" s="61" t="str">
        <f t="shared" si="110"/>
        <v>TPPRSUVOGSH-N</v>
      </c>
      <c r="C123" s="61" t="s">
        <v>519</v>
      </c>
      <c r="D123" s="61" t="s">
        <v>516</v>
      </c>
      <c r="E123" s="61" t="s">
        <v>298</v>
      </c>
      <c r="F123" s="938">
        <f>INDEX($F$17:$F$49,MATCH($E123,$E$17:$E$49,0))</f>
        <v>2.4E-2</v>
      </c>
      <c r="G123" s="939">
        <f>G38</f>
        <v>22250.436222693301</v>
      </c>
      <c r="H123" s="939">
        <f t="shared" si="108"/>
        <v>22250.436222693301</v>
      </c>
      <c r="I123" s="939">
        <f t="shared" si="108"/>
        <v>19734.366611778401</v>
      </c>
      <c r="J123" s="939">
        <f t="shared" si="108"/>
        <v>15523.602597326451</v>
      </c>
      <c r="K123" s="939">
        <f t="shared" si="108"/>
        <v>7556.1485848747261</v>
      </c>
      <c r="L123" s="939">
        <f t="shared" si="108"/>
        <v>2275.8682181128447</v>
      </c>
      <c r="M123" s="939">
        <f t="shared" si="104"/>
        <v>1</v>
      </c>
      <c r="N123" s="939">
        <f t="shared" si="67"/>
        <v>0.88692043671715748</v>
      </c>
      <c r="O123" s="939">
        <f t="shared" si="68"/>
        <v>0.69767632607103103</v>
      </c>
      <c r="P123" s="939">
        <f t="shared" si="69"/>
        <v>0.33959552564493917</v>
      </c>
      <c r="Q123" s="939">
        <f t="shared" si="70"/>
        <v>0.10228420671553749</v>
      </c>
      <c r="R123" s="939">
        <f t="shared" si="71"/>
        <v>4.4942939095283732E-5</v>
      </c>
      <c r="S123" s="212">
        <f>S124/1.3</f>
        <v>11.046153846153846</v>
      </c>
      <c r="T123" s="212">
        <f>W38</f>
        <v>6.8382247609900997</v>
      </c>
      <c r="U123" s="939">
        <f t="shared" si="111"/>
        <v>6.0703681873822601</v>
      </c>
      <c r="V123" s="939">
        <f t="shared" si="111"/>
        <v>5.230637351556088</v>
      </c>
      <c r="W123" s="939">
        <f t="shared" si="111"/>
        <v>4.507068806857994</v>
      </c>
      <c r="X123" s="939">
        <f t="shared" si="111"/>
        <v>3.8835935019867374</v>
      </c>
      <c r="Y123" s="212"/>
      <c r="Z123" s="941">
        <f>Z66/Z67 *Z124</f>
        <v>0.53073323251120075</v>
      </c>
      <c r="AA123" s="941">
        <f>1/SUMIFS('Vehicle data-proc2023'!AL$20:AL$117,'Vehicle data-proc2023'!$N$20:$N$117,Analytica!$C123,'Vehicle data-proc2023'!$Q$20:$Q$117,RIGHT(Analytica!$D123,3))</f>
        <v>0.55960679052148743</v>
      </c>
      <c r="AB123" s="941">
        <f>1/SUMIFS('Vehicle data-proc2023'!AM$20:AM$117,'Vehicle data-proc2023'!$N$20:$N$117,Analytica!$C123,'Vehicle data-proc2023'!$Q$20:$Q$117,RIGHT(Analytica!$D123,3))</f>
        <v>0.56808553818966034</v>
      </c>
      <c r="AC123" s="941">
        <f>1/SUMIFS('Vehicle data-proc2023'!AN$20:AN$117,'Vehicle data-proc2023'!$N$20:$N$117,Analytica!$C123,'Vehicle data-proc2023'!$Q$20:$Q$117,RIGHT(Analytica!$D123,3))</f>
        <v>0.61250350631293804</v>
      </c>
      <c r="AD123" s="941">
        <f>1/SUMIFS('Vehicle data-proc2023'!AO$20:AO$117,'Vehicle data-proc2023'!$N$20:$N$117,Analytica!$C123,'Vehicle data-proc2023'!$Q$20:$Q$117,RIGHT(Analytica!$D123,3))</f>
        <v>0.67726188216078398</v>
      </c>
      <c r="AE123" s="941">
        <f>1/SUMIFS('Vehicle data-proc2023'!AP$20:AP$117,'Vehicle data-proc2023'!$N$20:$N$117,Analytica!$C123,'Vehicle data-proc2023'!$Q$20:$Q$117,RIGHT(Analytica!$D123,3))</f>
        <v>0.74886698982196298</v>
      </c>
      <c r="AF123" s="941"/>
      <c r="AG123" s="943">
        <v>1</v>
      </c>
      <c r="AH123" s="943">
        <f>AH121/AH122*AH124</f>
        <v>756.34808946285307</v>
      </c>
      <c r="AI123" s="943">
        <v>869.57249999999999</v>
      </c>
      <c r="AJ123" s="943"/>
      <c r="AK123" s="943">
        <f>SUMIFS('Vehicle data-proc2023'!AD$20:AD$117,'Vehicle data-proc2023'!$N$20:$N$117,Analytica!$C123,'Vehicle data-proc2023'!$Q$20:$Q$117,RIGHT(Analytica!$D123,3))/1000</f>
        <v>462.61103749439326</v>
      </c>
      <c r="AL123" s="943">
        <f>SUMIFS('Vehicle data-proc2023'!AE$20:AE$117,'Vehicle data-proc2023'!$N$20:$N$117,Analytica!$C123,'Vehicle data-proc2023'!$Q$20:$Q$117,RIGHT(Analytica!$D123,3))/1000</f>
        <v>450.69795583180115</v>
      </c>
      <c r="AM123" s="943">
        <f>SUMIFS('Vehicle data-proc2023'!AF$20:AF$117,'Vehicle data-proc2023'!$N$20:$N$117,Analytica!$C123,'Vehicle data-proc2023'!$Q$20:$Q$117,RIGHT(Analytica!$D123,3))/1000</f>
        <v>447.83490632433029</v>
      </c>
      <c r="AN123" s="943">
        <f>SUMIFS('Vehicle data-proc2023'!AG$20:AG$117,'Vehicle data-proc2023'!$N$20:$N$117,Analytica!$C123,'Vehicle data-proc2023'!$Q$20:$Q$117,RIGHT(Analytica!$D123,3))/1000</f>
        <v>363.56136717159279</v>
      </c>
      <c r="AO123" s="943">
        <f>SUMIFS('Vehicle data-proc2023'!AH$20:AH$117,'Vehicle data-proc2023'!$N$20:$N$117,Analytica!$C123,'Vehicle data-proc2023'!$Q$20:$Q$117,RIGHT(Analytica!$D123,3))/1000</f>
        <v>371.50085823323019</v>
      </c>
      <c r="AP123" s="943">
        <f>SUMIFS('Vehicle data-proc2023'!AI$20:AI$117,'Vehicle data-proc2023'!$N$20:$N$117,Analytica!$C123,'Vehicle data-proc2023'!$Q$20:$Q$117,RIGHT(Analytica!$D123,3))/1000</f>
        <v>379.44034929486759</v>
      </c>
      <c r="AQ123" s="943">
        <f>SUMIFS('Vehicle data-proc2023'!AJ$20:AJ$117,'Vehicle data-proc2023'!$N$20:$N$117,Analytica!$C123,'Vehicle data-proc2023'!$Q$20:$Q$117,RIGHT(Analytica!$D123,3))/1000</f>
        <v>387.39622422821134</v>
      </c>
      <c r="AR123" s="942"/>
      <c r="AS123" s="212"/>
      <c r="AT123" s="944">
        <f t="shared" si="73"/>
        <v>2.7E-2</v>
      </c>
      <c r="AU123" s="942">
        <f t="shared" si="74"/>
        <v>12.490498012348619</v>
      </c>
      <c r="AV123" s="942">
        <f t="shared" si="75"/>
        <v>12.168844807458632</v>
      </c>
      <c r="AW123" s="942">
        <f t="shared" si="76"/>
        <v>9.8161569136330051</v>
      </c>
      <c r="AX123" s="942">
        <f t="shared" si="77"/>
        <v>10.244889430961425</v>
      </c>
      <c r="AY123" s="945">
        <f t="shared" si="78"/>
        <v>10.459698054161706</v>
      </c>
      <c r="BA123" s="164">
        <f t="shared" si="112"/>
        <v>7.1635346646386339E-4</v>
      </c>
    </row>
    <row r="124" spans="1:57" x14ac:dyDescent="0.25">
      <c r="A124" s="61" t="str">
        <f t="shared" si="65"/>
        <v>SUVOGS</v>
      </c>
      <c r="B124" s="61" t="str">
        <f t="shared" si="110"/>
        <v>TPPRSUVOGS-N</v>
      </c>
      <c r="C124" s="61" t="s">
        <v>573</v>
      </c>
      <c r="D124" s="61" t="s">
        <v>516</v>
      </c>
      <c r="E124" s="61" t="s">
        <v>295</v>
      </c>
      <c r="F124" s="938">
        <f>INDEX($F$17:$F$49,MATCH($E124,$E$17:$E$49,0))</f>
        <v>2.4E-2</v>
      </c>
      <c r="G124" s="939">
        <f>G39</f>
        <v>19920.095193486901</v>
      </c>
      <c r="H124" s="939">
        <f t="shared" si="108"/>
        <v>19920.095193486901</v>
      </c>
      <c r="I124" s="939">
        <f t="shared" si="108"/>
        <v>17667.539528454752</v>
      </c>
      <c r="J124" s="939">
        <f t="shared" si="108"/>
        <v>13897.778829577146</v>
      </c>
      <c r="K124" s="939">
        <f t="shared" si="108"/>
        <v>6764.7751981294105</v>
      </c>
      <c r="L124" s="939">
        <f t="shared" si="108"/>
        <v>2037.5111345637988</v>
      </c>
      <c r="M124" s="939">
        <f t="shared" si="104"/>
        <v>1</v>
      </c>
      <c r="N124" s="939">
        <f t="shared" si="67"/>
        <v>0.88692043671715748</v>
      </c>
      <c r="O124" s="939">
        <f t="shared" si="68"/>
        <v>0.69767632607103114</v>
      </c>
      <c r="P124" s="939">
        <f t="shared" si="69"/>
        <v>0.33959552564493917</v>
      </c>
      <c r="Q124" s="939">
        <f t="shared" si="70"/>
        <v>0.10228420671553748</v>
      </c>
      <c r="R124" s="939">
        <f t="shared" si="71"/>
        <v>5.020056331492639E-5</v>
      </c>
      <c r="S124" s="212">
        <v>14.36</v>
      </c>
      <c r="T124" s="939">
        <f>W39</f>
        <v>13.551554667779801</v>
      </c>
      <c r="U124" s="939">
        <f t="shared" si="111"/>
        <v>12.029865823385324</v>
      </c>
      <c r="V124" s="939">
        <f t="shared" si="111"/>
        <v>10.365741182025751</v>
      </c>
      <c r="W124" s="939">
        <f t="shared" si="111"/>
        <v>8.9318195090647752</v>
      </c>
      <c r="X124" s="939">
        <f t="shared" si="111"/>
        <v>7.6962561906180467</v>
      </c>
      <c r="Y124" s="212"/>
      <c r="Z124" s="941">
        <f t="shared" ref="Z124:Z135" si="113">(AA124/AB124)*AA124</f>
        <v>0.42121105878886406</v>
      </c>
      <c r="AA124" s="941">
        <f>1/SUMIFS('Vehicle data-proc2023'!AL$20:AL$117,'Vehicle data-proc2023'!$N$20:$N$117,Analytica!$C124,'Vehicle data-proc2023'!$Q$20:$Q$117,RIGHT(Analytica!$D124,3))</f>
        <v>0.42759293682001998</v>
      </c>
      <c r="AB124" s="941">
        <f>1/SUMIFS('Vehicle data-proc2023'!AM$20:AM$117,'Vehicle data-proc2023'!$N$20:$N$117,Analytica!$C124,'Vehicle data-proc2023'!$Q$20:$Q$117,RIGHT(Analytica!$D124,3))</f>
        <v>0.43407150834094715</v>
      </c>
      <c r="AC124" s="941">
        <f>1/SUMIFS('Vehicle data-proc2023'!AN$20:AN$117,'Vehicle data-proc2023'!$N$20:$N$117,Analytica!$C124,'Vehicle data-proc2023'!$Q$20:$Q$117,RIGHT(Analytica!$D124,3))</f>
        <v>0.46801107047476492</v>
      </c>
      <c r="AD124" s="941">
        <f>1/SUMIFS('Vehicle data-proc2023'!AO$20:AO$117,'Vehicle data-proc2023'!$N$20:$N$117,Analytica!$C124,'Vehicle data-proc2023'!$Q$20:$Q$117,RIGHT(Analytica!$D124,3))</f>
        <v>0.51749264321742416</v>
      </c>
      <c r="AE124" s="975">
        <f>1/SUMIFS('Vehicle data-proc2023'!AP$20:AP$117,'Vehicle data-proc2023'!$N$20:$N$117,Analytica!$C124,'Vehicle data-proc2023'!$Q$20:$Q$117,RIGHT(Analytica!$D124,3))</f>
        <v>0.57220577178333198</v>
      </c>
      <c r="AF124" s="975"/>
      <c r="AG124" s="943"/>
      <c r="AH124" s="943">
        <v>330.33640000000003</v>
      </c>
      <c r="AI124" s="943">
        <v>528.97889091362958</v>
      </c>
      <c r="AJ124" s="943"/>
      <c r="AK124" s="943">
        <f>SUMIFS('Vehicle data-proc2023'!AD$20:AD$117,'Vehicle data-proc2023'!$N$20:$N$117,Analytica!$C124,'Vehicle data-proc2023'!$Q$20:$Q$117,RIGHT(Analytica!$D124,3))/1000</f>
        <v>322.55453757929689</v>
      </c>
      <c r="AL124" s="943">
        <f>SUMIFS('Vehicle data-proc2023'!AE$20:AE$117,'Vehicle data-proc2023'!$N$20:$N$117,Analytica!$C124,'Vehicle data-proc2023'!$Q$20:$Q$117,RIGHT(Analytica!$D124,3))/1000</f>
        <v>350.63787759734595</v>
      </c>
      <c r="AM124" s="943">
        <f>SUMIFS('Vehicle data-proc2023'!AF$20:AF$117,'Vehicle data-proc2023'!$N$20:$N$117,Analytica!$C124,'Vehicle data-proc2023'!$Q$20:$Q$117,RIGHT(Analytica!$D124,3))/1000</f>
        <v>357.09962238446946</v>
      </c>
      <c r="AN124" s="943">
        <f>SUMIFS('Vehicle data-proc2023'!AG$20:AG$117,'Vehicle data-proc2023'!$N$20:$N$117,Analytica!$C124,'Vehicle data-proc2023'!$Q$20:$Q$117,RIGHT(Analytica!$D124,3))/1000</f>
        <v>363.56136717159279</v>
      </c>
      <c r="AO124" s="943">
        <f>SUMIFS('Vehicle data-proc2023'!AH$20:AH$117,'Vehicle data-proc2023'!$N$20:$N$117,Analytica!$C124,'Vehicle data-proc2023'!$Q$20:$Q$117,RIGHT(Analytica!$D124,3))/1000</f>
        <v>371.50085823323019</v>
      </c>
      <c r="AP124" s="943">
        <f>SUMIFS('Vehicle data-proc2023'!AI$20:AI$117,'Vehicle data-proc2023'!$N$20:$N$117,Analytica!$C124,'Vehicle data-proc2023'!$Q$20:$Q$117,RIGHT(Analytica!$D124,3))/1000</f>
        <v>379.44034929486759</v>
      </c>
      <c r="AQ124" s="943">
        <f>SUMIFS('Vehicle data-proc2023'!AJ$20:AJ$117,'Vehicle data-proc2023'!$N$20:$N$117,Analytica!$C124,'Vehicle data-proc2023'!$Q$20:$Q$117,RIGHT(Analytica!$D124,3))/1000</f>
        <v>387.39622422821134</v>
      </c>
      <c r="AR124" s="942"/>
      <c r="AS124" s="212"/>
      <c r="AT124" s="944">
        <f t="shared" si="73"/>
        <v>2.7E-2</v>
      </c>
      <c r="AU124" s="942">
        <f t="shared" si="74"/>
        <v>8.7089725146410153</v>
      </c>
      <c r="AV124" s="942">
        <f t="shared" si="75"/>
        <v>9.4672226951283402</v>
      </c>
      <c r="AW124" s="942">
        <f t="shared" si="76"/>
        <v>9.8161569136330051</v>
      </c>
      <c r="AX124" s="942">
        <f t="shared" si="77"/>
        <v>10.244889430961425</v>
      </c>
      <c r="AY124" s="945">
        <f t="shared" si="78"/>
        <v>10.459698054161706</v>
      </c>
      <c r="BA124" s="164">
        <f t="shared" si="112"/>
        <v>0.53794220106962365</v>
      </c>
      <c r="BB124" s="61" t="s">
        <v>129</v>
      </c>
      <c r="BC124" s="167">
        <f>AJ124*1000</f>
        <v>0</v>
      </c>
    </row>
    <row r="125" spans="1:57" x14ac:dyDescent="0.25">
      <c r="A125" s="61" t="str">
        <f t="shared" si="65"/>
        <v>SUVGAS</v>
      </c>
      <c r="B125" s="61" t="str">
        <f t="shared" si="110"/>
        <v>TPPRSUVGAS-N</v>
      </c>
      <c r="C125" s="61" t="s">
        <v>509</v>
      </c>
      <c r="D125" s="61" t="s">
        <v>516</v>
      </c>
      <c r="E125" s="61" t="s">
        <v>518</v>
      </c>
      <c r="F125" s="938">
        <f>F124</f>
        <v>2.4E-2</v>
      </c>
      <c r="G125" s="939">
        <f>G123</f>
        <v>22250.436222693301</v>
      </c>
      <c r="H125" s="939">
        <f t="shared" si="108"/>
        <v>22250.436222693301</v>
      </c>
      <c r="I125" s="939">
        <f t="shared" si="108"/>
        <v>19734.366611778401</v>
      </c>
      <c r="J125" s="939">
        <f t="shared" si="108"/>
        <v>15523.602597326451</v>
      </c>
      <c r="K125" s="939">
        <f t="shared" si="108"/>
        <v>7556.1485848747261</v>
      </c>
      <c r="L125" s="939">
        <f t="shared" si="108"/>
        <v>2275.8682181128447</v>
      </c>
      <c r="M125" s="939">
        <f t="shared" si="104"/>
        <v>1</v>
      </c>
      <c r="N125" s="939">
        <f t="shared" si="67"/>
        <v>0.88692043671715748</v>
      </c>
      <c r="O125" s="939">
        <f t="shared" si="68"/>
        <v>0.69767632607103103</v>
      </c>
      <c r="P125" s="939">
        <f t="shared" si="69"/>
        <v>0.33959552564493917</v>
      </c>
      <c r="Q125" s="939">
        <f t="shared" si="70"/>
        <v>0.10228420671553749</v>
      </c>
      <c r="R125" s="939">
        <f t="shared" si="71"/>
        <v>4.4942939095283732E-5</v>
      </c>
      <c r="S125" s="939">
        <f t="shared" ref="S125:X126" si="114">(1+(S123/S66-1)/2)*S70</f>
        <v>11.580930930930931</v>
      </c>
      <c r="T125" s="939">
        <f t="shared" si="114"/>
        <v>8.3076372083499201</v>
      </c>
      <c r="U125" s="939">
        <f t="shared" si="114"/>
        <v>7.4790422203301672</v>
      </c>
      <c r="V125" s="939">
        <f t="shared" si="114"/>
        <v>6.4444456059252362</v>
      </c>
      <c r="W125" s="939">
        <f t="shared" si="114"/>
        <v>5.5529676052417951</v>
      </c>
      <c r="X125" s="939">
        <f t="shared" si="114"/>
        <v>4.7848102242516664</v>
      </c>
      <c r="Y125" s="212"/>
      <c r="Z125" s="941">
        <f t="shared" si="113"/>
        <v>0.35899070068700906</v>
      </c>
      <c r="AA125" s="941">
        <f>1/SUMIFS('Vehicle data-proc2023'!AL$20:AL$117,'Vehicle data-proc2023'!$N$20:$N$117,Analytica!$C125,'Vehicle data-proc2023'!$Q$20:$Q$117,RIGHT(Analytica!$D125,3))</f>
        <v>0.36442986193004773</v>
      </c>
      <c r="AB125" s="941">
        <f>1/SUMIFS('Vehicle data-proc2023'!AM$20:AM$117,'Vehicle data-proc2023'!$N$20:$N$117,Analytica!$C125,'Vehicle data-proc2023'!$Q$20:$Q$117,RIGHT(Analytica!$D125,3))</f>
        <v>0.36995143331622149</v>
      </c>
      <c r="AC125" s="941">
        <f>1/SUMIFS('Vehicle data-proc2023'!AN$20:AN$117,'Vehicle data-proc2023'!$N$20:$N$117,Analytica!$C125,'Vehicle data-proc2023'!$Q$20:$Q$117,RIGHT(Analytica!$D125,3))</f>
        <v>0.39887751903311353</v>
      </c>
      <c r="AD125" s="941">
        <f>1/SUMIFS('Vehicle data-proc2023'!AO$20:AO$117,'Vehicle data-proc2023'!$N$20:$N$117,Analytica!$C125,'Vehicle data-proc2023'!$Q$20:$Q$117,RIGHT(Analytica!$D125,3))</f>
        <v>0.4410497842178378</v>
      </c>
      <c r="AE125" s="975">
        <f>1/SUMIFS('Vehicle data-proc2023'!AP$20:AP$117,'Vehicle data-proc2023'!$N$20:$N$117,Analytica!$C125,'Vehicle data-proc2023'!$Q$20:$Q$117,RIGHT(Analytica!$D125,3))</f>
        <v>0.48768081146847597</v>
      </c>
      <c r="AF125" s="975"/>
      <c r="AG125" s="943"/>
      <c r="AH125" s="943"/>
      <c r="AI125" s="943"/>
      <c r="AJ125" s="943"/>
      <c r="AK125" s="943">
        <f>SUMIFS('Vehicle data-proc2023'!AD$20:AD$117,'Vehicle data-proc2023'!$N$20:$N$117,Analytica!$C125,'Vehicle data-proc2023'!$Q$20:$Q$117,RIGHT(Analytica!$D125,3))/1000</f>
        <v>519.12041439989491</v>
      </c>
      <c r="AL125" s="943">
        <f>SUMIFS('Vehicle data-proc2023'!AE$20:AE$117,'Vehicle data-proc2023'!$N$20:$N$117,Analytica!$C125,'Vehicle data-proc2023'!$Q$20:$Q$117,RIGHT(Analytica!$D125,3))/1000</f>
        <v>545.62674611489456</v>
      </c>
      <c r="AM125" s="943">
        <f>SUMIFS('Vehicle data-proc2023'!AF$20:AF$117,'Vehicle data-proc2023'!$N$20:$N$117,Analytica!$C125,'Vehicle data-proc2023'!$Q$20:$Q$117,RIGHT(Analytica!$D125,3))/1000</f>
        <v>551.3701241175919</v>
      </c>
      <c r="AN125" s="943">
        <f>SUMIFS('Vehicle data-proc2023'!AG$20:AG$117,'Vehicle data-proc2023'!$N$20:$N$117,Analytica!$C125,'Vehicle data-proc2023'!$Q$20:$Q$117,RIGHT(Analytica!$D125,3))/1000</f>
        <v>557.11350212028935</v>
      </c>
      <c r="AO125" s="943">
        <f>SUMIFS('Vehicle data-proc2023'!AH$20:AH$117,'Vehicle data-proc2023'!$N$20:$N$117,Analytica!$C125,'Vehicle data-proc2023'!$Q$20:$Q$117,RIGHT(Analytica!$D125,3))/1000</f>
        <v>565.34503849646865</v>
      </c>
      <c r="AP125" s="943">
        <f>SUMIFS('Vehicle data-proc2023'!AI$20:AI$117,'Vehicle data-proc2023'!$N$20:$N$117,Analytica!$C125,'Vehicle data-proc2023'!$Q$20:$Q$117,RIGHT(Analytica!$D125,3))/1000</f>
        <v>573.57657487264794</v>
      </c>
      <c r="AQ125" s="943">
        <f>SUMIFS('Vehicle data-proc2023'!AJ$20:AJ$117,'Vehicle data-proc2023'!$N$20:$N$117,Analytica!$C125,'Vehicle data-proc2023'!$Q$20:$Q$117,RIGHT(Analytica!$D125,3))/1000</f>
        <v>580.79572210982678</v>
      </c>
      <c r="AR125" s="942"/>
      <c r="AS125" s="212"/>
      <c r="AT125" s="944">
        <f t="shared" si="73"/>
        <v>2.7E-2</v>
      </c>
      <c r="AU125" s="942">
        <f t="shared" si="74"/>
        <v>14.016251188797163</v>
      </c>
      <c r="AV125" s="942">
        <f t="shared" si="75"/>
        <v>14.731922145102153</v>
      </c>
      <c r="AW125" s="942">
        <f t="shared" si="76"/>
        <v>15.042064557247812</v>
      </c>
      <c r="AX125" s="942">
        <f t="shared" si="77"/>
        <v>15.486567521561494</v>
      </c>
      <c r="AY125" s="945">
        <f t="shared" si="78"/>
        <v>15.681484496965323</v>
      </c>
      <c r="BA125" s="164">
        <f t="shared" si="112"/>
        <v>0</v>
      </c>
      <c r="BC125" s="169" t="e">
        <f>#REF!-BC123</f>
        <v>#REF!</v>
      </c>
      <c r="BE125" s="61" t="s">
        <v>515</v>
      </c>
    </row>
    <row r="126" spans="1:57" x14ac:dyDescent="0.25">
      <c r="A126" s="61" t="str">
        <f t="shared" si="65"/>
        <v>SUVHGN</v>
      </c>
      <c r="B126" s="61" t="str">
        <f>D126&amp;C126&amp;"F-N"</f>
        <v>TPPRSUVHGNF-N</v>
      </c>
      <c r="C126" s="61" t="s">
        <v>504</v>
      </c>
      <c r="D126" s="61" t="s">
        <v>516</v>
      </c>
      <c r="E126" s="61" t="s">
        <v>517</v>
      </c>
      <c r="F126" s="938">
        <f>F125</f>
        <v>2.4E-2</v>
      </c>
      <c r="G126" s="939">
        <f>G123</f>
        <v>22250.436222693301</v>
      </c>
      <c r="H126" s="939">
        <f t="shared" si="108"/>
        <v>22250.436222693301</v>
      </c>
      <c r="I126" s="939">
        <f t="shared" si="108"/>
        <v>19734.366611778401</v>
      </c>
      <c r="J126" s="939">
        <f t="shared" si="108"/>
        <v>15523.602597326451</v>
      </c>
      <c r="K126" s="939">
        <f t="shared" si="108"/>
        <v>7556.1485848747261</v>
      </c>
      <c r="L126" s="939">
        <f t="shared" si="108"/>
        <v>2275.8682181128447</v>
      </c>
      <c r="M126" s="939">
        <f t="shared" si="104"/>
        <v>1</v>
      </c>
      <c r="N126" s="939">
        <f t="shared" si="67"/>
        <v>0.88692043671715748</v>
      </c>
      <c r="O126" s="939">
        <f t="shared" si="68"/>
        <v>0.69767632607103103</v>
      </c>
      <c r="P126" s="939">
        <f t="shared" si="69"/>
        <v>0.33959552564493917</v>
      </c>
      <c r="Q126" s="939">
        <f t="shared" si="70"/>
        <v>0.10228420671553749</v>
      </c>
      <c r="R126" s="939">
        <f t="shared" si="71"/>
        <v>4.4942939095283732E-5</v>
      </c>
      <c r="S126" s="939">
        <f t="shared" si="114"/>
        <v>6.4363063233601805</v>
      </c>
      <c r="T126" s="939">
        <f t="shared" si="114"/>
        <v>5.7328975934466984</v>
      </c>
      <c r="U126" s="939">
        <f t="shared" si="114"/>
        <v>5.3307741914008675</v>
      </c>
      <c r="V126" s="939">
        <f t="shared" si="114"/>
        <v>4.5933534404404526</v>
      </c>
      <c r="W126" s="939">
        <f t="shared" si="114"/>
        <v>3.957942143345897</v>
      </c>
      <c r="X126" s="939">
        <f t="shared" si="114"/>
        <v>3.4104290499734287</v>
      </c>
      <c r="Y126" s="212"/>
      <c r="Z126" s="941">
        <f t="shared" si="113"/>
        <v>0.85487345304641404</v>
      </c>
      <c r="AA126" s="941">
        <f>1/SUMIFS('Vehicle data-proc2023'!AL$20:AL$117,'Vehicle data-proc2023'!$N$20:$N$117,Analytica!$C126,'Vehicle data-proc2023'!$Q$20:$Q$117,RIGHT(Analytica!$D126,3))</f>
        <v>0.86782586252279958</v>
      </c>
      <c r="AB126" s="941">
        <f>1/SUMIFS('Vehicle data-proc2023'!AM$20:AM$117,'Vehicle data-proc2023'!$N$20:$N$117,Analytica!$C126,'Vehicle data-proc2023'!$Q$20:$Q$117,RIGHT(Analytica!$D126,3))</f>
        <v>0.88097451731554877</v>
      </c>
      <c r="AC126" s="941">
        <f>1/SUMIFS('Vehicle data-proc2023'!AN$20:AN$117,'Vehicle data-proc2023'!$N$20:$N$117,Analytica!$C126,'Vehicle data-proc2023'!$Q$20:$Q$117,RIGHT(Analytica!$D126,3))</f>
        <v>0.94985692215944351</v>
      </c>
      <c r="AD126" s="941">
        <f>1/SUMIFS('Vehicle data-proc2023'!AO$20:AO$117,'Vehicle data-proc2023'!$N$20:$N$117,Analytica!$C126,'Vehicle data-proc2023'!$Q$20:$Q$117,RIGHT(Analytica!$D126,3))</f>
        <v>1.050282782473543</v>
      </c>
      <c r="AE126" s="975">
        <f>1/SUMIFS('Vehicle data-proc2023'!AP$20:AP$117,'Vehicle data-proc2023'!$N$20:$N$117,Analytica!$C126,'Vehicle data-proc2023'!$Q$20:$Q$117,RIGHT(Analytica!$D126,3))</f>
        <v>1.1613264034045769</v>
      </c>
      <c r="AF126" s="975"/>
      <c r="AG126" s="943"/>
      <c r="AH126" s="943"/>
      <c r="AI126" s="943"/>
      <c r="AJ126" s="943"/>
      <c r="AK126" s="943">
        <f>SUMIFS('Vehicle data-proc2023'!AD$20:AD$117,'Vehicle data-proc2023'!$N$20:$N$117,Analytica!$C126,'Vehicle data-proc2023'!$Q$20:$Q$117,RIGHT(Analytica!$D126,3))/1000</f>
        <v>4486.5356914122794</v>
      </c>
      <c r="AL126" s="943">
        <f>SUMIFS('Vehicle data-proc2023'!AE$20:AE$117,'Vehicle data-proc2023'!$N$20:$N$117,Analytica!$C126,'Vehicle data-proc2023'!$Q$20:$Q$117,RIGHT(Analytica!$D126,3))/1000</f>
        <v>1793.7891316594641</v>
      </c>
      <c r="AM126" s="943">
        <f>SUMIFS('Vehicle data-proc2023'!AF$20:AF$117,'Vehicle data-proc2023'!$N$20:$N$117,Analytica!$C126,'Vehicle data-proc2023'!$Q$20:$Q$117,RIGHT(Analytica!$D126,3))/1000</f>
        <v>1377.0389964110029</v>
      </c>
      <c r="AN126" s="943">
        <f>SUMIFS('Vehicle data-proc2023'!AG$20:AG$117,'Vehicle data-proc2023'!$N$20:$N$117,Analytica!$C126,'Vehicle data-proc2023'!$Q$20:$Q$117,RIGHT(Analytica!$D126,3))/1000</f>
        <v>960.28886116254182</v>
      </c>
      <c r="AO126" s="943">
        <f>SUMIFS('Vehicle data-proc2023'!AH$20:AH$117,'Vehicle data-proc2023'!$N$20:$N$117,Analytica!$C126,'Vehicle data-proc2023'!$Q$20:$Q$117,RIGHT(Analytica!$D126,3))/1000</f>
        <v>914.45644042789343</v>
      </c>
      <c r="AP126" s="943">
        <f>SUMIFS('Vehicle data-proc2023'!AI$20:AI$117,'Vehicle data-proc2023'!$N$20:$N$117,Analytica!$C126,'Vehicle data-proc2023'!$Q$20:$Q$117,RIGHT(Analytica!$D126,3))/1000</f>
        <v>868.6240196932448</v>
      </c>
      <c r="AQ126" s="943">
        <f>SUMIFS('Vehicle data-proc2023'!AJ$20:AJ$117,'Vehicle data-proc2023'!$N$20:$N$117,Analytica!$C126,'Vehicle data-proc2023'!$Q$20:$Q$117,RIGHT(Analytica!$D126,3))/1000</f>
        <v>387.39622422821134</v>
      </c>
      <c r="AR126" s="942"/>
      <c r="AS126" s="212"/>
      <c r="AT126" s="944">
        <f t="shared" si="73"/>
        <v>2.7E-2</v>
      </c>
      <c r="AU126" s="942">
        <f t="shared" si="74"/>
        <v>121.13646366813154</v>
      </c>
      <c r="AV126" s="942">
        <f t="shared" si="75"/>
        <v>48.432306554805528</v>
      </c>
      <c r="AW126" s="942">
        <f t="shared" si="76"/>
        <v>25.927799251388628</v>
      </c>
      <c r="AX126" s="942">
        <f t="shared" si="77"/>
        <v>23.45284853171761</v>
      </c>
      <c r="AY126" s="945">
        <f t="shared" si="78"/>
        <v>10.459698054161706</v>
      </c>
      <c r="BA126" s="164">
        <f t="shared" si="112"/>
        <v>0</v>
      </c>
      <c r="BC126" s="169" t="e">
        <f>#REF!-BC124</f>
        <v>#REF!</v>
      </c>
      <c r="BE126" s="61" t="s">
        <v>515</v>
      </c>
    </row>
    <row r="127" spans="1:57" x14ac:dyDescent="0.25">
      <c r="A127" s="61" t="str">
        <f t="shared" si="65"/>
        <v>SUVBGS</v>
      </c>
      <c r="B127" s="61" t="str">
        <f>D127&amp;C127&amp;"-N"</f>
        <v>TPPRSUVBGS-N</v>
      </c>
      <c r="C127" s="61" t="s">
        <v>506</v>
      </c>
      <c r="D127" s="61" t="s">
        <v>516</v>
      </c>
      <c r="E127" s="61" t="s">
        <v>1007</v>
      </c>
      <c r="F127" s="938">
        <f>F124</f>
        <v>2.4E-2</v>
      </c>
      <c r="G127" s="939">
        <f>G124</f>
        <v>19920.095193486901</v>
      </c>
      <c r="H127" s="939">
        <f t="shared" si="108"/>
        <v>19920.095193486901</v>
      </c>
      <c r="I127" s="939">
        <f t="shared" si="108"/>
        <v>17667.539528454752</v>
      </c>
      <c r="J127" s="939">
        <f t="shared" si="108"/>
        <v>13897.778829577146</v>
      </c>
      <c r="K127" s="939">
        <f t="shared" si="108"/>
        <v>6764.7751981294105</v>
      </c>
      <c r="L127" s="939">
        <f t="shared" si="108"/>
        <v>2037.5111345637988</v>
      </c>
      <c r="M127" s="939">
        <f t="shared" si="104"/>
        <v>1</v>
      </c>
      <c r="N127" s="939">
        <f t="shared" si="67"/>
        <v>0.88692043671715748</v>
      </c>
      <c r="O127" s="939">
        <f t="shared" si="68"/>
        <v>0.69767632607103114</v>
      </c>
      <c r="P127" s="939">
        <f t="shared" si="69"/>
        <v>0.33959552564493917</v>
      </c>
      <c r="Q127" s="939">
        <f t="shared" si="70"/>
        <v>0.10228420671553748</v>
      </c>
      <c r="R127" s="939">
        <f t="shared" si="71"/>
        <v>5.020056331492639E-5</v>
      </c>
      <c r="S127" s="939">
        <v>19.276653567548493</v>
      </c>
      <c r="T127" s="939">
        <f>S127</f>
        <v>19.276653567548493</v>
      </c>
      <c r="U127" s="939">
        <f t="shared" ref="U127:X130" si="115">T127/((1+U$57)^(U$58-T$58))</f>
        <v>17.112099801570785</v>
      </c>
      <c r="V127" s="939">
        <f t="shared" si="115"/>
        <v>14.744935664973244</v>
      </c>
      <c r="W127" s="939">
        <f t="shared" si="115"/>
        <v>12.705227896359204</v>
      </c>
      <c r="X127" s="939">
        <f t="shared" si="115"/>
        <v>10.947678549855311</v>
      </c>
      <c r="Y127" s="212"/>
      <c r="Z127" s="941">
        <f t="shared" si="113"/>
        <v>0.42121105878886406</v>
      </c>
      <c r="AA127" s="941">
        <f>1/SUMIFS('Vehicle data-proc2023'!AL$20:AL$117,'Vehicle data-proc2023'!$N$20:$N$117,Analytica!$C127,'Vehicle data-proc2023'!$Q$20:$Q$117,RIGHT(Analytica!$D127,3))</f>
        <v>0.42759293682001998</v>
      </c>
      <c r="AB127" s="941">
        <f>1/SUMIFS('Vehicle data-proc2023'!AM$20:AM$117,'Vehicle data-proc2023'!$N$20:$N$117,Analytica!$C127,'Vehicle data-proc2023'!$Q$20:$Q$117,RIGHT(Analytica!$D127,3))</f>
        <v>0.43407150834094715</v>
      </c>
      <c r="AC127" s="941">
        <f>1/SUMIFS('Vehicle data-proc2023'!AN$20:AN$117,'Vehicle data-proc2023'!$N$20:$N$117,Analytica!$C127,'Vehicle data-proc2023'!$Q$20:$Q$117,RIGHT(Analytica!$D127,3))</f>
        <v>0.46801107047476492</v>
      </c>
      <c r="AD127" s="941">
        <f>1/SUMIFS('Vehicle data-proc2023'!AO$20:AO$117,'Vehicle data-proc2023'!$N$20:$N$117,Analytica!$C127,'Vehicle data-proc2023'!$Q$20:$Q$117,RIGHT(Analytica!$D127,3))</f>
        <v>0.51749264321742416</v>
      </c>
      <c r="AE127" s="975">
        <f>1/SUMIFS('Vehicle data-proc2023'!AP$20:AP$117,'Vehicle data-proc2023'!$N$20:$N$117,Analytica!$C127,'Vehicle data-proc2023'!$Q$20:$Q$117,RIGHT(Analytica!$D127,3))</f>
        <v>0.57220577178333198</v>
      </c>
      <c r="AF127" s="975"/>
      <c r="AG127" s="943"/>
      <c r="AH127" s="943"/>
      <c r="AI127" s="943"/>
      <c r="AJ127" s="943"/>
      <c r="AK127" s="943">
        <f>SUMIFS('Vehicle data-proc2023'!AD$20:AD$117,'Vehicle data-proc2023'!$N$20:$N$117,Analytica!$C127,'Vehicle data-proc2023'!$Q$20:$Q$117,RIGHT(Analytica!$D127,3))/1000</f>
        <v>322.55453757929689</v>
      </c>
      <c r="AL127" s="943">
        <f>SUMIFS('Vehicle data-proc2023'!AE$20:AE$117,'Vehicle data-proc2023'!$N$20:$N$117,Analytica!$C127,'Vehicle data-proc2023'!$Q$20:$Q$117,RIGHT(Analytica!$D127,3))/1000</f>
        <v>350.63787759734595</v>
      </c>
      <c r="AM127" s="943">
        <f>SUMIFS('Vehicle data-proc2023'!AF$20:AF$117,'Vehicle data-proc2023'!$N$20:$N$117,Analytica!$C127,'Vehicle data-proc2023'!$Q$20:$Q$117,RIGHT(Analytica!$D127,3))/1000</f>
        <v>357.09962238446946</v>
      </c>
      <c r="AN127" s="943">
        <f>SUMIFS('Vehicle data-proc2023'!AG$20:AG$117,'Vehicle data-proc2023'!$N$20:$N$117,Analytica!$C127,'Vehicle data-proc2023'!$Q$20:$Q$117,RIGHT(Analytica!$D127,3))/1000</f>
        <v>363.56136717159279</v>
      </c>
      <c r="AO127" s="943">
        <f>SUMIFS('Vehicle data-proc2023'!AH$20:AH$117,'Vehicle data-proc2023'!$N$20:$N$117,Analytica!$C127,'Vehicle data-proc2023'!$Q$20:$Q$117,RIGHT(Analytica!$D127,3))/1000</f>
        <v>371.50085823323019</v>
      </c>
      <c r="AP127" s="943">
        <f>SUMIFS('Vehicle data-proc2023'!AI$20:AI$117,'Vehicle data-proc2023'!$N$20:$N$117,Analytica!$C127,'Vehicle data-proc2023'!$Q$20:$Q$117,RIGHT(Analytica!$D127,3))/1000</f>
        <v>379.44034929486759</v>
      </c>
      <c r="AQ127" s="943">
        <f>SUMIFS('Vehicle data-proc2023'!AJ$20:AJ$117,'Vehicle data-proc2023'!$N$20:$N$117,Analytica!$C127,'Vehicle data-proc2023'!$Q$20:$Q$117,RIGHT(Analytica!$D127,3))/1000</f>
        <v>387.39622422821134</v>
      </c>
      <c r="AR127" s="942"/>
      <c r="AS127" s="212"/>
      <c r="AT127" s="944">
        <f t="shared" si="73"/>
        <v>2.7E-2</v>
      </c>
      <c r="AU127" s="942">
        <f t="shared" si="74"/>
        <v>8.7089725146410153</v>
      </c>
      <c r="AV127" s="942">
        <f t="shared" si="75"/>
        <v>9.4672226951283402</v>
      </c>
      <c r="AW127" s="942">
        <f t="shared" si="76"/>
        <v>9.8161569136330051</v>
      </c>
      <c r="AX127" s="942">
        <f t="shared" si="77"/>
        <v>10.244889430961425</v>
      </c>
      <c r="AY127" s="945">
        <f t="shared" si="78"/>
        <v>10.459698054161706</v>
      </c>
      <c r="BA127" s="164">
        <f t="shared" si="112"/>
        <v>0</v>
      </c>
      <c r="BC127" s="167" t="e">
        <f>#REF!-BC125</f>
        <v>#REF!</v>
      </c>
      <c r="BD127" s="167"/>
      <c r="BE127" s="61" t="s">
        <v>515</v>
      </c>
    </row>
    <row r="128" spans="1:57" x14ac:dyDescent="0.25">
      <c r="A128" s="61" t="str">
        <f t="shared" si="65"/>
        <v>SUVELC</v>
      </c>
      <c r="B128" s="61" t="str">
        <f>D128&amp;C128&amp;"-N"</f>
        <v>TPPRSUVELC-N</v>
      </c>
      <c r="C128" s="61" t="s">
        <v>501</v>
      </c>
      <c r="D128" s="61" t="s">
        <v>516</v>
      </c>
      <c r="E128" t="s">
        <v>499</v>
      </c>
      <c r="F128" s="938">
        <f>F125</f>
        <v>2.4E-2</v>
      </c>
      <c r="G128" s="939">
        <f>G125</f>
        <v>22250.436222693301</v>
      </c>
      <c r="H128" s="939">
        <f t="shared" ref="H128:L135" si="116">(EXP(-((H$58)*$F128))*G128)</f>
        <v>22250.436222693301</v>
      </c>
      <c r="I128" s="939">
        <f t="shared" si="116"/>
        <v>19734.366611778401</v>
      </c>
      <c r="J128" s="939">
        <f t="shared" si="116"/>
        <v>15523.602597326451</v>
      </c>
      <c r="K128" s="939">
        <f t="shared" si="116"/>
        <v>7556.1485848747261</v>
      </c>
      <c r="L128" s="939">
        <f t="shared" si="116"/>
        <v>2275.8682181128447</v>
      </c>
      <c r="M128" s="939">
        <f t="shared" si="104"/>
        <v>1</v>
      </c>
      <c r="N128" s="939">
        <f t="shared" si="67"/>
        <v>0.88692043671715748</v>
      </c>
      <c r="O128" s="939">
        <f t="shared" si="68"/>
        <v>0.69767632607103103</v>
      </c>
      <c r="P128" s="939">
        <f t="shared" si="69"/>
        <v>0.33959552564493917</v>
      </c>
      <c r="Q128" s="939">
        <f t="shared" si="70"/>
        <v>0.10228420671553749</v>
      </c>
      <c r="R128" s="939">
        <f t="shared" si="71"/>
        <v>4.4942939095283732E-5</v>
      </c>
      <c r="S128" s="952">
        <v>20.2766535675485</v>
      </c>
      <c r="T128" s="212">
        <f>S128</f>
        <v>20.2766535675485</v>
      </c>
      <c r="U128" s="939">
        <f t="shared" si="115"/>
        <v>17.999810925371779</v>
      </c>
      <c r="V128" s="939">
        <f t="shared" si="115"/>
        <v>15.509847251587836</v>
      </c>
      <c r="W128" s="939">
        <f t="shared" si="115"/>
        <v>13.364327145709623</v>
      </c>
      <c r="X128" s="939">
        <f t="shared" si="115"/>
        <v>11.515602775473257</v>
      </c>
      <c r="Y128" s="212"/>
      <c r="Z128" s="941">
        <f t="shared" si="113"/>
        <v>1.4549555903750002</v>
      </c>
      <c r="AA128" s="941">
        <f>1/SUMIFS('Vehicle data-proc2023'!AL$20:AL$117,'Vehicle data-proc2023'!$N$20:$N$117,Analytica!$C128,'Vehicle data-proc2023'!$Q$20:$Q$117,RIGHT(Analytica!$D128,3))</f>
        <v>1.4770000000000001</v>
      </c>
      <c r="AB128" s="941">
        <f>1/SUMIFS('Vehicle data-proc2023'!AM$20:AM$117,'Vehicle data-proc2023'!$N$20:$N$117,Analytica!$C128,'Vehicle data-proc2023'!$Q$20:$Q$117,RIGHT(Analytica!$D128,3))</f>
        <v>1.4993784101944536</v>
      </c>
      <c r="AC128" s="941">
        <f>1/SUMIFS('Vehicle data-proc2023'!AN$20:AN$117,'Vehicle data-proc2023'!$N$20:$N$117,Analytica!$C128,'Vehicle data-proc2023'!$Q$20:$Q$117,RIGHT(Analytica!$D128,3))</f>
        <v>1.6166131186170316</v>
      </c>
      <c r="AD128" s="941">
        <f>1/SUMIFS('Vehicle data-proc2023'!AO$20:AO$117,'Vehicle data-proc2023'!$N$20:$N$117,Analytica!$C128,'Vehicle data-proc2023'!$Q$20:$Q$117,RIGHT(Analytica!$D128,3))</f>
        <v>1.7875333482270686</v>
      </c>
      <c r="AE128" s="975">
        <f>1/SUMIFS('Vehicle data-proc2023'!AP$20:AP$117,'Vehicle data-proc2023'!$N$20:$N$117,Analytica!$C128,'Vehicle data-proc2023'!$Q$20:$Q$117,RIGHT(Analytica!$D128,3))</f>
        <v>1.9765245216847829</v>
      </c>
      <c r="AF128" s="975"/>
      <c r="AG128" s="943"/>
      <c r="AH128" s="975"/>
      <c r="AI128" s="943"/>
      <c r="AJ128" s="943"/>
      <c r="AK128" s="943">
        <f>SUMIFS('Vehicle data-proc2023'!AD$20:AD$117,'Vehicle data-proc2023'!$N$20:$N$117,Analytica!$C128,'Vehicle data-proc2023'!$Q$20:$Q$117,RIGHT(Analytica!$D128,3))/1000</f>
        <v>1200.3559594665694</v>
      </c>
      <c r="AL128" s="943">
        <f>SUMIFS('Vehicle data-proc2023'!AE$20:AE$117,'Vehicle data-proc2023'!$N$20:$N$117,Analytica!$C128,'Vehicle data-proc2023'!$Q$20:$Q$117,RIGHT(Analytica!$D128,3))/1000</f>
        <v>820.96300033176112</v>
      </c>
      <c r="AM128" s="943">
        <f>SUMIFS('Vehicle data-proc2023'!AF$20:AF$117,'Vehicle data-proc2023'!$N$20:$N$117,Analytica!$C128,'Vehicle data-proc2023'!$Q$20:$Q$117,RIGHT(Analytica!$D128,3))/1000</f>
        <v>755.33369376548785</v>
      </c>
      <c r="AN128" s="943">
        <f>SUMIFS('Vehicle data-proc2023'!AG$20:AG$117,'Vehicle data-proc2023'!$N$20:$N$117,Analytica!$C128,'Vehicle data-proc2023'!$Q$20:$Q$117,RIGHT(Analytica!$D128,3))/1000</f>
        <v>689.70438719921458</v>
      </c>
      <c r="AO128" s="943">
        <f>SUMIFS('Vehicle data-proc2023'!AH$20:AH$117,'Vehicle data-proc2023'!$N$20:$N$117,Analytica!$C128,'Vehicle data-proc2023'!$Q$20:$Q$117,RIGHT(Analytica!$D128,3))/1000</f>
        <v>696.54423846668703</v>
      </c>
      <c r="AP128" s="943">
        <f>SUMIFS('Vehicle data-proc2023'!AI$20:AI$117,'Vehicle data-proc2023'!$N$20:$N$117,Analytica!$C128,'Vehicle data-proc2023'!$Q$20:$Q$117,RIGHT(Analytica!$D128,3))/1000</f>
        <v>379.44034929486759</v>
      </c>
      <c r="AQ128" s="943">
        <f>SUMIFS('Vehicle data-proc2023'!AJ$20:AJ$117,'Vehicle data-proc2023'!$N$20:$N$117,Analytica!$C128,'Vehicle data-proc2023'!$Q$20:$Q$117,RIGHT(Analytica!$D128,3))/1000</f>
        <v>387.39622422821134</v>
      </c>
      <c r="AR128" s="942"/>
      <c r="AS128" s="212"/>
      <c r="AT128" s="944">
        <f t="shared" si="73"/>
        <v>2.0250000000000001E-2</v>
      </c>
      <c r="AU128" s="942">
        <f t="shared" si="74"/>
        <v>24.307208179198032</v>
      </c>
      <c r="AV128" s="942">
        <f t="shared" si="75"/>
        <v>16.624500756718163</v>
      </c>
      <c r="AW128" s="942">
        <f t="shared" si="76"/>
        <v>13.966513840784096</v>
      </c>
      <c r="AX128" s="942">
        <f t="shared" si="77"/>
        <v>7.683667073221069</v>
      </c>
      <c r="AY128" s="945">
        <f t="shared" si="78"/>
        <v>7.8447735406212802</v>
      </c>
      <c r="BA128" s="164">
        <f t="shared" si="112"/>
        <v>0</v>
      </c>
      <c r="BC128" s="167" t="e">
        <f>#REF!-BC126</f>
        <v>#REF!</v>
      </c>
      <c r="BE128" s="61" t="s">
        <v>515</v>
      </c>
    </row>
    <row r="129" spans="1:56" x14ac:dyDescent="0.25">
      <c r="A129" s="61" t="str">
        <f t="shared" ref="A129:A135" si="117">RIGHT(D129,3)&amp;C129</f>
        <v>MOTOGS</v>
      </c>
      <c r="B129" s="61" t="s">
        <v>514</v>
      </c>
      <c r="C129" s="61" t="s">
        <v>573</v>
      </c>
      <c r="D129" s="61" t="s">
        <v>512</v>
      </c>
      <c r="E129" s="61" t="s">
        <v>513</v>
      </c>
      <c r="F129" s="938">
        <f>INDEX($F$17:$F$49,MATCH($E129,$E$17:$E$49,0))</f>
        <v>1.4999999999999999E-2</v>
      </c>
      <c r="G129" s="939">
        <f>G41</f>
        <v>11451.6721676383</v>
      </c>
      <c r="H129" s="939">
        <f t="shared" si="116"/>
        <v>11451.6721676383</v>
      </c>
      <c r="I129" s="939">
        <f t="shared" si="116"/>
        <v>10624.214261096413</v>
      </c>
      <c r="J129" s="939">
        <f t="shared" si="116"/>
        <v>9144.3459577745343</v>
      </c>
      <c r="K129" s="939">
        <f t="shared" si="116"/>
        <v>5830.6924108458106</v>
      </c>
      <c r="L129" s="939">
        <f t="shared" si="116"/>
        <v>2754.2240742044319</v>
      </c>
      <c r="M129" s="939">
        <f t="shared" si="104"/>
        <v>1</v>
      </c>
      <c r="N129" s="939">
        <f t="shared" si="67"/>
        <v>0.92774348632855286</v>
      </c>
      <c r="O129" s="939">
        <f t="shared" si="68"/>
        <v>0.79851621875937706</v>
      </c>
      <c r="P129" s="939">
        <f t="shared" si="69"/>
        <v>0.50915642060754918</v>
      </c>
      <c r="Q129" s="939">
        <f t="shared" si="70"/>
        <v>0.24050846320834215</v>
      </c>
      <c r="R129" s="939">
        <f t="shared" si="71"/>
        <v>8.7323491745243691E-5</v>
      </c>
      <c r="S129" s="212">
        <f>W41</f>
        <v>4.9995594866529798</v>
      </c>
      <c r="T129" s="939">
        <f>S129/((1+T$57)^(T$58-S$58))</f>
        <v>4.572308094547143</v>
      </c>
      <c r="U129" s="939">
        <f t="shared" si="115"/>
        <v>4.0588887569747962</v>
      </c>
      <c r="V129" s="939">
        <f t="shared" si="115"/>
        <v>3.4974114390907718</v>
      </c>
      <c r="W129" s="939">
        <f t="shared" si="115"/>
        <v>3.0136048329148473</v>
      </c>
      <c r="X129" s="939">
        <f t="shared" si="115"/>
        <v>2.596724533882333</v>
      </c>
      <c r="Y129" s="212"/>
      <c r="Z129" s="941">
        <f t="shared" si="113"/>
        <v>0.57611793589061622</v>
      </c>
      <c r="AA129" s="941">
        <f>1/SUMIFS('Vehicle data-proc2023'!AL$20:AL$117,'Vehicle data-proc2023'!$N$20:$N$117,Analytica!$C129,'Vehicle data-proc2023'!$Q$20:$Q$117,RIGHT(Analytica!$D129,3))</f>
        <v>0.58484684820594601</v>
      </c>
      <c r="AB129" s="941">
        <f>1/SUMIFS('Vehicle data-proc2023'!AM$20:AM$117,'Vehicle data-proc2023'!$N$20:$N$117,Analytica!$C129,'Vehicle data-proc2023'!$Q$20:$Q$117,RIGHT(Analytica!$D129,3))</f>
        <v>0.59370801453640365</v>
      </c>
      <c r="AC129" s="941">
        <f>1/SUMIFS('Vehicle data-proc2023'!AN$20:AN$117,'Vehicle data-proc2023'!$N$20:$N$117,Analytica!$C129,'Vehicle data-proc2023'!$Q$20:$Q$117,RIGHT(Analytica!$D129,3))</f>
        <v>0.64012937521432356</v>
      </c>
      <c r="AD129" s="941">
        <f>1/SUMIFS('Vehicle data-proc2023'!AO$20:AO$117,'Vehicle data-proc2023'!$N$20:$N$117,Analytica!$C129,'Vehicle data-proc2023'!$Q$20:$Q$117,RIGHT(Analytica!$D129,3))</f>
        <v>0.7078085611195819</v>
      </c>
      <c r="AE129" s="975">
        <f>1/SUMIFS('Vehicle data-proc2023'!AP$20:AP$117,'Vehicle data-proc2023'!$N$20:$N$117,Analytica!$C129,'Vehicle data-proc2023'!$Q$20:$Q$117,RIGHT(Analytica!$D129,3))</f>
        <v>0.7826432883609411</v>
      </c>
      <c r="AF129" s="975"/>
      <c r="AG129" s="943"/>
      <c r="AH129" s="943">
        <v>332.33640000000003</v>
      </c>
      <c r="AI129" s="943">
        <v>332.33640000000003</v>
      </c>
      <c r="AJ129" s="943"/>
      <c r="AK129" s="943">
        <f>SUMIFS('Vehicle data-proc2023'!AD$20:AD$117,'Vehicle data-proc2023'!$N$20:$N$117,Analytica!$C129,'Vehicle data-proc2023'!$Q$20:$Q$117,RIGHT(Analytica!$D129,3))/1000</f>
        <v>96.467645499958365</v>
      </c>
      <c r="AL129" s="943">
        <f>SUMIFS('Vehicle data-proc2023'!AE$20:AE$117,'Vehicle data-proc2023'!$N$20:$N$117,Analytica!$C129,'Vehicle data-proc2023'!$Q$20:$Q$117,RIGHT(Analytica!$D129,3))/1000</f>
        <v>100.95258236707701</v>
      </c>
      <c r="AM129" s="943">
        <f>SUMIFS('Vehicle data-proc2023'!AF$20:AF$117,'Vehicle data-proc2023'!$N$20:$N$117,Analytica!$C129,'Vehicle data-proc2023'!$Q$20:$Q$117,RIGHT(Analytica!$D129,3))/1000</f>
        <v>102.36283931314476</v>
      </c>
      <c r="AN129" s="943">
        <f>SUMIFS('Vehicle data-proc2023'!AG$20:AG$117,'Vehicle data-proc2023'!$N$20:$N$117,Analytica!$C129,'Vehicle data-proc2023'!$Q$20:$Q$117,RIGHT(Analytica!$D129,3))/1000</f>
        <v>103.77309625921252</v>
      </c>
      <c r="AO129" s="943">
        <f>SUMIFS('Vehicle data-proc2023'!AH$20:AH$117,'Vehicle data-proc2023'!$N$20:$N$117,Analytica!$C129,'Vehicle data-proc2023'!$Q$20:$Q$117,RIGHT(Analytica!$D129,3))/1000</f>
        <v>105.37719050256098</v>
      </c>
      <c r="AP129" s="943">
        <f>SUMIFS('Vehicle data-proc2023'!AI$20:AI$117,'Vehicle data-proc2023'!$N$20:$N$117,Analytica!$C129,'Vehicle data-proc2023'!$Q$20:$Q$117,RIGHT(Analytica!$D129,3))/1000</f>
        <v>106.98128474590941</v>
      </c>
      <c r="AQ129" s="943">
        <f>SUMIFS('Vehicle data-proc2023'!AJ$20:AJ$117,'Vehicle data-proc2023'!$N$20:$N$117,Analytica!$C129,'Vehicle data-proc2023'!$Q$20:$Q$117,RIGHT(Analytica!$D129,3))/1000</f>
        <v>108.46433187891265</v>
      </c>
      <c r="AR129" s="942"/>
      <c r="AS129" s="212"/>
      <c r="AT129" s="944">
        <f t="shared" ref="AT129:AT137" si="118">IF($C129&lt;&gt;$AY$55,$AX$56,$AX$55)</f>
        <v>2.7E-2</v>
      </c>
      <c r="AU129" s="942">
        <f t="shared" ref="AU129:AU137" si="119">$AT129*AK129</f>
        <v>2.604626428498876</v>
      </c>
      <c r="AV129" s="942">
        <f t="shared" ref="AV129:AV137" si="120">$AT129*AL129</f>
        <v>2.7257197239110793</v>
      </c>
      <c r="AW129" s="942">
        <f t="shared" ref="AW129:AW137" si="121">$AT129*AN129</f>
        <v>2.8018735989987382</v>
      </c>
      <c r="AX129" s="942">
        <f t="shared" ref="AX129:AX137" si="122">$AT129*AP129</f>
        <v>2.8884946881395539</v>
      </c>
      <c r="AY129" s="945">
        <f t="shared" ref="AY129:AY137" si="123">$AT129*AQ129</f>
        <v>2.9285369607306415</v>
      </c>
      <c r="BA129" s="164">
        <f t="shared" si="112"/>
        <v>1</v>
      </c>
    </row>
    <row r="130" spans="1:56" x14ac:dyDescent="0.25">
      <c r="A130" s="61" t="str">
        <f t="shared" si="117"/>
        <v>MOTELC</v>
      </c>
      <c r="B130" s="61" t="str">
        <f>D130&amp;C130&amp;"-N"</f>
        <v>TPPRMOTELC-N</v>
      </c>
      <c r="C130" s="61" t="s">
        <v>501</v>
      </c>
      <c r="D130" s="61" t="s">
        <v>512</v>
      </c>
      <c r="E130" t="s">
        <v>498</v>
      </c>
      <c r="F130" s="938">
        <f>INDEX($F$17:$F$49,MATCH($E129,$E$17:$E$49,0))</f>
        <v>1.4999999999999999E-2</v>
      </c>
      <c r="G130" s="950">
        <f>G41</f>
        <v>11451.6721676383</v>
      </c>
      <c r="H130" s="939">
        <f t="shared" si="116"/>
        <v>11451.6721676383</v>
      </c>
      <c r="I130" s="939">
        <f t="shared" si="116"/>
        <v>10624.214261096413</v>
      </c>
      <c r="J130" s="939">
        <f t="shared" si="116"/>
        <v>9144.3459577745343</v>
      </c>
      <c r="K130" s="939">
        <f t="shared" si="116"/>
        <v>5830.6924108458106</v>
      </c>
      <c r="L130" s="939">
        <f t="shared" si="116"/>
        <v>2754.2240742044319</v>
      </c>
      <c r="M130" s="939">
        <f t="shared" si="104"/>
        <v>1</v>
      </c>
      <c r="N130" s="939">
        <f t="shared" si="67"/>
        <v>0.92774348632855286</v>
      </c>
      <c r="O130" s="939">
        <f t="shared" si="68"/>
        <v>0.79851621875937706</v>
      </c>
      <c r="P130" s="939">
        <f t="shared" si="69"/>
        <v>0.50915642060754918</v>
      </c>
      <c r="Q130" s="939">
        <f t="shared" si="70"/>
        <v>0.24050846320834215</v>
      </c>
      <c r="R130" s="939">
        <f t="shared" si="71"/>
        <v>8.7323491745243691E-5</v>
      </c>
      <c r="S130" s="952">
        <f>W41</f>
        <v>4.9995594866529798</v>
      </c>
      <c r="T130" s="212">
        <f>S130/((1+T$57)^(T$58-S$58))</f>
        <v>4.572308094547143</v>
      </c>
      <c r="U130" s="939">
        <f t="shared" si="115"/>
        <v>4.0588887569747962</v>
      </c>
      <c r="V130" s="939">
        <f t="shared" si="115"/>
        <v>3.4974114390907718</v>
      </c>
      <c r="W130" s="939">
        <f t="shared" si="115"/>
        <v>3.0136048329148473</v>
      </c>
      <c r="X130" s="939">
        <f t="shared" si="115"/>
        <v>2.596724533882333</v>
      </c>
      <c r="Y130" s="212"/>
      <c r="Z130" s="941">
        <f t="shared" si="113"/>
        <v>2.8573689373918016</v>
      </c>
      <c r="AA130" s="941">
        <f>1/SUMIFS('Vehicle data-proc2023'!AL$20:AL$117,'Vehicle data-proc2023'!$N$20:$N$117,Analytica!$C130,'Vehicle data-proc2023'!$Q$20:$Q$117,RIGHT(Analytica!$D130,3))</f>
        <v>2.9006616754810661</v>
      </c>
      <c r="AB130" s="941">
        <f>1/SUMIFS('Vehicle data-proc2023'!AM$20:AM$117,'Vehicle data-proc2023'!$N$20:$N$117,Analytica!$C130,'Vehicle data-proc2023'!$Q$20:$Q$117,RIGHT(Analytica!$D130,3))</f>
        <v>2.9446103530770351</v>
      </c>
      <c r="AC130" s="941">
        <f>1/SUMIFS('Vehicle data-proc2023'!AN$20:AN$117,'Vehicle data-proc2023'!$N$20:$N$117,Analytica!$C130,'Vehicle data-proc2023'!$Q$20:$Q$117,RIGHT(Analytica!$D130,3))</f>
        <v>3.1748461186542651</v>
      </c>
      <c r="AD130" s="941">
        <f>1/SUMIFS('Vehicle data-proc2023'!AO$20:AO$117,'Vehicle data-proc2023'!$N$20:$N$117,Analytica!$C130,'Vehicle data-proc2023'!$Q$20:$Q$117,RIGHT(Analytica!$D130,3))</f>
        <v>3.510514202333519</v>
      </c>
      <c r="AE130" s="975">
        <f>1/SUMIFS('Vehicle data-proc2023'!AP$20:AP$117,'Vehicle data-proc2023'!$N$20:$N$117,Analytica!$C130,'Vehicle data-proc2023'!$Q$20:$Q$117,RIGHT(Analytica!$D130,3))</f>
        <v>3.8816715847661438</v>
      </c>
      <c r="AF130" s="975"/>
      <c r="AG130" s="943"/>
      <c r="AH130" s="975">
        <v>332.33640000000003</v>
      </c>
      <c r="AI130" s="943">
        <v>332.33640000000003</v>
      </c>
      <c r="AJ130" s="943"/>
      <c r="AK130" s="943">
        <f>SUMIFS('Vehicle data-proc2023'!AD$20:AD$117,'Vehicle data-proc2023'!$N$20:$N$117,Analytica!$C130,'Vehicle data-proc2023'!$Q$20:$Q$117,RIGHT(Analytica!$D130,3))/1000</f>
        <v>333.94983416192122</v>
      </c>
      <c r="AL130" s="943">
        <f>SUMIFS('Vehicle data-proc2023'!AE$20:AE$117,'Vehicle data-proc2023'!$N$20:$N$117,Analytica!$C130,'Vehicle data-proc2023'!$Q$20:$Q$117,RIGHT(Analytica!$D130,3))/1000</f>
        <v>266.55563128707331</v>
      </c>
      <c r="AM130" s="943">
        <f>SUMIFS('Vehicle data-proc2023'!AF$20:AF$117,'Vehicle data-proc2023'!$N$20:$N$117,Analytica!$C130,'Vehicle data-proc2023'!$Q$20:$Q$117,RIGHT(Analytica!$D130,3))/1000</f>
        <v>251.83585109009613</v>
      </c>
      <c r="AN130" s="943">
        <f>SUMIFS('Vehicle data-proc2023'!AG$20:AG$117,'Vehicle data-proc2023'!$N$20:$N$117,Analytica!$C130,'Vehicle data-proc2023'!$Q$20:$Q$117,RIGHT(Analytica!$D130,3))/1000</f>
        <v>103.77309625921252</v>
      </c>
      <c r="AO130" s="943">
        <f>SUMIFS('Vehicle data-proc2023'!AH$20:AH$117,'Vehicle data-proc2023'!$N$20:$N$117,Analytica!$C130,'Vehicle data-proc2023'!$Q$20:$Q$117,RIGHT(Analytica!$D130,3))/1000</f>
        <v>105.37719050256098</v>
      </c>
      <c r="AP130" s="943">
        <f>SUMIFS('Vehicle data-proc2023'!AI$20:AI$117,'Vehicle data-proc2023'!$N$20:$N$117,Analytica!$C130,'Vehicle data-proc2023'!$Q$20:$Q$117,RIGHT(Analytica!$D130,3))/1000</f>
        <v>106.98128474590941</v>
      </c>
      <c r="AQ130" s="943">
        <f>SUMIFS('Vehicle data-proc2023'!AJ$20:AJ$117,'Vehicle data-proc2023'!$N$20:$N$117,Analytica!$C130,'Vehicle data-proc2023'!$Q$20:$Q$117,RIGHT(Analytica!$D130,3))/1000</f>
        <v>108.46433187891265</v>
      </c>
      <c r="AR130" s="942"/>
      <c r="AS130" s="212"/>
      <c r="AT130" s="944">
        <f t="shared" si="118"/>
        <v>2.0250000000000001E-2</v>
      </c>
      <c r="AU130" s="942">
        <f t="shared" si="119"/>
        <v>6.7624841417789048</v>
      </c>
      <c r="AV130" s="942">
        <f t="shared" si="120"/>
        <v>5.3977515335632349</v>
      </c>
      <c r="AW130" s="942">
        <f t="shared" si="121"/>
        <v>2.1014051992490534</v>
      </c>
      <c r="AX130" s="942">
        <f t="shared" si="122"/>
        <v>2.1663710161046654</v>
      </c>
      <c r="AY130" s="945">
        <f t="shared" si="123"/>
        <v>2.1964027205479812</v>
      </c>
      <c r="BA130" s="164">
        <f t="shared" si="112"/>
        <v>0</v>
      </c>
      <c r="BC130" s="167"/>
    </row>
    <row r="131" spans="1:56" x14ac:dyDescent="0.25">
      <c r="A131" s="61" t="str">
        <f t="shared" si="117"/>
        <v>BRTODS</v>
      </c>
      <c r="B131" s="61" t="s">
        <v>650</v>
      </c>
      <c r="C131" s="61" t="s">
        <v>511</v>
      </c>
      <c r="D131" s="61" t="str">
        <f>LEFT(B131,7)</f>
        <v>TPPUBRT</v>
      </c>
      <c r="E131" s="61" t="s">
        <v>510</v>
      </c>
      <c r="F131" s="938">
        <f>F59</f>
        <v>0.06</v>
      </c>
      <c r="G131" s="939">
        <f>G59</f>
        <v>53296.583187381897</v>
      </c>
      <c r="H131" s="939">
        <f t="shared" si="116"/>
        <v>53296.583187381897</v>
      </c>
      <c r="I131" s="939">
        <f t="shared" si="116"/>
        <v>39483.079925291415</v>
      </c>
      <c r="J131" s="939">
        <f t="shared" si="116"/>
        <v>21668.773691830389</v>
      </c>
      <c r="K131" s="939">
        <f t="shared" si="116"/>
        <v>3581.8242003847272</v>
      </c>
      <c r="L131" s="939">
        <f t="shared" si="116"/>
        <v>178.32852634622401</v>
      </c>
      <c r="M131" s="212">
        <v>1</v>
      </c>
      <c r="N131" s="212">
        <f>N59</f>
        <v>0.74081822068171788</v>
      </c>
      <c r="O131" s="212">
        <f>O59</f>
        <v>0.40656965974059905</v>
      </c>
      <c r="P131" s="212">
        <f>P59</f>
        <v>6.720551273974977E-2</v>
      </c>
      <c r="Q131" s="212">
        <f>Q59</f>
        <v>3.3459654574712729E-3</v>
      </c>
      <c r="R131" s="212">
        <f>R59</f>
        <v>1.8762928882029207E-5</v>
      </c>
      <c r="S131" s="212">
        <f t="shared" ref="S131:X131" si="124">S59/1.15</f>
        <v>27.147826086956524</v>
      </c>
      <c r="T131" s="212">
        <f t="shared" si="124"/>
        <v>35.468256497682354</v>
      </c>
      <c r="U131" s="212">
        <f t="shared" si="124"/>
        <v>33.410225124654424</v>
      </c>
      <c r="V131" s="212">
        <f t="shared" si="124"/>
        <v>31.004794263867016</v>
      </c>
      <c r="W131" s="212">
        <f t="shared" si="124"/>
        <v>28.77254684031897</v>
      </c>
      <c r="X131" s="212">
        <f t="shared" si="124"/>
        <v>26.70101419260622</v>
      </c>
      <c r="Y131" s="212"/>
      <c r="Z131" s="941">
        <f t="shared" si="113"/>
        <v>6.3387932340570441E-2</v>
      </c>
      <c r="AA131" s="941">
        <f>1/SUMIFS('Vehicle data-proc2023'!AL$20:AL$117,'Vehicle data-proc2023'!$N$20:$N$117,Analytica!$C131,'Vehicle data-proc2023'!$Q$20:$Q$117,RIGHT(Analytica!$D131,3))</f>
        <v>6.4348339348895098E-2</v>
      </c>
      <c r="AB131" s="941">
        <f>1/SUMIFS('Vehicle data-proc2023'!AM$20:AM$117,'Vehicle data-proc2023'!$N$20:$N$117,Analytica!$C131,'Vehicle data-proc2023'!$Q$20:$Q$117,RIGHT(Analytica!$D131,3))</f>
        <v>6.5323297732971908E-2</v>
      </c>
      <c r="AC131" s="941">
        <f>1/SUMIFS('Vehicle data-proc2023'!AN$20:AN$117,'Vehicle data-proc2023'!$N$20:$N$117,Analytica!$C131,'Vehicle data-proc2023'!$Q$20:$Q$117,RIGHT(Analytica!$D131,3))</f>
        <v>7.043085277768743E-2</v>
      </c>
      <c r="AD131" s="941">
        <f>1/SUMIFS('Vehicle data-proc2023'!AO$20:AO$117,'Vehicle data-proc2023'!$N$20:$N$117,Analytica!$C131,'Vehicle data-proc2023'!$Q$20:$Q$117,RIGHT(Analytica!$D131,3))</f>
        <v>7.7877320574937056E-2</v>
      </c>
      <c r="AE131" s="975">
        <f>1/SUMIFS('Vehicle data-proc2023'!AP$20:AP$117,'Vehicle data-proc2023'!$N$20:$N$117,Analytica!$C131,'Vehicle data-proc2023'!$Q$20:$Q$117,RIGHT(Analytica!$D131,3))</f>
        <v>8.6111083718879447E-2</v>
      </c>
      <c r="AF131" s="975"/>
      <c r="AG131" s="943"/>
      <c r="AH131" s="943">
        <f>AH59</f>
        <v>306.87549999999999</v>
      </c>
      <c r="AI131" s="943">
        <f>AI59</f>
        <v>636.66302862985685</v>
      </c>
      <c r="AJ131" s="943"/>
      <c r="AK131" s="943">
        <f>SUMIFS('Vehicle data-proc2023'!AD$20:AD$117,'Vehicle data-proc2023'!$N$20:$N$117,Analytica!$C131,'Vehicle data-proc2023'!$Q$20:$Q$117,RIGHT(Analytica!$D131,3))/1000</f>
        <v>1494.0946129846409</v>
      </c>
      <c r="AL131" s="943">
        <f>SUMIFS('Vehicle data-proc2023'!AE$20:AE$117,'Vehicle data-proc2023'!$N$20:$N$117,Analytica!$C131,'Vehicle data-proc2023'!$Q$20:$Q$117,RIGHT(Analytica!$D131,3))/1000</f>
        <v>1615.4013682562638</v>
      </c>
      <c r="AM131" s="943">
        <f>SUMIFS('Vehicle data-proc2023'!AF$20:AF$117,'Vehicle data-proc2023'!$N$20:$N$117,Analytica!$C131,'Vehicle data-proc2023'!$Q$20:$Q$117,RIGHT(Analytica!$D131,3))/1000</f>
        <v>1645.5633521187683</v>
      </c>
      <c r="AN131" s="943">
        <f>SUMIFS('Vehicle data-proc2023'!AG$20:AG$117,'Vehicle data-proc2023'!$N$20:$N$117,Analytica!$C131,'Vehicle data-proc2023'!$Q$20:$Q$117,RIGHT(Analytica!$D131,3))/1000</f>
        <v>1675.7253359812721</v>
      </c>
      <c r="AO131" s="943">
        <f>SUMIFS('Vehicle data-proc2023'!AH$20:AH$117,'Vehicle data-proc2023'!$N$20:$N$117,Analytica!$C131,'Vehicle data-proc2023'!$Q$20:$Q$117,RIGHT(Analytica!$D131,3))/1000</f>
        <v>1695.1176876140198</v>
      </c>
      <c r="AP131" s="943">
        <f>SUMIFS('Vehicle data-proc2023'!AI$20:AI$117,'Vehicle data-proc2023'!$N$20:$N$117,Analytica!$C131,'Vehicle data-proc2023'!$Q$20:$Q$117,RIGHT(Analytica!$D131,3))/1000</f>
        <v>1714.5100392467668</v>
      </c>
      <c r="AQ131" s="943">
        <f>SUMIFS('Vehicle data-proc2023'!AJ$20:AJ$117,'Vehicle data-proc2023'!$N$20:$N$117,Analytica!$C131,'Vehicle data-proc2023'!$Q$20:$Q$117,RIGHT(Analytica!$D131,3))/1000</f>
        <v>1758.7858226703579</v>
      </c>
      <c r="AR131" s="942"/>
      <c r="AS131" s="212"/>
      <c r="AT131" s="944">
        <f t="shared" si="118"/>
        <v>2.7E-2</v>
      </c>
      <c r="AU131" s="942">
        <f t="shared" si="119"/>
        <v>40.340554550585303</v>
      </c>
      <c r="AV131" s="942">
        <f t="shared" si="120"/>
        <v>43.615836942919124</v>
      </c>
      <c r="AW131" s="942">
        <f t="shared" si="121"/>
        <v>45.244584071494344</v>
      </c>
      <c r="AX131" s="942">
        <f t="shared" si="122"/>
        <v>46.291771059662707</v>
      </c>
      <c r="AY131" s="945">
        <f t="shared" si="123"/>
        <v>47.487217212099665</v>
      </c>
      <c r="BA131" s="164">
        <v>1</v>
      </c>
    </row>
    <row r="132" spans="1:56" x14ac:dyDescent="0.25">
      <c r="A132" s="61" t="str">
        <f t="shared" si="117"/>
        <v>BRTGAS</v>
      </c>
      <c r="B132" s="61" t="str">
        <f>D132&amp;C132&amp;"-N"</f>
        <v>TPPUBRTGAS-N</v>
      </c>
      <c r="C132" s="61" t="s">
        <v>509</v>
      </c>
      <c r="D132" s="61" t="s">
        <v>503</v>
      </c>
      <c r="E132" s="61" t="s">
        <v>508</v>
      </c>
      <c r="F132" s="938">
        <f>F131</f>
        <v>0.06</v>
      </c>
      <c r="G132" s="939">
        <f>G59</f>
        <v>53296.583187381897</v>
      </c>
      <c r="H132" s="939">
        <f t="shared" si="116"/>
        <v>53296.583187381897</v>
      </c>
      <c r="I132" s="939">
        <f t="shared" si="116"/>
        <v>39483.079925291415</v>
      </c>
      <c r="J132" s="939">
        <f t="shared" si="116"/>
        <v>21668.773691830389</v>
      </c>
      <c r="K132" s="939">
        <f t="shared" si="116"/>
        <v>3581.8242003847272</v>
      </c>
      <c r="L132" s="939">
        <f t="shared" si="116"/>
        <v>178.32852634622401</v>
      </c>
      <c r="M132" s="939">
        <f t="shared" ref="M132:R134" si="125">M131</f>
        <v>1</v>
      </c>
      <c r="N132" s="939">
        <f t="shared" si="125"/>
        <v>0.74081822068171788</v>
      </c>
      <c r="O132" s="939">
        <f t="shared" si="125"/>
        <v>0.40656965974059905</v>
      </c>
      <c r="P132" s="939">
        <f t="shared" si="125"/>
        <v>6.720551273974977E-2</v>
      </c>
      <c r="Q132" s="939">
        <f t="shared" si="125"/>
        <v>3.3459654574712729E-3</v>
      </c>
      <c r="R132" s="939">
        <f t="shared" si="125"/>
        <v>1.8762928882029207E-5</v>
      </c>
      <c r="S132" s="212">
        <f t="shared" ref="S132:X132" si="126">S$70/S$67*S131</f>
        <v>27.718501109805462</v>
      </c>
      <c r="T132" s="212">
        <f t="shared" si="126"/>
        <v>33.650274126419248</v>
      </c>
      <c r="U132" s="212">
        <f t="shared" si="126"/>
        <v>34.112542169316832</v>
      </c>
      <c r="V132" s="212">
        <f t="shared" si="126"/>
        <v>31.656546695840198</v>
      </c>
      <c r="W132" s="212">
        <f t="shared" si="126"/>
        <v>29.377375152277629</v>
      </c>
      <c r="X132" s="212">
        <f t="shared" si="126"/>
        <v>27.262296773231572</v>
      </c>
      <c r="Y132" s="212"/>
      <c r="Z132" s="941">
        <f t="shared" si="113"/>
        <v>5.5119941165713407E-2</v>
      </c>
      <c r="AA132" s="941">
        <f>1/SUMIFS('Vehicle data-proc2023'!AL$20:AL$117,'Vehicle data-proc2023'!$N$20:$N$117,Analytica!$C132,'Vehicle data-proc2023'!$Q$20:$Q$117,RIGHT(Analytica!$D132,3))</f>
        <v>5.5955077694691387E-2</v>
      </c>
      <c r="AB132" s="941">
        <f>1/SUMIFS('Vehicle data-proc2023'!AM$20:AM$117,'Vehicle data-proc2023'!$N$20:$N$117,Analytica!$C132,'Vehicle data-proc2023'!$Q$20:$Q$117,RIGHT(Analytica!$D132,3))</f>
        <v>5.6802867593888626E-2</v>
      </c>
      <c r="AC132" s="941">
        <f>1/SUMIFS('Vehicle data-proc2023'!AN$20:AN$117,'Vehicle data-proc2023'!$N$20:$N$117,Analytica!$C132,'Vehicle data-proc2023'!$Q$20:$Q$117,RIGHT(Analytica!$D132,3))</f>
        <v>6.1244219806684722E-2</v>
      </c>
      <c r="AD132" s="941">
        <f>1/SUMIFS('Vehicle data-proc2023'!AO$20:AO$117,'Vehicle data-proc2023'!$N$20:$N$117,Analytica!$C132,'Vehicle data-proc2023'!$Q$20:$Q$117,RIGHT(Analytica!$D132,3))</f>
        <v>6.7719409195597449E-2</v>
      </c>
      <c r="AE132" s="975">
        <f>1/SUMIFS('Vehicle data-proc2023'!AP$20:AP$117,'Vehicle data-proc2023'!$N$20:$N$117,Analytica!$C132,'Vehicle data-proc2023'!$Q$20:$Q$117,RIGHT(Analytica!$D132,3))</f>
        <v>7.4879203233808214E-2</v>
      </c>
      <c r="AF132" s="975"/>
      <c r="AG132" s="943"/>
      <c r="AH132" s="943">
        <f>AH131*(1+$AR$57)</f>
        <v>337.56305000000003</v>
      </c>
      <c r="AI132" s="943">
        <f>AI131*(1+$AR$57)</f>
        <v>700.32933149284258</v>
      </c>
      <c r="AJ132" s="943"/>
      <c r="AK132" s="943">
        <f>SUMIFS('Vehicle data-proc2023'!AD$20:AD$117,'Vehicle data-proc2023'!$N$20:$N$117,Analytica!$C132,'Vehicle data-proc2023'!$Q$20:$Q$117,RIGHT(Analytica!$D132,3))/1000</f>
        <v>1662.9577926762076</v>
      </c>
      <c r="AL132" s="943">
        <f>SUMIFS('Vehicle data-proc2023'!AE$20:AE$117,'Vehicle data-proc2023'!$N$20:$N$117,Analytica!$C132,'Vehicle data-proc2023'!$Q$20:$Q$117,RIGHT(Analytica!$D132,3))/1000</f>
        <v>1712.7968806812237</v>
      </c>
      <c r="AM132" s="943">
        <f>SUMIFS('Vehicle data-proc2023'!AF$20:AF$117,'Vehicle data-proc2023'!$N$20:$N$117,Analytica!$C132,'Vehicle data-proc2023'!$Q$20:$Q$117,RIGHT(Analytica!$D132,3))/1000</f>
        <v>1730.7939448361396</v>
      </c>
      <c r="AN132" s="943">
        <f>SUMIFS('Vehicle data-proc2023'!AG$20:AG$117,'Vehicle data-proc2023'!$N$20:$N$117,Analytica!$C132,'Vehicle data-proc2023'!$Q$20:$Q$117,RIGHT(Analytica!$D132,3))/1000</f>
        <v>1748.7910089910563</v>
      </c>
      <c r="AO132" s="943">
        <f>SUMIFS('Vehicle data-proc2023'!AH$20:AH$117,'Vehicle data-proc2023'!$N$20:$N$117,Analytica!$C132,'Vehicle data-proc2023'!$Q$20:$Q$117,RIGHT(Analytica!$D132,3))/1000</f>
        <v>1763.3725882959811</v>
      </c>
      <c r="AP132" s="943">
        <f>SUMIFS('Vehicle data-proc2023'!AI$20:AI$117,'Vehicle data-proc2023'!$N$20:$N$117,Analytica!$C132,'Vehicle data-proc2023'!$Q$20:$Q$117,RIGHT(Analytica!$D132,3))/1000</f>
        <v>1777.9541676009053</v>
      </c>
      <c r="AQ132" s="943">
        <f>SUMIFS('Vehicle data-proc2023'!AJ$20:AJ$117,'Vehicle data-proc2023'!$N$20:$N$117,Analytica!$C132,'Vehicle data-proc2023'!$Q$20:$Q$117,RIGHT(Analytica!$D132,3))/1000</f>
        <v>1815.4670514421152</v>
      </c>
      <c r="AR132" s="942"/>
      <c r="AS132" s="212"/>
      <c r="AT132" s="944">
        <f t="shared" si="118"/>
        <v>2.7E-2</v>
      </c>
      <c r="AU132" s="942">
        <f t="shared" si="119"/>
        <v>44.899860402257609</v>
      </c>
      <c r="AV132" s="942">
        <f t="shared" si="120"/>
        <v>46.245515778393042</v>
      </c>
      <c r="AW132" s="942">
        <f t="shared" si="121"/>
        <v>47.217357242758517</v>
      </c>
      <c r="AX132" s="942">
        <f t="shared" si="122"/>
        <v>48.004762525224443</v>
      </c>
      <c r="AY132" s="945">
        <f t="shared" si="123"/>
        <v>49.017610388937108</v>
      </c>
      <c r="BA132" s="164">
        <v>0</v>
      </c>
    </row>
    <row r="133" spans="1:56" x14ac:dyDescent="0.25">
      <c r="A133" s="61" t="str">
        <f t="shared" si="117"/>
        <v>BRTELC</v>
      </c>
      <c r="B133" s="61" t="str">
        <f>D133&amp;C133&amp;"-N"</f>
        <v>TPPUBRTELC-N</v>
      </c>
      <c r="C133" s="61" t="s">
        <v>501</v>
      </c>
      <c r="D133" s="61" t="s">
        <v>503</v>
      </c>
      <c r="E133" s="61" t="s">
        <v>507</v>
      </c>
      <c r="F133" s="938">
        <f>F132</f>
        <v>0.06</v>
      </c>
      <c r="G133" s="939">
        <f>G132</f>
        <v>53296.583187381897</v>
      </c>
      <c r="H133" s="939">
        <f t="shared" si="116"/>
        <v>53296.583187381897</v>
      </c>
      <c r="I133" s="939">
        <f t="shared" si="116"/>
        <v>39483.079925291415</v>
      </c>
      <c r="J133" s="939">
        <f t="shared" si="116"/>
        <v>21668.773691830389</v>
      </c>
      <c r="K133" s="939">
        <f t="shared" si="116"/>
        <v>3581.8242003847272</v>
      </c>
      <c r="L133" s="939">
        <f t="shared" si="116"/>
        <v>178.32852634622401</v>
      </c>
      <c r="M133" s="939">
        <f t="shared" si="125"/>
        <v>1</v>
      </c>
      <c r="N133" s="939">
        <f t="shared" si="125"/>
        <v>0.74081822068171788</v>
      </c>
      <c r="O133" s="939">
        <f t="shared" si="125"/>
        <v>0.40656965974059905</v>
      </c>
      <c r="P133" s="939">
        <f t="shared" si="125"/>
        <v>6.720551273974977E-2</v>
      </c>
      <c r="Q133" s="939">
        <f t="shared" si="125"/>
        <v>3.3459654574712729E-3</v>
      </c>
      <c r="R133" s="939">
        <f t="shared" si="125"/>
        <v>1.8762928882029207E-5</v>
      </c>
      <c r="S133" s="212">
        <f>S69/S65*S131</f>
        <v>56.834922156449522</v>
      </c>
      <c r="T133" s="939">
        <f>S133/((1+T$57)^(T$58-S$58))</f>
        <v>51.977934320541934</v>
      </c>
      <c r="U133" s="939">
        <f>T133/((1+U$57)^(U$58-T$58))</f>
        <v>46.141390488542193</v>
      </c>
      <c r="V133" s="939">
        <f>U133/((1+V$57)^(V$58-U$58))</f>
        <v>39.758524210074491</v>
      </c>
      <c r="W133" s="939">
        <f>V133/((1+W$57)^(W$58-V$58))</f>
        <v>34.258617493454345</v>
      </c>
      <c r="X133" s="939">
        <f>W133/((1+X$57)^(X$58-W$58))</f>
        <v>29.519528098214014</v>
      </c>
      <c r="Y133" s="212"/>
      <c r="Z133" s="941">
        <f t="shared" si="113"/>
        <v>0.20645474022958332</v>
      </c>
      <c r="AA133" s="941">
        <f>1/SUMIFS('Vehicle data-proc2023'!AL$20:AL$117,'Vehicle data-proc2023'!$N$20:$N$117,Analytica!$C133,'Vehicle data-proc2023'!$Q$20:$Q$117,RIGHT(Analytica!$D133,3))</f>
        <v>0.20958278956163948</v>
      </c>
      <c r="AB133" s="941">
        <f>1/SUMIFS('Vehicle data-proc2023'!AM$20:AM$117,'Vehicle data-proc2023'!$N$20:$N$117,Analytica!$C133,'Vehicle data-proc2023'!$Q$20:$Q$117,RIGHT(Analytica!$D133,3))</f>
        <v>0.21275823278067008</v>
      </c>
      <c r="AC133" s="941">
        <f>1/SUMIFS('Vehicle data-proc2023'!AN$20:AN$117,'Vehicle data-proc2023'!$N$20:$N$117,Analytica!$C133,'Vehicle data-proc2023'!$Q$20:$Q$117,RIGHT(Analytica!$D133,3))</f>
        <v>0.22939355926993843</v>
      </c>
      <c r="AD133" s="941">
        <f>1/SUMIFS('Vehicle data-proc2023'!AO$20:AO$117,'Vehicle data-proc2023'!$N$20:$N$117,Analytica!$C133,'Vehicle data-proc2023'!$Q$20:$Q$117,RIGHT(Analytica!$D133,3))</f>
        <v>0.25364673361942214</v>
      </c>
      <c r="AE133" s="975">
        <f>1/SUMIFS('Vehicle data-proc2023'!AP$20:AP$117,'Vehicle data-proc2023'!$N$20:$N$117,Analytica!$C133,'Vehicle data-proc2023'!$Q$20:$Q$117,RIGHT(Analytica!$D133,3))</f>
        <v>0.28046413195103725</v>
      </c>
      <c r="AF133" s="975"/>
      <c r="AG133" s="943">
        <v>1</v>
      </c>
      <c r="AH133" s="943">
        <f>AH131*AH69/AH67</f>
        <v>805.56077224193984</v>
      </c>
      <c r="AI133" s="943">
        <f>AI131*AI69/AI67</f>
        <v>961.96098128316271</v>
      </c>
      <c r="AJ133" s="943"/>
      <c r="AK133" s="943">
        <f>SUMIFS('Vehicle data-proc2023'!AD$20:AD$117,'Vehicle data-proc2023'!$N$20:$N$117,Analytica!$C133,'Vehicle data-proc2023'!$Q$20:$Q$117,RIGHT(Analytica!$D133,3))/1000</f>
        <v>6089.8187539907067</v>
      </c>
      <c r="AL133" s="943">
        <f>SUMIFS('Vehicle data-proc2023'!AE$20:AE$117,'Vehicle data-proc2023'!$N$20:$N$117,Analytica!$C133,'Vehicle data-proc2023'!$Q$20:$Q$117,RIGHT(Analytica!$D133,3))/1000</f>
        <v>4643.4184762355026</v>
      </c>
      <c r="AM133" s="943">
        <f>SUMIFS('Vehicle data-proc2023'!AF$20:AF$117,'Vehicle data-proc2023'!$N$20:$N$117,Analytica!$C133,'Vehicle data-proc2023'!$Q$20:$Q$117,RIGHT(Analytica!$D133,3))/1000</f>
        <v>4403.3626567749834</v>
      </c>
      <c r="AN133" s="943">
        <f>SUMIFS('Vehicle data-proc2023'!AG$20:AG$117,'Vehicle data-proc2023'!$N$20:$N$117,Analytica!$C133,'Vehicle data-proc2023'!$Q$20:$Q$117,RIGHT(Analytica!$D133,3))/1000</f>
        <v>4163.3068373144624</v>
      </c>
      <c r="AO133" s="943">
        <f>SUMIFS('Vehicle data-proc2023'!AH$20:AH$117,'Vehicle data-proc2023'!$N$20:$N$117,Analytica!$C133,'Vehicle data-proc2023'!$Q$20:$Q$117,RIGHT(Analytica!$D133,3))/1000</f>
        <v>4191.6176377219545</v>
      </c>
      <c r="AP133" s="943">
        <f>SUMIFS('Vehicle data-proc2023'!AI$20:AI$117,'Vehicle data-proc2023'!$N$20:$N$117,Analytica!$C133,'Vehicle data-proc2023'!$Q$20:$Q$117,RIGHT(Analytica!$D133,3))/1000</f>
        <v>4219.9284381294465</v>
      </c>
      <c r="AQ133" s="943">
        <f>SUMIFS('Vehicle data-proc2023'!AJ$20:AJ$117,'Vehicle data-proc2023'!$N$20:$N$117,Analytica!$C133,'Vehicle data-proc2023'!$Q$20:$Q$117,RIGHT(Analytica!$D133,3))/1000</f>
        <v>4273.6648275840971</v>
      </c>
      <c r="AR133" s="942"/>
      <c r="AS133" s="212"/>
      <c r="AT133" s="944">
        <f t="shared" si="118"/>
        <v>2.0250000000000001E-2</v>
      </c>
      <c r="AU133" s="942">
        <f t="shared" si="119"/>
        <v>123.31882976831182</v>
      </c>
      <c r="AV133" s="942">
        <f t="shared" si="120"/>
        <v>94.029224143768928</v>
      </c>
      <c r="AW133" s="942">
        <f t="shared" si="121"/>
        <v>84.306963455617861</v>
      </c>
      <c r="AX133" s="942">
        <f t="shared" si="122"/>
        <v>85.453550872121298</v>
      </c>
      <c r="AY133" s="945">
        <f t="shared" si="123"/>
        <v>86.541712758577972</v>
      </c>
      <c r="BA133" s="164">
        <v>0</v>
      </c>
    </row>
    <row r="134" spans="1:56" x14ac:dyDescent="0.25">
      <c r="A134" s="61" t="str">
        <f t="shared" si="117"/>
        <v>BRTBGS</v>
      </c>
      <c r="B134" s="61" t="str">
        <f>D134&amp;C134&amp;"-N"</f>
        <v>TPPUBRTBGS-N</v>
      </c>
      <c r="C134" s="61" t="s">
        <v>506</v>
      </c>
      <c r="D134" s="61" t="s">
        <v>503</v>
      </c>
      <c r="E134" s="61" t="s">
        <v>505</v>
      </c>
      <c r="F134" s="938">
        <f>F133</f>
        <v>0.06</v>
      </c>
      <c r="G134" s="939">
        <f>G133</f>
        <v>53296.583187381897</v>
      </c>
      <c r="H134" s="939">
        <f t="shared" si="116"/>
        <v>53296.583187381897</v>
      </c>
      <c r="I134" s="939">
        <f t="shared" si="116"/>
        <v>39483.079925291415</v>
      </c>
      <c r="J134" s="939">
        <f t="shared" si="116"/>
        <v>21668.773691830389</v>
      </c>
      <c r="K134" s="939">
        <f t="shared" si="116"/>
        <v>3581.8242003847272</v>
      </c>
      <c r="L134" s="939">
        <f t="shared" si="116"/>
        <v>178.32852634622401</v>
      </c>
      <c r="M134" s="939">
        <f t="shared" si="125"/>
        <v>1</v>
      </c>
      <c r="N134" s="939">
        <f t="shared" si="125"/>
        <v>0.74081822068171788</v>
      </c>
      <c r="O134" s="939">
        <f t="shared" si="125"/>
        <v>0.40656965974059905</v>
      </c>
      <c r="P134" s="939">
        <f t="shared" si="125"/>
        <v>6.720551273974977E-2</v>
      </c>
      <c r="Q134" s="939">
        <f t="shared" si="125"/>
        <v>3.3459654574712729E-3</v>
      </c>
      <c r="R134" s="939">
        <f t="shared" si="125"/>
        <v>1.8762928882029207E-5</v>
      </c>
      <c r="S134" s="939">
        <f>S131*(DieselLHV/CV.LHV.E85)</f>
        <v>43.208930919335586</v>
      </c>
      <c r="T134" s="939">
        <f>S134</f>
        <v>43.208930919335586</v>
      </c>
      <c r="U134" s="939">
        <f>T134/((1+U$57)^(U$58-T$58))</f>
        <v>38.35704862464263</v>
      </c>
      <c r="V134" s="939">
        <f>U134/((1+V$57)^(V$58-U$58))</f>
        <v>33.051011905429043</v>
      </c>
      <c r="W134" s="939">
        <f>V134/((1+W$57)^(W$58-V$58))</f>
        <v>28.47897393416801</v>
      </c>
      <c r="X134" s="939">
        <f>W134/((1+X$57)^(X$58-W$58))</f>
        <v>24.539398632142802</v>
      </c>
      <c r="Y134" s="212"/>
      <c r="Z134" s="941">
        <f t="shared" si="113"/>
        <v>6.3387932340570441E-2</v>
      </c>
      <c r="AA134" s="941">
        <f>1/SUMIFS('Vehicle data-proc2023'!AL$20:AL$117,'Vehicle data-proc2023'!$N$20:$N$117,Analytica!$C134,'Vehicle data-proc2023'!$Q$20:$Q$117,RIGHT(Analytica!$D134,3))</f>
        <v>6.4348339348895098E-2</v>
      </c>
      <c r="AB134" s="941">
        <f>1/SUMIFS('Vehicle data-proc2023'!AM$20:AM$117,'Vehicle data-proc2023'!$N$20:$N$117,Analytica!$C134,'Vehicle data-proc2023'!$Q$20:$Q$117,RIGHT(Analytica!$D134,3))</f>
        <v>6.5323297732971908E-2</v>
      </c>
      <c r="AC134" s="941">
        <f>1/SUMIFS('Vehicle data-proc2023'!AN$20:AN$117,'Vehicle data-proc2023'!$N$20:$N$117,Analytica!$C134,'Vehicle data-proc2023'!$Q$20:$Q$117,RIGHT(Analytica!$D134,3))</f>
        <v>7.043085277768743E-2</v>
      </c>
      <c r="AD134" s="941">
        <f>1/SUMIFS('Vehicle data-proc2023'!AO$20:AO$117,'Vehicle data-proc2023'!$N$20:$N$117,Analytica!$C134,'Vehicle data-proc2023'!$Q$20:$Q$117,RIGHT(Analytica!$D134,3))</f>
        <v>7.7877320574937056E-2</v>
      </c>
      <c r="AE134" s="975">
        <f>1/SUMIFS('Vehicle data-proc2023'!AP$20:AP$117,'Vehicle data-proc2023'!$N$20:$N$117,Analytica!$C134,'Vehicle data-proc2023'!$Q$20:$Q$117,RIGHT(Analytica!$D134,3))</f>
        <v>8.6111083718879447E-2</v>
      </c>
      <c r="AF134" s="975"/>
      <c r="AG134" s="943">
        <v>1</v>
      </c>
      <c r="AH134" s="943">
        <f>AH132*AH70/AH68</f>
        <v>371.31935500000009</v>
      </c>
      <c r="AI134" s="943">
        <f>AI132*AI70/AI68</f>
        <v>770.36226464212689</v>
      </c>
      <c r="AJ134" s="943"/>
      <c r="AK134" s="943">
        <f>SUMIFS('Vehicle data-proc2023'!AD$20:AD$117,'Vehicle data-proc2023'!$N$20:$N$117,Analytica!$C134,'Vehicle data-proc2023'!$Q$20:$Q$117,RIGHT(Analytica!$D134,3))/1000</f>
        <v>1494.0946129846409</v>
      </c>
      <c r="AL134" s="943">
        <f>SUMIFS('Vehicle data-proc2023'!AE$20:AE$117,'Vehicle data-proc2023'!$N$20:$N$117,Analytica!$C134,'Vehicle data-proc2023'!$Q$20:$Q$117,RIGHT(Analytica!$D134,3))/1000</f>
        <v>1615.4013682562638</v>
      </c>
      <c r="AM134" s="943">
        <f>SUMIFS('Vehicle data-proc2023'!AF$20:AF$117,'Vehicle data-proc2023'!$N$20:$N$117,Analytica!$C134,'Vehicle data-proc2023'!$Q$20:$Q$117,RIGHT(Analytica!$D134,3))/1000</f>
        <v>1645.5633521187683</v>
      </c>
      <c r="AN134" s="943">
        <f>SUMIFS('Vehicle data-proc2023'!AG$20:AG$117,'Vehicle data-proc2023'!$N$20:$N$117,Analytica!$C134,'Vehicle data-proc2023'!$Q$20:$Q$117,RIGHT(Analytica!$D134,3))/1000</f>
        <v>1675.7253359812721</v>
      </c>
      <c r="AO134" s="943">
        <f>SUMIFS('Vehicle data-proc2023'!AH$20:AH$117,'Vehicle data-proc2023'!$N$20:$N$117,Analytica!$C134,'Vehicle data-proc2023'!$Q$20:$Q$117,RIGHT(Analytica!$D134,3))/1000</f>
        <v>1695.1176876140198</v>
      </c>
      <c r="AP134" s="943">
        <f>SUMIFS('Vehicle data-proc2023'!AI$20:AI$117,'Vehicle data-proc2023'!$N$20:$N$117,Analytica!$C134,'Vehicle data-proc2023'!$Q$20:$Q$117,RIGHT(Analytica!$D134,3))/1000</f>
        <v>1714.5100392467668</v>
      </c>
      <c r="AQ134" s="943">
        <f>SUMIFS('Vehicle data-proc2023'!AJ$20:AJ$117,'Vehicle data-proc2023'!$N$20:$N$117,Analytica!$C134,'Vehicle data-proc2023'!$Q$20:$Q$117,RIGHT(Analytica!$D134,3))/1000</f>
        <v>1758.7858226703579</v>
      </c>
      <c r="AR134" s="942"/>
      <c r="AS134" s="212"/>
      <c r="AT134" s="944">
        <f t="shared" si="118"/>
        <v>2.7E-2</v>
      </c>
      <c r="AU134" s="942">
        <f t="shared" si="119"/>
        <v>40.340554550585303</v>
      </c>
      <c r="AV134" s="942">
        <f t="shared" si="120"/>
        <v>43.615836942919124</v>
      </c>
      <c r="AW134" s="942">
        <f t="shared" si="121"/>
        <v>45.244584071494344</v>
      </c>
      <c r="AX134" s="942">
        <f t="shared" si="122"/>
        <v>46.291771059662707</v>
      </c>
      <c r="AY134" s="945">
        <f t="shared" si="123"/>
        <v>47.487217212099665</v>
      </c>
      <c r="BA134" s="164">
        <v>1</v>
      </c>
      <c r="BC134" s="167"/>
      <c r="BD134" s="167"/>
    </row>
    <row r="135" spans="1:56" x14ac:dyDescent="0.25">
      <c r="A135" s="61" t="str">
        <f t="shared" si="117"/>
        <v>BRTHGN</v>
      </c>
      <c r="B135" s="61" t="str">
        <f>D135&amp;C135&amp;"F-N"</f>
        <v>TPPUBRTHGNF-N</v>
      </c>
      <c r="C135" s="61" t="s">
        <v>504</v>
      </c>
      <c r="D135" s="61" t="s">
        <v>503</v>
      </c>
      <c r="E135" s="61" t="s">
        <v>502</v>
      </c>
      <c r="F135" s="938">
        <f>F134</f>
        <v>0.06</v>
      </c>
      <c r="G135" s="939">
        <f>G133</f>
        <v>53296.583187381897</v>
      </c>
      <c r="H135" s="939">
        <f t="shared" si="116"/>
        <v>53296.583187381897</v>
      </c>
      <c r="I135" s="939">
        <f t="shared" si="116"/>
        <v>39483.079925291415</v>
      </c>
      <c r="J135" s="939">
        <f t="shared" si="116"/>
        <v>21668.773691830389</v>
      </c>
      <c r="K135" s="939">
        <f t="shared" si="116"/>
        <v>3581.8242003847272</v>
      </c>
      <c r="L135" s="939">
        <f t="shared" si="116"/>
        <v>178.32852634622401</v>
      </c>
      <c r="M135" s="939">
        <f t="shared" ref="M135:R135" si="127">M133</f>
        <v>1</v>
      </c>
      <c r="N135" s="939">
        <f t="shared" si="127"/>
        <v>0.74081822068171788</v>
      </c>
      <c r="O135" s="939">
        <f t="shared" si="127"/>
        <v>0.40656965974059905</v>
      </c>
      <c r="P135" s="939">
        <f t="shared" si="127"/>
        <v>6.720551273974977E-2</v>
      </c>
      <c r="Q135" s="939">
        <f t="shared" si="127"/>
        <v>3.3459654574712729E-3</v>
      </c>
      <c r="R135" s="939">
        <f t="shared" si="127"/>
        <v>1.8762928882029207E-5</v>
      </c>
      <c r="S135" s="212">
        <f>S131</f>
        <v>27.147826086956524</v>
      </c>
      <c r="T135" s="212">
        <f>T61/T59*T131</f>
        <v>11.32852414678478</v>
      </c>
      <c r="U135" s="212">
        <f>U61/U59*U131</f>
        <v>10.056456901348938</v>
      </c>
      <c r="V135" s="212">
        <f>V61/V59*V131</f>
        <v>8.665319379118797</v>
      </c>
      <c r="W135" s="212">
        <f>W61/W59*W131</f>
        <v>7.4666217613938954</v>
      </c>
      <c r="X135" s="212">
        <f>X61/X59*X131</f>
        <v>6.4337433034568994</v>
      </c>
      <c r="Y135" s="212"/>
      <c r="Z135" s="941">
        <f t="shared" si="113"/>
        <v>0.13372636583052552</v>
      </c>
      <c r="AA135" s="941">
        <f>1/SUMIFS('Vehicle data-proc2023'!AL$20:AL$117,'Vehicle data-proc2023'!$N$20:$N$117,Analytica!$C135,'Vehicle data-proc2023'!$Q$20:$Q$117,RIGHT(Analytica!$D135,3))</f>
        <v>0.13575248869333464</v>
      </c>
      <c r="AB135" s="941">
        <f>1/SUMIFS('Vehicle data-proc2023'!AM$20:AM$117,'Vehicle data-proc2023'!$N$20:$N$117,Analytica!$C135,'Vehicle data-proc2023'!$Q$20:$Q$117,RIGHT(Analytica!$D135,3))</f>
        <v>0.13780930986929765</v>
      </c>
      <c r="AC135" s="941">
        <f>1/SUMIFS('Vehicle data-proc2023'!AN$20:AN$117,'Vehicle data-proc2023'!$N$20:$N$117,Analytica!$C135,'Vehicle data-proc2023'!$Q$20:$Q$117,RIGHT(Analytica!$D135,3))</f>
        <v>0.14858446452711918</v>
      </c>
      <c r="AD135" s="941">
        <f>1/SUMIFS('Vehicle data-proc2023'!AO$20:AO$117,'Vehicle data-proc2023'!$N$20:$N$117,Analytica!$C135,'Vehicle data-proc2023'!$Q$20:$Q$117,RIGHT(Analytica!$D135,3))</f>
        <v>0.16429390700348931</v>
      </c>
      <c r="AE135" s="975">
        <f>1/SUMIFS('Vehicle data-proc2023'!AP$20:AP$117,'Vehicle data-proc2023'!$N$20:$N$117,Analytica!$C135,'Vehicle data-proc2023'!$Q$20:$Q$117,RIGHT(Analytica!$D135,3))</f>
        <v>0.18166426728646726</v>
      </c>
      <c r="AF135" s="975"/>
      <c r="AG135" s="943">
        <v>1</v>
      </c>
      <c r="AH135" s="943"/>
      <c r="AI135" s="943"/>
      <c r="AJ135" s="943"/>
      <c r="AK135" s="943">
        <f>SUMIFS('Vehicle data-proc2023'!AD$20:AD$117,'Vehicle data-proc2023'!$N$20:$N$117,Analytica!$C135,'Vehicle data-proc2023'!$Q$20:$Q$117,RIGHT(Analytica!$D135,3))/1000</f>
        <v>3962.0495059577961</v>
      </c>
      <c r="AL135" s="943">
        <f>SUMIFS('Vehicle data-proc2023'!AE$20:AE$117,'Vehicle data-proc2023'!$N$20:$N$117,Analytica!$C135,'Vehicle data-proc2023'!$Q$20:$Q$117,RIGHT(Analytica!$D135,3))/1000</f>
        <v>2321.7092381177513</v>
      </c>
      <c r="AM135" s="943">
        <f>SUMIFS('Vehicle data-proc2023'!AF$20:AF$117,'Vehicle data-proc2023'!$N$20:$N$117,Analytica!$C135,'Vehicle data-proc2023'!$Q$20:$Q$117,RIGHT(Analytica!$D135,3))/1000</f>
        <v>2069.5039570616195</v>
      </c>
      <c r="AN135" s="943">
        <f>SUMIFS('Vehicle data-proc2023'!AG$20:AG$117,'Vehicle data-proc2023'!$N$20:$N$117,Analytica!$C135,'Vehicle data-proc2023'!$Q$20:$Q$117,RIGHT(Analytica!$D135,3))/1000</f>
        <v>1817.2986760054873</v>
      </c>
      <c r="AO135" s="943">
        <f>SUMIFS('Vehicle data-proc2023'!AH$20:AH$117,'Vehicle data-proc2023'!$N$20:$N$117,Analytica!$C135,'Vehicle data-proc2023'!$Q$20:$Q$117,RIGHT(Analytica!$D135,3))/1000</f>
        <v>1788.6941354190726</v>
      </c>
      <c r="AP135" s="943">
        <f>SUMIFS('Vehicle data-proc2023'!AI$20:AI$117,'Vehicle data-proc2023'!$N$20:$N$117,Analytica!$C135,'Vehicle data-proc2023'!$Q$20:$Q$117,RIGHT(Analytica!$D135,3))/1000</f>
        <v>1760.0895948326574</v>
      </c>
      <c r="AQ135" s="943">
        <f>SUMIFS('Vehicle data-proc2023'!AJ$20:AJ$117,'Vehicle data-proc2023'!$N$20:$N$117,Analytica!$C135,'Vehicle data-proc2023'!$Q$20:$Q$117,RIGHT(Analytica!$D135,3))/1000</f>
        <v>1753.1617829965594</v>
      </c>
      <c r="AR135" s="942"/>
      <c r="AS135" s="212"/>
      <c r="AT135" s="944">
        <f t="shared" si="118"/>
        <v>2.7E-2</v>
      </c>
      <c r="AU135" s="942">
        <f t="shared" si="119"/>
        <v>106.97533666086049</v>
      </c>
      <c r="AV135" s="942">
        <f t="shared" si="120"/>
        <v>62.686149429179281</v>
      </c>
      <c r="AW135" s="942">
        <f t="shared" si="121"/>
        <v>49.067064252148157</v>
      </c>
      <c r="AX135" s="942">
        <f t="shared" si="122"/>
        <v>47.522419060481752</v>
      </c>
      <c r="AY135" s="945">
        <f t="shared" si="123"/>
        <v>47.3353681409071</v>
      </c>
      <c r="BA135" s="164">
        <v>0</v>
      </c>
    </row>
    <row r="136" spans="1:56" s="163" customFormat="1" x14ac:dyDescent="0.25">
      <c r="B136" s="163" t="s">
        <v>848</v>
      </c>
      <c r="C136" s="163" t="s">
        <v>501</v>
      </c>
      <c r="D136" s="163" t="str">
        <f>LEFT(B136,7)</f>
        <v>TPPUMER</v>
      </c>
      <c r="F136" s="976">
        <v>1</v>
      </c>
      <c r="G136" s="977"/>
      <c r="H136" s="977"/>
      <c r="I136" s="977"/>
      <c r="J136" s="977"/>
      <c r="K136" s="977"/>
      <c r="L136" s="977"/>
      <c r="M136" s="978">
        <f>M135</f>
        <v>1</v>
      </c>
      <c r="N136" s="977">
        <v>1</v>
      </c>
      <c r="O136" s="977">
        <v>1</v>
      </c>
      <c r="P136" s="977">
        <f>N136</f>
        <v>1</v>
      </c>
      <c r="Q136" s="977">
        <f t="shared" ref="Q136:S137" si="128">P136</f>
        <v>1</v>
      </c>
      <c r="R136" s="977">
        <f t="shared" si="128"/>
        <v>1</v>
      </c>
      <c r="S136" s="977">
        <f t="shared" si="128"/>
        <v>1</v>
      </c>
      <c r="T136" s="977"/>
      <c r="U136" s="977"/>
      <c r="V136" s="977"/>
      <c r="W136" s="977"/>
      <c r="X136" s="977"/>
      <c r="Y136" s="977"/>
      <c r="Z136" s="979">
        <f>X42</f>
        <v>7.0026980278615358</v>
      </c>
      <c r="AA136" s="979">
        <f>Z136</f>
        <v>7.0026980278615358</v>
      </c>
      <c r="AB136" s="979">
        <f>AA136</f>
        <v>7.0026980278615358</v>
      </c>
      <c r="AC136" s="979">
        <f>AB136</f>
        <v>7.0026980278615358</v>
      </c>
      <c r="AD136" s="979">
        <f>AC136</f>
        <v>7.0026980278615358</v>
      </c>
      <c r="AE136" s="979">
        <f>AD136</f>
        <v>7.0026980278615358</v>
      </c>
      <c r="AF136" s="979"/>
      <c r="AG136" s="977"/>
      <c r="AH136" s="977"/>
      <c r="AI136" s="977"/>
      <c r="AJ136" s="977"/>
      <c r="AK136" s="977">
        <v>1E-3</v>
      </c>
      <c r="AL136" s="977">
        <v>1E-3</v>
      </c>
      <c r="AM136" s="977">
        <v>1E-3</v>
      </c>
      <c r="AN136" s="977">
        <v>1E-3</v>
      </c>
      <c r="AO136" s="977">
        <v>1E-3</v>
      </c>
      <c r="AP136" s="977">
        <v>1E-3</v>
      </c>
      <c r="AQ136" s="977">
        <v>1E-3</v>
      </c>
      <c r="AR136" s="942"/>
      <c r="AS136" s="212"/>
      <c r="AT136" s="980">
        <f t="shared" si="118"/>
        <v>2.0250000000000001E-2</v>
      </c>
      <c r="AU136" s="977">
        <f t="shared" si="119"/>
        <v>2.0250000000000001E-5</v>
      </c>
      <c r="AV136" s="977">
        <f t="shared" si="120"/>
        <v>2.0250000000000001E-5</v>
      </c>
      <c r="AW136" s="977">
        <f t="shared" si="121"/>
        <v>2.0250000000000001E-5</v>
      </c>
      <c r="AX136" s="977">
        <f t="shared" si="122"/>
        <v>2.0250000000000001E-5</v>
      </c>
      <c r="AY136" s="981">
        <f t="shared" si="123"/>
        <v>2.0250000000000001E-5</v>
      </c>
      <c r="AZ136" s="61"/>
    </row>
    <row r="137" spans="1:56" s="163" customFormat="1" x14ac:dyDescent="0.25">
      <c r="B137" s="163" t="s">
        <v>849</v>
      </c>
      <c r="C137" s="163" t="s">
        <v>501</v>
      </c>
      <c r="D137" s="163" t="str">
        <f>LEFT(B137,7)</f>
        <v>TPPUGAT</v>
      </c>
      <c r="F137" s="976">
        <v>1</v>
      </c>
      <c r="G137" s="977"/>
      <c r="H137" s="977"/>
      <c r="I137" s="977"/>
      <c r="J137" s="977"/>
      <c r="K137" s="977"/>
      <c r="L137" s="977"/>
      <c r="M137" s="978">
        <f>M136</f>
        <v>1</v>
      </c>
      <c r="N137" s="977">
        <v>1</v>
      </c>
      <c r="O137" s="977">
        <v>1</v>
      </c>
      <c r="P137" s="977">
        <f>N137</f>
        <v>1</v>
      </c>
      <c r="Q137" s="977">
        <f t="shared" si="128"/>
        <v>1</v>
      </c>
      <c r="R137" s="977">
        <f t="shared" si="128"/>
        <v>1</v>
      </c>
      <c r="S137" s="977">
        <f t="shared" si="128"/>
        <v>1</v>
      </c>
      <c r="T137" s="977"/>
      <c r="U137" s="977"/>
      <c r="V137" s="977"/>
      <c r="W137" s="977"/>
      <c r="X137" s="977"/>
      <c r="Y137" s="977"/>
      <c r="Z137" s="979">
        <f t="shared" ref="Z137:AE137" si="129">Z136</f>
        <v>7.0026980278615358</v>
      </c>
      <c r="AA137" s="979">
        <f t="shared" si="129"/>
        <v>7.0026980278615358</v>
      </c>
      <c r="AB137" s="979">
        <f t="shared" si="129"/>
        <v>7.0026980278615358</v>
      </c>
      <c r="AC137" s="979">
        <f t="shared" si="129"/>
        <v>7.0026980278615358</v>
      </c>
      <c r="AD137" s="979">
        <f t="shared" si="129"/>
        <v>7.0026980278615358</v>
      </c>
      <c r="AE137" s="979">
        <f t="shared" si="129"/>
        <v>7.0026980278615358</v>
      </c>
      <c r="AF137" s="979"/>
      <c r="AG137" s="977"/>
      <c r="AH137" s="977"/>
      <c r="AI137" s="977"/>
      <c r="AJ137" s="977"/>
      <c r="AK137" s="977">
        <v>1E-3</v>
      </c>
      <c r="AL137" s="977">
        <v>1E-3</v>
      </c>
      <c r="AM137" s="977">
        <v>1E-3</v>
      </c>
      <c r="AN137" s="977">
        <v>1E-3</v>
      </c>
      <c r="AO137" s="977">
        <v>1E-3</v>
      </c>
      <c r="AP137" s="977">
        <v>1E-3</v>
      </c>
      <c r="AQ137" s="977">
        <v>1E-3</v>
      </c>
      <c r="AR137" s="942"/>
      <c r="AS137" s="212"/>
      <c r="AT137" s="980">
        <f t="shared" si="118"/>
        <v>2.0250000000000001E-2</v>
      </c>
      <c r="AU137" s="977">
        <f t="shared" si="119"/>
        <v>2.0250000000000001E-5</v>
      </c>
      <c r="AV137" s="977">
        <f t="shared" si="120"/>
        <v>2.0250000000000001E-5</v>
      </c>
      <c r="AW137" s="977">
        <f t="shared" si="121"/>
        <v>2.0250000000000001E-5</v>
      </c>
      <c r="AX137" s="977">
        <f t="shared" si="122"/>
        <v>2.0250000000000001E-5</v>
      </c>
      <c r="AY137" s="981">
        <f t="shared" si="123"/>
        <v>2.0250000000000001E-5</v>
      </c>
      <c r="AZ137" s="61"/>
    </row>
    <row r="138" spans="1:56" ht="15.75" thickBot="1" x14ac:dyDescent="0.3">
      <c r="F138" s="982"/>
      <c r="G138" s="983"/>
      <c r="H138" s="983"/>
      <c r="I138" s="983"/>
      <c r="J138" s="983"/>
      <c r="K138" s="983"/>
      <c r="L138" s="983"/>
      <c r="M138" s="983"/>
      <c r="N138" s="983"/>
      <c r="O138" s="983"/>
      <c r="P138" s="983"/>
      <c r="Q138" s="983"/>
      <c r="R138" s="983"/>
      <c r="S138" s="983"/>
      <c r="T138" s="983"/>
      <c r="U138" s="983"/>
      <c r="V138" s="983"/>
      <c r="W138" s="983"/>
      <c r="X138" s="983"/>
      <c r="Y138" s="983"/>
      <c r="Z138" s="983"/>
      <c r="AA138" s="983"/>
      <c r="AB138" s="983"/>
      <c r="AC138" s="983"/>
      <c r="AD138" s="983"/>
      <c r="AE138" s="983"/>
      <c r="AF138" s="983"/>
      <c r="AG138" s="984"/>
      <c r="AH138" s="984"/>
      <c r="AI138" s="984"/>
      <c r="AJ138" s="984"/>
      <c r="AK138" s="984"/>
      <c r="AL138" s="984"/>
      <c r="AM138" s="984"/>
      <c r="AN138" s="984"/>
      <c r="AO138" s="984"/>
      <c r="AP138" s="984"/>
      <c r="AQ138" s="984"/>
      <c r="AR138" s="984"/>
      <c r="AS138" s="984"/>
      <c r="AT138" s="984"/>
      <c r="AU138" s="984"/>
      <c r="AV138" s="984"/>
      <c r="AW138" s="984"/>
      <c r="AX138" s="984"/>
      <c r="AY138" s="985"/>
      <c r="AZ138"/>
      <c r="BA138"/>
      <c r="BB138"/>
    </row>
    <row r="139" spans="1:56" x14ac:dyDescent="0.25">
      <c r="C139" s="67"/>
      <c r="AG139"/>
      <c r="AH139"/>
      <c r="AI139"/>
      <c r="AJ139"/>
      <c r="AK139"/>
      <c r="AL139"/>
      <c r="AM139"/>
      <c r="AN139"/>
      <c r="AO139"/>
      <c r="AP139"/>
      <c r="AQ139"/>
      <c r="AR139"/>
      <c r="AS139"/>
      <c r="AT139"/>
      <c r="AU139"/>
      <c r="AV139"/>
      <c r="AW139"/>
      <c r="AX139"/>
      <c r="AY139"/>
      <c r="AZ139"/>
      <c r="BA139"/>
      <c r="BB139"/>
    </row>
    <row r="140" spans="1:56" x14ac:dyDescent="0.25">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6" x14ac:dyDescent="0.25">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6" x14ac:dyDescent="0.25">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6" x14ac:dyDescent="0.25">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6" x14ac:dyDescent="0.25">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2:54" x14ac:dyDescent="0.2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2:54" x14ac:dyDescent="0.25">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2:54" x14ac:dyDescent="0.25">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2:54" x14ac:dyDescent="0.25">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2:54" x14ac:dyDescent="0.25">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2:54" x14ac:dyDescent="0.25">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2:54" x14ac:dyDescent="0.25">
      <c r="B151" s="61" t="s">
        <v>500</v>
      </c>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2:54" x14ac:dyDescent="0.25">
      <c r="B152" s="61" t="s">
        <v>499</v>
      </c>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2:54" x14ac:dyDescent="0.25">
      <c r="B153" s="61" t="s">
        <v>498</v>
      </c>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2:54" x14ac:dyDescent="0.25">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2:54" x14ac:dyDescent="0.2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2:54" x14ac:dyDescent="0.2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2:54" x14ac:dyDescent="0.25">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2:54" x14ac:dyDescent="0.25">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2:54" x14ac:dyDescent="0.25">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2:54" x14ac:dyDescent="0.25">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21:54" x14ac:dyDescent="0.2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21:54" x14ac:dyDescent="0.25">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21:54" x14ac:dyDescent="0.25">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row>
    <row r="164" spans="21:54" x14ac:dyDescent="0.25">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row>
    <row r="165" spans="21:54" x14ac:dyDescent="0.2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row>
    <row r="166" spans="21:54" x14ac:dyDescent="0.25">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row>
    <row r="167" spans="21:54" x14ac:dyDescent="0.25">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row>
    <row r="168" spans="21:54" x14ac:dyDescent="0.25">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row>
    <row r="169" spans="21:54" x14ac:dyDescent="0.25">
      <c r="AG169"/>
      <c r="AH169"/>
      <c r="AI169"/>
      <c r="AJ169"/>
      <c r="AK169"/>
      <c r="AL169"/>
      <c r="AM169"/>
      <c r="AN169"/>
      <c r="AO169"/>
      <c r="AP169"/>
      <c r="AQ169"/>
      <c r="AR169"/>
      <c r="AS169"/>
      <c r="AT169"/>
      <c r="AU169"/>
      <c r="AV169"/>
      <c r="AW169"/>
      <c r="AX169"/>
      <c r="AY169"/>
      <c r="AZ169"/>
      <c r="BA169"/>
      <c r="BB169"/>
    </row>
    <row r="170" spans="21:54" x14ac:dyDescent="0.25">
      <c r="AG170"/>
      <c r="AH170"/>
      <c r="AI170"/>
      <c r="AJ170"/>
      <c r="AK170"/>
      <c r="AL170"/>
      <c r="AM170"/>
      <c r="AN170"/>
      <c r="AO170"/>
      <c r="AP170"/>
      <c r="AQ170"/>
      <c r="AR170"/>
      <c r="AS170"/>
      <c r="AT170"/>
      <c r="AU170"/>
      <c r="AV170"/>
      <c r="AW170"/>
      <c r="AX170"/>
      <c r="AY170"/>
      <c r="AZ170"/>
      <c r="BA170"/>
      <c r="BB170"/>
    </row>
    <row r="171" spans="21:54" x14ac:dyDescent="0.25">
      <c r="AG171"/>
      <c r="AH171"/>
      <c r="AI171"/>
      <c r="AJ171"/>
      <c r="AK171"/>
      <c r="AL171"/>
      <c r="AM171"/>
      <c r="AN171"/>
      <c r="AO171"/>
      <c r="AP171"/>
      <c r="AQ171"/>
      <c r="AR171"/>
      <c r="AS171"/>
      <c r="AT171"/>
      <c r="AU171"/>
      <c r="AV171"/>
      <c r="AW171"/>
      <c r="AX171"/>
      <c r="AY171"/>
      <c r="AZ171"/>
      <c r="BA171"/>
      <c r="BB171"/>
    </row>
    <row r="172" spans="21:54" x14ac:dyDescent="0.25">
      <c r="AG172"/>
      <c r="AH172"/>
      <c r="AI172"/>
      <c r="AJ172"/>
      <c r="AK172"/>
      <c r="AL172"/>
      <c r="AM172"/>
      <c r="AN172"/>
      <c r="AO172"/>
      <c r="AP172"/>
      <c r="AQ172"/>
      <c r="AR172"/>
      <c r="AS172"/>
      <c r="AT172"/>
      <c r="AU172"/>
      <c r="AV172"/>
      <c r="AW172"/>
      <c r="AX172"/>
      <c r="AY172"/>
      <c r="AZ172"/>
      <c r="BA172"/>
      <c r="BB172"/>
    </row>
    <row r="173" spans="21:54" x14ac:dyDescent="0.25">
      <c r="AG173"/>
      <c r="AH173"/>
      <c r="AI173"/>
      <c r="AJ173"/>
      <c r="AK173"/>
      <c r="AL173"/>
      <c r="AM173"/>
      <c r="AN173"/>
      <c r="AO173"/>
      <c r="AP173"/>
      <c r="AQ173"/>
      <c r="AR173"/>
      <c r="AS173"/>
      <c r="AT173"/>
      <c r="AU173"/>
      <c r="AV173"/>
      <c r="AW173"/>
      <c r="AX173"/>
      <c r="AY173"/>
      <c r="AZ173"/>
      <c r="BA173"/>
      <c r="BB173"/>
    </row>
    <row r="174" spans="21:54" x14ac:dyDescent="0.25">
      <c r="AG174"/>
      <c r="AH174"/>
      <c r="AI174"/>
      <c r="AJ174"/>
      <c r="AK174"/>
      <c r="AL174"/>
      <c r="AM174"/>
      <c r="AN174"/>
      <c r="AO174"/>
      <c r="AP174"/>
      <c r="AQ174"/>
      <c r="AR174"/>
      <c r="AS174"/>
      <c r="AT174"/>
      <c r="AU174"/>
      <c r="AV174"/>
      <c r="AW174"/>
      <c r="AX174"/>
      <c r="AY174"/>
      <c r="AZ174"/>
      <c r="BA174"/>
      <c r="BB174"/>
    </row>
    <row r="175" spans="21:54" x14ac:dyDescent="0.25">
      <c r="AG175"/>
      <c r="AH175"/>
      <c r="AI175"/>
      <c r="AJ175"/>
      <c r="AK175"/>
      <c r="AL175"/>
      <c r="AM175"/>
      <c r="AN175"/>
      <c r="AO175"/>
      <c r="AP175"/>
      <c r="AQ175"/>
      <c r="AR175"/>
      <c r="AS175"/>
      <c r="AT175"/>
      <c r="AU175"/>
      <c r="AV175"/>
      <c r="AW175"/>
      <c r="AX175"/>
      <c r="AY175"/>
      <c r="AZ175"/>
      <c r="BA175"/>
      <c r="BB175"/>
    </row>
    <row r="176" spans="21:54" x14ac:dyDescent="0.25">
      <c r="AG176"/>
      <c r="AH176"/>
      <c r="AI176"/>
      <c r="AJ176"/>
      <c r="AK176"/>
      <c r="AL176"/>
      <c r="AM176"/>
      <c r="AN176"/>
      <c r="AO176"/>
      <c r="AP176"/>
      <c r="AQ176"/>
      <c r="AR176"/>
      <c r="AS176"/>
      <c r="AT176"/>
      <c r="AU176"/>
      <c r="AV176"/>
      <c r="AW176"/>
      <c r="AX176"/>
      <c r="AY176"/>
      <c r="AZ176"/>
      <c r="BA176"/>
      <c r="BB176"/>
    </row>
    <row r="177" spans="33:70" x14ac:dyDescent="0.25">
      <c r="AG177"/>
      <c r="AH177"/>
      <c r="AI177"/>
      <c r="AJ177"/>
      <c r="AK177"/>
      <c r="AL177"/>
      <c r="AM177"/>
      <c r="AN177"/>
      <c r="AO177"/>
      <c r="AP177"/>
      <c r="AQ177"/>
      <c r="AR177"/>
      <c r="AS177"/>
      <c r="AT177"/>
      <c r="AU177"/>
      <c r="AV177"/>
      <c r="AW177"/>
      <c r="AX177"/>
      <c r="AY177"/>
      <c r="AZ177"/>
      <c r="BA177"/>
      <c r="BB177"/>
    </row>
    <row r="178" spans="33:70" x14ac:dyDescent="0.25">
      <c r="AG178"/>
      <c r="AH178"/>
      <c r="AI178"/>
      <c r="AJ178"/>
      <c r="AK178"/>
      <c r="AL178"/>
      <c r="AM178"/>
      <c r="AN178"/>
      <c r="AO178"/>
      <c r="AP178"/>
      <c r="AQ178"/>
      <c r="AR178"/>
      <c r="AS178"/>
      <c r="AT178"/>
      <c r="AU178"/>
      <c r="AV178"/>
      <c r="AW178"/>
      <c r="AX178"/>
      <c r="AY178"/>
      <c r="AZ178"/>
      <c r="BA178"/>
      <c r="BB178"/>
    </row>
    <row r="179" spans="33:70" x14ac:dyDescent="0.25">
      <c r="AG179"/>
      <c r="AH179"/>
      <c r="AI179"/>
      <c r="AJ179"/>
      <c r="AK179"/>
      <c r="AL179"/>
      <c r="AM179"/>
      <c r="AN179"/>
      <c r="AO179"/>
      <c r="AP179"/>
      <c r="AQ179"/>
      <c r="AR179"/>
      <c r="AS179"/>
      <c r="AT179"/>
      <c r="AU179"/>
      <c r="AV179"/>
      <c r="AW179"/>
      <c r="AX179"/>
      <c r="AY179"/>
      <c r="AZ179"/>
      <c r="BA179"/>
      <c r="BB179"/>
    </row>
    <row r="180" spans="33:70" x14ac:dyDescent="0.25">
      <c r="AG180"/>
      <c r="AH180"/>
      <c r="AI180"/>
      <c r="AJ180"/>
      <c r="AK180"/>
      <c r="AL180"/>
      <c r="AM180"/>
      <c r="AN180"/>
      <c r="AO180"/>
      <c r="AP180"/>
      <c r="AQ180"/>
      <c r="AR180"/>
      <c r="AS180"/>
      <c r="AT180"/>
      <c r="AU180"/>
      <c r="AV180"/>
      <c r="AW180"/>
      <c r="AX180"/>
      <c r="AY180"/>
      <c r="AZ180"/>
      <c r="BA180"/>
      <c r="BB180"/>
    </row>
    <row r="181" spans="33:70" x14ac:dyDescent="0.25">
      <c r="AG181"/>
      <c r="AH181"/>
      <c r="AI181"/>
      <c r="AJ181"/>
      <c r="AK181"/>
      <c r="AL181"/>
      <c r="AM181"/>
      <c r="AN181"/>
      <c r="AO181"/>
      <c r="AP181"/>
      <c r="AQ181"/>
      <c r="AR181"/>
      <c r="AS181"/>
      <c r="AT181"/>
      <c r="AU181"/>
      <c r="AV181"/>
      <c r="AW181"/>
      <c r="AX181"/>
      <c r="AY181"/>
      <c r="AZ181"/>
      <c r="BA181"/>
      <c r="BB181"/>
    </row>
    <row r="182" spans="33:70" x14ac:dyDescent="0.25">
      <c r="AG182"/>
      <c r="AH182"/>
      <c r="AI182"/>
      <c r="AJ182"/>
      <c r="AK182"/>
      <c r="AL182"/>
      <c r="AM182"/>
      <c r="AN182"/>
      <c r="AO182"/>
      <c r="AP182"/>
      <c r="AQ182"/>
      <c r="AR182"/>
      <c r="AS182"/>
      <c r="AT182"/>
      <c r="AU182"/>
      <c r="AV182"/>
      <c r="AW182"/>
      <c r="AX182"/>
      <c r="AY182"/>
      <c r="AZ182"/>
      <c r="BA182"/>
      <c r="BB182"/>
    </row>
    <row r="183" spans="33:70" x14ac:dyDescent="0.25">
      <c r="AG183"/>
      <c r="AH183"/>
      <c r="AI183"/>
      <c r="AJ183"/>
      <c r="AK183"/>
      <c r="AL183"/>
      <c r="AM183"/>
      <c r="AN183"/>
      <c r="AO183"/>
      <c r="AP183"/>
      <c r="AQ183"/>
      <c r="AR183"/>
      <c r="AS183"/>
      <c r="AT183"/>
      <c r="AU183"/>
      <c r="AV183"/>
      <c r="AW183"/>
      <c r="AX183"/>
      <c r="AY183"/>
      <c r="AZ183"/>
      <c r="BA183"/>
      <c r="BB183"/>
    </row>
    <row r="184" spans="33:70" x14ac:dyDescent="0.25">
      <c r="AG184"/>
      <c r="AH184"/>
      <c r="AI184"/>
      <c r="AJ184"/>
      <c r="AK184"/>
      <c r="AL184"/>
      <c r="AM184"/>
      <c r="AN184"/>
      <c r="AO184"/>
      <c r="AP184"/>
      <c r="AQ184"/>
      <c r="AR184"/>
      <c r="AS184"/>
      <c r="AT184"/>
      <c r="AU184"/>
      <c r="AV184"/>
      <c r="AW184"/>
      <c r="AX184"/>
      <c r="AY184"/>
      <c r="AZ184"/>
      <c r="BA184"/>
      <c r="BB184"/>
    </row>
    <row r="185" spans="33:70" x14ac:dyDescent="0.25">
      <c r="AG185"/>
      <c r="AH185"/>
      <c r="AI185"/>
      <c r="AJ185"/>
      <c r="AK185"/>
      <c r="AL185"/>
      <c r="AM185"/>
      <c r="AN185"/>
      <c r="AO185"/>
      <c r="AP185"/>
      <c r="AQ185"/>
      <c r="AR185"/>
      <c r="AS185"/>
      <c r="AT185"/>
      <c r="AU185"/>
      <c r="AV185"/>
      <c r="AW185"/>
      <c r="AX185"/>
      <c r="AY185"/>
      <c r="AZ185"/>
      <c r="BA185"/>
      <c r="BB185"/>
    </row>
    <row r="186" spans="33:70" x14ac:dyDescent="0.25">
      <c r="AG186"/>
      <c r="AH186"/>
      <c r="AI186"/>
      <c r="AJ186"/>
      <c r="AK186"/>
      <c r="AL186"/>
      <c r="AM186"/>
      <c r="AN186"/>
      <c r="AO186"/>
      <c r="AP186"/>
      <c r="AQ186"/>
      <c r="AR186"/>
      <c r="AS186"/>
      <c r="AT186"/>
      <c r="AU186"/>
      <c r="AV186"/>
      <c r="AW186"/>
      <c r="AX186"/>
      <c r="AY186"/>
      <c r="AZ186"/>
      <c r="BA186"/>
      <c r="BB186"/>
    </row>
    <row r="187" spans="33:70" x14ac:dyDescent="0.25">
      <c r="AG187"/>
      <c r="AH187"/>
      <c r="AI187"/>
      <c r="AJ187"/>
      <c r="AK187"/>
      <c r="AL187"/>
      <c r="AM187"/>
      <c r="AN187"/>
      <c r="AO187"/>
      <c r="AP187"/>
      <c r="AQ187"/>
      <c r="AR187"/>
      <c r="AS187"/>
      <c r="AT187"/>
      <c r="AU187"/>
      <c r="AV187"/>
      <c r="AW187"/>
      <c r="AX187"/>
      <c r="AY187"/>
      <c r="AZ187"/>
      <c r="BA187"/>
      <c r="BB187"/>
    </row>
    <row r="188" spans="33:70" x14ac:dyDescent="0.25">
      <c r="AG188"/>
      <c r="AH188"/>
      <c r="AI188"/>
      <c r="AJ188"/>
      <c r="AK188"/>
      <c r="AL188"/>
      <c r="AM188"/>
      <c r="AN188"/>
      <c r="AO188"/>
      <c r="AP188"/>
      <c r="AQ188"/>
      <c r="AR188"/>
      <c r="AS188"/>
      <c r="AT188"/>
      <c r="AU188"/>
      <c r="AV188"/>
      <c r="AW188"/>
      <c r="AX188"/>
      <c r="AY188"/>
      <c r="AZ188"/>
      <c r="BA188"/>
      <c r="BB188"/>
    </row>
    <row r="189" spans="33:70" x14ac:dyDescent="0.25">
      <c r="AG189"/>
      <c r="AH189"/>
      <c r="AI189"/>
      <c r="AJ189"/>
      <c r="AK189"/>
      <c r="AL189"/>
      <c r="AM189"/>
      <c r="AN189"/>
      <c r="AO189"/>
      <c r="AP189"/>
      <c r="AQ189"/>
      <c r="AR189"/>
      <c r="AS189"/>
      <c r="AT189"/>
      <c r="AU189"/>
      <c r="AV189"/>
      <c r="AW189"/>
      <c r="AX189"/>
      <c r="AY189"/>
      <c r="AZ189"/>
      <c r="BA189"/>
      <c r="BB189"/>
    </row>
    <row r="190" spans="33:70" x14ac:dyDescent="0.25">
      <c r="AG190"/>
      <c r="AH190"/>
      <c r="AI190"/>
      <c r="AJ190"/>
      <c r="AK190"/>
      <c r="AL190"/>
      <c r="AM190"/>
      <c r="AN190"/>
      <c r="AO190"/>
      <c r="AP190"/>
      <c r="AQ190"/>
      <c r="AR190"/>
      <c r="AS190"/>
      <c r="AT190"/>
      <c r="AU190"/>
      <c r="AV190"/>
      <c r="AW190"/>
      <c r="AX190"/>
      <c r="AY190"/>
      <c r="AZ190"/>
      <c r="BA190"/>
      <c r="BB190"/>
    </row>
    <row r="191" spans="33:70" x14ac:dyDescent="0.25">
      <c r="AG191"/>
      <c r="AH191"/>
      <c r="AI191"/>
      <c r="AJ191"/>
      <c r="AK191"/>
      <c r="AL191"/>
      <c r="AM191"/>
      <c r="AN191"/>
      <c r="AO191"/>
      <c r="AP191"/>
      <c r="AQ191"/>
      <c r="AR191"/>
      <c r="AS191"/>
      <c r="AT191"/>
      <c r="AU191"/>
      <c r="AV191"/>
      <c r="AW191"/>
      <c r="AX191"/>
      <c r="AY191"/>
      <c r="AZ191"/>
      <c r="BA191"/>
      <c r="BB191"/>
    </row>
    <row r="192" spans="33:70" x14ac:dyDescent="0.25">
      <c r="AG192"/>
      <c r="AH192"/>
      <c r="AI192"/>
      <c r="AJ192"/>
      <c r="AK192"/>
      <c r="AL192"/>
      <c r="AM192"/>
      <c r="AN192"/>
      <c r="AO192"/>
      <c r="AP192"/>
      <c r="AQ192"/>
      <c r="AR192"/>
      <c r="AS192"/>
      <c r="AT192"/>
      <c r="AU192"/>
      <c r="AV192"/>
      <c r="AW192"/>
      <c r="AX192"/>
      <c r="AY192"/>
      <c r="AZ192"/>
      <c r="BA192"/>
      <c r="BB192"/>
      <c r="BD192"/>
      <c r="BE192"/>
      <c r="BF192"/>
      <c r="BR192"/>
    </row>
    <row r="193" spans="33:70" x14ac:dyDescent="0.25">
      <c r="AG193"/>
      <c r="AH193"/>
      <c r="AI193"/>
      <c r="AJ193"/>
      <c r="AK193"/>
      <c r="AL193"/>
      <c r="AM193"/>
      <c r="AN193"/>
      <c r="AO193"/>
      <c r="AP193"/>
      <c r="AQ193"/>
      <c r="AR193"/>
      <c r="AS193"/>
      <c r="AT193"/>
      <c r="AU193"/>
      <c r="AV193"/>
      <c r="AW193"/>
      <c r="AX193"/>
      <c r="AY193"/>
      <c r="AZ193"/>
      <c r="BA193"/>
      <c r="BB193"/>
      <c r="BD193"/>
      <c r="BE193"/>
      <c r="BF193"/>
      <c r="BR193"/>
    </row>
    <row r="194" spans="33:70" x14ac:dyDescent="0.25">
      <c r="AG194"/>
      <c r="AH194"/>
      <c r="AI194"/>
      <c r="AJ194"/>
      <c r="AK194"/>
      <c r="AL194"/>
      <c r="AM194"/>
      <c r="AN194"/>
      <c r="AO194"/>
      <c r="AP194"/>
      <c r="AQ194"/>
      <c r="AR194"/>
      <c r="AS194"/>
      <c r="AT194"/>
      <c r="AU194"/>
      <c r="AV194"/>
      <c r="AW194"/>
      <c r="AX194"/>
      <c r="AY194"/>
      <c r="AZ194"/>
      <c r="BA194"/>
      <c r="BB194"/>
      <c r="BD194"/>
      <c r="BE194"/>
      <c r="BF194"/>
      <c r="BR194"/>
    </row>
    <row r="195" spans="33:70" x14ac:dyDescent="0.25">
      <c r="AG195"/>
      <c r="AH195"/>
      <c r="AI195"/>
      <c r="AJ195"/>
      <c r="AK195"/>
      <c r="AL195"/>
      <c r="AM195"/>
      <c r="AN195"/>
      <c r="AO195"/>
      <c r="AP195"/>
      <c r="AQ195"/>
      <c r="AR195"/>
      <c r="AS195"/>
      <c r="AT195"/>
      <c r="AU195"/>
      <c r="AV195"/>
      <c r="AW195"/>
      <c r="AX195"/>
      <c r="AY195"/>
      <c r="AZ195"/>
      <c r="BA195"/>
      <c r="BB195"/>
    </row>
    <row r="196" spans="33:70" x14ac:dyDescent="0.25">
      <c r="AG196"/>
      <c r="AH196"/>
      <c r="AI196"/>
      <c r="AJ196"/>
      <c r="AK196"/>
      <c r="AL196"/>
      <c r="AM196"/>
      <c r="AN196"/>
      <c r="AO196"/>
      <c r="AP196"/>
      <c r="AQ196"/>
      <c r="AR196"/>
      <c r="AS196"/>
      <c r="AT196"/>
      <c r="AU196"/>
    </row>
    <row r="197" spans="33:70" x14ac:dyDescent="0.25">
      <c r="AG197"/>
      <c r="AH197"/>
      <c r="AI197"/>
      <c r="AJ197"/>
      <c r="AK197"/>
      <c r="AL197"/>
      <c r="AM197"/>
      <c r="AN197"/>
      <c r="AO197"/>
      <c r="AP197"/>
      <c r="AQ197"/>
      <c r="AR197"/>
      <c r="AS197"/>
      <c r="AT197"/>
      <c r="AU197"/>
    </row>
    <row r="198" spans="33:70" x14ac:dyDescent="0.25">
      <c r="AG198"/>
      <c r="AH198"/>
      <c r="AI198"/>
      <c r="AJ198"/>
      <c r="AK198"/>
      <c r="AL198"/>
      <c r="AM198"/>
      <c r="AN198"/>
      <c r="AO198"/>
      <c r="AP198"/>
      <c r="AQ198"/>
      <c r="AR198"/>
      <c r="AS198"/>
      <c r="AT198"/>
      <c r="AU198"/>
    </row>
    <row r="199" spans="33:70" x14ac:dyDescent="0.25">
      <c r="AG199"/>
      <c r="AH199"/>
      <c r="AI199"/>
      <c r="AJ199"/>
      <c r="AK199"/>
      <c r="AL199"/>
      <c r="AM199"/>
      <c r="AN199"/>
      <c r="AO199"/>
      <c r="AP199"/>
      <c r="AQ199"/>
      <c r="AR199"/>
      <c r="AS199"/>
      <c r="AT199"/>
      <c r="AU199"/>
    </row>
    <row r="200" spans="33:70" x14ac:dyDescent="0.25">
      <c r="AG200"/>
      <c r="AH200"/>
      <c r="AI200"/>
      <c r="AJ200"/>
      <c r="AK200"/>
      <c r="AL200"/>
      <c r="AM200"/>
      <c r="AN200"/>
      <c r="AO200"/>
      <c r="AP200"/>
      <c r="AQ200"/>
      <c r="AR200"/>
      <c r="AS200"/>
      <c r="AT200"/>
      <c r="AU200"/>
    </row>
    <row r="201" spans="33:70" x14ac:dyDescent="0.25">
      <c r="AG201"/>
      <c r="AH201"/>
      <c r="AI201"/>
      <c r="AJ201"/>
      <c r="AK201"/>
      <c r="AL201"/>
      <c r="AM201"/>
      <c r="AN201"/>
      <c r="AO201"/>
      <c r="AP201"/>
      <c r="AQ201"/>
      <c r="AR201"/>
      <c r="AS201"/>
      <c r="AT201"/>
      <c r="AU201"/>
    </row>
    <row r="202" spans="33:70" x14ac:dyDescent="0.25">
      <c r="AG202"/>
      <c r="AH202"/>
      <c r="AI202"/>
      <c r="AJ202"/>
      <c r="AK202"/>
      <c r="AL202"/>
      <c r="AM202"/>
      <c r="AN202"/>
      <c r="AO202"/>
      <c r="AP202"/>
      <c r="AQ202"/>
      <c r="AR202"/>
      <c r="AS202"/>
      <c r="AT202"/>
      <c r="AU202"/>
    </row>
    <row r="203" spans="33:70" x14ac:dyDescent="0.25">
      <c r="AG203"/>
      <c r="AH203"/>
      <c r="AI203"/>
      <c r="AJ203"/>
      <c r="AK203"/>
      <c r="AL203"/>
      <c r="AM203"/>
      <c r="AN203"/>
      <c r="AO203"/>
      <c r="AP203"/>
      <c r="AQ203"/>
      <c r="AR203"/>
      <c r="AS203"/>
      <c r="AT203"/>
      <c r="AU203"/>
    </row>
    <row r="204" spans="33:70" x14ac:dyDescent="0.25">
      <c r="AH204"/>
      <c r="AI204"/>
      <c r="AJ204"/>
      <c r="AK204"/>
      <c r="AL204"/>
      <c r="AM204"/>
      <c r="AN204"/>
      <c r="AO204"/>
      <c r="AP204"/>
      <c r="AQ204"/>
      <c r="AR204"/>
      <c r="AS204"/>
      <c r="AT204"/>
      <c r="AU204"/>
      <c r="AV204"/>
    </row>
    <row r="205" spans="33:70" x14ac:dyDescent="0.25">
      <c r="AH205"/>
      <c r="AI205"/>
      <c r="AJ205"/>
      <c r="AK205"/>
      <c r="AL205"/>
      <c r="AM205"/>
      <c r="AN205"/>
      <c r="AO205"/>
      <c r="AP205"/>
      <c r="AQ205"/>
      <c r="AR205"/>
      <c r="AS205"/>
      <c r="AT205"/>
      <c r="AU205"/>
      <c r="AV205"/>
    </row>
    <row r="206" spans="33:70" x14ac:dyDescent="0.25">
      <c r="AH206"/>
      <c r="AI206"/>
      <c r="AJ206"/>
      <c r="AK206"/>
      <c r="AL206"/>
      <c r="AM206"/>
      <c r="AN206"/>
      <c r="AO206"/>
      <c r="AP206"/>
      <c r="AQ206"/>
      <c r="AR206"/>
      <c r="AS206"/>
      <c r="AT206"/>
      <c r="AU206"/>
      <c r="AV206"/>
    </row>
    <row r="207" spans="33:70" x14ac:dyDescent="0.25">
      <c r="AH207"/>
      <c r="AI207"/>
      <c r="AJ207"/>
      <c r="AK207"/>
      <c r="AL207"/>
      <c r="AM207"/>
      <c r="AN207"/>
      <c r="AO207"/>
      <c r="AP207"/>
      <c r="AQ207"/>
      <c r="AR207"/>
      <c r="AS207"/>
      <c r="AT207"/>
      <c r="AU207"/>
      <c r="AV207"/>
    </row>
    <row r="208" spans="33:70" x14ac:dyDescent="0.25">
      <c r="AH208"/>
      <c r="AI208"/>
      <c r="AJ208"/>
      <c r="AK208"/>
      <c r="AL208"/>
      <c r="AM208"/>
      <c r="AN208"/>
      <c r="AO208"/>
      <c r="AP208"/>
      <c r="AQ208"/>
      <c r="AR208"/>
      <c r="AS208"/>
      <c r="AT208"/>
      <c r="AU208"/>
      <c r="AV208"/>
    </row>
    <row r="209" spans="34:49" x14ac:dyDescent="0.25">
      <c r="AH209"/>
      <c r="AI209"/>
      <c r="AJ209"/>
      <c r="AK209"/>
      <c r="AL209"/>
      <c r="AM209"/>
      <c r="AN209"/>
      <c r="AO209"/>
      <c r="AP209"/>
      <c r="AQ209"/>
      <c r="AR209"/>
      <c r="AS209"/>
      <c r="AT209"/>
      <c r="AU209"/>
      <c r="AV209"/>
    </row>
    <row r="210" spans="34:49" x14ac:dyDescent="0.25">
      <c r="AH210"/>
      <c r="AI210"/>
      <c r="AJ210"/>
      <c r="AK210"/>
      <c r="AL210"/>
      <c r="AM210"/>
      <c r="AN210"/>
      <c r="AO210"/>
      <c r="AP210"/>
      <c r="AQ210"/>
      <c r="AR210"/>
      <c r="AS210"/>
      <c r="AT210"/>
      <c r="AU210"/>
      <c r="AV210"/>
    </row>
    <row r="211" spans="34:49" x14ac:dyDescent="0.25">
      <c r="AH211"/>
      <c r="AI211"/>
      <c r="AJ211"/>
      <c r="AK211"/>
      <c r="AL211"/>
      <c r="AM211"/>
      <c r="AN211"/>
      <c r="AO211"/>
      <c r="AP211"/>
      <c r="AQ211"/>
      <c r="AR211"/>
      <c r="AS211"/>
      <c r="AT211"/>
      <c r="AU211"/>
      <c r="AV211"/>
    </row>
    <row r="212" spans="34:49" x14ac:dyDescent="0.25">
      <c r="AH212"/>
      <c r="AI212"/>
      <c r="AJ212"/>
      <c r="AK212"/>
      <c r="AL212"/>
      <c r="AM212"/>
      <c r="AN212"/>
      <c r="AO212"/>
      <c r="AP212"/>
      <c r="AQ212"/>
      <c r="AR212"/>
      <c r="AS212"/>
      <c r="AT212"/>
      <c r="AU212"/>
      <c r="AV212"/>
    </row>
    <row r="213" spans="34:49" x14ac:dyDescent="0.25">
      <c r="AH213"/>
      <c r="AI213"/>
      <c r="AJ213"/>
      <c r="AK213"/>
      <c r="AL213"/>
      <c r="AM213"/>
      <c r="AN213"/>
      <c r="AO213"/>
      <c r="AP213"/>
      <c r="AQ213"/>
      <c r="AR213"/>
      <c r="AS213"/>
      <c r="AT213"/>
      <c r="AU213"/>
      <c r="AV213"/>
    </row>
    <row r="214" spans="34:49" x14ac:dyDescent="0.25">
      <c r="AH214"/>
      <c r="AI214"/>
      <c r="AJ214"/>
      <c r="AK214"/>
      <c r="AL214"/>
      <c r="AM214"/>
      <c r="AN214"/>
      <c r="AO214"/>
      <c r="AP214"/>
      <c r="AQ214"/>
      <c r="AR214"/>
      <c r="AS214"/>
      <c r="AT214"/>
      <c r="AU214"/>
      <c r="AV214"/>
    </row>
    <row r="215" spans="34:49" x14ac:dyDescent="0.25">
      <c r="AH215"/>
      <c r="AI215"/>
      <c r="AJ215"/>
      <c r="AK215"/>
      <c r="AL215"/>
      <c r="AM215"/>
      <c r="AN215"/>
      <c r="AO215"/>
      <c r="AP215"/>
      <c r="AQ215"/>
      <c r="AR215"/>
      <c r="AS215"/>
      <c r="AT215"/>
      <c r="AU215"/>
      <c r="AV215"/>
    </row>
    <row r="216" spans="34:49" x14ac:dyDescent="0.25">
      <c r="AH216"/>
      <c r="AI216"/>
      <c r="AJ216"/>
      <c r="AK216"/>
      <c r="AL216"/>
      <c r="AM216"/>
      <c r="AN216"/>
      <c r="AO216"/>
      <c r="AP216"/>
      <c r="AQ216"/>
      <c r="AR216"/>
      <c r="AS216"/>
      <c r="AT216"/>
      <c r="AU216"/>
      <c r="AV216"/>
    </row>
    <row r="217" spans="34:49" x14ac:dyDescent="0.25">
      <c r="AH217"/>
      <c r="AI217"/>
      <c r="AJ217"/>
      <c r="AK217"/>
      <c r="AL217"/>
      <c r="AM217"/>
      <c r="AN217"/>
      <c r="AO217"/>
      <c r="AP217"/>
      <c r="AQ217"/>
      <c r="AR217"/>
      <c r="AS217"/>
      <c r="AT217"/>
      <c r="AU217"/>
      <c r="AV217"/>
    </row>
    <row r="218" spans="34:49" x14ac:dyDescent="0.25">
      <c r="AI218"/>
      <c r="AJ218"/>
      <c r="AK218"/>
      <c r="AL218"/>
      <c r="AM218"/>
      <c r="AN218"/>
      <c r="AO218"/>
      <c r="AP218"/>
      <c r="AQ218"/>
      <c r="AR218"/>
      <c r="AS218"/>
      <c r="AT218"/>
      <c r="AU218"/>
      <c r="AV218"/>
      <c r="AW218"/>
    </row>
    <row r="219" spans="34:49" x14ac:dyDescent="0.25">
      <c r="AI219"/>
      <c r="AJ219"/>
      <c r="AK219"/>
      <c r="AL219"/>
      <c r="AM219"/>
      <c r="AN219"/>
      <c r="AO219"/>
      <c r="AP219"/>
      <c r="AQ219"/>
      <c r="AR219"/>
      <c r="AS219"/>
      <c r="AT219"/>
      <c r="AU219"/>
      <c r="AV219"/>
      <c r="AW219"/>
    </row>
    <row r="220" spans="34:49" x14ac:dyDescent="0.25">
      <c r="AI220"/>
      <c r="AJ220"/>
      <c r="AK220"/>
      <c r="AL220"/>
      <c r="AM220"/>
      <c r="AN220"/>
      <c r="AO220"/>
      <c r="AP220"/>
      <c r="AQ220"/>
      <c r="AR220"/>
      <c r="AS220"/>
      <c r="AT220"/>
      <c r="AU220"/>
      <c r="AV220"/>
      <c r="AW220"/>
    </row>
    <row r="221" spans="34:49" x14ac:dyDescent="0.25">
      <c r="AI221"/>
      <c r="AJ221"/>
      <c r="AK221"/>
      <c r="AL221"/>
      <c r="AM221"/>
      <c r="AN221"/>
      <c r="AO221"/>
      <c r="AP221"/>
      <c r="AQ221"/>
      <c r="AR221"/>
      <c r="AS221"/>
      <c r="AT221"/>
      <c r="AU221"/>
      <c r="AV221"/>
      <c r="AW221"/>
    </row>
    <row r="222" spans="34:49" x14ac:dyDescent="0.25">
      <c r="AI222"/>
      <c r="AJ222"/>
      <c r="AK222"/>
      <c r="AL222"/>
      <c r="AM222"/>
      <c r="AN222"/>
      <c r="AO222"/>
      <c r="AP222"/>
      <c r="AQ222"/>
      <c r="AR222"/>
      <c r="AS222"/>
      <c r="AT222"/>
      <c r="AU222"/>
      <c r="AV222"/>
      <c r="AW222"/>
    </row>
    <row r="223" spans="34:49" x14ac:dyDescent="0.25">
      <c r="AI223"/>
      <c r="AJ223"/>
      <c r="AK223"/>
      <c r="AL223"/>
      <c r="AM223"/>
      <c r="AN223"/>
      <c r="AO223"/>
      <c r="AP223"/>
      <c r="AQ223"/>
      <c r="AR223"/>
      <c r="AS223"/>
      <c r="AT223"/>
      <c r="AU223"/>
      <c r="AV223"/>
      <c r="AW223"/>
    </row>
    <row r="224" spans="34:49" x14ac:dyDescent="0.25">
      <c r="AI224"/>
      <c r="AJ224"/>
      <c r="AK224"/>
      <c r="AL224"/>
      <c r="AM224"/>
      <c r="AN224"/>
      <c r="AO224"/>
      <c r="AP224"/>
      <c r="AQ224"/>
      <c r="AR224"/>
      <c r="AS224"/>
      <c r="AT224"/>
      <c r="AU224"/>
      <c r="AV224"/>
      <c r="AW224"/>
    </row>
    <row r="225" spans="35:52" x14ac:dyDescent="0.25">
      <c r="AI225"/>
      <c r="AJ225"/>
      <c r="AK225"/>
      <c r="AL225"/>
      <c r="AM225"/>
      <c r="AN225"/>
      <c r="AO225"/>
      <c r="AP225"/>
      <c r="AQ225"/>
      <c r="AR225"/>
      <c r="AS225"/>
      <c r="AT225"/>
      <c r="AU225"/>
      <c r="AV225"/>
      <c r="AW225"/>
    </row>
    <row r="226" spans="35:52" x14ac:dyDescent="0.25">
      <c r="AI226"/>
      <c r="AJ226"/>
      <c r="AK226"/>
      <c r="AL226"/>
      <c r="AM226"/>
      <c r="AN226"/>
      <c r="AO226"/>
      <c r="AP226"/>
      <c r="AQ226"/>
      <c r="AR226"/>
      <c r="AS226"/>
      <c r="AT226"/>
      <c r="AU226"/>
      <c r="AV226"/>
      <c r="AW226"/>
    </row>
    <row r="227" spans="35:52" x14ac:dyDescent="0.25">
      <c r="AI227"/>
      <c r="AJ227"/>
      <c r="AK227"/>
      <c r="AL227"/>
      <c r="AM227"/>
      <c r="AN227"/>
      <c r="AO227"/>
      <c r="AP227"/>
      <c r="AQ227"/>
      <c r="AR227"/>
      <c r="AS227"/>
      <c r="AT227"/>
      <c r="AU227"/>
      <c r="AV227"/>
      <c r="AW227"/>
    </row>
    <row r="228" spans="35:52" x14ac:dyDescent="0.25">
      <c r="AI228"/>
      <c r="AJ228"/>
      <c r="AK228"/>
      <c r="AL228"/>
      <c r="AM228"/>
      <c r="AN228"/>
      <c r="AO228"/>
      <c r="AP228"/>
      <c r="AQ228"/>
      <c r="AR228"/>
      <c r="AS228"/>
      <c r="AT228"/>
      <c r="AU228"/>
      <c r="AV228"/>
      <c r="AW228"/>
    </row>
    <row r="229" spans="35:52" x14ac:dyDescent="0.25">
      <c r="AI229"/>
      <c r="AJ229"/>
      <c r="AK229"/>
      <c r="AL229"/>
      <c r="AM229"/>
      <c r="AN229"/>
      <c r="AO229"/>
      <c r="AP229"/>
      <c r="AQ229"/>
      <c r="AR229"/>
      <c r="AS229"/>
      <c r="AT229"/>
      <c r="AU229"/>
      <c r="AV229"/>
      <c r="AW229"/>
    </row>
    <row r="230" spans="35:52" x14ac:dyDescent="0.25">
      <c r="AI230"/>
      <c r="AJ230"/>
      <c r="AK230"/>
      <c r="AL230"/>
      <c r="AM230"/>
      <c r="AN230"/>
      <c r="AO230"/>
      <c r="AP230"/>
      <c r="AQ230"/>
      <c r="AR230"/>
      <c r="AS230"/>
      <c r="AT230"/>
      <c r="AU230"/>
      <c r="AV230"/>
      <c r="AW230"/>
    </row>
    <row r="231" spans="35:52" x14ac:dyDescent="0.25">
      <c r="AI231"/>
      <c r="AJ231"/>
      <c r="AK231"/>
      <c r="AL231"/>
      <c r="AM231"/>
      <c r="AN231"/>
      <c r="AO231"/>
      <c r="AP231"/>
      <c r="AQ231"/>
      <c r="AR231"/>
      <c r="AS231"/>
      <c r="AT231"/>
      <c r="AU231"/>
      <c r="AV231"/>
      <c r="AW231"/>
      <c r="AZ231" s="67"/>
    </row>
    <row r="232" spans="35:52" x14ac:dyDescent="0.25">
      <c r="AI232"/>
      <c r="AJ232"/>
      <c r="AK232"/>
      <c r="AL232"/>
      <c r="AM232"/>
      <c r="AN232"/>
      <c r="AO232"/>
      <c r="AP232"/>
      <c r="AQ232"/>
      <c r="AR232"/>
      <c r="AS232"/>
      <c r="AT232"/>
      <c r="AU232"/>
      <c r="AV232"/>
      <c r="AW232"/>
    </row>
    <row r="233" spans="35:52" x14ac:dyDescent="0.25">
      <c r="AJ233"/>
      <c r="AK233"/>
      <c r="AL233"/>
      <c r="AM233"/>
      <c r="AN233"/>
      <c r="AO233"/>
      <c r="AP233"/>
      <c r="AQ233"/>
      <c r="AR233"/>
      <c r="AS233"/>
      <c r="AT233"/>
      <c r="AU233"/>
      <c r="AV233"/>
      <c r="AW233"/>
      <c r="AX233"/>
    </row>
    <row r="234" spans="35:52" x14ac:dyDescent="0.25">
      <c r="AK234"/>
      <c r="AL234"/>
      <c r="AM234"/>
      <c r="AN234"/>
      <c r="AO234"/>
      <c r="AP234"/>
      <c r="AQ234"/>
      <c r="AR234"/>
      <c r="AS234"/>
      <c r="AT234"/>
      <c r="AU234"/>
      <c r="AV234"/>
      <c r="AW234"/>
      <c r="AX234"/>
      <c r="AY234"/>
    </row>
    <row r="235" spans="35:52" x14ac:dyDescent="0.25">
      <c r="AK235"/>
      <c r="AL235"/>
      <c r="AM235"/>
      <c r="AN235"/>
      <c r="AO235"/>
      <c r="AP235"/>
      <c r="AQ235"/>
      <c r="AR235"/>
      <c r="AS235"/>
      <c r="AT235"/>
      <c r="AU235"/>
      <c r="AV235"/>
      <c r="AW235"/>
      <c r="AX235"/>
      <c r="AY235"/>
    </row>
    <row r="236" spans="35:52" x14ac:dyDescent="0.25">
      <c r="AK236"/>
      <c r="AL236"/>
      <c r="AM236"/>
      <c r="AN236"/>
      <c r="AO236"/>
      <c r="AP236"/>
      <c r="AQ236"/>
      <c r="AR236"/>
      <c r="AS236"/>
      <c r="AT236"/>
      <c r="AU236"/>
      <c r="AV236"/>
      <c r="AW236"/>
      <c r="AX236"/>
      <c r="AY236"/>
    </row>
    <row r="237" spans="35:52" x14ac:dyDescent="0.25">
      <c r="AK237"/>
      <c r="AL237"/>
      <c r="AM237"/>
      <c r="AN237"/>
      <c r="AO237"/>
      <c r="AP237"/>
      <c r="AQ237"/>
      <c r="AR237"/>
      <c r="AS237"/>
      <c r="AT237"/>
      <c r="AU237"/>
      <c r="AV237"/>
      <c r="AW237"/>
      <c r="AX237"/>
      <c r="AY237"/>
    </row>
    <row r="238" spans="35:52" x14ac:dyDescent="0.25">
      <c r="AK238"/>
      <c r="AL238"/>
      <c r="AM238"/>
      <c r="AN238"/>
      <c r="AO238"/>
      <c r="AP238"/>
      <c r="AQ238"/>
      <c r="AR238"/>
      <c r="AS238"/>
      <c r="AT238"/>
      <c r="AU238"/>
      <c r="AV238"/>
      <c r="AW238"/>
      <c r="AX238"/>
      <c r="AY238"/>
    </row>
    <row r="239" spans="35:52" x14ac:dyDescent="0.25">
      <c r="AK239"/>
      <c r="AL239"/>
      <c r="AM239"/>
      <c r="AN239"/>
      <c r="AO239"/>
      <c r="AP239"/>
      <c r="AQ239"/>
      <c r="AR239"/>
      <c r="AS239"/>
      <c r="AT239"/>
      <c r="AU239"/>
      <c r="AV239"/>
      <c r="AW239"/>
      <c r="AX239"/>
      <c r="AY239"/>
    </row>
  </sheetData>
  <conditionalFormatting sqref="BH17:BH24 BH33:BH41">
    <cfRule type="expression" dxfId="0" priority="1">
      <formula>ABS($BA17)&lt;1</formula>
    </cfRule>
  </conditionalFormatting>
  <dataValidations count="1">
    <dataValidation type="list" allowBlank="1" showInputMessage="1" showErrorMessage="1" sqref="C134 C127 C119" xr:uid="{00000000-0002-0000-2300-000000000000}">
      <formula1>$F$3:$F$33</formula1>
    </dataValidation>
  </dataValidations>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CFD9-5544-42E8-B9A2-319A48D612CA}">
  <sheetPr codeName="Sheet51">
    <tabColor rgb="FFFF0066"/>
  </sheetPr>
  <dimension ref="A1:BI286"/>
  <sheetViews>
    <sheetView topLeftCell="M16" zoomScale="60" zoomScaleNormal="60" workbookViewId="0">
      <pane xSplit="9" ySplit="4" topLeftCell="V53" activePane="bottomRight" state="frozen"/>
      <selection activeCell="M16" sqref="M16"/>
      <selection pane="topRight" activeCell="V16" sqref="V16"/>
      <selection pane="bottomLeft" activeCell="M20" sqref="M20"/>
      <selection pane="bottomRight" activeCell="T98" sqref="T98:AP98"/>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9" width="12.42578125" style="61" customWidth="1"/>
    <col min="30" max="31" width="14.5703125" style="61" bestFit="1" customWidth="1"/>
    <col min="32" max="32" width="14.5703125" style="61" customWidth="1"/>
    <col min="33" max="33" width="14.5703125" style="61" bestFit="1" customWidth="1"/>
    <col min="34" max="34" width="14.5703125" style="61" customWidth="1"/>
    <col min="35" max="43" width="12.42578125" style="61" customWidth="1"/>
    <col min="44" max="45" width="12.5703125" style="225" customWidth="1"/>
    <col min="46" max="46" width="9.5703125" style="61" customWidth="1"/>
    <col min="47" max="47" width="10.42578125" style="61" bestFit="1" customWidth="1"/>
    <col min="48" max="48" width="8.85546875" style="61"/>
    <col min="49" max="49" width="10.7109375" style="61" customWidth="1"/>
    <col min="50" max="50" width="8.85546875" style="61"/>
    <col min="51" max="51" width="11.85546875" style="61" customWidth="1"/>
    <col min="52" max="52" width="8.5703125" style="61" customWidth="1"/>
    <col min="53" max="16384" width="8.85546875" style="61"/>
  </cols>
  <sheetData>
    <row r="1" spans="5:52" x14ac:dyDescent="0.25">
      <c r="U1" s="219"/>
      <c r="V1" s="219"/>
      <c r="W1" s="219"/>
      <c r="X1" s="219"/>
      <c r="Y1" s="219"/>
      <c r="Z1" s="219"/>
      <c r="AA1" s="219"/>
      <c r="AB1" s="219"/>
      <c r="AC1" s="219"/>
      <c r="AD1" s="219" t="s">
        <v>651</v>
      </c>
      <c r="AE1" s="220" t="b">
        <f>ERC.Efficiency</f>
        <v>1</v>
      </c>
      <c r="AI1" s="65" t="s">
        <v>613</v>
      </c>
      <c r="AJ1" s="221" t="s">
        <v>652</v>
      </c>
      <c r="AK1" s="222">
        <f>INDEX(AK5:AK7,MATCH(AJ1,AJ5:AJ7,0))</f>
        <v>2</v>
      </c>
      <c r="AL1" s="223">
        <f>INDEX(AL5:AL7,MATCH($AK$1,$AK$5:$AK$7,0))</f>
        <v>-5.0000000000000001E-3</v>
      </c>
      <c r="AM1" s="223">
        <f>INDEX(AM5:AM7,MATCH($AK$1,$AK$5:$AK$7,0))</f>
        <v>-5.0000000000000001E-3</v>
      </c>
      <c r="AN1" s="223">
        <f>INDEX(AN5:AN7,MATCH($AK$1,$AK$5:$AK$7,0))</f>
        <v>-7.4999999999999997E-3</v>
      </c>
      <c r="AO1" s="223">
        <f>INDEX(AO5:AO7,MATCH($AK$1,$AK$5:$AK$7,0))</f>
        <v>-0.01</v>
      </c>
      <c r="AP1" s="224">
        <f>INDEX(AP5:AP7,MATCH($AK$1,$AK$5:$AK$7,0))</f>
        <v>-0.01</v>
      </c>
    </row>
    <row r="2" spans="5:52" x14ac:dyDescent="0.25">
      <c r="AI2" s="65" t="s">
        <v>653</v>
      </c>
      <c r="AJ2" s="226" t="s">
        <v>652</v>
      </c>
      <c r="AK2" s="227">
        <f>INDEX(AK10:AK12,MATCH(AJ2,AJ10:AJ12,0))</f>
        <v>2</v>
      </c>
      <c r="AL2" s="228">
        <f>INDEX(AL10:AL12,MATCH($AK$2,$AK$10:$AK$12,0))</f>
        <v>-1E-3</v>
      </c>
      <c r="AM2" s="228">
        <f>INDEX(AM10:AM12,MATCH($AK$2,$AK$10:$AK$12,0))</f>
        <v>-1E-3</v>
      </c>
      <c r="AN2" s="228">
        <f>INDEX(AN10:AN12,MATCH($AK$2,$AK$10:$AK$12,0))</f>
        <v>-5.4999999999999997E-3</v>
      </c>
      <c r="AO2" s="228">
        <f>INDEX(AO10:AO12,MATCH($AK$2,$AK$10:$AK$12,0))</f>
        <v>-0.01</v>
      </c>
      <c r="AP2" s="229">
        <f>INDEX(AP10:AP12,MATCH($AK$2,$AK$10:$AK$12,0))</f>
        <v>-0.01</v>
      </c>
    </row>
    <row r="3" spans="5:52" x14ac:dyDescent="0.25">
      <c r="E3" s="230"/>
      <c r="AR3" s="231"/>
      <c r="AS3" s="231"/>
    </row>
    <row r="4" spans="5:52" x14ac:dyDescent="0.25">
      <c r="E4" s="230"/>
      <c r="AR4" s="61"/>
      <c r="AS4" s="61"/>
    </row>
    <row r="5" spans="5:52" x14ac:dyDescent="0.25">
      <c r="AG5" s="102"/>
      <c r="AI5" s="61" t="s">
        <v>55</v>
      </c>
      <c r="AJ5" s="61" t="s">
        <v>654</v>
      </c>
      <c r="AK5" s="232">
        <v>1</v>
      </c>
      <c r="AL5" s="233">
        <v>0</v>
      </c>
      <c r="AM5" s="233">
        <v>0</v>
      </c>
      <c r="AN5" s="233">
        <v>0</v>
      </c>
      <c r="AO5" s="233">
        <v>0</v>
      </c>
      <c r="AP5" s="233">
        <v>0</v>
      </c>
      <c r="AR5" s="231"/>
      <c r="AS5" s="231"/>
    </row>
    <row r="6" spans="5:52" x14ac:dyDescent="0.25">
      <c r="AJ6" s="61" t="s">
        <v>652</v>
      </c>
      <c r="AK6" s="234">
        <v>2</v>
      </c>
      <c r="AL6" s="233">
        <v>-5.0000000000000001E-3</v>
      </c>
      <c r="AM6" s="233">
        <v>-5.0000000000000001E-3</v>
      </c>
      <c r="AN6" s="233">
        <f>AVERAGE(AM6,AO6)</f>
        <v>-7.4999999999999997E-3</v>
      </c>
      <c r="AO6" s="233">
        <v>-0.01</v>
      </c>
      <c r="AP6" s="233">
        <v>-0.01</v>
      </c>
      <c r="AQ6" s="61" t="s">
        <v>655</v>
      </c>
      <c r="AR6" s="231"/>
      <c r="AS6" s="231"/>
    </row>
    <row r="7" spans="5:52" x14ac:dyDescent="0.25">
      <c r="AJ7" s="61" t="s">
        <v>656</v>
      </c>
      <c r="AK7" s="235">
        <v>3</v>
      </c>
      <c r="AL7" s="236">
        <f>AL6</f>
        <v>-5.0000000000000001E-3</v>
      </c>
      <c r="AM7" s="236">
        <f t="shared" ref="AM7:AP7" si="0">AM6</f>
        <v>-5.0000000000000001E-3</v>
      </c>
      <c r="AN7" s="236">
        <f t="shared" si="0"/>
        <v>-7.4999999999999997E-3</v>
      </c>
      <c r="AO7" s="236">
        <f t="shared" si="0"/>
        <v>-0.01</v>
      </c>
      <c r="AP7" s="236">
        <f t="shared" si="0"/>
        <v>-0.01</v>
      </c>
      <c r="AQ7" s="61" t="s">
        <v>657</v>
      </c>
      <c r="AR7" s="231"/>
      <c r="AS7" s="61"/>
    </row>
    <row r="8" spans="5:52" x14ac:dyDescent="0.25">
      <c r="AN8" s="61">
        <f>AN6/AM6</f>
        <v>1.5</v>
      </c>
      <c r="AR8" s="231"/>
      <c r="AS8" s="61"/>
    </row>
    <row r="9" spans="5:52" x14ac:dyDescent="0.25">
      <c r="AK9" s="193"/>
      <c r="AL9" s="193"/>
      <c r="AM9" s="193"/>
      <c r="AN9" s="193"/>
      <c r="AO9" s="193"/>
      <c r="AP9" s="193"/>
      <c r="AR9" s="231"/>
      <c r="AS9" s="231"/>
    </row>
    <row r="10" spans="5:52" x14ac:dyDescent="0.25">
      <c r="AG10" s="100"/>
      <c r="AI10" s="61" t="s">
        <v>52</v>
      </c>
      <c r="AJ10" s="61" t="s">
        <v>654</v>
      </c>
      <c r="AK10" s="232">
        <v>1</v>
      </c>
      <c r="AL10" s="233">
        <v>0</v>
      </c>
      <c r="AM10" s="233">
        <f t="shared" ref="AM10:AP10" si="1">AL10</f>
        <v>0</v>
      </c>
      <c r="AN10" s="233">
        <f t="shared" si="1"/>
        <v>0</v>
      </c>
      <c r="AO10" s="233">
        <f t="shared" si="1"/>
        <v>0</v>
      </c>
      <c r="AP10" s="233">
        <f t="shared" si="1"/>
        <v>0</v>
      </c>
      <c r="AR10" s="231"/>
      <c r="AS10" s="231"/>
    </row>
    <row r="11" spans="5:52" x14ac:dyDescent="0.25">
      <c r="AJ11" s="61" t="s">
        <v>652</v>
      </c>
      <c r="AK11" s="234">
        <v>2</v>
      </c>
      <c r="AL11" s="233">
        <f>-0.001</f>
        <v>-1E-3</v>
      </c>
      <c r="AM11" s="233">
        <f t="shared" ref="AM11" si="2">-0.001</f>
        <v>-1E-3</v>
      </c>
      <c r="AN11" s="233">
        <f>AVERAGE(AM11,AO11)</f>
        <v>-5.4999999999999997E-3</v>
      </c>
      <c r="AO11" s="233">
        <v>-0.01</v>
      </c>
      <c r="AP11" s="233">
        <v>-0.01</v>
      </c>
      <c r="AQ11" s="61" t="s">
        <v>655</v>
      </c>
      <c r="AR11" s="231"/>
      <c r="AS11" s="231"/>
    </row>
    <row r="12" spans="5:52" x14ac:dyDescent="0.25">
      <c r="AJ12" s="61" t="s">
        <v>656</v>
      </c>
      <c r="AK12" s="235">
        <v>3</v>
      </c>
      <c r="AL12" s="236">
        <f>AL11</f>
        <v>-1E-3</v>
      </c>
      <c r="AM12" s="236">
        <f t="shared" ref="AM12:AP12" si="3">AM11</f>
        <v>-1E-3</v>
      </c>
      <c r="AN12" s="236">
        <f t="shared" si="3"/>
        <v>-5.4999999999999997E-3</v>
      </c>
      <c r="AO12" s="236">
        <f t="shared" si="3"/>
        <v>-0.01</v>
      </c>
      <c r="AP12" s="236">
        <f t="shared" si="3"/>
        <v>-0.01</v>
      </c>
      <c r="AQ12" s="61" t="s">
        <v>657</v>
      </c>
      <c r="AR12" s="231"/>
    </row>
    <row r="13" spans="5:52" x14ac:dyDescent="0.25">
      <c r="AR13" s="231"/>
    </row>
    <row r="15" spans="5:52" x14ac:dyDescent="0.25">
      <c r="AD15" s="65" t="s">
        <v>658</v>
      </c>
      <c r="AE15" s="65"/>
      <c r="AF15" s="65"/>
      <c r="AG15" s="61">
        <f>'AEA2012 update'!L3</f>
        <v>0</v>
      </c>
      <c r="AL15" s="65" t="s">
        <v>659</v>
      </c>
      <c r="AN15" s="65"/>
      <c r="AT15" s="65" t="s">
        <v>660</v>
      </c>
      <c r="AZ15" s="237" t="s">
        <v>661</v>
      </c>
    </row>
    <row r="16" spans="5:52" x14ac:dyDescent="0.25">
      <c r="S16" s="65"/>
      <c r="AB16" s="65" t="s">
        <v>662</v>
      </c>
      <c r="AD16" s="238">
        <v>2010</v>
      </c>
      <c r="AE16" s="238">
        <v>2020</v>
      </c>
      <c r="AF16" s="239">
        <v>2025</v>
      </c>
      <c r="AG16" s="239">
        <v>2030</v>
      </c>
      <c r="AH16" s="239">
        <v>2035</v>
      </c>
      <c r="AI16" s="239">
        <v>2040</v>
      </c>
      <c r="AJ16" s="240">
        <v>2050</v>
      </c>
      <c r="AL16" s="241">
        <v>2017</v>
      </c>
      <c r="AM16" s="241">
        <v>2020</v>
      </c>
      <c r="AN16" s="242">
        <v>2030</v>
      </c>
      <c r="AO16" s="242">
        <v>2040</v>
      </c>
      <c r="AP16" s="243">
        <v>2050</v>
      </c>
      <c r="AT16" s="241">
        <v>2010</v>
      </c>
      <c r="AU16" s="241">
        <v>2020</v>
      </c>
      <c r="AV16" s="242">
        <v>2030</v>
      </c>
      <c r="AW16" s="242">
        <v>2040</v>
      </c>
      <c r="AX16" s="243">
        <v>2050</v>
      </c>
    </row>
    <row r="17" spans="5:56" x14ac:dyDescent="0.25">
      <c r="R17" s="65"/>
      <c r="W17" s="65"/>
      <c r="X17" s="65"/>
      <c r="Y17" s="65"/>
      <c r="Z17" s="65"/>
      <c r="AA17" s="65"/>
      <c r="AB17" s="65"/>
      <c r="AC17" s="65"/>
      <c r="AD17" s="244">
        <v>0</v>
      </c>
      <c r="AE17" s="245">
        <v>0</v>
      </c>
      <c r="AF17" s="245">
        <v>0</v>
      </c>
      <c r="AG17" s="245">
        <v>0</v>
      </c>
      <c r="AH17" s="245">
        <v>0</v>
      </c>
      <c r="AI17" s="245">
        <v>0</v>
      </c>
      <c r="AJ17" s="245">
        <v>0</v>
      </c>
      <c r="AL17" s="246"/>
      <c r="AM17" s="246"/>
      <c r="AN17" s="246"/>
      <c r="AO17" s="246"/>
      <c r="AP17" s="246"/>
    </row>
    <row r="18" spans="5:56" x14ac:dyDescent="0.25">
      <c r="N18"/>
      <c r="O18"/>
      <c r="R18" s="247"/>
      <c r="S18" s="65"/>
      <c r="W18" s="61" t="s">
        <v>1359</v>
      </c>
      <c r="AD18" s="248">
        <f>IFERROR(TRA.freight.capex*(AD17+S18),0)</f>
        <v>0</v>
      </c>
      <c r="AE18" s="249">
        <f t="shared" ref="AE18:AJ18" si="4">IFERROR(TRA.freight.capex*(AE17+AD18),0)</f>
        <v>0</v>
      </c>
      <c r="AF18" s="249">
        <f t="shared" si="4"/>
        <v>0</v>
      </c>
      <c r="AG18" s="249">
        <f t="shared" si="4"/>
        <v>0</v>
      </c>
      <c r="AH18" s="249">
        <f t="shared" si="4"/>
        <v>0</v>
      </c>
      <c r="AI18" s="249">
        <f t="shared" si="4"/>
        <v>0</v>
      </c>
      <c r="AJ18" s="249">
        <f t="shared" si="4"/>
        <v>0</v>
      </c>
      <c r="AL18" s="61" t="s">
        <v>663</v>
      </c>
      <c r="AM18" s="61" t="s">
        <v>663</v>
      </c>
      <c r="AN18" s="61" t="s">
        <v>663</v>
      </c>
      <c r="AO18" s="61" t="s">
        <v>663</v>
      </c>
      <c r="AP18" s="61" t="s">
        <v>663</v>
      </c>
      <c r="AR18" s="225" t="s">
        <v>664</v>
      </c>
      <c r="AZ18" s="61" t="s">
        <v>665</v>
      </c>
      <c r="BC18" s="61" t="s">
        <v>666</v>
      </c>
    </row>
    <row r="19" spans="5:56" ht="45" x14ac:dyDescent="0.25">
      <c r="E19" s="61" t="s">
        <v>667</v>
      </c>
      <c r="J19" s="250">
        <v>2017</v>
      </c>
      <c r="N19" s="65" t="s">
        <v>668</v>
      </c>
      <c r="O19" s="65" t="s">
        <v>669</v>
      </c>
      <c r="P19" s="65" t="s">
        <v>670</v>
      </c>
      <c r="Q19" s="65" t="s">
        <v>671</v>
      </c>
      <c r="R19" s="65" t="s">
        <v>672</v>
      </c>
      <c r="S19" s="65" t="s">
        <v>673</v>
      </c>
      <c r="T19" s="65" t="s">
        <v>674</v>
      </c>
      <c r="U19" s="65" t="s">
        <v>675</v>
      </c>
      <c r="V19" s="920" t="s">
        <v>662</v>
      </c>
      <c r="W19" s="238">
        <v>2010</v>
      </c>
      <c r="X19" s="238">
        <v>2020</v>
      </c>
      <c r="Y19" s="239">
        <v>2025</v>
      </c>
      <c r="Z19" s="239">
        <v>2030</v>
      </c>
      <c r="AA19" s="239">
        <v>2035</v>
      </c>
      <c r="AB19" s="239">
        <v>2040</v>
      </c>
      <c r="AC19" s="240">
        <v>2050</v>
      </c>
      <c r="AD19" s="251"/>
      <c r="AE19" s="251"/>
      <c r="AF19" s="251"/>
      <c r="AG19" s="251"/>
      <c r="AH19" s="251"/>
      <c r="AI19" s="251"/>
      <c r="AJ19" s="251"/>
      <c r="AR19" s="225" t="s">
        <v>676</v>
      </c>
      <c r="AS19" s="225" t="s">
        <v>677</v>
      </c>
      <c r="AZ19" s="61">
        <f>AL16</f>
        <v>2017</v>
      </c>
      <c r="BA19" s="61">
        <f t="shared" ref="BA19:BD19" si="5">AM16</f>
        <v>2020</v>
      </c>
      <c r="BB19" s="61">
        <f t="shared" si="5"/>
        <v>2030</v>
      </c>
      <c r="BC19" s="61">
        <f t="shared" si="5"/>
        <v>2040</v>
      </c>
      <c r="BD19" s="61">
        <f t="shared" si="5"/>
        <v>2050</v>
      </c>
    </row>
    <row r="20" spans="5:56" x14ac:dyDescent="0.25">
      <c r="E20" s="66" t="s">
        <v>678</v>
      </c>
      <c r="H20" s="252" t="s">
        <v>679</v>
      </c>
      <c r="I20" s="253">
        <f>Analytica!AI65/Analytica!AI67</f>
        <v>1.2029012449300542</v>
      </c>
      <c r="J20" s="254">
        <f>H28/H27</f>
        <v>1.0709452702702702</v>
      </c>
      <c r="N20" s="61" t="s">
        <v>573</v>
      </c>
      <c r="O20" s="61" t="s">
        <v>613</v>
      </c>
      <c r="P20" s="61" t="s">
        <v>555</v>
      </c>
      <c r="Q20" s="61" t="str">
        <f>RIGHT(P20,3)</f>
        <v>CAR</v>
      </c>
      <c r="R20" s="61" t="s">
        <v>680</v>
      </c>
      <c r="S20" s="255">
        <f>AE20*F22</f>
        <v>384581.26616029348</v>
      </c>
      <c r="T20" s="256" t="s">
        <v>681</v>
      </c>
      <c r="U20" s="913" t="s">
        <v>680</v>
      </c>
      <c r="V20" s="921"/>
      <c r="W20" s="914">
        <f>IF($V20="",0,IF(W$19&gt;=$V20,1,0))</f>
        <v>0</v>
      </c>
      <c r="X20" s="915">
        <f t="shared" ref="X20:AC35" si="6">IF($V20="",0,IF(X$19&gt;=$V20,1,0))</f>
        <v>0</v>
      </c>
      <c r="Y20" s="915">
        <f t="shared" si="6"/>
        <v>0</v>
      </c>
      <c r="Z20" s="915">
        <f t="shared" si="6"/>
        <v>0</v>
      </c>
      <c r="AA20" s="915">
        <f t="shared" si="6"/>
        <v>0</v>
      </c>
      <c r="AB20" s="915">
        <f t="shared" si="6"/>
        <v>0</v>
      </c>
      <c r="AC20" s="916">
        <f t="shared" si="6"/>
        <v>0</v>
      </c>
      <c r="AD20" s="103" cm="1">
        <f t="array" ref="AD20">IF(W20,INDEX('AEA2012 update'!$K$6:$R$104,MATCH($T20&amp;$R20,'AEA2012 update'!$A$6:$A$104&amp;'AEA2012 update'!$B$6:$B$104,0),MATCH(AD$16,'AEA2012 update'!$S$4:$Z$4,0)),INDEX('AEA2012 update'!$K$6:$R$104,MATCH($T20&amp;$U20,'AEA2012 update'!$A$6:$A$104&amp;'AEA2012 update'!$B$6:$B$104,0),MATCH(AD$16,'AEA2012 update'!$S$4:$Z$4,0)))</f>
        <v>221973.27212134015</v>
      </c>
      <c r="AE20" s="103" cm="1">
        <f t="array" ref="AE20">IF(X20,INDEX('AEA2012 update'!$K$6:$R$104,MATCH($T20&amp;$R20,'AEA2012 update'!$A$6:$A$104&amp;'AEA2012 update'!$B$6:$B$104,0),MATCH(AE$16,'AEA2012 update'!$S$4:$Z$4,0)),INDEX('AEA2012 update'!$K$6:$R$104,MATCH($T20&amp;$U20,'AEA2012 update'!$A$6:$A$104&amp;'AEA2012 update'!$B$6:$B$104,0),MATCH(AE$16,'AEA2012 update'!$S$4:$Z$4,0)))</f>
        <v>240363.2913501834</v>
      </c>
      <c r="AF20" s="103" cm="1">
        <f t="array" ref="AF20">IF(Y20,INDEX('AEA2012 update'!$K$6:$R$104,MATCH($T20&amp;$R20,'AEA2012 update'!$A$6:$A$104&amp;'AEA2012 update'!$B$6:$B$104,0),MATCH(AF$16,'AEA2012 update'!$S$4:$Z$4,0)),INDEX('AEA2012 update'!$K$6:$R$104,MATCH($T20&amp;$U20,'AEA2012 update'!$A$6:$A$104&amp;'AEA2012 update'!$B$6:$B$104,0),MATCH(AF$16,'AEA2012 update'!$S$4:$Z$4,0)))</f>
        <v>244456.53288726759</v>
      </c>
      <c r="AG20" s="103" cm="1">
        <f t="array" ref="AG20">IF(Z20,INDEX('AEA2012 update'!$K$6:$R$104,MATCH($T20&amp;$R20,'AEA2012 update'!$A$6:$A$104&amp;'AEA2012 update'!$B$6:$B$104,0),MATCH(AG$16,'AEA2012 update'!$S$4:$Z$4,0)),INDEX('AEA2012 update'!$K$6:$R$104,MATCH($T20&amp;$U20,'AEA2012 update'!$A$6:$A$104&amp;'AEA2012 update'!$B$6:$B$104,0),MATCH(AG$16,'AEA2012 update'!$S$4:$Z$4,0)))</f>
        <v>248549.77442435178</v>
      </c>
      <c r="AH20" s="103" cm="1">
        <f t="array" ref="AH20">IF(AA20,INDEX('AEA2012 update'!$K$6:$R$104,MATCH($T20&amp;$R20,'AEA2012 update'!$A$6:$A$104&amp;'AEA2012 update'!$B$6:$B$104,0),MATCH(AH$16,'AEA2012 update'!$S$4:$Z$4,0)),INDEX('AEA2012 update'!$K$6:$R$104,MATCH($T20&amp;$U20,'AEA2012 update'!$A$6:$A$104&amp;'AEA2012 update'!$B$6:$B$104,0),MATCH(AH$16,'AEA2012 update'!$S$4:$Z$4,0)))</f>
        <v>251273.34974387253</v>
      </c>
      <c r="AI20" s="103" cm="1">
        <f t="array" ref="AI20">IF(AB20,INDEX('AEA2012 update'!$K$6:$R$104,MATCH($T20&amp;$R20,'AEA2012 update'!$A$6:$A$104&amp;'AEA2012 update'!$B$6:$B$104,0),MATCH(AI$16,'AEA2012 update'!$S$4:$Z$4,0)),INDEX('AEA2012 update'!$K$6:$R$104,MATCH($T20&amp;$U20,'AEA2012 update'!$A$6:$A$104&amp;'AEA2012 update'!$B$6:$B$104,0),MATCH(AI$16,'AEA2012 update'!$S$4:$Z$4,0)))</f>
        <v>253996.92506339328</v>
      </c>
      <c r="AJ20" s="103" cm="1">
        <f t="array" ref="AJ20">IF(AC20,INDEX('AEA2012 update'!$K$6:$R$104,MATCH($T20&amp;$R20,'AEA2012 update'!$A$6:$A$104&amp;'AEA2012 update'!$B$6:$B$104,0),MATCH(AJ$16,'AEA2012 update'!$S$4:$Z$4,0)),INDEX('AEA2012 update'!$K$6:$R$104,MATCH($T20&amp;$U20,'AEA2012 update'!$A$6:$A$104&amp;'AEA2012 update'!$B$6:$B$104,0),MATCH(AJ$16,'AEA2012 update'!$S$4:$Z$4,0)))</f>
        <v>257172.600668175</v>
      </c>
      <c r="AK20" s="103" t="s">
        <v>682</v>
      </c>
      <c r="AL20" s="67">
        <f>1/INDEX(Analytica!$AA$17:$AE$48,MATCH($AK20,Analytica!$A$17:$A$48,0),MATCH(AL$16,Analytica!$AA$16:$AE$16,0))</f>
        <v>2.802205701073782</v>
      </c>
      <c r="AM20" s="67">
        <f t="array" ref="AM20">IF($AE$1,AL20*(1+INDEX(AM$1:AM$2,MATCH($O20,$AI$1:$AI$2,0)))^(AM$16-AL$16),INDEX('AEA2012 update'!$AC$6:$AG$104,MATCH($T20&amp;$U20,'AEA2012 update'!$A$6:$A$104&amp;'AEA2012 update'!$B$6:$B$104,0),MATCH(AM$16,'AEA2012 update'!$AC$4:$AG$4,0)))</f>
        <v>2.760382430709543</v>
      </c>
      <c r="AN20" s="67">
        <f t="array" ref="AN20">IF($AE$1,AM20*(1+INDEX(AN$1:AN$2,MATCH($O20,$AI$1:$AI$2,0)))^(AN$16-AM$16),INDEX('AEA2012 update'!$AC$6:$AG$104,MATCH($T20&amp;$U20,'AEA2012 update'!$A$6:$A$104&amp;'AEA2012 update'!$B$6:$B$104,0),MATCH(AN$16,'AEA2012 update'!$AC$4:$AG$4,0)))</f>
        <v>2.5602030398136666</v>
      </c>
      <c r="AO20" s="67">
        <f t="array" ref="AO20">IF($AE$1,AN20*(1+INDEX(AO$1:AO$2,MATCH($O20,$AI$1:$AI$2,0)))^(AO$16-AN$16),INDEX('AEA2012 update'!$AC$6:$AG$104,MATCH($T20&amp;$U20,'AEA2012 update'!$A$6:$A$104&amp;'AEA2012 update'!$B$6:$B$104,0),MATCH(AO$16,'AEA2012 update'!$AC$4:$AG$4,0)))</f>
        <v>2.3154017375905322</v>
      </c>
      <c r="AP20" s="67">
        <f t="array" ref="AP20">IF($AE$1,AO20*(1+INDEX(AP$1:AP$2,MATCH($O20,$AI$1:$AI$2,0)))^(AP$16-AO$16),INDEX('AEA2012 update'!$AC$6:$AG$104,MATCH($T20&amp;$U20,'AEA2012 update'!$A$6:$A$104&amp;'AEA2012 update'!$B$6:$B$104,0),MATCH(AP$16,'AEA2012 update'!$AC$4:$AG$4,0)))</f>
        <v>2.0940078279211165</v>
      </c>
      <c r="AR20" s="257">
        <f>-((AL20-AM20)/($AM$16-$AL$16))/AL20</f>
        <v>-4.9750416666666797E-3</v>
      </c>
      <c r="AS20" s="257">
        <f>-((AM20-AP20)/($AP$16-$AM$16))/AM20</f>
        <v>-8.0468874575124021E-3</v>
      </c>
      <c r="AV20" s="61">
        <f>AP20/AM20</f>
        <v>0.75859337627462797</v>
      </c>
      <c r="AY20" s="61" t="str">
        <f>P20&amp;"-"&amp;N20</f>
        <v>CAR-OGS</v>
      </c>
      <c r="AZ20" s="80" t="e" cm="1">
        <f t="array" aca="1" ref="AZ20" ca="1">AL20/INDIRECT("cv."&amp;LEFT($U20,6)&amp;".hhv.MJL") * 100</f>
        <v>#REF!</v>
      </c>
      <c r="BA20" s="80" t="e" cm="1">
        <f t="array" aca="1" ref="BA20" ca="1">AM20/INDIRECT("cv."&amp;LEFT($U20,6)&amp;".hhv.MJL") * 100</f>
        <v>#REF!</v>
      </c>
      <c r="BB20" s="80" t="e" cm="1">
        <f t="array" aca="1" ref="BB20" ca="1">AN20/INDIRECT("cv."&amp;LEFT($U20,6)&amp;".hhv.MJL") * 100</f>
        <v>#REF!</v>
      </c>
      <c r="BC20" s="80" t="e" cm="1">
        <f t="array" aca="1" ref="BC20" ca="1">AO20/INDIRECT("cv."&amp;LEFT($U20,6)&amp;".hhv.MJL") * 100</f>
        <v>#REF!</v>
      </c>
      <c r="BD20" s="80" t="e" cm="1">
        <f t="array" aca="1" ref="BD20" ca="1">AP20/INDIRECT("cv."&amp;LEFT($U20,6)&amp;".hhv.MJL") * 100</f>
        <v>#REF!</v>
      </c>
    </row>
    <row r="21" spans="5:56" x14ac:dyDescent="0.25">
      <c r="E21" s="61" t="s">
        <v>683</v>
      </c>
      <c r="F21" s="61" t="s">
        <v>684</v>
      </c>
      <c r="I21" s="252" t="s">
        <v>685</v>
      </c>
      <c r="N21" s="61" t="s">
        <v>506</v>
      </c>
      <c r="O21" s="61" t="s">
        <v>613</v>
      </c>
      <c r="P21" s="61" t="s">
        <v>555</v>
      </c>
      <c r="Q21" s="61" t="str">
        <f t="shared" ref="Q21:Q90" si="7">RIGHT(P21,3)</f>
        <v>CAR</v>
      </c>
      <c r="R21" s="61" t="s">
        <v>680</v>
      </c>
      <c r="T21" s="256" t="s">
        <v>681</v>
      </c>
      <c r="U21" s="913" t="s">
        <v>680</v>
      </c>
      <c r="V21" s="921"/>
      <c r="W21" s="914">
        <f t="shared" ref="W21:AC36" si="8">IF($V21="",0,IF(W$19&gt;=$V21,1,0))</f>
        <v>0</v>
      </c>
      <c r="X21" s="915">
        <f t="shared" si="6"/>
        <v>0</v>
      </c>
      <c r="Y21" s="915">
        <f t="shared" si="6"/>
        <v>0</v>
      </c>
      <c r="Z21" s="915">
        <f t="shared" si="6"/>
        <v>0</v>
      </c>
      <c r="AA21" s="915">
        <f t="shared" si="6"/>
        <v>0</v>
      </c>
      <c r="AB21" s="915">
        <f t="shared" si="6"/>
        <v>0</v>
      </c>
      <c r="AC21" s="916">
        <f t="shared" si="6"/>
        <v>0</v>
      </c>
      <c r="AD21" s="103" cm="1">
        <f t="array" ref="AD21">IF(W21,INDEX('AEA2012 update'!$K$6:$R$104,MATCH($T21&amp;$R21,'AEA2012 update'!$A$6:$A$104&amp;'AEA2012 update'!$B$6:$B$104,0),MATCH(AD$16,'AEA2012 update'!$S$4:$Z$4,0)),INDEX('AEA2012 update'!$K$6:$R$104,MATCH($T21&amp;$U21,'AEA2012 update'!$A$6:$A$104&amp;'AEA2012 update'!$B$6:$B$104,0),MATCH(AD$16,'AEA2012 update'!$S$4:$Z$4,0)))</f>
        <v>221973.27212134015</v>
      </c>
      <c r="AE21" s="103" cm="1">
        <f t="array" ref="AE21">IF(X21,INDEX('AEA2012 update'!$K$6:$R$104,MATCH($T21&amp;$R21,'AEA2012 update'!$A$6:$A$104&amp;'AEA2012 update'!$B$6:$B$104,0),MATCH(AE$16,'AEA2012 update'!$S$4:$Z$4,0)),INDEX('AEA2012 update'!$K$6:$R$104,MATCH($T21&amp;$U21,'AEA2012 update'!$A$6:$A$104&amp;'AEA2012 update'!$B$6:$B$104,0),MATCH(AE$16,'AEA2012 update'!$S$4:$Z$4,0)))</f>
        <v>240363.2913501834</v>
      </c>
      <c r="AF21" s="103" cm="1">
        <f t="array" ref="AF21">IF(Y21,INDEX('AEA2012 update'!$K$6:$R$104,MATCH($T21&amp;$R21,'AEA2012 update'!$A$6:$A$104&amp;'AEA2012 update'!$B$6:$B$104,0),MATCH(AF$16,'AEA2012 update'!$S$4:$Z$4,0)),INDEX('AEA2012 update'!$K$6:$R$104,MATCH($T21&amp;$U21,'AEA2012 update'!$A$6:$A$104&amp;'AEA2012 update'!$B$6:$B$104,0),MATCH(AF$16,'AEA2012 update'!$S$4:$Z$4,0)))</f>
        <v>244456.53288726759</v>
      </c>
      <c r="AG21" s="103" cm="1">
        <f t="array" ref="AG21">IF(Z21,INDEX('AEA2012 update'!$K$6:$R$104,MATCH($T21&amp;$R21,'AEA2012 update'!$A$6:$A$104&amp;'AEA2012 update'!$B$6:$B$104,0),MATCH(AG$16,'AEA2012 update'!$S$4:$Z$4,0)),INDEX('AEA2012 update'!$K$6:$R$104,MATCH($T21&amp;$U21,'AEA2012 update'!$A$6:$A$104&amp;'AEA2012 update'!$B$6:$B$104,0),MATCH(AG$16,'AEA2012 update'!$S$4:$Z$4,0)))</f>
        <v>248549.77442435178</v>
      </c>
      <c r="AH21" s="103" cm="1">
        <f t="array" ref="AH21">IF(AA21,INDEX('AEA2012 update'!$K$6:$R$104,MATCH($T21&amp;$R21,'AEA2012 update'!$A$6:$A$104&amp;'AEA2012 update'!$B$6:$B$104,0),MATCH(AH$16,'AEA2012 update'!$S$4:$Z$4,0)),INDEX('AEA2012 update'!$K$6:$R$104,MATCH($T21&amp;$U21,'AEA2012 update'!$A$6:$A$104&amp;'AEA2012 update'!$B$6:$B$104,0),MATCH(AH$16,'AEA2012 update'!$S$4:$Z$4,0)))</f>
        <v>251273.34974387253</v>
      </c>
      <c r="AI21" s="103" cm="1">
        <f t="array" ref="AI21">IF(AB21,INDEX('AEA2012 update'!$K$6:$R$104,MATCH($T21&amp;$R21,'AEA2012 update'!$A$6:$A$104&amp;'AEA2012 update'!$B$6:$B$104,0),MATCH(AI$16,'AEA2012 update'!$S$4:$Z$4,0)),INDEX('AEA2012 update'!$K$6:$R$104,MATCH($T21&amp;$U21,'AEA2012 update'!$A$6:$A$104&amp;'AEA2012 update'!$B$6:$B$104,0),MATCH(AI$16,'AEA2012 update'!$S$4:$Z$4,0)))</f>
        <v>253996.92506339328</v>
      </c>
      <c r="AJ21" s="103" cm="1">
        <f t="array" ref="AJ21">IF(AC21,INDEX('AEA2012 update'!$K$6:$R$104,MATCH($T21&amp;$R21,'AEA2012 update'!$A$6:$A$104&amp;'AEA2012 update'!$B$6:$B$104,0),MATCH(AJ$16,'AEA2012 update'!$S$4:$Z$4,0)),INDEX('AEA2012 update'!$K$6:$R$104,MATCH($T21&amp;$U21,'AEA2012 update'!$A$6:$A$104&amp;'AEA2012 update'!$B$6:$B$104,0),MATCH(AJ$16,'AEA2012 update'!$S$4:$Z$4,0)))</f>
        <v>257172.600668175</v>
      </c>
      <c r="AK21" s="103" t="str">
        <f t="shared" ref="AK21:AK26" si="9">Q21&amp;N21</f>
        <v>CARBGS</v>
      </c>
      <c r="AL21" s="67">
        <f>INDEX('Vehicle data '!$AD$20:$AD$110,MATCH($AK21,'Vehicle data '!$AC$20:$AC$110,0))/INDEX('Vehicle data '!$AD$20:$AD$110,MATCH($AK$20,'Vehicle data '!$AC$20:$AC$110,0))*AL$20</f>
        <v>2.802205701073782</v>
      </c>
      <c r="AM21" s="67">
        <f t="array" ref="AM21">IF($AE$1,AL21*(1+INDEX(AM$1:AM$2,MATCH($O21,$AI$1:$AI$2,0)))^(AM$16-AL$16),INDEX('AEA2012 update'!$AC$6:$AG$104,MATCH($T21&amp;$U21,'AEA2012 update'!$A$6:$A$104&amp;'AEA2012 update'!$B$6:$B$104,0),MATCH(AM$16,'AEA2012 update'!$AC$4:$AG$4,0)))</f>
        <v>2.760382430709543</v>
      </c>
      <c r="AN21" s="67">
        <f t="array" ref="AN21">IF($AE$1,AM21*(1+INDEX(AN$1:AN$2,MATCH($O21,$AI$1:$AI$2,0)))^(AN$16-AM$16),INDEX('AEA2012 update'!$AC$6:$AG$104,MATCH($T21&amp;$U21,'AEA2012 update'!$A$6:$A$104&amp;'AEA2012 update'!$B$6:$B$104,0),MATCH(AN$16,'AEA2012 update'!$AC$4:$AG$4,0)))</f>
        <v>2.5602030398136666</v>
      </c>
      <c r="AO21" s="67">
        <f t="array" ref="AO21">IF($AE$1,AN21*(1+INDEX(AO$1:AO$2,MATCH($O21,$AI$1:$AI$2,0)))^(AO$16-AN$16),INDEX('AEA2012 update'!$AC$6:$AG$104,MATCH($T21&amp;$U21,'AEA2012 update'!$A$6:$A$104&amp;'AEA2012 update'!$B$6:$B$104,0),MATCH(AO$16,'AEA2012 update'!$AC$4:$AG$4,0)))</f>
        <v>2.3154017375905322</v>
      </c>
      <c r="AP21" s="67">
        <f t="array" ref="AP21">IF($AE$1,AO21*(1+INDEX(AP$1:AP$2,MATCH($O21,$AI$1:$AI$2,0)))^(AP$16-AO$16),INDEX('AEA2012 update'!$AC$6:$AG$104,MATCH($T21&amp;$U21,'AEA2012 update'!$A$6:$A$104&amp;'AEA2012 update'!$B$6:$B$104,0),MATCH(AP$16,'AEA2012 update'!$AC$4:$AG$4,0)))</f>
        <v>2.0940078279211165</v>
      </c>
      <c r="AR21" s="257">
        <f t="shared" ref="AR21:AR90" si="10">-((AL21-AM21)/($AM$16-$AL$16))/AL21</f>
        <v>-4.9750416666666797E-3</v>
      </c>
      <c r="AS21" s="257">
        <f t="shared" ref="AS21:AS90" si="11">-((AM21-AP21)/($AP$16-$AM$16))/AM21</f>
        <v>-8.0468874575124021E-3</v>
      </c>
      <c r="AY21" s="61" t="str">
        <f t="shared" ref="AY21:AY84" si="12">P21&amp;"-"&amp;N21</f>
        <v>CAR-BGS</v>
      </c>
      <c r="AZ21" s="80" t="e" cm="1">
        <f t="array" aca="1" ref="AZ21" ca="1">AL21/INDIRECT("cv."&amp;LEFT($U21,6)&amp;".hhv.MJL") * 100</f>
        <v>#REF!</v>
      </c>
      <c r="BA21" s="80" t="e" cm="1">
        <f t="array" aca="1" ref="BA21" ca="1">AM21/INDIRECT("cv."&amp;LEFT($U21,6)&amp;".hhv.MJL") * 100</f>
        <v>#REF!</v>
      </c>
      <c r="BB21" s="80" t="e" cm="1">
        <f t="array" aca="1" ref="BB21" ca="1">AN21/INDIRECT("cv."&amp;LEFT($U21,6)&amp;".hhv.MJL") * 100</f>
        <v>#REF!</v>
      </c>
      <c r="BC21" s="80" t="e" cm="1">
        <f t="array" aca="1" ref="BC21" ca="1">AO21/INDIRECT("cv."&amp;LEFT($U21,6)&amp;".hhv.MJL") * 100</f>
        <v>#REF!</v>
      </c>
      <c r="BD21" s="80" t="e" cm="1">
        <f t="array" aca="1" ref="BD21" ca="1">AP21/INDIRECT("cv."&amp;LEFT($U21,6)&amp;".hhv.MJL") * 100</f>
        <v>#REF!</v>
      </c>
    </row>
    <row r="22" spans="5:56" x14ac:dyDescent="0.25">
      <c r="E22" s="61" t="s">
        <v>686</v>
      </c>
      <c r="F22" s="61">
        <v>1.6</v>
      </c>
      <c r="N22" s="61" t="s">
        <v>511</v>
      </c>
      <c r="O22" s="61" t="s">
        <v>613</v>
      </c>
      <c r="P22" s="61" t="s">
        <v>555</v>
      </c>
      <c r="Q22" s="61" t="str">
        <f t="shared" si="7"/>
        <v>CAR</v>
      </c>
      <c r="R22" s="61" t="s">
        <v>680</v>
      </c>
      <c r="T22" s="256" t="s">
        <v>681</v>
      </c>
      <c r="U22" s="913" t="s">
        <v>687</v>
      </c>
      <c r="V22" s="921">
        <v>2030</v>
      </c>
      <c r="W22" s="914">
        <f t="shared" si="8"/>
        <v>0</v>
      </c>
      <c r="X22" s="915">
        <f t="shared" si="6"/>
        <v>0</v>
      </c>
      <c r="Y22" s="915">
        <f t="shared" si="6"/>
        <v>0</v>
      </c>
      <c r="Z22" s="915">
        <f t="shared" si="6"/>
        <v>1</v>
      </c>
      <c r="AA22" s="915">
        <f t="shared" si="6"/>
        <v>1</v>
      </c>
      <c r="AB22" s="915">
        <f t="shared" si="6"/>
        <v>1</v>
      </c>
      <c r="AC22" s="916">
        <f t="shared" si="6"/>
        <v>1</v>
      </c>
      <c r="AD22" s="103" cm="1">
        <f t="array" ref="AD22">IF(W22,INDEX('AEA2012 update'!$K$6:$R$104,MATCH($T22&amp;$R22,'AEA2012 update'!$A$6:$A$104&amp;'AEA2012 update'!$B$6:$B$104,0),MATCH(AD$16,'AEA2012 update'!$S$4:$Z$4,0)),INDEX('AEA2012 update'!$K$6:$R$104,MATCH($T22&amp;$U22,'AEA2012 update'!$A$6:$A$104&amp;'AEA2012 update'!$B$6:$B$104,0),MATCH(AD$16,'AEA2012 update'!$S$4:$Z$4,0)))</f>
        <v>328443.28314829268</v>
      </c>
      <c r="AE22" s="103" cm="1">
        <f t="array" ref="AE22">IF(X22,INDEX('AEA2012 update'!$K$6:$R$104,MATCH($T22&amp;$R22,'AEA2012 update'!$A$6:$A$104&amp;'AEA2012 update'!$B$6:$B$104,0),MATCH(AE$16,'AEA2012 update'!$S$4:$Z$4,0)),INDEX('AEA2012 update'!$K$6:$R$104,MATCH($T22&amp;$U22,'AEA2012 update'!$A$6:$A$104&amp;'AEA2012 update'!$B$6:$B$104,0),MATCH(AE$16,'AEA2012 update'!$S$4:$Z$4,0)))</f>
        <v>360544.93702527508</v>
      </c>
      <c r="AF22" s="103" cm="1">
        <f t="array" ref="AF22">IF(Y22,INDEX('AEA2012 update'!$K$6:$R$104,MATCH($T22&amp;$R22,'AEA2012 update'!$A$6:$A$104&amp;'AEA2012 update'!$B$6:$B$104,0),MATCH(AF$16,'AEA2012 update'!$S$4:$Z$4,0)),INDEX('AEA2012 update'!$K$6:$R$104,MATCH($T22&amp;$U22,'AEA2012 update'!$A$6:$A$104&amp;'AEA2012 update'!$B$6:$B$104,0),MATCH(AF$16,'AEA2012 update'!$S$4:$Z$4,0)))</f>
        <v>366150.82503153011</v>
      </c>
      <c r="AG22" s="103" cm="1">
        <f t="array" ref="AG22">IF(Z22,INDEX('AEA2012 update'!$K$6:$R$104,MATCH($T22&amp;$R22,'AEA2012 update'!$A$6:$A$104&amp;'AEA2012 update'!$B$6:$B$104,0),MATCH(AG$16,'AEA2012 update'!$S$4:$Z$4,0)),INDEX('AEA2012 update'!$K$6:$R$104,MATCH($T22&amp;$U22,'AEA2012 update'!$A$6:$A$104&amp;'AEA2012 update'!$B$6:$B$104,0),MATCH(AG$16,'AEA2012 update'!$S$4:$Z$4,0)))</f>
        <v>248549.77442435178</v>
      </c>
      <c r="AH22" s="103" cm="1">
        <f t="array" ref="AH22">IF(AA22,INDEX('AEA2012 update'!$K$6:$R$104,MATCH($T22&amp;$R22,'AEA2012 update'!$A$6:$A$104&amp;'AEA2012 update'!$B$6:$B$104,0),MATCH(AH$16,'AEA2012 update'!$S$4:$Z$4,0)),INDEX('AEA2012 update'!$K$6:$R$104,MATCH($T22&amp;$U22,'AEA2012 update'!$A$6:$A$104&amp;'AEA2012 update'!$B$6:$B$104,0),MATCH(AH$16,'AEA2012 update'!$S$4:$Z$4,0)))</f>
        <v>251273.34974387253</v>
      </c>
      <c r="AI22" s="103" cm="1">
        <f t="array" ref="AI22">IF(AB22,INDEX('AEA2012 update'!$K$6:$R$104,MATCH($T22&amp;$R22,'AEA2012 update'!$A$6:$A$104&amp;'AEA2012 update'!$B$6:$B$104,0),MATCH(AI$16,'AEA2012 update'!$S$4:$Z$4,0)),INDEX('AEA2012 update'!$K$6:$R$104,MATCH($T22&amp;$U22,'AEA2012 update'!$A$6:$A$104&amp;'AEA2012 update'!$B$6:$B$104,0),MATCH(AI$16,'AEA2012 update'!$S$4:$Z$4,0)))</f>
        <v>253996.92506339328</v>
      </c>
      <c r="AJ22" s="103" cm="1">
        <f t="array" ref="AJ22">IF(AC22,INDEX('AEA2012 update'!$K$6:$R$104,MATCH($T22&amp;$R22,'AEA2012 update'!$A$6:$A$104&amp;'AEA2012 update'!$B$6:$B$104,0),MATCH(AJ$16,'AEA2012 update'!$S$4:$Z$4,0)),INDEX('AEA2012 update'!$K$6:$R$104,MATCH($T22&amp;$U22,'AEA2012 update'!$A$6:$A$104&amp;'AEA2012 update'!$B$6:$B$104,0),MATCH(AJ$16,'AEA2012 update'!$S$4:$Z$4,0)))</f>
        <v>257172.600668175</v>
      </c>
      <c r="AK22" s="103" t="str">
        <f t="shared" si="9"/>
        <v>CARODS</v>
      </c>
      <c r="AL22" s="67">
        <f>1/INDEX(Analytica!$AA$17:$AE$48,MATCH($AK22,Analytica!$A$17:$A$48,0),MATCH(AL$16,Analytica!$AA$16:$AE$16,0))</f>
        <v>3.0120320555337368</v>
      </c>
      <c r="AM22" s="67">
        <f t="array" ref="AM22">IF($AE$1,AL22*(1+INDEX(AM$1:AM$2,MATCH($O22,$AI$1:$AI$2,0)))^(AM$16-AL$16),INDEX('AEA2012 update'!$AC$6:$AG$104,MATCH($T22&amp;$U22,'AEA2012 update'!$A$6:$A$104&amp;'AEA2012 update'!$B$6:$B$104,0),MATCH(AM$16,'AEA2012 update'!$AC$4:$AG$4,0)))</f>
        <v>2.9670771006008887</v>
      </c>
      <c r="AN22" s="67">
        <f t="array" ref="AN22">IF($AE$1,AM22*(1+INDEX(AN$1:AN$2,MATCH($O22,$AI$1:$AI$2,0)))^(AN$16-AM$16),INDEX('AEA2012 update'!$AC$6:$AG$104,MATCH($T22&amp;$U22,'AEA2012 update'!$A$6:$A$104&amp;'AEA2012 update'!$B$6:$B$104,0),MATCH(AN$16,'AEA2012 update'!$AC$4:$AG$4,0)))</f>
        <v>2.7519084775392222</v>
      </c>
      <c r="AO22" s="67">
        <f t="array" ref="AO22">IF($AE$1,AN22*(1+INDEX(AO$1:AO$2,MATCH($O22,$AI$1:$AI$2,0)))^(AO$16-AN$16),INDEX('AEA2012 update'!$AC$6:$AG$104,MATCH($T22&amp;$U22,'AEA2012 update'!$A$6:$A$104&amp;'AEA2012 update'!$B$6:$B$104,0),MATCH(AO$16,'AEA2012 update'!$AC$4:$AG$4,0)))</f>
        <v>2.4887766991512414</v>
      </c>
      <c r="AP22" s="67">
        <f t="array" ref="AP22">IF($AE$1,AO22*(1+INDEX(AP$1:AP$2,MATCH($O22,$AI$1:$AI$2,0)))^(AP$16-AO$16),INDEX('AEA2012 update'!$AC$6:$AG$104,MATCH($T22&amp;$U22,'AEA2012 update'!$A$6:$A$104&amp;'AEA2012 update'!$B$6:$B$104,0),MATCH(AP$16,'AEA2012 update'!$AC$4:$AG$4,0)))</f>
        <v>2.2508050354119624</v>
      </c>
      <c r="AR22" s="257">
        <f t="shared" si="10"/>
        <v>-4.975041666666678E-3</v>
      </c>
      <c r="AS22" s="257">
        <f t="shared" si="11"/>
        <v>-8.0468874575123986E-3</v>
      </c>
      <c r="AY22" s="61" t="str">
        <f t="shared" si="12"/>
        <v>CAR-ODS</v>
      </c>
      <c r="AZ22" s="80" t="e" cm="1">
        <f t="array" aca="1" ref="AZ22" ca="1">AL22/INDIRECT("cv."&amp;LEFT($U22,6)&amp;".hhv.MJL") * 100</f>
        <v>#REF!</v>
      </c>
      <c r="BA22" s="80" t="e" cm="1">
        <f t="array" aca="1" ref="BA22" ca="1">AM22/INDIRECT("cv."&amp;LEFT($U22,6)&amp;".hhv.MJL") * 100</f>
        <v>#REF!</v>
      </c>
      <c r="BB22" s="80" t="e" cm="1">
        <f t="array" aca="1" ref="BB22" ca="1">AN22/INDIRECT("cv."&amp;LEFT($U22,6)&amp;".hhv.MJL") * 100</f>
        <v>#REF!</v>
      </c>
      <c r="BC22" s="80" t="e" cm="1">
        <f t="array" aca="1" ref="BC22" ca="1">AO22/INDIRECT("cv."&amp;LEFT($U22,6)&amp;".hhv.MJL") * 100</f>
        <v>#REF!</v>
      </c>
      <c r="BD22" s="80" t="e" cm="1">
        <f t="array" aca="1" ref="BD22" ca="1">AP22/INDIRECT("cv."&amp;LEFT($U22,6)&amp;".hhv.MJL") * 100</f>
        <v>#REF!</v>
      </c>
    </row>
    <row r="23" spans="5:56" x14ac:dyDescent="0.25">
      <c r="N23" s="61" t="s">
        <v>519</v>
      </c>
      <c r="O23" s="61" t="s">
        <v>613</v>
      </c>
      <c r="P23" s="61" t="s">
        <v>555</v>
      </c>
      <c r="Q23" s="61" t="str">
        <f t="shared" si="7"/>
        <v>CAR</v>
      </c>
      <c r="R23" s="61" t="s">
        <v>680</v>
      </c>
      <c r="S23" s="65"/>
      <c r="T23" s="256" t="s">
        <v>681</v>
      </c>
      <c r="U23" s="913" t="s">
        <v>688</v>
      </c>
      <c r="V23" s="921">
        <v>2030</v>
      </c>
      <c r="W23" s="914">
        <f t="shared" si="8"/>
        <v>0</v>
      </c>
      <c r="X23" s="915">
        <f t="shared" si="6"/>
        <v>0</v>
      </c>
      <c r="Y23" s="915">
        <f t="shared" si="6"/>
        <v>0</v>
      </c>
      <c r="Z23" s="915">
        <f t="shared" si="6"/>
        <v>1</v>
      </c>
      <c r="AA23" s="915">
        <f t="shared" si="6"/>
        <v>1</v>
      </c>
      <c r="AB23" s="915">
        <f t="shared" si="6"/>
        <v>1</v>
      </c>
      <c r="AC23" s="916">
        <f t="shared" si="6"/>
        <v>1</v>
      </c>
      <c r="AD23" s="103" cm="1">
        <f t="array" ref="AD23">IF(W23,INDEX('AEA2012 update'!$K$6:$R$104,MATCH($T23&amp;$R23,'AEA2012 update'!$A$6:$A$104&amp;'AEA2012 update'!$B$6:$B$104,0),MATCH(AD$16,'AEA2012 update'!$S$4:$Z$4,0)),INDEX('AEA2012 update'!$K$6:$R$104,MATCH($T23&amp;$U23,'AEA2012 update'!$A$6:$A$104&amp;'AEA2012 update'!$B$6:$B$104,0),MATCH(AD$16,'AEA2012 update'!$S$4:$Z$4,0)))</f>
        <v>463914.82511277962</v>
      </c>
      <c r="AE23" s="103" cm="1">
        <f t="array" ref="AE23">IF(X23,INDEX('AEA2012 update'!$K$6:$R$104,MATCH($T23&amp;$R23,'AEA2012 update'!$A$6:$A$104&amp;'AEA2012 update'!$B$6:$B$104,0),MATCH(AE$16,'AEA2012 update'!$S$4:$Z$4,0)),INDEX('AEA2012 update'!$K$6:$R$104,MATCH($T23&amp;$U23,'AEA2012 update'!$A$6:$A$104&amp;'AEA2012 update'!$B$6:$B$104,0),MATCH(AE$16,'AEA2012 update'!$S$4:$Z$4,0)))</f>
        <v>440435.38283569075</v>
      </c>
      <c r="AF23" s="103" cm="1">
        <f t="array" ref="AF23">IF(Y23,INDEX('AEA2012 update'!$K$6:$R$104,MATCH($T23&amp;$R23,'AEA2012 update'!$A$6:$A$104&amp;'AEA2012 update'!$B$6:$B$104,0),MATCH(AF$16,'AEA2012 update'!$S$4:$Z$4,0)),INDEX('AEA2012 update'!$K$6:$R$104,MATCH($T23&amp;$U23,'AEA2012 update'!$A$6:$A$104&amp;'AEA2012 update'!$B$6:$B$104,0),MATCH(AF$16,'AEA2012 update'!$S$4:$Z$4,0)))</f>
        <v>436635.14806228853</v>
      </c>
      <c r="AG23" s="103" cm="1">
        <f t="array" ref="AG23">IF(Z23,INDEX('AEA2012 update'!$K$6:$R$104,MATCH($T23&amp;$R23,'AEA2012 update'!$A$6:$A$104&amp;'AEA2012 update'!$B$6:$B$104,0),MATCH(AG$16,'AEA2012 update'!$S$4:$Z$4,0)),INDEX('AEA2012 update'!$K$6:$R$104,MATCH($T23&amp;$U23,'AEA2012 update'!$A$6:$A$104&amp;'AEA2012 update'!$B$6:$B$104,0),MATCH(AG$16,'AEA2012 update'!$S$4:$Z$4,0)))</f>
        <v>248549.77442435178</v>
      </c>
      <c r="AH23" s="103" cm="1">
        <f t="array" ref="AH23">IF(AA23,INDEX('AEA2012 update'!$K$6:$R$104,MATCH($T23&amp;$R23,'AEA2012 update'!$A$6:$A$104&amp;'AEA2012 update'!$B$6:$B$104,0),MATCH(AH$16,'AEA2012 update'!$S$4:$Z$4,0)),INDEX('AEA2012 update'!$K$6:$R$104,MATCH($T23&amp;$U23,'AEA2012 update'!$A$6:$A$104&amp;'AEA2012 update'!$B$6:$B$104,0),MATCH(AH$16,'AEA2012 update'!$S$4:$Z$4,0)))</f>
        <v>251273.34974387253</v>
      </c>
      <c r="AI23" s="103" cm="1">
        <f t="array" ref="AI23">IF(AB23,INDEX('AEA2012 update'!$K$6:$R$104,MATCH($T23&amp;$R23,'AEA2012 update'!$A$6:$A$104&amp;'AEA2012 update'!$B$6:$B$104,0),MATCH(AI$16,'AEA2012 update'!$S$4:$Z$4,0)),INDEX('AEA2012 update'!$K$6:$R$104,MATCH($T23&amp;$U23,'AEA2012 update'!$A$6:$A$104&amp;'AEA2012 update'!$B$6:$B$104,0),MATCH(AI$16,'AEA2012 update'!$S$4:$Z$4,0)))</f>
        <v>253996.92506339328</v>
      </c>
      <c r="AJ23" s="103" cm="1">
        <f t="array" ref="AJ23">IF(AC23,INDEX('AEA2012 update'!$K$6:$R$104,MATCH($T23&amp;$R23,'AEA2012 update'!$A$6:$A$104&amp;'AEA2012 update'!$B$6:$B$104,0),MATCH(AJ$16,'AEA2012 update'!$S$4:$Z$4,0)),INDEX('AEA2012 update'!$K$6:$R$104,MATCH($T23&amp;$U23,'AEA2012 update'!$A$6:$A$104&amp;'AEA2012 update'!$B$6:$B$104,0),MATCH(AJ$16,'AEA2012 update'!$S$4:$Z$4,0)))</f>
        <v>257172.600668175</v>
      </c>
      <c r="AK23" s="103" t="str">
        <f t="shared" si="9"/>
        <v>CAROGSH</v>
      </c>
      <c r="AL23" s="67">
        <f>INDEX('Vehicle data '!$AD$20:$AD$110,MATCH($AK23,'Vehicle data '!$AC$20:$AC$110,0))/INDEX('Vehicle data '!$AD$20:$AD$110,MATCH($AK$20,'Vehicle data '!$AC$20:$AC$110,0))*AL$20</f>
        <v>2.1411522976326958</v>
      </c>
      <c r="AM23" s="67">
        <f t="array" ref="AM23">IF($AE$1,AL23*(1+INDEX(AM$1:AM$2,MATCH($O23,$AI$1:$AI$2,0)))^(AM$16-AL$16),INDEX('AEA2012 update'!$AC$6:$AG$104,MATCH($T23&amp;$U23,'AEA2012 update'!$A$6:$A$104&amp;'AEA2012 update'!$B$6:$B$104,0),MATCH(AM$16,'AEA2012 update'!$AC$4:$AG$4,0)))</f>
        <v>2.1091953319464904</v>
      </c>
      <c r="AN23" s="67">
        <f t="array" ref="AN23">IF($AE$1,AM23*(1+INDEX(AN$1:AN$2,MATCH($O23,$AI$1:$AI$2,0)))^(AN$16-AM$16),INDEX('AEA2012 update'!$AC$6:$AG$104,MATCH($T23&amp;$U23,'AEA2012 update'!$A$6:$A$104&amp;'AEA2012 update'!$B$6:$B$104,0),MATCH(AN$16,'AEA2012 update'!$AC$4:$AG$4,0)))</f>
        <v>1.9562391936475862</v>
      </c>
      <c r="AO23" s="67">
        <f t="array" ref="AO23">IF($AE$1,AN23*(1+INDEX(AO$1:AO$2,MATCH($O23,$AI$1:$AI$2,0)))^(AO$16-AN$16),INDEX('AEA2012 update'!$AC$6:$AG$104,MATCH($T23&amp;$U23,'AEA2012 update'!$A$6:$A$104&amp;'AEA2012 update'!$B$6:$B$104,0),MATCH(AO$16,'AEA2012 update'!$AC$4:$AG$4,0)))</f>
        <v>1.7691876611645543</v>
      </c>
      <c r="AP23" s="67">
        <f t="array" ref="AP23">IF($AE$1,AO23*(1+INDEX(AP$1:AP$2,MATCH($O23,$AI$1:$AI$2,0)))^(AP$16-AO$16),INDEX('AEA2012 update'!$AC$6:$AG$104,MATCH($T23&amp;$U23,'AEA2012 update'!$A$6:$A$104&amp;'AEA2012 update'!$B$6:$B$104,0),MATCH(AP$16,'AEA2012 update'!$AC$4:$AG$4,0)))</f>
        <v>1.6000216080839729</v>
      </c>
      <c r="AR23" s="257">
        <f t="shared" si="10"/>
        <v>-4.9750416666666866E-3</v>
      </c>
      <c r="AS23" s="257">
        <f t="shared" si="11"/>
        <v>-8.0468874575124003E-3</v>
      </c>
      <c r="AY23" s="61" t="str">
        <f t="shared" si="12"/>
        <v>CAR-OGSH</v>
      </c>
      <c r="AZ23" s="80" t="e" cm="1">
        <f t="array" aca="1" ref="AZ23" ca="1">AL23/INDIRECT("cv."&amp;LEFT($U23,6)&amp;".hhv.MJL") * 100</f>
        <v>#REF!</v>
      </c>
      <c r="BA23" s="80" t="e" cm="1">
        <f t="array" aca="1" ref="BA23" ca="1">AM23/INDIRECT("cv."&amp;LEFT($U23,6)&amp;".hhv.MJL") * 100</f>
        <v>#REF!</v>
      </c>
      <c r="BB23" s="80" t="e" cm="1">
        <f t="array" aca="1" ref="BB23" ca="1">AN23/INDIRECT("cv."&amp;LEFT($U23,6)&amp;".hhv.MJL") * 100</f>
        <v>#REF!</v>
      </c>
      <c r="BC23" s="80" t="e" cm="1">
        <f t="array" aca="1" ref="BC23" ca="1">AO23/INDIRECT("cv."&amp;LEFT($U23,6)&amp;".hhv.MJL") * 100</f>
        <v>#REF!</v>
      </c>
      <c r="BD23" s="80" t="e" cm="1">
        <f t="array" aca="1" ref="BD23" ca="1">AP23/INDIRECT("cv."&amp;LEFT($U23,6)&amp;".hhv.MJL") * 100</f>
        <v>#REF!</v>
      </c>
    </row>
    <row r="24" spans="5:56" x14ac:dyDescent="0.25">
      <c r="N24" s="61" t="s">
        <v>521</v>
      </c>
      <c r="O24" s="61" t="s">
        <v>613</v>
      </c>
      <c r="P24" s="61" t="s">
        <v>555</v>
      </c>
      <c r="Q24" s="61" t="str">
        <f t="shared" si="7"/>
        <v>CAR</v>
      </c>
      <c r="R24" s="61" t="s">
        <v>680</v>
      </c>
      <c r="S24" s="65"/>
      <c r="T24" s="256" t="s">
        <v>681</v>
      </c>
      <c r="U24" s="913" t="s">
        <v>689</v>
      </c>
      <c r="V24" s="921">
        <v>2035</v>
      </c>
      <c r="W24" s="914">
        <f t="shared" si="8"/>
        <v>0</v>
      </c>
      <c r="X24" s="915">
        <f t="shared" si="6"/>
        <v>0</v>
      </c>
      <c r="Y24" s="915">
        <f t="shared" si="6"/>
        <v>0</v>
      </c>
      <c r="Z24" s="915">
        <f t="shared" si="6"/>
        <v>0</v>
      </c>
      <c r="AA24" s="915">
        <f t="shared" si="6"/>
        <v>1</v>
      </c>
      <c r="AB24" s="915">
        <f t="shared" si="6"/>
        <v>1</v>
      </c>
      <c r="AC24" s="916">
        <f t="shared" si="6"/>
        <v>1</v>
      </c>
      <c r="AD24" s="103" cm="1">
        <f t="array" ref="AD24">IF(W24,INDEX('AEA2012 update'!$K$6:$R$104,MATCH($T24&amp;$R24,'AEA2012 update'!$A$6:$A$104&amp;'AEA2012 update'!$B$6:$B$104,0),MATCH(AD$16,'AEA2012 update'!$S$4:$Z$4,0)),INDEX('AEA2012 update'!$K$6:$R$104,MATCH($T24&amp;$U24,'AEA2012 update'!$A$6:$A$104&amp;'AEA2012 update'!$B$6:$B$104,0),MATCH(AD$16,'AEA2012 update'!$S$4:$Z$4,0)))</f>
        <v>676856.89554145606</v>
      </c>
      <c r="AE24" s="103" cm="1">
        <f t="array" ref="AE24">IF(X24,INDEX('AEA2012 update'!$K$6:$R$104,MATCH($T24&amp;$R24,'AEA2012 update'!$A$6:$A$104&amp;'AEA2012 update'!$B$6:$B$104,0),MATCH(AE$16,'AEA2012 update'!$S$4:$Z$4,0)),INDEX('AEA2012 update'!$K$6:$R$104,MATCH($T24&amp;$U24,'AEA2012 update'!$A$6:$A$104&amp;'AEA2012 update'!$B$6:$B$104,0),MATCH(AE$16,'AEA2012 update'!$S$4:$Z$4,0)))</f>
        <v>660653.07425353606</v>
      </c>
      <c r="AF24" s="103" cm="1">
        <f t="array" ref="AF24">IF(Y24,INDEX('AEA2012 update'!$K$6:$R$104,MATCH($T24&amp;$R24,'AEA2012 update'!$A$6:$A$104&amp;'AEA2012 update'!$B$6:$B$104,0),MATCH(AF$16,'AEA2012 update'!$S$4:$Z$4,0)),INDEX('AEA2012 update'!$K$6:$R$104,MATCH($T24&amp;$U24,'AEA2012 update'!$A$6:$A$104&amp;'AEA2012 update'!$B$6:$B$104,0),MATCH(AF$16,'AEA2012 update'!$S$4:$Z$4,0)))</f>
        <v>655423.85807417962</v>
      </c>
      <c r="AG24" s="103" cm="1">
        <f t="array" ref="AG24">IF(Z24,INDEX('AEA2012 update'!$K$6:$R$104,MATCH($T24&amp;$R24,'AEA2012 update'!$A$6:$A$104&amp;'AEA2012 update'!$B$6:$B$104,0),MATCH(AG$16,'AEA2012 update'!$S$4:$Z$4,0)),INDEX('AEA2012 update'!$K$6:$R$104,MATCH($T24&amp;$U24,'AEA2012 update'!$A$6:$A$104&amp;'AEA2012 update'!$B$6:$B$104,0),MATCH(AG$16,'AEA2012 update'!$S$4:$Z$4,0)))</f>
        <v>650194.64189482306</v>
      </c>
      <c r="AH24" s="103" cm="1">
        <f t="array" ref="AH24">IF(AA24,INDEX('AEA2012 update'!$K$6:$R$104,MATCH($T24&amp;$R24,'AEA2012 update'!$A$6:$A$104&amp;'AEA2012 update'!$B$6:$B$104,0),MATCH(AH$16,'AEA2012 update'!$S$4:$Z$4,0)),INDEX('AEA2012 update'!$K$6:$R$104,MATCH($T24&amp;$U24,'AEA2012 update'!$A$6:$A$104&amp;'AEA2012 update'!$B$6:$B$104,0),MATCH(AH$16,'AEA2012 update'!$S$4:$Z$4,0)))</f>
        <v>251273.34974387253</v>
      </c>
      <c r="AI24" s="103" cm="1">
        <f t="array" ref="AI24">IF(AB24,INDEX('AEA2012 update'!$K$6:$R$104,MATCH($T24&amp;$R24,'AEA2012 update'!$A$6:$A$104&amp;'AEA2012 update'!$B$6:$B$104,0),MATCH(AI$16,'AEA2012 update'!$S$4:$Z$4,0)),INDEX('AEA2012 update'!$K$6:$R$104,MATCH($T24&amp;$U24,'AEA2012 update'!$A$6:$A$104&amp;'AEA2012 update'!$B$6:$B$104,0),MATCH(AI$16,'AEA2012 update'!$S$4:$Z$4,0)))</f>
        <v>253996.92506339328</v>
      </c>
      <c r="AJ24" s="103" cm="1">
        <f t="array" ref="AJ24">IF(AC24,INDEX('AEA2012 update'!$K$6:$R$104,MATCH($T24&amp;$R24,'AEA2012 update'!$A$6:$A$104&amp;'AEA2012 update'!$B$6:$B$104,0),MATCH(AJ$16,'AEA2012 update'!$S$4:$Z$4,0)),INDEX('AEA2012 update'!$K$6:$R$104,MATCH($T24&amp;$U24,'AEA2012 update'!$A$6:$A$104&amp;'AEA2012 update'!$B$6:$B$104,0),MATCH(AJ$16,'AEA2012 update'!$S$4:$Z$4,0)))</f>
        <v>257172.600668175</v>
      </c>
      <c r="AK24" s="103" t="str">
        <f t="shared" si="9"/>
        <v>CARODSH</v>
      </c>
      <c r="AL24" s="67">
        <f>INDEX('Vehicle data '!$AD$20:$AD$110,MATCH($AK24,'Vehicle data '!$AC$20:$AC$110,0))/INDEX('Vehicle data '!$AD$20:$AD$110,MATCH($AK$20,'Vehicle data '!$AC$20:$AC$110,0))*AL$20</f>
        <v>1.7878340005916549</v>
      </c>
      <c r="AM24" s="67">
        <f t="array" ref="AM24">IF($AE$1,AL24*(1+INDEX(AM$1:AM$2,MATCH($O24,$AI$1:$AI$2,0)))^(AM$16-AL$16),INDEX('AEA2012 update'!$AC$6:$AG$104,MATCH($T24&amp;$U24,'AEA2012 update'!$A$6:$A$104&amp;'AEA2012 update'!$B$6:$B$104,0),MATCH(AM$16,'AEA2012 update'!$AC$4:$AG$4,0)))</f>
        <v>1.7611503546535743</v>
      </c>
      <c r="AN24" s="67">
        <f t="array" ref="AN24">IF($AE$1,AM24*(1+INDEX(AN$1:AN$2,MATCH($O24,$AI$1:$AI$2,0)))^(AN$16-AM$16),INDEX('AEA2012 update'!$AC$6:$AG$104,MATCH($T24&amp;$U24,'AEA2012 update'!$A$6:$A$104&amp;'AEA2012 update'!$B$6:$B$104,0),MATCH(AN$16,'AEA2012 update'!$AC$4:$AG$4,0)))</f>
        <v>1.633433991388652</v>
      </c>
      <c r="AO24" s="67">
        <f t="array" ref="AO24">IF($AE$1,AN24*(1+INDEX(AO$1:AO$2,MATCH($O24,$AI$1:$AI$2,0)))^(AO$16-AN$16),INDEX('AEA2012 update'!$AC$6:$AG$104,MATCH($T24&amp;$U24,'AEA2012 update'!$A$6:$A$104&amp;'AEA2012 update'!$B$6:$B$104,0),MATCH(AO$16,'AEA2012 update'!$AC$4:$AG$4,0)))</f>
        <v>1.4772484225219824</v>
      </c>
      <c r="AP24" s="67">
        <f t="array" ref="AP24">IF($AE$1,AO24*(1+INDEX(AP$1:AP$2,MATCH($O24,$AI$1:$AI$2,0)))^(AP$16-AO$16),INDEX('AEA2012 update'!$AC$6:$AG$104,MATCH($T24&amp;$U24,'AEA2012 update'!$A$6:$A$104&amp;'AEA2012 update'!$B$6:$B$104,0),MATCH(AP$16,'AEA2012 update'!$AC$4:$AG$4,0)))</f>
        <v>1.3359969936639133</v>
      </c>
      <c r="AR24" s="257">
        <f t="shared" si="10"/>
        <v>-4.9750416666666797E-3</v>
      </c>
      <c r="AS24" s="257">
        <f t="shared" si="11"/>
        <v>-8.0468874575124021E-3</v>
      </c>
      <c r="AY24" s="61" t="str">
        <f t="shared" si="12"/>
        <v>CAR-ODSH</v>
      </c>
      <c r="AZ24" s="80" t="e" cm="1">
        <f t="array" aca="1" ref="AZ24" ca="1">AL24/INDIRECT("cv."&amp;LEFT($U24,6)&amp;".hhv.MJL") * 100</f>
        <v>#REF!</v>
      </c>
      <c r="BA24" s="80" t="e" cm="1">
        <f t="array" aca="1" ref="BA24" ca="1">AM24/INDIRECT("cv."&amp;LEFT($U24,6)&amp;".hhv.MJL") * 100</f>
        <v>#REF!</v>
      </c>
      <c r="BB24" s="80" t="e" cm="1">
        <f t="array" aca="1" ref="BB24" ca="1">AN24/INDIRECT("cv."&amp;LEFT($U24,6)&amp;".hhv.MJL") * 100</f>
        <v>#REF!</v>
      </c>
      <c r="BC24" s="80" t="e" cm="1">
        <f t="array" aca="1" ref="BC24" ca="1">AO24/INDIRECT("cv."&amp;LEFT($U24,6)&amp;".hhv.MJL") * 100</f>
        <v>#REF!</v>
      </c>
      <c r="BD24" s="80" t="e" cm="1">
        <f t="array" aca="1" ref="BD24" ca="1">AP24/INDIRECT("cv."&amp;LEFT($U24,6)&amp;".hhv.MJL") * 100</f>
        <v>#REF!</v>
      </c>
    </row>
    <row r="25" spans="5:56" x14ac:dyDescent="0.25">
      <c r="H25" s="61">
        <v>2018</v>
      </c>
      <c r="I25" s="61">
        <v>2020</v>
      </c>
      <c r="N25" s="61" t="s">
        <v>690</v>
      </c>
      <c r="O25" s="61" t="s">
        <v>613</v>
      </c>
      <c r="P25" s="61" t="s">
        <v>555</v>
      </c>
      <c r="Q25" s="61" t="str">
        <f t="shared" si="7"/>
        <v>CAR</v>
      </c>
      <c r="R25" s="61" t="s">
        <v>680</v>
      </c>
      <c r="S25" s="65"/>
      <c r="T25" s="256" t="s">
        <v>681</v>
      </c>
      <c r="U25" s="913" t="s">
        <v>691</v>
      </c>
      <c r="V25" s="921">
        <v>2030</v>
      </c>
      <c r="W25" s="914">
        <f t="shared" si="8"/>
        <v>0</v>
      </c>
      <c r="X25" s="915">
        <f t="shared" si="6"/>
        <v>0</v>
      </c>
      <c r="Y25" s="915">
        <f t="shared" si="6"/>
        <v>0</v>
      </c>
      <c r="Z25" s="915">
        <f t="shared" si="6"/>
        <v>1</v>
      </c>
      <c r="AA25" s="915">
        <f t="shared" si="6"/>
        <v>1</v>
      </c>
      <c r="AB25" s="915">
        <f t="shared" si="6"/>
        <v>1</v>
      </c>
      <c r="AC25" s="916">
        <f t="shared" si="6"/>
        <v>1</v>
      </c>
      <c r="AD25" s="103" cm="1">
        <f t="array" ref="AD25">IF(W25,INDEX('AEA2012 update'!$K$6:$R$104,MATCH($T25&amp;$R25,'AEA2012 update'!$A$6:$A$104&amp;'AEA2012 update'!$B$6:$B$104,0),MATCH(AD$16,'AEA2012 update'!$S$4:$Z$4,0)),INDEX('AEA2012 update'!$K$6:$R$104,MATCH($T25&amp;$U25,'AEA2012 update'!$A$6:$A$104&amp;'AEA2012 update'!$B$6:$B$104,0),MATCH(AD$16,'AEA2012 update'!$S$4:$Z$4,0)))</f>
        <v>721264.32330352848</v>
      </c>
      <c r="AE25" s="103" cm="1">
        <f t="array" ref="AE25">IF(X25,INDEX('AEA2012 update'!$K$6:$R$104,MATCH($T25&amp;$R25,'AEA2012 update'!$A$6:$A$104&amp;'AEA2012 update'!$B$6:$B$104,0),MATCH(AE$16,'AEA2012 update'!$S$4:$Z$4,0)),INDEX('AEA2012 update'!$K$6:$R$104,MATCH($T25&amp;$U25,'AEA2012 update'!$A$6:$A$104&amp;'AEA2012 update'!$B$6:$B$104,0),MATCH(AE$16,'AEA2012 update'!$S$4:$Z$4,0)))</f>
        <v>585779.0591714686</v>
      </c>
      <c r="AF25" s="103" cm="1">
        <f t="array" ref="AF25">IF(Y25,INDEX('AEA2012 update'!$K$6:$R$104,MATCH($T25&amp;$R25,'AEA2012 update'!$A$6:$A$104&amp;'AEA2012 update'!$B$6:$B$104,0),MATCH(AF$16,'AEA2012 update'!$S$4:$Z$4,0)),INDEX('AEA2012 update'!$K$6:$R$104,MATCH($T25&amp;$U25,'AEA2012 update'!$A$6:$A$104&amp;'AEA2012 update'!$B$6:$B$104,0),MATCH(AF$16,'AEA2012 update'!$S$4:$Z$4,0)))</f>
        <v>567630.06516271632</v>
      </c>
      <c r="AG25" s="103" cm="1">
        <f t="array" ref="AG25">IF(Z25,INDEX('AEA2012 update'!$K$6:$R$104,MATCH($T25&amp;$R25,'AEA2012 update'!$A$6:$A$104&amp;'AEA2012 update'!$B$6:$B$104,0),MATCH(AG$16,'AEA2012 update'!$S$4:$Z$4,0)),INDEX('AEA2012 update'!$K$6:$R$104,MATCH($T25&amp;$U25,'AEA2012 update'!$A$6:$A$104&amp;'AEA2012 update'!$B$6:$B$104,0),MATCH(AG$16,'AEA2012 update'!$S$4:$Z$4,0)))</f>
        <v>248549.77442435178</v>
      </c>
      <c r="AH25" s="103" cm="1">
        <f t="array" ref="AH25">IF(AA25,INDEX('AEA2012 update'!$K$6:$R$104,MATCH($T25&amp;$R25,'AEA2012 update'!$A$6:$A$104&amp;'AEA2012 update'!$B$6:$B$104,0),MATCH(AH$16,'AEA2012 update'!$S$4:$Z$4,0)),INDEX('AEA2012 update'!$K$6:$R$104,MATCH($T25&amp;$U25,'AEA2012 update'!$A$6:$A$104&amp;'AEA2012 update'!$B$6:$B$104,0),MATCH(AH$16,'AEA2012 update'!$S$4:$Z$4,0)))</f>
        <v>251273.34974387253</v>
      </c>
      <c r="AI25" s="103" cm="1">
        <f t="array" ref="AI25">IF(AB25,INDEX('AEA2012 update'!$K$6:$R$104,MATCH($T25&amp;$R25,'AEA2012 update'!$A$6:$A$104&amp;'AEA2012 update'!$B$6:$B$104,0),MATCH(AI$16,'AEA2012 update'!$S$4:$Z$4,0)),INDEX('AEA2012 update'!$K$6:$R$104,MATCH($T25&amp;$U25,'AEA2012 update'!$A$6:$A$104&amp;'AEA2012 update'!$B$6:$B$104,0),MATCH(AI$16,'AEA2012 update'!$S$4:$Z$4,0)))</f>
        <v>253996.92506339328</v>
      </c>
      <c r="AJ25" s="103" cm="1">
        <f t="array" ref="AJ25">IF(AC25,INDEX('AEA2012 update'!$K$6:$R$104,MATCH($T25&amp;$R25,'AEA2012 update'!$A$6:$A$104&amp;'AEA2012 update'!$B$6:$B$104,0),MATCH(AJ$16,'AEA2012 update'!$S$4:$Z$4,0)),INDEX('AEA2012 update'!$K$6:$R$104,MATCH($T25&amp;$U25,'AEA2012 update'!$A$6:$A$104&amp;'AEA2012 update'!$B$6:$B$104,0),MATCH(AJ$16,'AEA2012 update'!$S$4:$Z$4,0)))</f>
        <v>257172.600668175</v>
      </c>
      <c r="AK25" s="103" t="str">
        <f t="shared" si="9"/>
        <v>CAROGSP</v>
      </c>
      <c r="AL25" s="67">
        <f>INDEX('Vehicle data '!$AD$20:$AD$110,MATCH($AK25,'Vehicle data '!$AC$20:$AC$110,0))/INDEX('Vehicle data '!$AD$20:$AD$110,MATCH($AK$20,'Vehicle data '!$AC$20:$AC$110,0))*AL$20</f>
        <v>1.7020779475368724</v>
      </c>
      <c r="AM25" s="67">
        <f t="array" ref="AM25">IF($AE$1,AL25*(1+INDEX(AM$1:AM$2,MATCH($O25,$AI$1:$AI$2,0)))^(AM$16-AL$16),INDEX('AEA2012 update'!$AC$6:$AG$104,MATCH($T25&amp;$U25,'AEA2012 update'!$A$6:$A$104&amp;'AEA2012 update'!$B$6:$B$104,0),MATCH(AM$16,'AEA2012 update'!$AC$4:$AG$4,0)))</f>
        <v>1.6766742214101411</v>
      </c>
      <c r="AN25" s="67">
        <f t="array" ref="AN25">IF($AE$1,AM25*(1+INDEX(AN$1:AN$2,MATCH($O25,$AI$1:$AI$2,0)))^(AN$16-AM$16),INDEX('AEA2012 update'!$AC$6:$AG$104,MATCH($T25&amp;$U25,'AEA2012 update'!$A$6:$A$104&amp;'AEA2012 update'!$B$6:$B$104,0),MATCH(AN$16,'AEA2012 update'!$AC$4:$AG$4,0)))</f>
        <v>1.5550839589020486</v>
      </c>
      <c r="AO25" s="67">
        <f t="array" ref="AO25">IF($AE$1,AN25*(1+INDEX(AO$1:AO$2,MATCH($O25,$AI$1:$AI$2,0)))^(AO$16-AN$16),INDEX('AEA2012 update'!$AC$6:$AG$104,MATCH($T25&amp;$U25,'AEA2012 update'!$A$6:$A$104&amp;'AEA2012 update'!$B$6:$B$104,0),MATCH(AO$16,'AEA2012 update'!$AC$4:$AG$4,0)))</f>
        <v>1.406390057564741</v>
      </c>
      <c r="AP25" s="67">
        <f t="array" ref="AP25">IF($AE$1,AO25*(1+INDEX(AP$1:AP$2,MATCH($O25,$AI$1:$AI$2,0)))^(AP$16-AO$16),INDEX('AEA2012 update'!$AC$6:$AG$104,MATCH($T25&amp;$U25,'AEA2012 update'!$A$6:$A$104&amp;'AEA2012 update'!$B$6:$B$104,0),MATCH(AP$16,'AEA2012 update'!$AC$4:$AG$4,0)))</f>
        <v>1.2719139585321522</v>
      </c>
      <c r="AR25" s="257">
        <f t="shared" si="10"/>
        <v>-4.9750416666666649E-3</v>
      </c>
      <c r="AS25" s="257">
        <f t="shared" si="11"/>
        <v>-8.0468874575123986E-3</v>
      </c>
      <c r="AY25" s="61" t="str">
        <f t="shared" si="12"/>
        <v>CAR-OGSP</v>
      </c>
      <c r="AZ25" s="80" t="e" cm="1">
        <f t="array" aca="1" ref="AZ25" ca="1">AL25/INDIRECT("cv."&amp;LEFT($U25,6)&amp;".hhv.MJL") * 100</f>
        <v>#REF!</v>
      </c>
      <c r="BA25" s="80" t="e" cm="1">
        <f t="array" aca="1" ref="BA25" ca="1">AM25/INDIRECT("cv."&amp;LEFT($U25,6)&amp;".hhv.MJL") * 100</f>
        <v>#REF!</v>
      </c>
      <c r="BB25" s="80" t="e" cm="1">
        <f t="array" aca="1" ref="BB25" ca="1">AN25/INDIRECT("cv."&amp;LEFT($U25,6)&amp;".hhv.MJL") * 100</f>
        <v>#REF!</v>
      </c>
      <c r="BC25" s="80" t="e" cm="1">
        <f t="array" aca="1" ref="BC25" ca="1">AO25/INDIRECT("cv."&amp;LEFT($U25,6)&amp;".hhv.MJL") * 100</f>
        <v>#REF!</v>
      </c>
      <c r="BD25" s="80" t="e" cm="1">
        <f t="array" aca="1" ref="BD25" ca="1">AP25/INDIRECT("cv."&amp;LEFT($U25,6)&amp;".hhv.MJL") * 100</f>
        <v>#REF!</v>
      </c>
    </row>
    <row r="26" spans="5:56" x14ac:dyDescent="0.25">
      <c r="E26" s="61" t="s">
        <v>62</v>
      </c>
      <c r="F26" s="61" t="s">
        <v>692</v>
      </c>
      <c r="G26" s="61" t="s">
        <v>693</v>
      </c>
      <c r="H26" s="61">
        <v>479100</v>
      </c>
      <c r="I26" s="86">
        <v>500000</v>
      </c>
      <c r="N26" s="61" t="s">
        <v>694</v>
      </c>
      <c r="O26" s="61" t="s">
        <v>613</v>
      </c>
      <c r="P26" s="61" t="s">
        <v>555</v>
      </c>
      <c r="Q26" s="61" t="str">
        <f t="shared" si="7"/>
        <v>CAR</v>
      </c>
      <c r="R26" s="61" t="s">
        <v>680</v>
      </c>
      <c r="T26" s="256" t="s">
        <v>681</v>
      </c>
      <c r="U26" s="913" t="s">
        <v>695</v>
      </c>
      <c r="V26" s="921">
        <v>2035</v>
      </c>
      <c r="W26" s="914">
        <f t="shared" si="8"/>
        <v>0</v>
      </c>
      <c r="X26" s="915">
        <f t="shared" si="6"/>
        <v>0</v>
      </c>
      <c r="Y26" s="915">
        <f t="shared" si="6"/>
        <v>0</v>
      </c>
      <c r="Z26" s="915">
        <f t="shared" si="6"/>
        <v>0</v>
      </c>
      <c r="AA26" s="915">
        <f t="shared" si="6"/>
        <v>1</v>
      </c>
      <c r="AB26" s="915">
        <f t="shared" si="6"/>
        <v>1</v>
      </c>
      <c r="AC26" s="916">
        <f t="shared" si="6"/>
        <v>1</v>
      </c>
      <c r="AD26" s="103" cm="1">
        <f t="array" ref="AD26">IF(W26,INDEX('AEA2012 update'!$K$6:$R$104,MATCH($T26&amp;$R26,'AEA2012 update'!$A$6:$A$104&amp;'AEA2012 update'!$B$6:$B$104,0),MATCH(AD$16,'AEA2012 update'!$S$4:$Z$4,0)),INDEX('AEA2012 update'!$K$6:$R$104,MATCH($T26&amp;$U26,'AEA2012 update'!$A$6:$A$104&amp;'AEA2012 update'!$B$6:$B$104,0),MATCH(AD$16,'AEA2012 update'!$S$4:$Z$4,0)))</f>
        <v>1063174.3490159395</v>
      </c>
      <c r="AE26" s="103" cm="1">
        <f t="array" ref="AE26">IF(X26,INDEX('AEA2012 update'!$K$6:$R$104,MATCH($T26&amp;$R26,'AEA2012 update'!$A$6:$A$104&amp;'AEA2012 update'!$B$6:$B$104,0),MATCH(AE$16,'AEA2012 update'!$S$4:$Z$4,0)),INDEX('AEA2012 update'!$K$6:$R$104,MATCH($T26&amp;$U26,'AEA2012 update'!$A$6:$A$104&amp;'AEA2012 update'!$B$6:$B$104,0),MATCH(AE$16,'AEA2012 update'!$S$4:$Z$4,0)))</f>
        <v>878668.58875720296</v>
      </c>
      <c r="AF26" s="103" cm="1">
        <f t="array" ref="AF26">IF(Y26,INDEX('AEA2012 update'!$K$6:$R$104,MATCH($T26&amp;$R26,'AEA2012 update'!$A$6:$A$104&amp;'AEA2012 update'!$B$6:$B$104,0),MATCH(AF$16,'AEA2012 update'!$S$4:$Z$4,0)),INDEX('AEA2012 update'!$K$6:$R$104,MATCH($T26&amp;$U26,'AEA2012 update'!$A$6:$A$104&amp;'AEA2012 update'!$B$6:$B$104,0),MATCH(AF$16,'AEA2012 update'!$S$4:$Z$4,0)))</f>
        <v>851972.15227518079</v>
      </c>
      <c r="AG26" s="103" cm="1">
        <f t="array" ref="AG26">IF(Z26,INDEX('AEA2012 update'!$K$6:$R$104,MATCH($T26&amp;$R26,'AEA2012 update'!$A$6:$A$104&amp;'AEA2012 update'!$B$6:$B$104,0),MATCH(AG$16,'AEA2012 update'!$S$4:$Z$4,0)),INDEX('AEA2012 update'!$K$6:$R$104,MATCH($T26&amp;$U26,'AEA2012 update'!$A$6:$A$104&amp;'AEA2012 update'!$B$6:$B$104,0),MATCH(AG$16,'AEA2012 update'!$S$4:$Z$4,0)))</f>
        <v>825275.71579315851</v>
      </c>
      <c r="AH26" s="103" cm="1">
        <f t="array" ref="AH26">IF(AA26,INDEX('AEA2012 update'!$K$6:$R$104,MATCH($T26&amp;$R26,'AEA2012 update'!$A$6:$A$104&amp;'AEA2012 update'!$B$6:$B$104,0),MATCH(AH$16,'AEA2012 update'!$S$4:$Z$4,0)),INDEX('AEA2012 update'!$K$6:$R$104,MATCH($T26&amp;$U26,'AEA2012 update'!$A$6:$A$104&amp;'AEA2012 update'!$B$6:$B$104,0),MATCH(AH$16,'AEA2012 update'!$S$4:$Z$4,0)))</f>
        <v>251273.34974387253</v>
      </c>
      <c r="AI26" s="103" cm="1">
        <f t="array" ref="AI26">IF(AB26,INDEX('AEA2012 update'!$K$6:$R$104,MATCH($T26&amp;$R26,'AEA2012 update'!$A$6:$A$104&amp;'AEA2012 update'!$B$6:$B$104,0),MATCH(AI$16,'AEA2012 update'!$S$4:$Z$4,0)),INDEX('AEA2012 update'!$K$6:$R$104,MATCH($T26&amp;$U26,'AEA2012 update'!$A$6:$A$104&amp;'AEA2012 update'!$B$6:$B$104,0),MATCH(AI$16,'AEA2012 update'!$S$4:$Z$4,0)))</f>
        <v>253996.92506339328</v>
      </c>
      <c r="AJ26" s="103" cm="1">
        <f t="array" ref="AJ26">IF(AC26,INDEX('AEA2012 update'!$K$6:$R$104,MATCH($T26&amp;$R26,'AEA2012 update'!$A$6:$A$104&amp;'AEA2012 update'!$B$6:$B$104,0),MATCH(AJ$16,'AEA2012 update'!$S$4:$Z$4,0)),INDEX('AEA2012 update'!$K$6:$R$104,MATCH($T26&amp;$U26,'AEA2012 update'!$A$6:$A$104&amp;'AEA2012 update'!$B$6:$B$104,0),MATCH(AJ$16,'AEA2012 update'!$S$4:$Z$4,0)))</f>
        <v>257172.600668175</v>
      </c>
      <c r="AK26" s="103" t="str">
        <f t="shared" si="9"/>
        <v>CARODSP</v>
      </c>
      <c r="AL26" s="67">
        <f>INDEX('Vehicle data '!$AD$20:$AD$110,MATCH($AK26,'Vehicle data '!$AC$20:$AC$110,0))/INDEX('Vehicle data '!$AD$20:$AD$110,MATCH($AK$20,'Vehicle data '!$AC$20:$AC$110,0))*AL$20</f>
        <v>1.4565165884490123</v>
      </c>
      <c r="AM26" s="67">
        <f t="array" ref="AM26">IF($AE$1,AL26*(1+INDEX(AM$1:AM$2,MATCH($O26,$AI$1:$AI$2,0)))^(AM$16-AL$16),INDEX('AEA2012 update'!$AC$6:$AG$104,MATCH($T26&amp;$U26,'AEA2012 update'!$A$6:$A$104&amp;'AEA2012 update'!$B$6:$B$104,0),MATCH(AM$16,'AEA2012 update'!$AC$4:$AG$4,0)))</f>
        <v>1.4347778963018374</v>
      </c>
      <c r="AN26" s="67">
        <f t="array" ref="AN26">IF($AE$1,AM26*(1+INDEX(AN$1:AN$2,MATCH($O26,$AI$1:$AI$2,0)))^(AN$16-AM$16),INDEX('AEA2012 update'!$AC$6:$AG$104,MATCH($T26&amp;$U26,'AEA2012 update'!$A$6:$A$104&amp;'AEA2012 update'!$B$6:$B$104,0),MATCH(AN$16,'AEA2012 update'!$AC$4:$AG$4,0)))</f>
        <v>1.3307296448141832</v>
      </c>
      <c r="AO26" s="67">
        <f t="array" ref="AO26">IF($AE$1,AN26*(1+INDEX(AO$1:AO$2,MATCH($O26,$AI$1:$AI$2,0)))^(AO$16-AN$16),INDEX('AEA2012 update'!$AC$6:$AG$104,MATCH($T26&amp;$U26,'AEA2012 update'!$A$6:$A$104&amp;'AEA2012 update'!$B$6:$B$104,0),MATCH(AO$16,'AEA2012 update'!$AC$4:$AG$4,0)))</f>
        <v>1.2034880374527801</v>
      </c>
      <c r="AP26" s="67">
        <f t="array" ref="AP26">IF($AE$1,AO26*(1+INDEX(AP$1:AP$2,MATCH($O26,$AI$1:$AI$2,0)))^(AP$16-AO$16),INDEX('AEA2012 update'!$AC$6:$AG$104,MATCH($T26&amp;$U26,'AEA2012 update'!$A$6:$A$104&amp;'AEA2012 update'!$B$6:$B$104,0),MATCH(AP$16,'AEA2012 update'!$AC$4:$AG$4,0)))</f>
        <v>1.0884130085598189</v>
      </c>
      <c r="AR26" s="257">
        <f t="shared" si="10"/>
        <v>-4.9750416666666389E-3</v>
      </c>
      <c r="AS26" s="257">
        <f t="shared" si="11"/>
        <v>-8.0468874575124003E-3</v>
      </c>
      <c r="AY26" s="61" t="str">
        <f t="shared" si="12"/>
        <v>CAR-ODSP</v>
      </c>
      <c r="AZ26" s="80" t="e" cm="1">
        <f t="array" aca="1" ref="AZ26" ca="1">AL26/INDIRECT("cv."&amp;LEFT($U26,6)&amp;".hhv.MJL") * 100</f>
        <v>#REF!</v>
      </c>
      <c r="BA26" s="80" t="e" cm="1">
        <f t="array" aca="1" ref="BA26" ca="1">AM26/INDIRECT("cv."&amp;LEFT($U26,6)&amp;".hhv.MJL") * 100</f>
        <v>#REF!</v>
      </c>
      <c r="BB26" s="80" t="e" cm="1">
        <f t="array" aca="1" ref="BB26" ca="1">AN26/INDIRECT("cv."&amp;LEFT($U26,6)&amp;".hhv.MJL") * 100</f>
        <v>#REF!</v>
      </c>
      <c r="BC26" s="80" t="e" cm="1">
        <f t="array" aca="1" ref="BC26" ca="1">AO26/INDIRECT("cv."&amp;LEFT($U26,6)&amp;".hhv.MJL") * 100</f>
        <v>#REF!</v>
      </c>
      <c r="BD26" s="80" t="e" cm="1">
        <f t="array" aca="1" ref="BD26" ca="1">AP26/INDIRECT("cv."&amp;LEFT($U26,6)&amp;".hhv.MJL") * 100</f>
        <v>#REF!</v>
      </c>
    </row>
    <row r="27" spans="5:56" x14ac:dyDescent="0.25">
      <c r="E27" s="61" t="s">
        <v>62</v>
      </c>
      <c r="F27" s="255" t="s">
        <v>573</v>
      </c>
      <c r="G27" s="61" t="s">
        <v>696</v>
      </c>
      <c r="H27" s="258">
        <v>236800</v>
      </c>
      <c r="I27" s="61">
        <v>290000</v>
      </c>
      <c r="N27" s="61" t="s">
        <v>501</v>
      </c>
      <c r="O27" s="61" t="s">
        <v>613</v>
      </c>
      <c r="P27" s="61" t="s">
        <v>555</v>
      </c>
      <c r="Q27" s="61" t="str">
        <f t="shared" si="7"/>
        <v>CAR</v>
      </c>
      <c r="R27" s="61" t="s">
        <v>680</v>
      </c>
      <c r="S27" s="255">
        <f>$F$22*AE27</f>
        <v>1015450.0239507556</v>
      </c>
      <c r="T27" s="256" t="s">
        <v>681</v>
      </c>
      <c r="U27" s="913" t="s">
        <v>692</v>
      </c>
      <c r="V27" s="921">
        <v>2030</v>
      </c>
      <c r="W27" s="914">
        <f t="shared" si="8"/>
        <v>0</v>
      </c>
      <c r="X27" s="915">
        <f t="shared" si="6"/>
        <v>0</v>
      </c>
      <c r="Y27" s="915">
        <f t="shared" si="6"/>
        <v>0</v>
      </c>
      <c r="Z27" s="915">
        <f t="shared" si="6"/>
        <v>1</v>
      </c>
      <c r="AA27" s="915">
        <f t="shared" si="6"/>
        <v>1</v>
      </c>
      <c r="AB27" s="915">
        <f t="shared" si="6"/>
        <v>1</v>
      </c>
      <c r="AC27" s="916">
        <f t="shared" si="6"/>
        <v>1</v>
      </c>
      <c r="AD27" s="103" cm="1">
        <f t="array" ref="AD27">IF(W27,INDEX('AEA2012 update'!$K$6:$R$104,MATCH($T27&amp;$R27,'AEA2012 update'!$A$6:$A$104&amp;'AEA2012 update'!$B$6:$B$104,0),MATCH(AD$16,'AEA2012 update'!$S$4:$Z$4,0)),INDEX('AEA2012 update'!$K$6:$R$104,MATCH($T27&amp;$U27,'AEA2012 update'!$A$6:$A$104&amp;'AEA2012 update'!$B$6:$B$104,0),MATCH(AD$16,'AEA2012 update'!$S$4:$Z$4,0)))</f>
        <v>934806.19308225554</v>
      </c>
      <c r="AE27" s="103" cm="1">
        <f t="array" ref="AE27">IF(X27,INDEX('AEA2012 update'!$K$6:$R$104,MATCH($T27&amp;$R27,'AEA2012 update'!$A$6:$A$104&amp;'AEA2012 update'!$B$6:$B$104,0),MATCH(AE$16,'AEA2012 update'!$S$4:$Z$4,0)),INDEX('AEA2012 update'!$K$6:$R$104,MATCH($T27&amp;$U27,'AEA2012 update'!$A$6:$A$104&amp;'AEA2012 update'!$B$6:$B$104,0),MATCH(AE$16,'AEA2012 update'!$S$4:$Z$4,0)))</f>
        <v>634656.26496922225</v>
      </c>
      <c r="AF27" s="103" cm="1">
        <f t="array" ref="AF27">IF(Y27,INDEX('AEA2012 update'!$K$6:$R$104,MATCH($T27&amp;$R27,'AEA2012 update'!$A$6:$A$104&amp;'AEA2012 update'!$B$6:$B$104,0),MATCH(AF$16,'AEA2012 update'!$S$4:$Z$4,0)),INDEX('AEA2012 update'!$K$6:$R$104,MATCH($T27&amp;$U27,'AEA2012 update'!$A$6:$A$104&amp;'AEA2012 update'!$B$6:$B$104,0),MATCH(AF$16,'AEA2012 update'!$S$4:$Z$4,0)))</f>
        <v>580104.67292909464</v>
      </c>
      <c r="AG27" s="103" cm="1">
        <f t="array" ref="AG27">IF(Z27,INDEX('AEA2012 update'!$K$6:$R$104,MATCH($T27&amp;$R27,'AEA2012 update'!$A$6:$A$104&amp;'AEA2012 update'!$B$6:$B$104,0),MATCH(AG$16,'AEA2012 update'!$S$4:$Z$4,0)),INDEX('AEA2012 update'!$K$6:$R$104,MATCH($T27&amp;$U27,'AEA2012 update'!$A$6:$A$104&amp;'AEA2012 update'!$B$6:$B$104,0),MATCH(AG$16,'AEA2012 update'!$S$4:$Z$4,0)))</f>
        <v>248549.77442435178</v>
      </c>
      <c r="AH27" s="103" cm="1">
        <f t="array" ref="AH27">IF(AA27,INDEX('AEA2012 update'!$K$6:$R$104,MATCH($T27&amp;$R27,'AEA2012 update'!$A$6:$A$104&amp;'AEA2012 update'!$B$6:$B$104,0),MATCH(AH$16,'AEA2012 update'!$S$4:$Z$4,0)),INDEX('AEA2012 update'!$K$6:$R$104,MATCH($T27&amp;$U27,'AEA2012 update'!$A$6:$A$104&amp;'AEA2012 update'!$B$6:$B$104,0),MATCH(AH$16,'AEA2012 update'!$S$4:$Z$4,0)))</f>
        <v>251273.34974387253</v>
      </c>
      <c r="AI27" s="103" cm="1">
        <f t="array" ref="AI27">IF(AB27,INDEX('AEA2012 update'!$K$6:$R$104,MATCH($T27&amp;$R27,'AEA2012 update'!$A$6:$A$104&amp;'AEA2012 update'!$B$6:$B$104,0),MATCH(AI$16,'AEA2012 update'!$S$4:$Z$4,0)),INDEX('AEA2012 update'!$K$6:$R$104,MATCH($T27&amp;$U27,'AEA2012 update'!$A$6:$A$104&amp;'AEA2012 update'!$B$6:$B$104,0),MATCH(AI$16,'AEA2012 update'!$S$4:$Z$4,0)))</f>
        <v>253996.92506339328</v>
      </c>
      <c r="AJ27" s="103" cm="1">
        <f t="array" ref="AJ27">IF(AC27,INDEX('AEA2012 update'!$K$6:$R$104,MATCH($T27&amp;$R27,'AEA2012 update'!$A$6:$A$104&amp;'AEA2012 update'!$B$6:$B$104,0),MATCH(AJ$16,'AEA2012 update'!$S$4:$Z$4,0)),INDEX('AEA2012 update'!$K$6:$R$104,MATCH($T27&amp;$U27,'AEA2012 update'!$A$6:$A$104&amp;'AEA2012 update'!$B$6:$B$104,0),MATCH(AJ$16,'AEA2012 update'!$S$4:$Z$4,0)))</f>
        <v>257172.600668175</v>
      </c>
      <c r="AK27" s="195">
        <f>15.8*3.6/100</f>
        <v>0.56879999999999997</v>
      </c>
      <c r="AL27" s="67">
        <f>AK27</f>
        <v>0.56879999999999997</v>
      </c>
      <c r="AM27" s="67">
        <f t="array" ref="AM27">IF($AE$1,AL27*(1+INDEX(AM$1:AM$2,MATCH($O27,$AI$1:$AI$2,0)))^(AM$16-AL$16),INDEX('AEA2012 update'!$AC$6:$AG$104,MATCH($T27&amp;$U27,'AEA2012 update'!$A$6:$A$104&amp;'AEA2012 update'!$B$6:$B$104,0),MATCH(AM$16,'AEA2012 update'!$AC$4:$AG$4,0)))</f>
        <v>0.56031058889999996</v>
      </c>
      <c r="AN27" s="67">
        <f t="array" ref="AN27">IF($AE$1,AM27*(1+INDEX(AN$1:AN$2,MATCH($O27,$AI$1:$AI$2,0)))^(AN$16-AM$16),INDEX('AEA2012 update'!$AC$6:$AG$104,MATCH($T27&amp;$U27,'AEA2012 update'!$A$6:$A$104&amp;'AEA2012 update'!$B$6:$B$104,0),MATCH(AN$16,'AEA2012 update'!$AC$4:$AG$4,0)))</f>
        <v>0.51967758415736331</v>
      </c>
      <c r="AO27" s="67">
        <f t="array" ref="AO27">IF($AE$1,AN27*(1+INDEX(AO$1:AO$2,MATCH($O27,$AI$1:$AI$2,0)))^(AO$16-AN$16),INDEX('AEA2012 update'!$AC$6:$AG$104,MATCH($T27&amp;$U27,'AEA2012 update'!$A$6:$A$104&amp;'AEA2012 update'!$B$6:$B$104,0),MATCH(AO$16,'AEA2012 update'!$AC$4:$AG$4,0)))</f>
        <v>0.46998709189579874</v>
      </c>
      <c r="AP27" s="67">
        <f t="array" ref="AP27">IF($AE$1,AO27*(1+INDEX(AP$1:AP$2,MATCH($O27,$AI$1:$AI$2,0)))^(AP$16-AO$16),INDEX('AEA2012 update'!$AC$6:$AG$104,MATCH($T27&amp;$U27,'AEA2012 update'!$A$6:$A$104&amp;'AEA2012 update'!$B$6:$B$104,0),MATCH(AP$16,'AEA2012 update'!$AC$4:$AG$4,0)))</f>
        <v>0.42504790139607607</v>
      </c>
      <c r="AR27" s="257">
        <f t="shared" si="10"/>
        <v>-4.9750416666666727E-3</v>
      </c>
      <c r="AS27" s="257">
        <f t="shared" si="11"/>
        <v>-8.0468874575124003E-3</v>
      </c>
      <c r="AT27" s="67" t="e">
        <f>INDEX($N$278:$AE$278,,MATCH(AT$16,$N$275:$AE$275,0))</f>
        <v>#N/A</v>
      </c>
      <c r="AU27" s="67">
        <f>INDEX($N$278:$AE$278,,MATCH(AU$16,$N$275:$AE$275,0))</f>
        <v>1</v>
      </c>
      <c r="AV27" s="67">
        <f>INDEX($N$278:$AE$278,,MATCH(AV$16,$N$275:$AE$275,0))</f>
        <v>1</v>
      </c>
      <c r="AW27" s="67">
        <f>INDEX($N$278:$AE$278,,MATCH(AW$16,$N$275:$AE$275,0))</f>
        <v>1</v>
      </c>
      <c r="AX27" s="67">
        <f>INDEX($N$278:$AE$278,,MATCH(AX$16,$N$275:$AE$275,0))</f>
        <v>1</v>
      </c>
      <c r="AY27" s="61" t="str">
        <f t="shared" si="12"/>
        <v>CAR-ELC</v>
      </c>
      <c r="AZ27" s="80" t="e" cm="1">
        <f t="array" aca="1" ref="AZ27" ca="1">AL27/INDIRECT("cv."&amp;LEFT($U20,6)&amp;".hhv.MJL") * 100</f>
        <v>#REF!</v>
      </c>
      <c r="BA27" s="80" t="e" cm="1">
        <f t="array" aca="1" ref="BA27" ca="1">AM27/INDIRECT("cv."&amp;LEFT($U20,6)&amp;".hhv.MJL") * 100</f>
        <v>#REF!</v>
      </c>
      <c r="BB27" s="80" t="e" cm="1">
        <f t="array" aca="1" ref="BB27" ca="1">AN27/INDIRECT("cv."&amp;LEFT($U20,6)&amp;".hhv.MJL") * 100</f>
        <v>#REF!</v>
      </c>
      <c r="BC27" s="80" t="e" cm="1">
        <f t="array" aca="1" ref="BC27" ca="1">AO27/INDIRECT("cv."&amp;LEFT($U20,6)&amp;".hhv.MJL") * 100</f>
        <v>#REF!</v>
      </c>
      <c r="BD27" s="80" t="e" cm="1">
        <f t="array" aca="1" ref="BD27" ca="1">AP27/INDIRECT("cv."&amp;LEFT($U20,6)&amp;".hhv.MJL") * 100</f>
        <v>#REF!</v>
      </c>
    </row>
    <row r="28" spans="5:56" x14ac:dyDescent="0.25">
      <c r="E28" s="61" t="s">
        <v>697</v>
      </c>
      <c r="F28" s="61" t="s">
        <v>511</v>
      </c>
      <c r="G28" s="252" t="s">
        <v>698</v>
      </c>
      <c r="H28" s="258">
        <v>253599.84</v>
      </c>
      <c r="N28" s="61" t="s">
        <v>504</v>
      </c>
      <c r="O28" s="61" t="s">
        <v>613</v>
      </c>
      <c r="P28" s="61" t="s">
        <v>555</v>
      </c>
      <c r="Q28" s="61" t="str">
        <f t="shared" si="7"/>
        <v>CAR</v>
      </c>
      <c r="R28" s="61" t="s">
        <v>680</v>
      </c>
      <c r="S28" s="65"/>
      <c r="T28" s="256" t="s">
        <v>681</v>
      </c>
      <c r="U28" s="913" t="s">
        <v>699</v>
      </c>
      <c r="V28" s="921">
        <v>2050</v>
      </c>
      <c r="W28" s="914">
        <f t="shared" si="8"/>
        <v>0</v>
      </c>
      <c r="X28" s="915">
        <f t="shared" si="6"/>
        <v>0</v>
      </c>
      <c r="Y28" s="915">
        <f t="shared" si="6"/>
        <v>0</v>
      </c>
      <c r="Z28" s="915">
        <f t="shared" si="6"/>
        <v>0</v>
      </c>
      <c r="AA28" s="915">
        <f t="shared" si="6"/>
        <v>0</v>
      </c>
      <c r="AB28" s="915">
        <f t="shared" si="6"/>
        <v>0</v>
      </c>
      <c r="AC28" s="916">
        <f t="shared" si="6"/>
        <v>1</v>
      </c>
      <c r="AD28" s="103" cm="1">
        <f t="array" ref="AD28">IF(W28,INDEX('AEA2012 update'!$K$6:$R$104,MATCH($T28&amp;$R28,'AEA2012 update'!$A$6:$A$104&amp;'AEA2012 update'!$B$6:$B$104,0),MATCH(AD$16,'AEA2012 update'!$S$4:$Z$4,0)),INDEX('AEA2012 update'!$K$6:$R$104,MATCH($T28&amp;$U28,'AEA2012 update'!$A$6:$A$104&amp;'AEA2012 update'!$B$6:$B$104,0),MATCH(AD$16,'AEA2012 update'!$S$4:$Z$4,0)))</f>
        <v>2407968.5375206149</v>
      </c>
      <c r="AE28" s="103" cm="1">
        <f t="array" ref="AE28">IF(X28,INDEX('AEA2012 update'!$K$6:$R$104,MATCH($T28&amp;$R28,'AEA2012 update'!$A$6:$A$104&amp;'AEA2012 update'!$B$6:$B$104,0),MATCH(AE$16,'AEA2012 update'!$S$4:$Z$4,0)),INDEX('AEA2012 update'!$K$6:$R$104,MATCH($T28&amp;$U28,'AEA2012 update'!$A$6:$A$104&amp;'AEA2012 update'!$B$6:$B$104,0),MATCH(AE$16,'AEA2012 update'!$S$4:$Z$4,0)))</f>
        <v>951984.39745383337</v>
      </c>
      <c r="AF28" s="103" cm="1">
        <f t="array" ref="AF28">IF(Y28,INDEX('AEA2012 update'!$K$6:$R$104,MATCH($T28&amp;$R28,'AEA2012 update'!$A$6:$A$104&amp;'AEA2012 update'!$B$6:$B$104,0),MATCH(AF$16,'AEA2012 update'!$S$4:$Z$4,0)),INDEX('AEA2012 update'!$K$6:$R$104,MATCH($T28&amp;$U28,'AEA2012 update'!$A$6:$A$104&amp;'AEA2012 update'!$B$6:$B$104,0),MATCH(AF$16,'AEA2012 update'!$S$4:$Z$4,0)))</f>
        <v>726239.93374644255</v>
      </c>
      <c r="AG28" s="103" cm="1">
        <f t="array" ref="AG28">IF(Z28,INDEX('AEA2012 update'!$K$6:$R$104,MATCH($T28&amp;$R28,'AEA2012 update'!$A$6:$A$104&amp;'AEA2012 update'!$B$6:$B$104,0),MATCH(AG$16,'AEA2012 update'!$S$4:$Z$4,0)),INDEX('AEA2012 update'!$K$6:$R$104,MATCH($T28&amp;$U28,'AEA2012 update'!$A$6:$A$104&amp;'AEA2012 update'!$B$6:$B$104,0),MATCH(AG$16,'AEA2012 update'!$S$4:$Z$4,0)))</f>
        <v>500495.47003905155</v>
      </c>
      <c r="AH28" s="103" cm="1">
        <f t="array" ref="AH28">IF(AA28,INDEX('AEA2012 update'!$K$6:$R$104,MATCH($T28&amp;$R28,'AEA2012 update'!$A$6:$A$104&amp;'AEA2012 update'!$B$6:$B$104,0),MATCH(AH$16,'AEA2012 update'!$S$4:$Z$4,0)),INDEX('AEA2012 update'!$K$6:$R$104,MATCH($T28&amp;$U28,'AEA2012 update'!$A$6:$A$104&amp;'AEA2012 update'!$B$6:$B$104,0),MATCH(AH$16,'AEA2012 update'!$S$4:$Z$4,0)))</f>
        <v>473724.16276051704</v>
      </c>
      <c r="AI28" s="103" cm="1">
        <f t="array" ref="AI28">IF(AB28,INDEX('AEA2012 update'!$K$6:$R$104,MATCH($T28&amp;$R28,'AEA2012 update'!$A$6:$A$104&amp;'AEA2012 update'!$B$6:$B$104,0),MATCH(AI$16,'AEA2012 update'!$S$4:$Z$4,0)),INDEX('AEA2012 update'!$K$6:$R$104,MATCH($T28&amp;$U28,'AEA2012 update'!$A$6:$A$104&amp;'AEA2012 update'!$B$6:$B$104,0),MATCH(AI$16,'AEA2012 update'!$S$4:$Z$4,0)))</f>
        <v>446952.85548198252</v>
      </c>
      <c r="AJ28" s="103" cm="1">
        <f t="array" ref="AJ28">IF(AC28,INDEX('AEA2012 update'!$K$6:$R$104,MATCH($T28&amp;$R28,'AEA2012 update'!$A$6:$A$104&amp;'AEA2012 update'!$B$6:$B$104,0),MATCH(AJ$16,'AEA2012 update'!$S$4:$Z$4,0)),INDEX('AEA2012 update'!$K$6:$R$104,MATCH($T28&amp;$U28,'AEA2012 update'!$A$6:$A$104&amp;'AEA2012 update'!$B$6:$B$104,0),MATCH(AJ$16,'AEA2012 update'!$S$4:$Z$4,0)))</f>
        <v>257172.600668175</v>
      </c>
      <c r="AK28" s="103" t="str">
        <f t="shared" ref="AK28:AK92" si="13">Q28&amp;N28</f>
        <v>CARHGN</v>
      </c>
      <c r="AL28" s="67">
        <f>INDEX('Vehicle data '!$AD$20:$AD$110,MATCH($AK28,'Vehicle data '!$AC$20:$AC$110,0))/INDEX('Vehicle data '!$AD$20:$AD$110,MATCH($AK$20,'Vehicle data '!$AC$20:$AC$110,0))*AL$20</f>
        <v>1.0864894518065684</v>
      </c>
      <c r="AM28" s="67">
        <f t="array" ref="AM28">IF($AE$1,AL28*(1+INDEX(AM$1:AM$2,MATCH($O28,$AI$1:$AI$2,0)))^(AM$16-AL$16),INDEX('AEA2012 update'!$AC$6:$AG$104,MATCH($T28&amp;$U28,'AEA2012 update'!$A$6:$A$104&amp;'AEA2012 update'!$B$6:$B$104,0),MATCH(AM$16,'AEA2012 update'!$AC$4:$AG$4,0)))</f>
        <v>1.070273460927174</v>
      </c>
      <c r="AN28" s="67">
        <f t="array" ref="AN28">IF($AE$1,AM28*(1+INDEX(AN$1:AN$2,MATCH($O28,$AI$1:$AI$2,0)))^(AN$16-AM$16),INDEX('AEA2012 update'!$AC$6:$AG$104,MATCH($T28&amp;$U28,'AEA2012 update'!$A$6:$A$104&amp;'AEA2012 update'!$B$6:$B$104,0),MATCH(AN$16,'AEA2012 update'!$AC$4:$AG$4,0)))</f>
        <v>0.99265860324770672</v>
      </c>
      <c r="AO28" s="67">
        <f t="array" ref="AO28">IF($AE$1,AN28*(1+INDEX(AO$1:AO$2,MATCH($O28,$AI$1:$AI$2,0)))^(AO$16-AN$16),INDEX('AEA2012 update'!$AC$6:$AG$104,MATCH($T28&amp;$U28,'AEA2012 update'!$A$6:$A$104&amp;'AEA2012 update'!$B$6:$B$104,0),MATCH(AO$16,'AEA2012 update'!$AC$4:$AG$4,0)))</f>
        <v>0.89774264738050236</v>
      </c>
      <c r="AP28" s="67">
        <f t="array" ref="AP28">IF($AE$1,AO28*(1+INDEX(AP$1:AP$2,MATCH($O28,$AI$1:$AI$2,0)))^(AP$16-AO$16),INDEX('AEA2012 update'!$AC$6:$AG$104,MATCH($T28&amp;$U28,'AEA2012 update'!$A$6:$A$104&amp;'AEA2012 update'!$B$6:$B$104,0),MATCH(AP$16,'AEA2012 update'!$AC$4:$AG$4,0)))</f>
        <v>0.81190235826187607</v>
      </c>
      <c r="AR28" s="257">
        <f t="shared" si="10"/>
        <v>-4.9750416666666337E-3</v>
      </c>
      <c r="AS28" s="257">
        <f t="shared" si="11"/>
        <v>-8.0468874575124003E-3</v>
      </c>
      <c r="AY28" s="61" t="str">
        <f t="shared" si="12"/>
        <v>CAR-HGN</v>
      </c>
      <c r="AZ28" s="80"/>
      <c r="BA28" s="80"/>
      <c r="BB28" s="80"/>
      <c r="BC28" s="80"/>
      <c r="BD28" s="80"/>
    </row>
    <row r="29" spans="5:56" x14ac:dyDescent="0.25">
      <c r="N29" s="61" t="s">
        <v>509</v>
      </c>
      <c r="O29" s="61" t="s">
        <v>613</v>
      </c>
      <c r="P29" s="61" t="s">
        <v>555</v>
      </c>
      <c r="Q29" s="61" t="str">
        <f t="shared" si="7"/>
        <v>CAR</v>
      </c>
      <c r="R29" s="61" t="s">
        <v>680</v>
      </c>
      <c r="S29" s="65"/>
      <c r="T29" s="256" t="s">
        <v>681</v>
      </c>
      <c r="U29" s="913" t="s">
        <v>700</v>
      </c>
      <c r="V29" s="921"/>
      <c r="W29" s="914">
        <f t="shared" si="8"/>
        <v>0</v>
      </c>
      <c r="X29" s="915">
        <f t="shared" si="6"/>
        <v>0</v>
      </c>
      <c r="Y29" s="915">
        <f t="shared" si="6"/>
        <v>0</v>
      </c>
      <c r="Z29" s="915">
        <f t="shared" si="6"/>
        <v>0</v>
      </c>
      <c r="AA29" s="915">
        <f t="shared" si="6"/>
        <v>0</v>
      </c>
      <c r="AB29" s="915">
        <f t="shared" si="6"/>
        <v>0</v>
      </c>
      <c r="AC29" s="916">
        <f t="shared" si="6"/>
        <v>0</v>
      </c>
      <c r="AD29" s="103" cm="1">
        <f t="array" ref="AD29">IF(W29,INDEX('AEA2012 update'!$K$6:$R$104,MATCH($T29&amp;$R29,'AEA2012 update'!$A$6:$A$104&amp;'AEA2012 update'!$B$6:$B$104,0),MATCH(AD$16,'AEA2012 update'!$S$4:$Z$4,0)),INDEX('AEA2012 update'!$K$6:$R$104,MATCH($T29&amp;$U29,'AEA2012 update'!$A$6:$A$104&amp;'AEA2012 update'!$B$6:$B$104,0),MATCH(AD$16,'AEA2012 update'!$S$4:$Z$4,0)))</f>
        <v>376679.62430658605</v>
      </c>
      <c r="AE29" s="103" cm="1">
        <f t="array" ref="AE29">IF(X29,INDEX('AEA2012 update'!$K$6:$R$104,MATCH($T29&amp;$R29,'AEA2012 update'!$A$6:$A$104&amp;'AEA2012 update'!$B$6:$B$104,0),MATCH(AE$16,'AEA2012 update'!$S$4:$Z$4,0)),INDEX('AEA2012 update'!$K$6:$R$104,MATCH($T29&amp;$U29,'AEA2012 update'!$A$6:$A$104&amp;'AEA2012 update'!$B$6:$B$104,0),MATCH(AE$16,'AEA2012 update'!$S$4:$Z$4,0)))</f>
        <v>396599.43072780268</v>
      </c>
      <c r="AF29" s="103" cm="1">
        <f t="array" ref="AF29">IF(Y29,INDEX('AEA2012 update'!$K$6:$R$104,MATCH($T29&amp;$R29,'AEA2012 update'!$A$6:$A$104&amp;'AEA2012 update'!$B$6:$B$104,0),MATCH(AF$16,'AEA2012 update'!$S$4:$Z$4,0)),INDEX('AEA2012 update'!$K$6:$R$104,MATCH($T29&amp;$U29,'AEA2012 update'!$A$6:$A$104&amp;'AEA2012 update'!$B$6:$B$104,0),MATCH(AF$16,'AEA2012 update'!$S$4:$Z$4,0)))</f>
        <v>400607.99761902145</v>
      </c>
      <c r="AG29" s="103" cm="1">
        <f t="array" ref="AG29">IF(Z29,INDEX('AEA2012 update'!$K$6:$R$104,MATCH($T29&amp;$R29,'AEA2012 update'!$A$6:$A$104&amp;'AEA2012 update'!$B$6:$B$104,0),MATCH(AG$16,'AEA2012 update'!$S$4:$Z$4,0)),INDEX('AEA2012 update'!$K$6:$R$104,MATCH($T29&amp;$U29,'AEA2012 update'!$A$6:$A$104&amp;'AEA2012 update'!$B$6:$B$104,0),MATCH(AG$16,'AEA2012 update'!$S$4:$Z$4,0)))</f>
        <v>404616.56451024022</v>
      </c>
      <c r="AH29" s="103" cm="1">
        <f t="array" ref="AH29">IF(AA29,INDEX('AEA2012 update'!$K$6:$R$104,MATCH($T29&amp;$R29,'AEA2012 update'!$A$6:$A$104&amp;'AEA2012 update'!$B$6:$B$104,0),MATCH(AH$16,'AEA2012 update'!$S$4:$Z$4,0)),INDEX('AEA2012 update'!$K$6:$R$104,MATCH($T29&amp;$U29,'AEA2012 update'!$A$6:$A$104&amp;'AEA2012 update'!$B$6:$B$104,0),MATCH(AH$16,'AEA2012 update'!$S$4:$Z$4,0)))</f>
        <v>407703.15451742715</v>
      </c>
      <c r="AI29" s="103" cm="1">
        <f t="array" ref="AI29">IF(AB29,INDEX('AEA2012 update'!$K$6:$R$104,MATCH($T29&amp;$R29,'AEA2012 update'!$A$6:$A$104&amp;'AEA2012 update'!$B$6:$B$104,0),MATCH(AI$16,'AEA2012 update'!$S$4:$Z$4,0)),INDEX('AEA2012 update'!$K$6:$R$104,MATCH($T29&amp;$U29,'AEA2012 update'!$A$6:$A$104&amp;'AEA2012 update'!$B$6:$B$104,0),MATCH(AI$16,'AEA2012 update'!$S$4:$Z$4,0)))</f>
        <v>410789.74452461401</v>
      </c>
      <c r="AJ29" s="103" cm="1">
        <f t="array" ref="AJ29">IF(AC29,INDEX('AEA2012 update'!$K$6:$R$104,MATCH($T29&amp;$R29,'AEA2012 update'!$A$6:$A$104&amp;'AEA2012 update'!$B$6:$B$104,0),MATCH(AJ$16,'AEA2012 update'!$S$4:$Z$4,0)),INDEX('AEA2012 update'!$K$6:$R$104,MATCH($T29&amp;$U29,'AEA2012 update'!$A$6:$A$104&amp;'AEA2012 update'!$B$6:$B$104,0),MATCH(AJ$16,'AEA2012 update'!$S$4:$Z$4,0)))</f>
        <v>414211.03231367638</v>
      </c>
      <c r="AK29" s="103" t="str">
        <f t="shared" si="13"/>
        <v>CARGAS</v>
      </c>
      <c r="AL29" s="67">
        <f>INDEX('Vehicle data '!$AD$20:$AD$110,MATCH($AK29,'Vehicle data '!$AC$20:$AC$110,0))/INDEX('Vehicle data '!$AD$20:$AD$110,MATCH($AK$20,'Vehicle data '!$AC$20:$AC$110,0))*AL$20</f>
        <v>2.802205701073782</v>
      </c>
      <c r="AM29" s="67">
        <f t="array" ref="AM29">IF($AE$1,AL29*(1+INDEX(AM$1:AM$2,MATCH($O29,$AI$1:$AI$2,0)))^(AM$16-AL$16),INDEX('AEA2012 update'!$AC$6:$AG$104,MATCH($T29&amp;$U29,'AEA2012 update'!$A$6:$A$104&amp;'AEA2012 update'!$B$6:$B$104,0),MATCH(AM$16,'AEA2012 update'!$AC$4:$AG$4,0)))</f>
        <v>2.760382430709543</v>
      </c>
      <c r="AN29" s="67">
        <f t="array" ref="AN29">IF($AE$1,AM29*(1+INDEX(AN$1:AN$2,MATCH($O29,$AI$1:$AI$2,0)))^(AN$16-AM$16),INDEX('AEA2012 update'!$AC$6:$AG$104,MATCH($T29&amp;$U29,'AEA2012 update'!$A$6:$A$104&amp;'AEA2012 update'!$B$6:$B$104,0),MATCH(AN$16,'AEA2012 update'!$AC$4:$AG$4,0)))</f>
        <v>2.5602030398136666</v>
      </c>
      <c r="AO29" s="67">
        <f t="array" ref="AO29">IF($AE$1,AN29*(1+INDEX(AO$1:AO$2,MATCH($O29,$AI$1:$AI$2,0)))^(AO$16-AN$16),INDEX('AEA2012 update'!$AC$6:$AG$104,MATCH($T29&amp;$U29,'AEA2012 update'!$A$6:$A$104&amp;'AEA2012 update'!$B$6:$B$104,0),MATCH(AO$16,'AEA2012 update'!$AC$4:$AG$4,0)))</f>
        <v>2.3154017375905322</v>
      </c>
      <c r="AP29" s="67">
        <f t="array" ref="AP29">IF($AE$1,AO29*(1+INDEX(AP$1:AP$2,MATCH($O29,$AI$1:$AI$2,0)))^(AP$16-AO$16),INDEX('AEA2012 update'!$AC$6:$AG$104,MATCH($T29&amp;$U29,'AEA2012 update'!$A$6:$A$104&amp;'AEA2012 update'!$B$6:$B$104,0),MATCH(AP$16,'AEA2012 update'!$AC$4:$AG$4,0)))</f>
        <v>2.0940078279211165</v>
      </c>
      <c r="AR29" s="257">
        <f t="shared" si="10"/>
        <v>-4.9750416666666797E-3</v>
      </c>
      <c r="AS29" s="257">
        <f t="shared" si="11"/>
        <v>-8.0468874575124021E-3</v>
      </c>
      <c r="AY29" s="61" t="str">
        <f t="shared" si="12"/>
        <v>CAR-GAS</v>
      </c>
      <c r="AZ29" s="80"/>
      <c r="BA29" s="80"/>
      <c r="BB29" s="80"/>
      <c r="BC29" s="80"/>
      <c r="BD29" s="80"/>
    </row>
    <row r="30" spans="5:56" x14ac:dyDescent="0.25">
      <c r="O30" s="61" t="s">
        <v>613</v>
      </c>
      <c r="Q30" s="61" t="str">
        <f t="shared" si="7"/>
        <v/>
      </c>
      <c r="S30" s="65"/>
      <c r="T30" s="256"/>
      <c r="V30" s="921"/>
      <c r="W30" s="917">
        <f t="shared" si="8"/>
        <v>0</v>
      </c>
      <c r="X30" s="918">
        <f t="shared" si="6"/>
        <v>0</v>
      </c>
      <c r="Y30" s="918">
        <f t="shared" si="6"/>
        <v>0</v>
      </c>
      <c r="Z30" s="918">
        <f t="shared" si="6"/>
        <v>0</v>
      </c>
      <c r="AA30" s="918">
        <f t="shared" si="6"/>
        <v>0</v>
      </c>
      <c r="AB30" s="918">
        <f t="shared" si="6"/>
        <v>0</v>
      </c>
      <c r="AC30" s="919">
        <f t="shared" si="6"/>
        <v>0</v>
      </c>
      <c r="AD30" s="103" t="e" cm="1">
        <f t="array" ref="AD30">IF(W30,INDEX('AEA2012 update'!$K$6:$R$104,MATCH($T30&amp;$R30,'AEA2012 update'!$A$6:$A$104&amp;'AEA2012 update'!$B$6:$B$104,0),MATCH(AD$16,'AEA2012 update'!$S$4:$Z$4,0)),INDEX('AEA2012 update'!$K$6:$R$104,MATCH($T30&amp;$U30,'AEA2012 update'!$A$6:$A$104&amp;'AEA2012 update'!$B$6:$B$104,0),MATCH(AD$16,'AEA2012 update'!$S$4:$Z$4,0)))</f>
        <v>#N/A</v>
      </c>
      <c r="AE30" s="103" t="e" cm="1">
        <f t="array" ref="AE30">IF(X30,INDEX('AEA2012 update'!$K$6:$R$104,MATCH($T30&amp;$R30,'AEA2012 update'!$A$6:$A$104&amp;'AEA2012 update'!$B$6:$B$104,0),MATCH(AE$16,'AEA2012 update'!$S$4:$Z$4,0)),INDEX('AEA2012 update'!$K$6:$R$104,MATCH($T30&amp;$U30,'AEA2012 update'!$A$6:$A$104&amp;'AEA2012 update'!$B$6:$B$104,0),MATCH(AE$16,'AEA2012 update'!$S$4:$Z$4,0)))</f>
        <v>#N/A</v>
      </c>
      <c r="AF30" s="103" t="e" cm="1">
        <f t="array" ref="AF30">IF(Y30,INDEX('AEA2012 update'!$K$6:$R$104,MATCH($T30&amp;$R30,'AEA2012 update'!$A$6:$A$104&amp;'AEA2012 update'!$B$6:$B$104,0),MATCH(AF$16,'AEA2012 update'!$S$4:$Z$4,0)),INDEX('AEA2012 update'!$K$6:$R$104,MATCH($T30&amp;$U30,'AEA2012 update'!$A$6:$A$104&amp;'AEA2012 update'!$B$6:$B$104,0),MATCH(AF$16,'AEA2012 update'!$S$4:$Z$4,0)))</f>
        <v>#N/A</v>
      </c>
      <c r="AG30" s="103" t="e" cm="1">
        <f t="array" ref="AG30">IF(Z30,INDEX('AEA2012 update'!$K$6:$R$104,MATCH($T30&amp;$R30,'AEA2012 update'!$A$6:$A$104&amp;'AEA2012 update'!$B$6:$B$104,0),MATCH(AG$16,'AEA2012 update'!$S$4:$Z$4,0)),INDEX('AEA2012 update'!$K$6:$R$104,MATCH($T30&amp;$U30,'AEA2012 update'!$A$6:$A$104&amp;'AEA2012 update'!$B$6:$B$104,0),MATCH(AG$16,'AEA2012 update'!$S$4:$Z$4,0)))</f>
        <v>#N/A</v>
      </c>
      <c r="AH30" s="103" t="e" cm="1">
        <f t="array" ref="AH30">IF(AA30,INDEX('AEA2012 update'!$K$6:$R$104,MATCH($T30&amp;$R30,'AEA2012 update'!$A$6:$A$104&amp;'AEA2012 update'!$B$6:$B$104,0),MATCH(AH$16,'AEA2012 update'!$S$4:$Z$4,0)),INDEX('AEA2012 update'!$K$6:$R$104,MATCH($T30&amp;$U30,'AEA2012 update'!$A$6:$A$104&amp;'AEA2012 update'!$B$6:$B$104,0),MATCH(AH$16,'AEA2012 update'!$S$4:$Z$4,0)))</f>
        <v>#N/A</v>
      </c>
      <c r="AI30" s="103" t="e" cm="1">
        <f t="array" ref="AI30">IF(AB30,INDEX('AEA2012 update'!$K$6:$R$104,MATCH($T30&amp;$R30,'AEA2012 update'!$A$6:$A$104&amp;'AEA2012 update'!$B$6:$B$104,0),MATCH(AI$16,'AEA2012 update'!$S$4:$Z$4,0)),INDEX('AEA2012 update'!$K$6:$R$104,MATCH($T30&amp;$U30,'AEA2012 update'!$A$6:$A$104&amp;'AEA2012 update'!$B$6:$B$104,0),MATCH(AI$16,'AEA2012 update'!$S$4:$Z$4,0)))</f>
        <v>#N/A</v>
      </c>
      <c r="AJ30" s="103" t="e" cm="1">
        <f t="array" ref="AJ30">IF(AC30,INDEX('AEA2012 update'!$K$6:$R$104,MATCH($T30&amp;$R30,'AEA2012 update'!$A$6:$A$104&amp;'AEA2012 update'!$B$6:$B$104,0),MATCH(AJ$16,'AEA2012 update'!$S$4:$Z$4,0)),INDEX('AEA2012 update'!$K$6:$R$104,MATCH($T30&amp;$U30,'AEA2012 update'!$A$6:$A$104&amp;'AEA2012 update'!$B$6:$B$104,0),MATCH(AJ$16,'AEA2012 update'!$S$4:$Z$4,0)))</f>
        <v>#N/A</v>
      </c>
      <c r="AK30" s="103" t="str">
        <f t="shared" si="13"/>
        <v/>
      </c>
      <c r="AL30" s="67" t="e">
        <f>1/INDEX(Analytica!$AA$17:$AE$48,MATCH($AK30,Analytica!$A$17:$A$48,0),MATCH(AL$16,Analytica!$AA$16:$AE$16,0))</f>
        <v>#N/A</v>
      </c>
      <c r="AM30" s="67" t="e">
        <f t="array" ref="AM30">IF($AE$1,AL30*(1+INDEX(AM$1:AM$2,MATCH($O30,$AI$1:$AI$2,0)))^(AM$16-AL$16),INDEX('AEA2012 update'!$AC$6:$AG$104,MATCH($T30&amp;$U30,'AEA2012 update'!$A$6:$A$104&amp;'AEA2012 update'!$B$6:$B$104,0),MATCH(AM$16,'AEA2012 update'!$AC$4:$AG$4,0)))</f>
        <v>#N/A</v>
      </c>
      <c r="AN30" s="67" t="e">
        <f t="array" ref="AN30">IF($AE$1,AM30*(1+INDEX(AN$1:AN$2,MATCH($O30,$AI$1:$AI$2,0)))^(AN$16-AM$16),INDEX('AEA2012 update'!$AC$6:$AG$104,MATCH($T30&amp;$U30,'AEA2012 update'!$A$6:$A$104&amp;'AEA2012 update'!$B$6:$B$104,0),MATCH(AN$16,'AEA2012 update'!$AC$4:$AG$4,0)))</f>
        <v>#N/A</v>
      </c>
      <c r="AO30" s="67" t="e">
        <f t="array" ref="AO30">IF($AE$1,AN30*(1+INDEX(AO$1:AO$2,MATCH($O30,$AI$1:$AI$2,0)))^(AO$16-AN$16),INDEX('AEA2012 update'!$AC$6:$AG$104,MATCH($T30&amp;$U30,'AEA2012 update'!$A$6:$A$104&amp;'AEA2012 update'!$B$6:$B$104,0),MATCH(AO$16,'AEA2012 update'!$AC$4:$AG$4,0)))</f>
        <v>#N/A</v>
      </c>
      <c r="AP30" s="67" t="e">
        <f t="array" ref="AP30">IF($AE$1,AO30*(1+INDEX(AP$1:AP$2,MATCH($O30,$AI$1:$AI$2,0)))^(AP$16-AO$16),INDEX('AEA2012 update'!$AC$6:$AG$104,MATCH($T30&amp;$U30,'AEA2012 update'!$A$6:$A$104&amp;'AEA2012 update'!$B$6:$B$104,0),MATCH(AP$16,'AEA2012 update'!$AC$4:$AG$4,0)))</f>
        <v>#N/A</v>
      </c>
      <c r="AR30" s="257" t="e">
        <f t="shared" si="10"/>
        <v>#N/A</v>
      </c>
      <c r="AS30" s="257" t="e">
        <f t="shared" si="11"/>
        <v>#N/A</v>
      </c>
      <c r="AY30" s="61" t="str">
        <f t="shared" si="12"/>
        <v>-</v>
      </c>
      <c r="AZ30" s="80" t="e">
        <f t="shared" ref="AZ30" si="14">AL30/cv.petrol.hhv.MJL*100</f>
        <v>#N/A</v>
      </c>
      <c r="BA30" s="80"/>
      <c r="BB30" s="80"/>
      <c r="BC30" s="80"/>
      <c r="BD30" s="80"/>
    </row>
    <row r="31" spans="5:56" x14ac:dyDescent="0.25">
      <c r="N31" s="61" t="s">
        <v>573</v>
      </c>
      <c r="O31" s="61" t="s">
        <v>613</v>
      </c>
      <c r="P31" s="61" t="s">
        <v>460</v>
      </c>
      <c r="Q31" s="61" t="str">
        <f t="shared" si="7"/>
        <v>SUV</v>
      </c>
      <c r="R31" s="61" t="s">
        <v>680</v>
      </c>
      <c r="S31" s="65"/>
      <c r="T31" s="256" t="s">
        <v>701</v>
      </c>
      <c r="U31" s="913" t="s">
        <v>680</v>
      </c>
      <c r="V31" s="921"/>
      <c r="W31" s="914">
        <f t="shared" si="8"/>
        <v>0</v>
      </c>
      <c r="X31" s="915">
        <f t="shared" si="6"/>
        <v>0</v>
      </c>
      <c r="Y31" s="915">
        <f t="shared" si="6"/>
        <v>0</v>
      </c>
      <c r="Z31" s="915">
        <f t="shared" si="6"/>
        <v>0</v>
      </c>
      <c r="AA31" s="915">
        <f t="shared" si="6"/>
        <v>0</v>
      </c>
      <c r="AB31" s="915">
        <f t="shared" si="6"/>
        <v>0</v>
      </c>
      <c r="AC31" s="916">
        <f t="shared" si="6"/>
        <v>0</v>
      </c>
      <c r="AD31" s="103" cm="1">
        <f t="array" ref="AD31">IF(W31,INDEX('AEA2012 update'!$K$6:$R$104,MATCH($T31&amp;$R31,'AEA2012 update'!$A$6:$A$104&amp;'AEA2012 update'!$B$6:$B$104,0),MATCH(AD$16,'AEA2012 update'!$S$4:$Z$4,0)),INDEX('AEA2012 update'!$K$6:$R$104,MATCH($T31&amp;$U31,'AEA2012 update'!$A$6:$A$104&amp;'AEA2012 update'!$B$6:$B$104,0),MATCH(AD$16,'AEA2012 update'!$S$4:$Z$4,0)))</f>
        <v>322554.53757929691</v>
      </c>
      <c r="AE31" s="103" cm="1">
        <f t="array" ref="AE31">IF(X31,INDEX('AEA2012 update'!$K$6:$R$104,MATCH($T31&amp;$R31,'AEA2012 update'!$A$6:$A$104&amp;'AEA2012 update'!$B$6:$B$104,0),MATCH(AE$16,'AEA2012 update'!$S$4:$Z$4,0)),INDEX('AEA2012 update'!$K$6:$R$104,MATCH($T31&amp;$U31,'AEA2012 update'!$A$6:$A$104&amp;'AEA2012 update'!$B$6:$B$104,0),MATCH(AE$16,'AEA2012 update'!$S$4:$Z$4,0)))</f>
        <v>350637.87759734597</v>
      </c>
      <c r="AF31" s="103" cm="1">
        <f t="array" ref="AF31">IF(Y31,INDEX('AEA2012 update'!$K$6:$R$104,MATCH($T31&amp;$R31,'AEA2012 update'!$A$6:$A$104&amp;'AEA2012 update'!$B$6:$B$104,0),MATCH(AF$16,'AEA2012 update'!$S$4:$Z$4,0)),INDEX('AEA2012 update'!$K$6:$R$104,MATCH($T31&amp;$U31,'AEA2012 update'!$A$6:$A$104&amp;'AEA2012 update'!$B$6:$B$104,0),MATCH(AF$16,'AEA2012 update'!$S$4:$Z$4,0)))</f>
        <v>357099.62238446943</v>
      </c>
      <c r="AG31" s="103" cm="1">
        <f t="array" ref="AG31">IF(Z31,INDEX('AEA2012 update'!$K$6:$R$104,MATCH($T31&amp;$R31,'AEA2012 update'!$A$6:$A$104&amp;'AEA2012 update'!$B$6:$B$104,0),MATCH(AG$16,'AEA2012 update'!$S$4:$Z$4,0)),INDEX('AEA2012 update'!$K$6:$R$104,MATCH($T31&amp;$U31,'AEA2012 update'!$A$6:$A$104&amp;'AEA2012 update'!$B$6:$B$104,0),MATCH(AG$16,'AEA2012 update'!$S$4:$Z$4,0)))</f>
        <v>363561.36717159278</v>
      </c>
      <c r="AH31" s="103" cm="1">
        <f t="array" ref="AH31">IF(AA31,INDEX('AEA2012 update'!$K$6:$R$104,MATCH($T31&amp;$R31,'AEA2012 update'!$A$6:$A$104&amp;'AEA2012 update'!$B$6:$B$104,0),MATCH(AH$16,'AEA2012 update'!$S$4:$Z$4,0)),INDEX('AEA2012 update'!$K$6:$R$104,MATCH($T31&amp;$U31,'AEA2012 update'!$A$6:$A$104&amp;'AEA2012 update'!$B$6:$B$104,0),MATCH(AH$16,'AEA2012 update'!$S$4:$Z$4,0)))</f>
        <v>371500.85823323019</v>
      </c>
      <c r="AI31" s="103" cm="1">
        <f t="array" ref="AI31">IF(AB31,INDEX('AEA2012 update'!$K$6:$R$104,MATCH($T31&amp;$R31,'AEA2012 update'!$A$6:$A$104&amp;'AEA2012 update'!$B$6:$B$104,0),MATCH(AI$16,'AEA2012 update'!$S$4:$Z$4,0)),INDEX('AEA2012 update'!$K$6:$R$104,MATCH($T31&amp;$U31,'AEA2012 update'!$A$6:$A$104&amp;'AEA2012 update'!$B$6:$B$104,0),MATCH(AI$16,'AEA2012 update'!$S$4:$Z$4,0)))</f>
        <v>379440.3492948676</v>
      </c>
      <c r="AJ31" s="103" cm="1">
        <f t="array" ref="AJ31">IF(AC31,INDEX('AEA2012 update'!$K$6:$R$104,MATCH($T31&amp;$R31,'AEA2012 update'!$A$6:$A$104&amp;'AEA2012 update'!$B$6:$B$104,0),MATCH(AJ$16,'AEA2012 update'!$S$4:$Z$4,0)),INDEX('AEA2012 update'!$K$6:$R$104,MATCH($T31&amp;$U31,'AEA2012 update'!$A$6:$A$104&amp;'AEA2012 update'!$B$6:$B$104,0),MATCH(AJ$16,'AEA2012 update'!$S$4:$Z$4,0)))</f>
        <v>387396.22422821133</v>
      </c>
      <c r="AK31" s="103" t="str">
        <f t="shared" si="13"/>
        <v>SUVOGS</v>
      </c>
      <c r="AL31" s="67">
        <f>1/INDEX(Analytica!$AA$17:$AE$48,MATCH($AK31,Analytica!$A$17:$A$48,0),MATCH(AL$16,Analytica!$AA$16:$AE$16,0))</f>
        <v>2.3386728682586129</v>
      </c>
      <c r="AM31" s="67">
        <f t="array" ref="AM31">IF($AE$1,AL31*(1+INDEX(AM$1:AM$2,MATCH($O31,$AI$1:$AI$2,0)))^(AM$16-AL$16),INDEX('AEA2012 update'!$AC$6:$AG$104,MATCH($T31&amp;$U31,'AEA2012 update'!$A$6:$A$104&amp;'AEA2012 update'!$B$6:$B$104,0),MATCH(AM$16,'AEA2012 update'!$AC$4:$AG$4,0)))</f>
        <v>2.3037678833657447</v>
      </c>
      <c r="AN31" s="67">
        <f t="array" ref="AN31">IF($AE$1,AM31*(1+INDEX(AN$1:AN$2,MATCH($O31,$AI$1:$AI$2,0)))^(AN$16-AM$16),INDEX('AEA2012 update'!$AC$6:$AG$104,MATCH($T31&amp;$U31,'AEA2012 update'!$A$6:$A$104&amp;'AEA2012 update'!$B$6:$B$104,0),MATCH(AN$16,'AEA2012 update'!$AC$4:$AG$4,0)))</f>
        <v>2.136701593373783</v>
      </c>
      <c r="AO31" s="67">
        <f t="array" ref="AO31">IF($AE$1,AN31*(1+INDEX(AO$1:AO$2,MATCH($O31,$AI$1:$AI$2,0)))^(AO$16-AN$16),INDEX('AEA2012 update'!$AC$6:$AG$104,MATCH($T31&amp;$U31,'AEA2012 update'!$A$6:$A$104&amp;'AEA2012 update'!$B$6:$B$104,0),MATCH(AO$16,'AEA2012 update'!$AC$4:$AG$4,0)))</f>
        <v>1.9323946206900002</v>
      </c>
      <c r="AP31" s="67">
        <f t="array" ref="AP31">IF($AE$1,AO31*(1+INDEX(AP$1:AP$2,MATCH($O31,$AI$1:$AI$2,0)))^(AP$16-AO$16),INDEX('AEA2012 update'!$AC$6:$AG$104,MATCH($T31&amp;$U31,'AEA2012 update'!$A$6:$A$104&amp;'AEA2012 update'!$B$6:$B$104,0),MATCH(AP$16,'AEA2012 update'!$AC$4:$AG$4,0)))</f>
        <v>1.7476230567954738</v>
      </c>
      <c r="AQ31" s="67"/>
      <c r="AR31" s="257">
        <f t="shared" si="10"/>
        <v>-4.9750416666666476E-3</v>
      </c>
      <c r="AS31" s="257">
        <f t="shared" si="11"/>
        <v>-8.0468874575123969E-3</v>
      </c>
      <c r="AY31" s="61" t="str">
        <f t="shared" si="12"/>
        <v>SUV-OGS</v>
      </c>
      <c r="AZ31" s="80" t="e" cm="1">
        <f t="array" aca="1" ref="AZ31" ca="1">AL31/INDIRECT("cv."&amp;LEFT($U31,6)&amp;".hhv.MJL") * 100</f>
        <v>#REF!</v>
      </c>
      <c r="BA31" s="80" t="e" cm="1">
        <f t="array" aca="1" ref="BA31" ca="1">AM31/INDIRECT("cv."&amp;LEFT($U31,6)&amp;".hhv.MJL") * 100</f>
        <v>#REF!</v>
      </c>
      <c r="BB31" s="80" t="e" cm="1">
        <f t="array" aca="1" ref="BB31" ca="1">AN31/INDIRECT("cv."&amp;LEFT($U31,6)&amp;".hhv.MJL") * 100</f>
        <v>#REF!</v>
      </c>
      <c r="BC31" s="80" t="e" cm="1">
        <f t="array" aca="1" ref="BC31" ca="1">AO31/INDIRECT("cv."&amp;LEFT($U31,6)&amp;".hhv.MJL") * 100</f>
        <v>#REF!</v>
      </c>
      <c r="BD31" s="80" t="e" cm="1">
        <f t="array" aca="1" ref="BD31" ca="1">AP31/INDIRECT("cv."&amp;LEFT($U31,6)&amp;".hhv.MJL") * 100</f>
        <v>#REF!</v>
      </c>
    </row>
    <row r="32" spans="5:56" x14ac:dyDescent="0.25">
      <c r="N32" s="61" t="s">
        <v>519</v>
      </c>
      <c r="O32" s="61" t="s">
        <v>613</v>
      </c>
      <c r="P32" s="61" t="s">
        <v>460</v>
      </c>
      <c r="Q32" s="61" t="str">
        <f t="shared" si="7"/>
        <v>SUV</v>
      </c>
      <c r="R32" s="61" t="s">
        <v>680</v>
      </c>
      <c r="S32" s="65"/>
      <c r="T32" s="256" t="s">
        <v>701</v>
      </c>
      <c r="U32" s="913" t="s">
        <v>688</v>
      </c>
      <c r="V32" s="921">
        <v>2030</v>
      </c>
      <c r="W32" s="914">
        <f t="shared" si="8"/>
        <v>0</v>
      </c>
      <c r="X32" s="915">
        <f t="shared" si="6"/>
        <v>0</v>
      </c>
      <c r="Y32" s="915">
        <f t="shared" si="6"/>
        <v>0</v>
      </c>
      <c r="Z32" s="915">
        <f t="shared" si="6"/>
        <v>1</v>
      </c>
      <c r="AA32" s="915">
        <f t="shared" si="6"/>
        <v>1</v>
      </c>
      <c r="AB32" s="915">
        <f t="shared" si="6"/>
        <v>1</v>
      </c>
      <c r="AC32" s="916">
        <f t="shared" si="6"/>
        <v>1</v>
      </c>
      <c r="AD32" s="103" cm="1">
        <f t="array" ref="AD32">IF(W32,INDEX('AEA2012 update'!$K$6:$R$104,MATCH($T32&amp;$R32,'AEA2012 update'!$A$6:$A$104&amp;'AEA2012 update'!$B$6:$B$104,0),MATCH(AD$16,'AEA2012 update'!$S$4:$Z$4,0)),INDEX('AEA2012 update'!$K$6:$R$104,MATCH($T32&amp;$U32,'AEA2012 update'!$A$6:$A$104&amp;'AEA2012 update'!$B$6:$B$104,0),MATCH(AD$16,'AEA2012 update'!$S$4:$Z$4,0)))</f>
        <v>462611.03749439324</v>
      </c>
      <c r="AE32" s="103" cm="1">
        <f t="array" ref="AE32">IF(X32,INDEX('AEA2012 update'!$K$6:$R$104,MATCH($T32&amp;$R32,'AEA2012 update'!$A$6:$A$104&amp;'AEA2012 update'!$B$6:$B$104,0),MATCH(AE$16,'AEA2012 update'!$S$4:$Z$4,0)),INDEX('AEA2012 update'!$K$6:$R$104,MATCH($T32&amp;$U32,'AEA2012 update'!$A$6:$A$104&amp;'AEA2012 update'!$B$6:$B$104,0),MATCH(AE$16,'AEA2012 update'!$S$4:$Z$4,0)))</f>
        <v>450697.95583180117</v>
      </c>
      <c r="AF32" s="103" cm="1">
        <f t="array" ref="AF32">IF(Y32,INDEX('AEA2012 update'!$K$6:$R$104,MATCH($T32&amp;$R32,'AEA2012 update'!$A$6:$A$104&amp;'AEA2012 update'!$B$6:$B$104,0),MATCH(AF$16,'AEA2012 update'!$S$4:$Z$4,0)),INDEX('AEA2012 update'!$K$6:$R$104,MATCH($T32&amp;$U32,'AEA2012 update'!$A$6:$A$104&amp;'AEA2012 update'!$B$6:$B$104,0),MATCH(AF$16,'AEA2012 update'!$S$4:$Z$4,0)))</f>
        <v>447834.90632433031</v>
      </c>
      <c r="AG32" s="103" cm="1">
        <f t="array" ref="AG32">IF(Z32,INDEX('AEA2012 update'!$K$6:$R$104,MATCH($T32&amp;$R32,'AEA2012 update'!$A$6:$A$104&amp;'AEA2012 update'!$B$6:$B$104,0),MATCH(AG$16,'AEA2012 update'!$S$4:$Z$4,0)),INDEX('AEA2012 update'!$K$6:$R$104,MATCH($T32&amp;$U32,'AEA2012 update'!$A$6:$A$104&amp;'AEA2012 update'!$B$6:$B$104,0),MATCH(AG$16,'AEA2012 update'!$S$4:$Z$4,0)))</f>
        <v>363561.36717159278</v>
      </c>
      <c r="AH32" s="103" cm="1">
        <f t="array" ref="AH32">IF(AA32,INDEX('AEA2012 update'!$K$6:$R$104,MATCH($T32&amp;$R32,'AEA2012 update'!$A$6:$A$104&amp;'AEA2012 update'!$B$6:$B$104,0),MATCH(AH$16,'AEA2012 update'!$S$4:$Z$4,0)),INDEX('AEA2012 update'!$K$6:$R$104,MATCH($T32&amp;$U32,'AEA2012 update'!$A$6:$A$104&amp;'AEA2012 update'!$B$6:$B$104,0),MATCH(AH$16,'AEA2012 update'!$S$4:$Z$4,0)))</f>
        <v>371500.85823323019</v>
      </c>
      <c r="AI32" s="103" cm="1">
        <f t="array" ref="AI32">IF(AB32,INDEX('AEA2012 update'!$K$6:$R$104,MATCH($T32&amp;$R32,'AEA2012 update'!$A$6:$A$104&amp;'AEA2012 update'!$B$6:$B$104,0),MATCH(AI$16,'AEA2012 update'!$S$4:$Z$4,0)),INDEX('AEA2012 update'!$K$6:$R$104,MATCH($T32&amp;$U32,'AEA2012 update'!$A$6:$A$104&amp;'AEA2012 update'!$B$6:$B$104,0),MATCH(AI$16,'AEA2012 update'!$S$4:$Z$4,0)))</f>
        <v>379440.3492948676</v>
      </c>
      <c r="AJ32" s="103" cm="1">
        <f t="array" ref="AJ32">IF(AC32,INDEX('AEA2012 update'!$K$6:$R$104,MATCH($T32&amp;$R32,'AEA2012 update'!$A$6:$A$104&amp;'AEA2012 update'!$B$6:$B$104,0),MATCH(AJ$16,'AEA2012 update'!$S$4:$Z$4,0)),INDEX('AEA2012 update'!$K$6:$R$104,MATCH($T32&amp;$U32,'AEA2012 update'!$A$6:$A$104&amp;'AEA2012 update'!$B$6:$B$104,0),MATCH(AJ$16,'AEA2012 update'!$S$4:$Z$4,0)))</f>
        <v>387396.22422821133</v>
      </c>
      <c r="AK32" s="103" t="str">
        <f t="shared" si="13"/>
        <v>SUVOGSH</v>
      </c>
      <c r="AL32" s="67">
        <f>INDEX('Vehicle data '!$AD$20:$AD$110,MATCH($AK32,'Vehicle data '!$AC$20:$AC$110,0))/INDEX('Vehicle data '!$AD$20:$AD$110,MATCH($AK$31,'Vehicle data '!$AC$20:$AC$110,0))*AL$31</f>
        <v>1.7869690234961555</v>
      </c>
      <c r="AM32" s="67">
        <f t="array" ref="AM32">IF($AE$1,AL32*(1+INDEX(AM$1:AM$2,MATCH($O32,$AI$1:$AI$2,0)))^(AM$16-AL$16),INDEX('AEA2012 update'!$AC$6:$AG$104,MATCH($T32&amp;$U32,'AEA2012 update'!$A$6:$A$104&amp;'AEA2012 update'!$B$6:$B$104,0),MATCH(AM$16,'AEA2012 update'!$AC$4:$AG$4,0)))</f>
        <v>1.7602982874493476</v>
      </c>
      <c r="AN32" s="67">
        <f t="array" ref="AN32">IF($AE$1,AM32*(1+INDEX(AN$1:AN$2,MATCH($O32,$AI$1:$AI$2,0)))^(AN$16-AM$16),INDEX('AEA2012 update'!$AC$6:$AG$104,MATCH($T32&amp;$U32,'AEA2012 update'!$A$6:$A$104&amp;'AEA2012 update'!$B$6:$B$104,0),MATCH(AN$16,'AEA2012 update'!$AC$4:$AG$4,0)))</f>
        <v>1.6326437150044388</v>
      </c>
      <c r="AO32" s="67">
        <f t="array" ref="AO32">IF($AE$1,AN32*(1+INDEX(AO$1:AO$2,MATCH($O32,$AI$1:$AI$2,0)))^(AO$16-AN$16),INDEX('AEA2012 update'!$AC$6:$AG$104,MATCH($T32&amp;$U32,'AEA2012 update'!$A$6:$A$104&amp;'AEA2012 update'!$B$6:$B$104,0),MATCH(AO$16,'AEA2012 update'!$AC$4:$AG$4,0)))</f>
        <v>1.4765337107257972</v>
      </c>
      <c r="AP32" s="67">
        <f t="array" ref="AP32">IF($AE$1,AO32*(1+INDEX(AP$1:AP$2,MATCH($O32,$AI$1:$AI$2,0)))^(AP$16-AO$16),INDEX('AEA2012 update'!$AC$6:$AG$104,MATCH($T32&amp;$U32,'AEA2012 update'!$A$6:$A$104&amp;'AEA2012 update'!$B$6:$B$104,0),MATCH(AP$16,'AEA2012 update'!$AC$4:$AG$4,0)))</f>
        <v>1.3353506211266462</v>
      </c>
      <c r="AQ32" s="67"/>
      <c r="AR32" s="257">
        <f t="shared" si="10"/>
        <v>-4.9750416666666415E-3</v>
      </c>
      <c r="AS32" s="257">
        <f t="shared" si="11"/>
        <v>-8.0468874575124003E-3</v>
      </c>
      <c r="AY32" s="61" t="str">
        <f t="shared" si="12"/>
        <v>SUV-OGSH</v>
      </c>
      <c r="AZ32" s="80" t="e" cm="1">
        <f t="array" aca="1" ref="AZ32" ca="1">AL32/INDIRECT("cv."&amp;LEFT($U32,6)&amp;".hhv.MJL") * 100</f>
        <v>#REF!</v>
      </c>
      <c r="BA32" s="80" t="e" cm="1">
        <f t="array" aca="1" ref="BA32" ca="1">AM32/INDIRECT("cv."&amp;LEFT($U32,6)&amp;".hhv.MJL") * 100</f>
        <v>#REF!</v>
      </c>
      <c r="BB32" s="80" t="e" cm="1">
        <f t="array" aca="1" ref="BB32" ca="1">AN32/INDIRECT("cv."&amp;LEFT($U32,6)&amp;".hhv.MJL") * 100</f>
        <v>#REF!</v>
      </c>
      <c r="BC32" s="80" t="e" cm="1">
        <f t="array" aca="1" ref="BC32" ca="1">AO32/INDIRECT("cv."&amp;LEFT($U32,6)&amp;".hhv.MJL") * 100</f>
        <v>#REF!</v>
      </c>
      <c r="BD32" s="80" t="e" cm="1">
        <f t="array" aca="1" ref="BD32" ca="1">AP32/INDIRECT("cv."&amp;LEFT($U32,6)&amp;".hhv.MJL") * 100</f>
        <v>#REF!</v>
      </c>
    </row>
    <row r="33" spans="1:56" x14ac:dyDescent="0.25">
      <c r="N33" s="61" t="s">
        <v>506</v>
      </c>
      <c r="O33" s="61" t="s">
        <v>613</v>
      </c>
      <c r="P33" s="61" t="s">
        <v>460</v>
      </c>
      <c r="Q33" s="61" t="str">
        <f t="shared" si="7"/>
        <v>SUV</v>
      </c>
      <c r="R33" s="61" t="s">
        <v>680</v>
      </c>
      <c r="S33" s="65"/>
      <c r="T33" s="256" t="s">
        <v>701</v>
      </c>
      <c r="U33" s="913" t="s">
        <v>680</v>
      </c>
      <c r="V33" s="921"/>
      <c r="W33" s="914">
        <f t="shared" si="8"/>
        <v>0</v>
      </c>
      <c r="X33" s="915">
        <f t="shared" si="6"/>
        <v>0</v>
      </c>
      <c r="Y33" s="915">
        <f t="shared" si="6"/>
        <v>0</v>
      </c>
      <c r="Z33" s="915">
        <f t="shared" si="6"/>
        <v>0</v>
      </c>
      <c r="AA33" s="915">
        <f t="shared" si="6"/>
        <v>0</v>
      </c>
      <c r="AB33" s="915">
        <f t="shared" si="6"/>
        <v>0</v>
      </c>
      <c r="AC33" s="916">
        <f t="shared" si="6"/>
        <v>0</v>
      </c>
      <c r="AD33" s="103" cm="1">
        <f t="array" ref="AD33">IF(W33,INDEX('AEA2012 update'!$K$6:$R$104,MATCH($T33&amp;$R33,'AEA2012 update'!$A$6:$A$104&amp;'AEA2012 update'!$B$6:$B$104,0),MATCH(AD$16,'AEA2012 update'!$S$4:$Z$4,0)),INDEX('AEA2012 update'!$K$6:$R$104,MATCH($T33&amp;$U33,'AEA2012 update'!$A$6:$A$104&amp;'AEA2012 update'!$B$6:$B$104,0),MATCH(AD$16,'AEA2012 update'!$S$4:$Z$4,0)))</f>
        <v>322554.53757929691</v>
      </c>
      <c r="AE33" s="103" cm="1">
        <f t="array" ref="AE33">IF(X33,INDEX('AEA2012 update'!$K$6:$R$104,MATCH($T33&amp;$R33,'AEA2012 update'!$A$6:$A$104&amp;'AEA2012 update'!$B$6:$B$104,0),MATCH(AE$16,'AEA2012 update'!$S$4:$Z$4,0)),INDEX('AEA2012 update'!$K$6:$R$104,MATCH($T33&amp;$U33,'AEA2012 update'!$A$6:$A$104&amp;'AEA2012 update'!$B$6:$B$104,0),MATCH(AE$16,'AEA2012 update'!$S$4:$Z$4,0)))</f>
        <v>350637.87759734597</v>
      </c>
      <c r="AF33" s="103" cm="1">
        <f t="array" ref="AF33">IF(Y33,INDEX('AEA2012 update'!$K$6:$R$104,MATCH($T33&amp;$R33,'AEA2012 update'!$A$6:$A$104&amp;'AEA2012 update'!$B$6:$B$104,0),MATCH(AF$16,'AEA2012 update'!$S$4:$Z$4,0)),INDEX('AEA2012 update'!$K$6:$R$104,MATCH($T33&amp;$U33,'AEA2012 update'!$A$6:$A$104&amp;'AEA2012 update'!$B$6:$B$104,0),MATCH(AF$16,'AEA2012 update'!$S$4:$Z$4,0)))</f>
        <v>357099.62238446943</v>
      </c>
      <c r="AG33" s="103" cm="1">
        <f t="array" ref="AG33">IF(Z33,INDEX('AEA2012 update'!$K$6:$R$104,MATCH($T33&amp;$R33,'AEA2012 update'!$A$6:$A$104&amp;'AEA2012 update'!$B$6:$B$104,0),MATCH(AG$16,'AEA2012 update'!$S$4:$Z$4,0)),INDEX('AEA2012 update'!$K$6:$R$104,MATCH($T33&amp;$U33,'AEA2012 update'!$A$6:$A$104&amp;'AEA2012 update'!$B$6:$B$104,0),MATCH(AG$16,'AEA2012 update'!$S$4:$Z$4,0)))</f>
        <v>363561.36717159278</v>
      </c>
      <c r="AH33" s="103" cm="1">
        <f t="array" ref="AH33">IF(AA33,INDEX('AEA2012 update'!$K$6:$R$104,MATCH($T33&amp;$R33,'AEA2012 update'!$A$6:$A$104&amp;'AEA2012 update'!$B$6:$B$104,0),MATCH(AH$16,'AEA2012 update'!$S$4:$Z$4,0)),INDEX('AEA2012 update'!$K$6:$R$104,MATCH($T33&amp;$U33,'AEA2012 update'!$A$6:$A$104&amp;'AEA2012 update'!$B$6:$B$104,0),MATCH(AH$16,'AEA2012 update'!$S$4:$Z$4,0)))</f>
        <v>371500.85823323019</v>
      </c>
      <c r="AI33" s="103" cm="1">
        <f t="array" ref="AI33">IF(AB33,INDEX('AEA2012 update'!$K$6:$R$104,MATCH($T33&amp;$R33,'AEA2012 update'!$A$6:$A$104&amp;'AEA2012 update'!$B$6:$B$104,0),MATCH(AI$16,'AEA2012 update'!$S$4:$Z$4,0)),INDEX('AEA2012 update'!$K$6:$R$104,MATCH($T33&amp;$U33,'AEA2012 update'!$A$6:$A$104&amp;'AEA2012 update'!$B$6:$B$104,0),MATCH(AI$16,'AEA2012 update'!$S$4:$Z$4,0)))</f>
        <v>379440.3492948676</v>
      </c>
      <c r="AJ33" s="103" cm="1">
        <f t="array" ref="AJ33">IF(AC33,INDEX('AEA2012 update'!$K$6:$R$104,MATCH($T33&amp;$R33,'AEA2012 update'!$A$6:$A$104&amp;'AEA2012 update'!$B$6:$B$104,0),MATCH(AJ$16,'AEA2012 update'!$S$4:$Z$4,0)),INDEX('AEA2012 update'!$K$6:$R$104,MATCH($T33&amp;$U33,'AEA2012 update'!$A$6:$A$104&amp;'AEA2012 update'!$B$6:$B$104,0),MATCH(AJ$16,'AEA2012 update'!$S$4:$Z$4,0)))</f>
        <v>387396.22422821133</v>
      </c>
      <c r="AK33" s="103" t="str">
        <f t="shared" si="13"/>
        <v>SUVBGS</v>
      </c>
      <c r="AL33" s="67">
        <f>INDEX('Vehicle data '!$AD$20:$AD$110,MATCH($AK33,'Vehicle data '!$AC$20:$AC$110,0))/INDEX('Vehicle data '!$AD$20:$AD$110,MATCH($AK$31,'Vehicle data '!$AC$20:$AC$110,0))*AL$31</f>
        <v>2.3386728682586129</v>
      </c>
      <c r="AM33" s="67">
        <f t="array" ref="AM33">IF($AE$1,AL33*(1+INDEX(AM$1:AM$2,MATCH($O33,$AI$1:$AI$2,0)))^(AM$16-AL$16),INDEX('AEA2012 update'!$AC$6:$AG$104,MATCH($T33&amp;$U33,'AEA2012 update'!$A$6:$A$104&amp;'AEA2012 update'!$B$6:$B$104,0),MATCH(AM$16,'AEA2012 update'!$AC$4:$AG$4,0)))</f>
        <v>2.3037678833657447</v>
      </c>
      <c r="AN33" s="67">
        <f t="array" ref="AN33">IF($AE$1,AM33*(1+INDEX(AN$1:AN$2,MATCH($O33,$AI$1:$AI$2,0)))^(AN$16-AM$16),INDEX('AEA2012 update'!$AC$6:$AG$104,MATCH($T33&amp;$U33,'AEA2012 update'!$A$6:$A$104&amp;'AEA2012 update'!$B$6:$B$104,0),MATCH(AN$16,'AEA2012 update'!$AC$4:$AG$4,0)))</f>
        <v>2.136701593373783</v>
      </c>
      <c r="AO33" s="67">
        <f t="array" ref="AO33">IF($AE$1,AN33*(1+INDEX(AO$1:AO$2,MATCH($O33,$AI$1:$AI$2,0)))^(AO$16-AN$16),INDEX('AEA2012 update'!$AC$6:$AG$104,MATCH($T33&amp;$U33,'AEA2012 update'!$A$6:$A$104&amp;'AEA2012 update'!$B$6:$B$104,0),MATCH(AO$16,'AEA2012 update'!$AC$4:$AG$4,0)))</f>
        <v>1.9323946206900002</v>
      </c>
      <c r="AP33" s="67">
        <f t="array" ref="AP33">IF($AE$1,AO33*(1+INDEX(AP$1:AP$2,MATCH($O33,$AI$1:$AI$2,0)))^(AP$16-AO$16),INDEX('AEA2012 update'!$AC$6:$AG$104,MATCH($T33&amp;$U33,'AEA2012 update'!$A$6:$A$104&amp;'AEA2012 update'!$B$6:$B$104,0),MATCH(AP$16,'AEA2012 update'!$AC$4:$AG$4,0)))</f>
        <v>1.7476230567954738</v>
      </c>
      <c r="AQ33" s="67"/>
      <c r="AR33" s="257">
        <f t="shared" si="10"/>
        <v>-4.9750416666666476E-3</v>
      </c>
      <c r="AS33" s="257">
        <f t="shared" si="11"/>
        <v>-8.0468874575123969E-3</v>
      </c>
      <c r="AY33" s="61" t="str">
        <f t="shared" si="12"/>
        <v>SUV-BGS</v>
      </c>
      <c r="AZ33" s="80" t="e" cm="1">
        <f t="array" aca="1" ref="AZ33" ca="1">AL33/INDIRECT("cv."&amp;LEFT($U33,6)&amp;".hhv.MJL") * 100</f>
        <v>#REF!</v>
      </c>
      <c r="BA33" s="80" t="e" cm="1">
        <f t="array" aca="1" ref="BA33" ca="1">AM33/INDIRECT("cv."&amp;LEFT($U33,6)&amp;".hhv.MJL") * 100</f>
        <v>#REF!</v>
      </c>
      <c r="BB33" s="80" t="e" cm="1">
        <f t="array" aca="1" ref="BB33" ca="1">AN33/INDIRECT("cv."&amp;LEFT($U33,6)&amp;".hhv.MJL") * 100</f>
        <v>#REF!</v>
      </c>
      <c r="BC33" s="80" t="e" cm="1">
        <f t="array" aca="1" ref="BC33" ca="1">AO33/INDIRECT("cv."&amp;LEFT($U33,6)&amp;".hhv.MJL") * 100</f>
        <v>#REF!</v>
      </c>
      <c r="BD33" s="80" t="e" cm="1">
        <f t="array" aca="1" ref="BD33" ca="1">AP33/INDIRECT("cv."&amp;LEFT($U33,6)&amp;".hhv.MJL") * 100</f>
        <v>#REF!</v>
      </c>
    </row>
    <row r="34" spans="1:56" x14ac:dyDescent="0.25">
      <c r="N34" s="61" t="s">
        <v>511</v>
      </c>
      <c r="O34" s="61" t="s">
        <v>613</v>
      </c>
      <c r="P34" s="61" t="s">
        <v>460</v>
      </c>
      <c r="Q34" s="61" t="str">
        <f t="shared" si="7"/>
        <v>SUV</v>
      </c>
      <c r="R34" s="61" t="s">
        <v>680</v>
      </c>
      <c r="S34" s="65"/>
      <c r="T34" s="256" t="s">
        <v>701</v>
      </c>
      <c r="U34" s="913" t="s">
        <v>687</v>
      </c>
      <c r="V34" s="921">
        <v>2030</v>
      </c>
      <c r="W34" s="914">
        <f t="shared" si="8"/>
        <v>0</v>
      </c>
      <c r="X34" s="915">
        <f t="shared" si="6"/>
        <v>0</v>
      </c>
      <c r="Y34" s="915">
        <f t="shared" si="6"/>
        <v>0</v>
      </c>
      <c r="Z34" s="915">
        <f t="shared" si="6"/>
        <v>1</v>
      </c>
      <c r="AA34" s="915">
        <f t="shared" si="6"/>
        <v>1</v>
      </c>
      <c r="AB34" s="915">
        <f t="shared" si="6"/>
        <v>1</v>
      </c>
      <c r="AC34" s="916">
        <f t="shared" si="6"/>
        <v>1</v>
      </c>
      <c r="AD34" s="103" cm="1">
        <f t="array" ref="AD34">IF(W34,INDEX('AEA2012 update'!$K$6:$R$104,MATCH($T34&amp;$R34,'AEA2012 update'!$A$6:$A$104&amp;'AEA2012 update'!$B$6:$B$104,0),MATCH(AD$16,'AEA2012 update'!$S$4:$Z$4,0)),INDEX('AEA2012 update'!$K$6:$R$104,MATCH($T34&amp;$U34,'AEA2012 update'!$A$6:$A$104&amp;'AEA2012 update'!$B$6:$B$104,0),MATCH(AD$16,'AEA2012 update'!$S$4:$Z$4,0)))</f>
        <v>449299.91329948109</v>
      </c>
      <c r="AE34" s="103" cm="1">
        <f t="array" ref="AE34">IF(X34,INDEX('AEA2012 update'!$K$6:$R$104,MATCH($T34&amp;$R34,'AEA2012 update'!$A$6:$A$104&amp;'AEA2012 update'!$B$6:$B$104,0),MATCH(AE$16,'AEA2012 update'!$S$4:$Z$4,0)),INDEX('AEA2012 update'!$K$6:$R$104,MATCH($T34&amp;$U34,'AEA2012 update'!$A$6:$A$104&amp;'AEA2012 update'!$B$6:$B$104,0),MATCH(AE$16,'AEA2012 update'!$S$4:$Z$4,0)))</f>
        <v>496024.31464990409</v>
      </c>
      <c r="AF34" s="103" cm="1">
        <f t="array" ref="AF34">IF(Y34,INDEX('AEA2012 update'!$K$6:$R$104,MATCH($T34&amp;$R34,'AEA2012 update'!$A$6:$A$104&amp;'AEA2012 update'!$B$6:$B$104,0),MATCH(AF$16,'AEA2012 update'!$S$4:$Z$4,0)),INDEX('AEA2012 update'!$K$6:$R$104,MATCH($T34&amp;$U34,'AEA2012 update'!$A$6:$A$104&amp;'AEA2012 update'!$B$6:$B$104,0),MATCH(AF$16,'AEA2012 update'!$S$4:$Z$4,0)))</f>
        <v>504862.6389695133</v>
      </c>
      <c r="AG34" s="103" cm="1">
        <f t="array" ref="AG34">IF(Z34,INDEX('AEA2012 update'!$K$6:$R$104,MATCH($T34&amp;$R34,'AEA2012 update'!$A$6:$A$104&amp;'AEA2012 update'!$B$6:$B$104,0),MATCH(AG$16,'AEA2012 update'!$S$4:$Z$4,0)),INDEX('AEA2012 update'!$K$6:$R$104,MATCH($T34&amp;$U34,'AEA2012 update'!$A$6:$A$104&amp;'AEA2012 update'!$B$6:$B$104,0),MATCH(AG$16,'AEA2012 update'!$S$4:$Z$4,0)))</f>
        <v>363561.36717159278</v>
      </c>
      <c r="AH34" s="103" cm="1">
        <f t="array" ref="AH34">IF(AA34,INDEX('AEA2012 update'!$K$6:$R$104,MATCH($T34&amp;$R34,'AEA2012 update'!$A$6:$A$104&amp;'AEA2012 update'!$B$6:$B$104,0),MATCH(AH$16,'AEA2012 update'!$S$4:$Z$4,0)),INDEX('AEA2012 update'!$K$6:$R$104,MATCH($T34&amp;$U34,'AEA2012 update'!$A$6:$A$104&amp;'AEA2012 update'!$B$6:$B$104,0),MATCH(AH$16,'AEA2012 update'!$S$4:$Z$4,0)))</f>
        <v>371500.85823323019</v>
      </c>
      <c r="AI34" s="103" cm="1">
        <f t="array" ref="AI34">IF(AB34,INDEX('AEA2012 update'!$K$6:$R$104,MATCH($T34&amp;$R34,'AEA2012 update'!$A$6:$A$104&amp;'AEA2012 update'!$B$6:$B$104,0),MATCH(AI$16,'AEA2012 update'!$S$4:$Z$4,0)),INDEX('AEA2012 update'!$K$6:$R$104,MATCH($T34&amp;$U34,'AEA2012 update'!$A$6:$A$104&amp;'AEA2012 update'!$B$6:$B$104,0),MATCH(AI$16,'AEA2012 update'!$S$4:$Z$4,0)))</f>
        <v>379440.3492948676</v>
      </c>
      <c r="AJ34" s="103" cm="1">
        <f t="array" ref="AJ34">IF(AC34,INDEX('AEA2012 update'!$K$6:$R$104,MATCH($T34&amp;$R34,'AEA2012 update'!$A$6:$A$104&amp;'AEA2012 update'!$B$6:$B$104,0),MATCH(AJ$16,'AEA2012 update'!$S$4:$Z$4,0)),INDEX('AEA2012 update'!$K$6:$R$104,MATCH($T34&amp;$U34,'AEA2012 update'!$A$6:$A$104&amp;'AEA2012 update'!$B$6:$B$104,0),MATCH(AJ$16,'AEA2012 update'!$S$4:$Z$4,0)))</f>
        <v>387396.22422821133</v>
      </c>
      <c r="AK34" s="103" t="str">
        <f t="shared" si="13"/>
        <v>SUVODS</v>
      </c>
      <c r="AL34" s="67">
        <f>1/INDEX(Analytica!$AA$17:$AE$48,MATCH($AK34,Analytica!$A$17:$A$48,0),MATCH(AL$16,Analytica!$AA$16:$AE$16,0))</f>
        <v>4.2907876409062018</v>
      </c>
      <c r="AM34" s="67">
        <f t="array" ref="AM34">IF($AE$1,AL34*(1+INDEX(AM$1:AM$2,MATCH($O34,$AI$1:$AI$2,0)))^(AM$16-AL$16),INDEX('AEA2012 update'!$AC$6:$AG$104,MATCH($T34&amp;$U34,'AEA2012 update'!$A$6:$A$104&amp;'AEA2012 update'!$B$6:$B$104,0),MATCH(AM$16,'AEA2012 update'!$AC$4:$AG$4,0)))</f>
        <v>4.2267470990172216</v>
      </c>
      <c r="AN34" s="67">
        <f t="array" ref="AN34">IF($AE$1,AM34*(1+INDEX(AN$1:AN$2,MATCH($O34,$AI$1:$AI$2,0)))^(AN$16-AM$16),INDEX('AEA2012 update'!$AC$6:$AG$104,MATCH($T34&amp;$U34,'AEA2012 update'!$A$6:$A$104&amp;'AEA2012 update'!$B$6:$B$104,0),MATCH(AN$16,'AEA2012 update'!$AC$4:$AG$4,0)))</f>
        <v>3.9202288244697736</v>
      </c>
      <c r="AO34" s="67">
        <f t="array" ref="AO34">IF($AE$1,AN34*(1+INDEX(AO$1:AO$2,MATCH($O34,$AI$1:$AI$2,0)))^(AO$16-AN$16),INDEX('AEA2012 update'!$AC$6:$AG$104,MATCH($T34&amp;$U34,'AEA2012 update'!$A$6:$A$104&amp;'AEA2012 update'!$B$6:$B$104,0),MATCH(AO$16,'AEA2012 update'!$AC$4:$AG$4,0)))</f>
        <v>3.5453846787832997</v>
      </c>
      <c r="AP34" s="67">
        <f t="array" ref="AP34">IF($AE$1,AO34*(1+INDEX(AP$1:AP$2,MATCH($O34,$AI$1:$AI$2,0)))^(AP$16-AO$16),INDEX('AEA2012 update'!$AC$6:$AG$104,MATCH($T34&amp;$U34,'AEA2012 update'!$A$6:$A$104&amp;'AEA2012 update'!$B$6:$B$104,0),MATCH(AP$16,'AEA2012 update'!$AC$4:$AG$4,0)))</f>
        <v>3.2063823525024637</v>
      </c>
      <c r="AQ34" s="67"/>
      <c r="AR34" s="257">
        <f t="shared" si="10"/>
        <v>-4.975041666666671E-3</v>
      </c>
      <c r="AS34" s="257">
        <f t="shared" si="11"/>
        <v>-8.0468874575123986E-3</v>
      </c>
      <c r="AY34" s="61" t="str">
        <f t="shared" si="12"/>
        <v>SUV-ODS</v>
      </c>
      <c r="AZ34" s="80" t="e" cm="1">
        <f t="array" aca="1" ref="AZ34" ca="1">AL34/INDIRECT("cv."&amp;LEFT($U34,6)&amp;".hhv.MJL") * 100</f>
        <v>#REF!</v>
      </c>
      <c r="BA34" s="80" t="e" cm="1">
        <f t="array" aca="1" ref="BA34" ca="1">AM34/INDIRECT("cv."&amp;LEFT($U34,6)&amp;".hhv.MJL") * 100</f>
        <v>#REF!</v>
      </c>
      <c r="BB34" s="80" t="e" cm="1">
        <f t="array" aca="1" ref="BB34" ca="1">AN34/INDIRECT("cv."&amp;LEFT($U34,6)&amp;".hhv.MJL") * 100</f>
        <v>#REF!</v>
      </c>
      <c r="BC34" s="80" t="e" cm="1">
        <f t="array" aca="1" ref="BC34" ca="1">AO34/INDIRECT("cv."&amp;LEFT($U34,6)&amp;".hhv.MJL") * 100</f>
        <v>#REF!</v>
      </c>
      <c r="BD34" s="80" t="e" cm="1">
        <f t="array" aca="1" ref="BD34" ca="1">AP34/INDIRECT("cv."&amp;LEFT($U34,6)&amp;".hhv.MJL") * 100</f>
        <v>#REF!</v>
      </c>
    </row>
    <row r="35" spans="1:56" x14ac:dyDescent="0.25">
      <c r="J35" s="255"/>
      <c r="N35" s="61" t="s">
        <v>521</v>
      </c>
      <c r="O35" s="61" t="s">
        <v>613</v>
      </c>
      <c r="P35" s="61" t="s">
        <v>460</v>
      </c>
      <c r="Q35" s="61" t="str">
        <f t="shared" si="7"/>
        <v>SUV</v>
      </c>
      <c r="R35" s="61" t="s">
        <v>680</v>
      </c>
      <c r="S35" s="65"/>
      <c r="T35" s="256" t="s">
        <v>701</v>
      </c>
      <c r="U35" s="913" t="s">
        <v>689</v>
      </c>
      <c r="V35" s="921">
        <v>2030</v>
      </c>
      <c r="W35" s="914">
        <f t="shared" si="8"/>
        <v>0</v>
      </c>
      <c r="X35" s="915">
        <f t="shared" si="6"/>
        <v>0</v>
      </c>
      <c r="Y35" s="915">
        <f t="shared" si="6"/>
        <v>0</v>
      </c>
      <c r="Z35" s="915">
        <f t="shared" si="6"/>
        <v>1</v>
      </c>
      <c r="AA35" s="915">
        <f t="shared" si="6"/>
        <v>1</v>
      </c>
      <c r="AB35" s="915">
        <f t="shared" si="6"/>
        <v>1</v>
      </c>
      <c r="AC35" s="916">
        <f t="shared" si="6"/>
        <v>1</v>
      </c>
      <c r="AD35" s="103" cm="1">
        <f t="array" ref="AD35">IF(W35,INDEX('AEA2012 update'!$K$6:$R$104,MATCH($T35&amp;$R35,'AEA2012 update'!$A$6:$A$104&amp;'AEA2012 update'!$B$6:$B$104,0),MATCH(AD$16,'AEA2012 update'!$S$4:$Z$4,0)),INDEX('AEA2012 update'!$K$6:$R$104,MATCH($T35&amp;$U35,'AEA2012 update'!$A$6:$A$104&amp;'AEA2012 update'!$B$6:$B$104,0),MATCH(AD$16,'AEA2012 update'!$S$4:$Z$4,0)))</f>
        <v>684967.98910243902</v>
      </c>
      <c r="AE35" s="103" cm="1">
        <f t="array" ref="AE35">IF(X35,INDEX('AEA2012 update'!$K$6:$R$104,MATCH($T35&amp;$R35,'AEA2012 update'!$A$6:$A$104&amp;'AEA2012 update'!$B$6:$B$104,0),MATCH(AE$16,'AEA2012 update'!$S$4:$Z$4,0)),INDEX('AEA2012 update'!$K$6:$R$104,MATCH($T35&amp;$U35,'AEA2012 update'!$A$6:$A$104&amp;'AEA2012 update'!$B$6:$B$104,0),MATCH(AE$16,'AEA2012 update'!$S$4:$Z$4,0)))</f>
        <v>676046.93374770158</v>
      </c>
      <c r="AF35" s="103" cm="1">
        <f t="array" ref="AF35">IF(Y35,INDEX('AEA2012 update'!$K$6:$R$104,MATCH($T35&amp;$R35,'AEA2012 update'!$A$6:$A$104&amp;'AEA2012 update'!$B$6:$B$104,0),MATCH(AF$16,'AEA2012 update'!$S$4:$Z$4,0)),INDEX('AEA2012 update'!$K$6:$R$104,MATCH($T35&amp;$U35,'AEA2012 update'!$A$6:$A$104&amp;'AEA2012 update'!$B$6:$B$104,0),MATCH(AF$16,'AEA2012 update'!$S$4:$Z$4,0)))</f>
        <v>671504.019880448</v>
      </c>
      <c r="AG35" s="103" cm="1">
        <f t="array" ref="AG35">IF(Z35,INDEX('AEA2012 update'!$K$6:$R$104,MATCH($T35&amp;$R35,'AEA2012 update'!$A$6:$A$104&amp;'AEA2012 update'!$B$6:$B$104,0),MATCH(AG$16,'AEA2012 update'!$S$4:$Z$4,0)),INDEX('AEA2012 update'!$K$6:$R$104,MATCH($T35&amp;$U35,'AEA2012 update'!$A$6:$A$104&amp;'AEA2012 update'!$B$6:$B$104,0),MATCH(AG$16,'AEA2012 update'!$S$4:$Z$4,0)))</f>
        <v>363561.36717159278</v>
      </c>
      <c r="AH35" s="103" cm="1">
        <f t="array" ref="AH35">IF(AA35,INDEX('AEA2012 update'!$K$6:$R$104,MATCH($T35&amp;$R35,'AEA2012 update'!$A$6:$A$104&amp;'AEA2012 update'!$B$6:$B$104,0),MATCH(AH$16,'AEA2012 update'!$S$4:$Z$4,0)),INDEX('AEA2012 update'!$K$6:$R$104,MATCH($T35&amp;$U35,'AEA2012 update'!$A$6:$A$104&amp;'AEA2012 update'!$B$6:$B$104,0),MATCH(AH$16,'AEA2012 update'!$S$4:$Z$4,0)))</f>
        <v>371500.85823323019</v>
      </c>
      <c r="AI35" s="103" cm="1">
        <f t="array" ref="AI35">IF(AB35,INDEX('AEA2012 update'!$K$6:$R$104,MATCH($T35&amp;$R35,'AEA2012 update'!$A$6:$A$104&amp;'AEA2012 update'!$B$6:$B$104,0),MATCH(AI$16,'AEA2012 update'!$S$4:$Z$4,0)),INDEX('AEA2012 update'!$K$6:$R$104,MATCH($T35&amp;$U35,'AEA2012 update'!$A$6:$A$104&amp;'AEA2012 update'!$B$6:$B$104,0),MATCH(AI$16,'AEA2012 update'!$S$4:$Z$4,0)))</f>
        <v>379440.3492948676</v>
      </c>
      <c r="AJ35" s="103" cm="1">
        <f t="array" ref="AJ35">IF(AC35,INDEX('AEA2012 update'!$K$6:$R$104,MATCH($T35&amp;$R35,'AEA2012 update'!$A$6:$A$104&amp;'AEA2012 update'!$B$6:$B$104,0),MATCH(AJ$16,'AEA2012 update'!$S$4:$Z$4,0)),INDEX('AEA2012 update'!$K$6:$R$104,MATCH($T35&amp;$U35,'AEA2012 update'!$A$6:$A$104&amp;'AEA2012 update'!$B$6:$B$104,0),MATCH(AJ$16,'AEA2012 update'!$S$4:$Z$4,0)))</f>
        <v>387396.22422821133</v>
      </c>
      <c r="AK35" s="103" t="str">
        <f t="shared" si="13"/>
        <v>SUVODSH</v>
      </c>
      <c r="AL35" s="67">
        <f>INDEX('Vehicle data '!$AD$20:$AD$110,MATCH($AK35,'Vehicle data '!$AC$20:$AC$110,0))/INDEX('Vehicle data '!$AD$20:$AD$110,MATCH($AK$31,'Vehicle data '!$AC$20:$AC$110,0))*AL$31</f>
        <v>1.9933719332103677</v>
      </c>
      <c r="AM35" s="67">
        <f t="array" ref="AM35">IF($AE$1,AL35*(1+INDEX(AM$1:AM$2,MATCH($O35,$AI$1:$AI$2,0)))^(AM$16-AL$16),INDEX('AEA2012 update'!$AC$6:$AG$104,MATCH($T35&amp;$U35,'AEA2012 update'!$A$6:$A$104&amp;'AEA2012 update'!$B$6:$B$104,0),MATCH(AM$16,'AEA2012 update'!$AC$4:$AG$4,0)))</f>
        <v>1.9636206079357112</v>
      </c>
      <c r="AN35" s="67">
        <f t="array" ref="AN35">IF($AE$1,AM35*(1+INDEX(AN$1:AN$2,MATCH($O35,$AI$1:$AI$2,0)))^(AN$16-AM$16),INDEX('AEA2012 update'!$AC$6:$AG$104,MATCH($T35&amp;$U35,'AEA2012 update'!$A$6:$A$104&amp;'AEA2012 update'!$B$6:$B$104,0),MATCH(AN$16,'AEA2012 update'!$AC$4:$AG$4,0)))</f>
        <v>1.8212213617754165</v>
      </c>
      <c r="AO35" s="67">
        <f t="array" ref="AO35">IF($AE$1,AN35*(1+INDEX(AO$1:AO$2,MATCH($O35,$AI$1:$AI$2,0)))^(AO$16-AN$16),INDEX('AEA2012 update'!$AC$6:$AG$104,MATCH($T35&amp;$U35,'AEA2012 update'!$A$6:$A$104&amp;'AEA2012 update'!$B$6:$B$104,0),MATCH(AO$16,'AEA2012 update'!$AC$4:$AG$4,0)))</f>
        <v>1.6470799542128114</v>
      </c>
      <c r="AP35" s="67">
        <f t="array" ref="AP35">IF($AE$1,AO35*(1+INDEX(AP$1:AP$2,MATCH($O35,$AI$1:$AI$2,0)))^(AP$16-AO$16),INDEX('AEA2012 update'!$AC$6:$AG$104,MATCH($T35&amp;$U35,'AEA2012 update'!$A$6:$A$104&amp;'AEA2012 update'!$B$6:$B$104,0),MATCH(AP$16,'AEA2012 update'!$AC$4:$AG$4,0)))</f>
        <v>1.4895895866963886</v>
      </c>
      <c r="AQ35" s="67"/>
      <c r="AR35" s="257">
        <f t="shared" si="10"/>
        <v>-4.9750416666666693E-3</v>
      </c>
      <c r="AS35" s="257">
        <f t="shared" si="11"/>
        <v>-8.0468874575124038E-3</v>
      </c>
      <c r="AY35" s="61" t="str">
        <f t="shared" si="12"/>
        <v>SUV-ODSH</v>
      </c>
      <c r="AZ35" s="80" t="e" cm="1">
        <f t="array" aca="1" ref="AZ35" ca="1">AL35/INDIRECT("cv."&amp;LEFT($U35,6)&amp;".hhv.MJL") * 100</f>
        <v>#REF!</v>
      </c>
      <c r="BA35" s="80" t="e" cm="1">
        <f t="array" aca="1" ref="BA35" ca="1">AM35/INDIRECT("cv."&amp;LEFT($U35,6)&amp;".hhv.MJL") * 100</f>
        <v>#REF!</v>
      </c>
      <c r="BB35" s="80" t="e" cm="1">
        <f t="array" aca="1" ref="BB35" ca="1">AN35/INDIRECT("cv."&amp;LEFT($U35,6)&amp;".hhv.MJL") * 100</f>
        <v>#REF!</v>
      </c>
      <c r="BC35" s="80" t="e" cm="1">
        <f t="array" aca="1" ref="BC35" ca="1">AO35/INDIRECT("cv."&amp;LEFT($U35,6)&amp;".hhv.MJL") * 100</f>
        <v>#REF!</v>
      </c>
      <c r="BD35" s="80" t="e" cm="1">
        <f t="array" aca="1" ref="BD35" ca="1">AP35/INDIRECT("cv."&amp;LEFT($U35,6)&amp;".hhv.MJL") * 100</f>
        <v>#REF!</v>
      </c>
    </row>
    <row r="36" spans="1:56" x14ac:dyDescent="0.25">
      <c r="N36" s="61" t="s">
        <v>501</v>
      </c>
      <c r="O36" s="61" t="s">
        <v>613</v>
      </c>
      <c r="P36" s="61" t="s">
        <v>460</v>
      </c>
      <c r="Q36" s="61" t="str">
        <f t="shared" si="7"/>
        <v>SUV</v>
      </c>
      <c r="R36" s="61" t="s">
        <v>680</v>
      </c>
      <c r="S36" s="65"/>
      <c r="T36" s="256" t="s">
        <v>701</v>
      </c>
      <c r="U36" s="913" t="s">
        <v>692</v>
      </c>
      <c r="V36" s="921">
        <v>2040</v>
      </c>
      <c r="W36" s="914">
        <f t="shared" si="8"/>
        <v>0</v>
      </c>
      <c r="X36" s="915">
        <f t="shared" si="8"/>
        <v>0</v>
      </c>
      <c r="Y36" s="915">
        <f t="shared" si="8"/>
        <v>0</v>
      </c>
      <c r="Z36" s="915">
        <f t="shared" si="8"/>
        <v>0</v>
      </c>
      <c r="AA36" s="915">
        <f t="shared" si="8"/>
        <v>0</v>
      </c>
      <c r="AB36" s="915">
        <f t="shared" si="8"/>
        <v>1</v>
      </c>
      <c r="AC36" s="916">
        <f t="shared" si="8"/>
        <v>1</v>
      </c>
      <c r="AD36" s="103" cm="1">
        <f t="array" ref="AD36">IF(W36,INDEX('AEA2012 update'!$K$6:$R$104,MATCH($T36&amp;$R36,'AEA2012 update'!$A$6:$A$104&amp;'AEA2012 update'!$B$6:$B$104,0),MATCH(AD$16,'AEA2012 update'!$S$4:$Z$4,0)),INDEX('AEA2012 update'!$K$6:$R$104,MATCH($T36&amp;$U36,'AEA2012 update'!$A$6:$A$104&amp;'AEA2012 update'!$B$6:$B$104,0),MATCH(AD$16,'AEA2012 update'!$S$4:$Z$4,0)))</f>
        <v>1200355.9594665694</v>
      </c>
      <c r="AE36" s="103" cm="1">
        <f t="array" ref="AE36">IF(X36,INDEX('AEA2012 update'!$K$6:$R$104,MATCH($T36&amp;$R36,'AEA2012 update'!$A$6:$A$104&amp;'AEA2012 update'!$B$6:$B$104,0),MATCH(AE$16,'AEA2012 update'!$S$4:$Z$4,0)),INDEX('AEA2012 update'!$K$6:$R$104,MATCH($T36&amp;$U36,'AEA2012 update'!$A$6:$A$104&amp;'AEA2012 update'!$B$6:$B$104,0),MATCH(AE$16,'AEA2012 update'!$S$4:$Z$4,0)))</f>
        <v>820963.00033176108</v>
      </c>
      <c r="AF36" s="103" cm="1">
        <f t="array" ref="AF36">IF(Y36,INDEX('AEA2012 update'!$K$6:$R$104,MATCH($T36&amp;$R36,'AEA2012 update'!$A$6:$A$104&amp;'AEA2012 update'!$B$6:$B$104,0),MATCH(AF$16,'AEA2012 update'!$S$4:$Z$4,0)),INDEX('AEA2012 update'!$K$6:$R$104,MATCH($T36&amp;$U36,'AEA2012 update'!$A$6:$A$104&amp;'AEA2012 update'!$B$6:$B$104,0),MATCH(AF$16,'AEA2012 update'!$S$4:$Z$4,0)))</f>
        <v>755333.69376548787</v>
      </c>
      <c r="AG36" s="103" cm="1">
        <f t="array" ref="AG36">IF(Z36,INDEX('AEA2012 update'!$K$6:$R$104,MATCH($T36&amp;$R36,'AEA2012 update'!$A$6:$A$104&amp;'AEA2012 update'!$B$6:$B$104,0),MATCH(AG$16,'AEA2012 update'!$S$4:$Z$4,0)),INDEX('AEA2012 update'!$K$6:$R$104,MATCH($T36&amp;$U36,'AEA2012 update'!$A$6:$A$104&amp;'AEA2012 update'!$B$6:$B$104,0),MATCH(AG$16,'AEA2012 update'!$S$4:$Z$4,0)))</f>
        <v>689704.38719921454</v>
      </c>
      <c r="AH36" s="103" cm="1">
        <f t="array" ref="AH36">IF(AA36,INDEX('AEA2012 update'!$K$6:$R$104,MATCH($T36&amp;$R36,'AEA2012 update'!$A$6:$A$104&amp;'AEA2012 update'!$B$6:$B$104,0),MATCH(AH$16,'AEA2012 update'!$S$4:$Z$4,0)),INDEX('AEA2012 update'!$K$6:$R$104,MATCH($T36&amp;$U36,'AEA2012 update'!$A$6:$A$104&amp;'AEA2012 update'!$B$6:$B$104,0),MATCH(AH$16,'AEA2012 update'!$S$4:$Z$4,0)))</f>
        <v>696544.23846668703</v>
      </c>
      <c r="AI36" s="103" cm="1">
        <f t="array" ref="AI36">IF(AB36,INDEX('AEA2012 update'!$K$6:$R$104,MATCH($T36&amp;$R36,'AEA2012 update'!$A$6:$A$104&amp;'AEA2012 update'!$B$6:$B$104,0),MATCH(AI$16,'AEA2012 update'!$S$4:$Z$4,0)),INDEX('AEA2012 update'!$K$6:$R$104,MATCH($T36&amp;$U36,'AEA2012 update'!$A$6:$A$104&amp;'AEA2012 update'!$B$6:$B$104,0),MATCH(AI$16,'AEA2012 update'!$S$4:$Z$4,0)))</f>
        <v>379440.3492948676</v>
      </c>
      <c r="AJ36" s="103" cm="1">
        <f t="array" ref="AJ36">IF(AC36,INDEX('AEA2012 update'!$K$6:$R$104,MATCH($T36&amp;$R36,'AEA2012 update'!$A$6:$A$104&amp;'AEA2012 update'!$B$6:$B$104,0),MATCH(AJ$16,'AEA2012 update'!$S$4:$Z$4,0)),INDEX('AEA2012 update'!$K$6:$R$104,MATCH($T36&amp;$U36,'AEA2012 update'!$A$6:$A$104&amp;'AEA2012 update'!$B$6:$B$104,0),MATCH(AJ$16,'AEA2012 update'!$S$4:$Z$4,0)))</f>
        <v>387396.22422821133</v>
      </c>
      <c r="AK36" s="103" t="str">
        <f t="shared" si="13"/>
        <v>SUVELC</v>
      </c>
      <c r="AL36" s="67">
        <f>1/INDEX(Analytica!$AA$17:$AE$48,MATCH($AK36,Analytica!$A$17:$A$48,0),MATCH(AL$16,Analytica!$AA$16:$AE$16,0))</f>
        <v>0.6770480704129993</v>
      </c>
      <c r="AM36" s="67">
        <f t="array" ref="AM36">IF($AE$1,AL36*(1+INDEX(AM$1:AM$2,MATCH($O36,$AI$1:$AI$2,0)))^(AM$16-AL$16),INDEX('AEA2012 update'!$AC$6:$AG$104,MATCH($T36&amp;$U36,'AEA2012 update'!$A$6:$A$104&amp;'AEA2012 update'!$B$6:$B$104,0),MATCH(AM$16,'AEA2012 update'!$AC$4:$AG$4,0)))</f>
        <v>0.66694304333107646</v>
      </c>
      <c r="AN36" s="67">
        <f t="array" ref="AN36">IF($AE$1,AM36*(1+INDEX(AN$1:AN$2,MATCH($O36,$AI$1:$AI$2,0)))^(AN$16-AM$16),INDEX('AEA2012 update'!$AC$6:$AG$104,MATCH($T36&amp;$U36,'AEA2012 update'!$A$6:$A$104&amp;'AEA2012 update'!$B$6:$B$104,0),MATCH(AN$16,'AEA2012 update'!$AC$4:$AG$4,0)))</f>
        <v>0.61857718985694776</v>
      </c>
      <c r="AO36" s="67">
        <f t="array" ref="AO36">IF($AE$1,AN36*(1+INDEX(AO$1:AO$2,MATCH($O36,$AI$1:$AI$2,0)))^(AO$16-AN$16),INDEX('AEA2012 update'!$AC$6:$AG$104,MATCH($T36&amp;$U36,'AEA2012 update'!$A$6:$A$104&amp;'AEA2012 update'!$B$6:$B$104,0),MATCH(AO$16,'AEA2012 update'!$AC$4:$AG$4,0)))</f>
        <v>0.55943012251594149</v>
      </c>
      <c r="AP36" s="67">
        <f t="array" ref="AP36">IF($AE$1,AO36*(1+INDEX(AP$1:AP$2,MATCH($O36,$AI$1:$AI$2,0)))^(AP$16-AO$16),INDEX('AEA2012 update'!$AC$6:$AG$104,MATCH($T36&amp;$U36,'AEA2012 update'!$A$6:$A$104&amp;'AEA2012 update'!$B$6:$B$104,0),MATCH(AP$16,'AEA2012 update'!$AC$4:$AG$4,0)))</f>
        <v>0.50593857502339679</v>
      </c>
      <c r="AQ36" s="67"/>
      <c r="AR36" s="257">
        <f t="shared" si="10"/>
        <v>-4.9750416666666814E-3</v>
      </c>
      <c r="AS36" s="257">
        <f t="shared" si="11"/>
        <v>-8.0468874575124021E-3</v>
      </c>
      <c r="AY36" s="61" t="str">
        <f t="shared" si="12"/>
        <v>SUV-ELC</v>
      </c>
      <c r="AZ36" s="80" t="e" cm="1">
        <f t="array" aca="1" ref="AZ36" ca="1">AL36/INDIRECT("cv."&amp;LEFT($U36,6)&amp;".hhv.MJL") * 100</f>
        <v>#REF!</v>
      </c>
      <c r="BA36" s="80" t="e" cm="1">
        <f t="array" aca="1" ref="BA36" ca="1">AM36/INDIRECT("cv."&amp;LEFT($U36,6)&amp;".hhv.MJL") * 100</f>
        <v>#REF!</v>
      </c>
      <c r="BB36" s="80" t="e" cm="1">
        <f t="array" aca="1" ref="BB36" ca="1">AN36/INDIRECT("cv."&amp;LEFT($U36,6)&amp;".hhv.MJL") * 100</f>
        <v>#REF!</v>
      </c>
      <c r="BC36" s="80" t="e" cm="1">
        <f t="array" aca="1" ref="BC36" ca="1">AO36/INDIRECT("cv."&amp;LEFT($U36,6)&amp;".hhv.MJL") * 100</f>
        <v>#REF!</v>
      </c>
      <c r="BD36" s="80" t="e" cm="1">
        <f t="array" aca="1" ref="BD36" ca="1">AP36/INDIRECT("cv."&amp;LEFT($U36,6)&amp;".hhv.MJL") * 100</f>
        <v>#REF!</v>
      </c>
    </row>
    <row r="37" spans="1:56" x14ac:dyDescent="0.25">
      <c r="N37" s="61" t="s">
        <v>504</v>
      </c>
      <c r="O37" s="61" t="s">
        <v>613</v>
      </c>
      <c r="P37" s="61" t="s">
        <v>460</v>
      </c>
      <c r="Q37" s="61" t="str">
        <f t="shared" si="7"/>
        <v>SUV</v>
      </c>
      <c r="R37" s="61" t="s">
        <v>680</v>
      </c>
      <c r="S37" s="65"/>
      <c r="T37" s="256" t="s">
        <v>701</v>
      </c>
      <c r="U37" s="913" t="s">
        <v>699</v>
      </c>
      <c r="V37" s="921">
        <v>2050</v>
      </c>
      <c r="W37" s="914">
        <f t="shared" ref="W37:AC52" si="15">IF($V37="",0,IF(W$19&gt;=$V37,1,0))</f>
        <v>0</v>
      </c>
      <c r="X37" s="915">
        <f t="shared" si="15"/>
        <v>0</v>
      </c>
      <c r="Y37" s="915">
        <f t="shared" si="15"/>
        <v>0</v>
      </c>
      <c r="Z37" s="915">
        <f t="shared" si="15"/>
        <v>0</v>
      </c>
      <c r="AA37" s="915">
        <f t="shared" si="15"/>
        <v>0</v>
      </c>
      <c r="AB37" s="915">
        <f t="shared" si="15"/>
        <v>0</v>
      </c>
      <c r="AC37" s="916">
        <f t="shared" si="15"/>
        <v>1</v>
      </c>
      <c r="AD37" s="103" cm="1">
        <f t="array" ref="AD37">IF(W37,INDEX('AEA2012 update'!$K$6:$R$104,MATCH($T37&amp;$R37,'AEA2012 update'!$A$6:$A$104&amp;'AEA2012 update'!$B$6:$B$104,0),MATCH(AD$16,'AEA2012 update'!$S$4:$Z$4,0)),INDEX('AEA2012 update'!$K$6:$R$104,MATCH($T37&amp;$U37,'AEA2012 update'!$A$6:$A$104&amp;'AEA2012 update'!$B$6:$B$104,0),MATCH(AD$16,'AEA2012 update'!$S$4:$Z$4,0)))</f>
        <v>4486535.6914122794</v>
      </c>
      <c r="AE37" s="103" cm="1">
        <f t="array" ref="AE37">IF(X37,INDEX('AEA2012 update'!$K$6:$R$104,MATCH($T37&amp;$R37,'AEA2012 update'!$A$6:$A$104&amp;'AEA2012 update'!$B$6:$B$104,0),MATCH(AE$16,'AEA2012 update'!$S$4:$Z$4,0)),INDEX('AEA2012 update'!$K$6:$R$104,MATCH($T37&amp;$U37,'AEA2012 update'!$A$6:$A$104&amp;'AEA2012 update'!$B$6:$B$104,0),MATCH(AE$16,'AEA2012 update'!$S$4:$Z$4,0)))</f>
        <v>1793789.1316594642</v>
      </c>
      <c r="AF37" s="103" cm="1">
        <f t="array" ref="AF37">IF(Y37,INDEX('AEA2012 update'!$K$6:$R$104,MATCH($T37&amp;$R37,'AEA2012 update'!$A$6:$A$104&amp;'AEA2012 update'!$B$6:$B$104,0),MATCH(AF$16,'AEA2012 update'!$S$4:$Z$4,0)),INDEX('AEA2012 update'!$K$6:$R$104,MATCH($T37&amp;$U37,'AEA2012 update'!$A$6:$A$104&amp;'AEA2012 update'!$B$6:$B$104,0),MATCH(AF$16,'AEA2012 update'!$S$4:$Z$4,0)))</f>
        <v>1377038.9964110029</v>
      </c>
      <c r="AG37" s="103" cm="1">
        <f t="array" ref="AG37">IF(Z37,INDEX('AEA2012 update'!$K$6:$R$104,MATCH($T37&amp;$R37,'AEA2012 update'!$A$6:$A$104&amp;'AEA2012 update'!$B$6:$B$104,0),MATCH(AG$16,'AEA2012 update'!$S$4:$Z$4,0)),INDEX('AEA2012 update'!$K$6:$R$104,MATCH($T37&amp;$U37,'AEA2012 update'!$A$6:$A$104&amp;'AEA2012 update'!$B$6:$B$104,0),MATCH(AG$16,'AEA2012 update'!$S$4:$Z$4,0)))</f>
        <v>960288.86116254178</v>
      </c>
      <c r="AH37" s="103" cm="1">
        <f t="array" ref="AH37">IF(AA37,INDEX('AEA2012 update'!$K$6:$R$104,MATCH($T37&amp;$R37,'AEA2012 update'!$A$6:$A$104&amp;'AEA2012 update'!$B$6:$B$104,0),MATCH(AH$16,'AEA2012 update'!$S$4:$Z$4,0)),INDEX('AEA2012 update'!$K$6:$R$104,MATCH($T37&amp;$U37,'AEA2012 update'!$A$6:$A$104&amp;'AEA2012 update'!$B$6:$B$104,0),MATCH(AH$16,'AEA2012 update'!$S$4:$Z$4,0)))</f>
        <v>914456.44042789342</v>
      </c>
      <c r="AI37" s="103" cm="1">
        <f t="array" ref="AI37">IF(AB37,INDEX('AEA2012 update'!$K$6:$R$104,MATCH($T37&amp;$R37,'AEA2012 update'!$A$6:$A$104&amp;'AEA2012 update'!$B$6:$B$104,0),MATCH(AI$16,'AEA2012 update'!$S$4:$Z$4,0)),INDEX('AEA2012 update'!$K$6:$R$104,MATCH($T37&amp;$U37,'AEA2012 update'!$A$6:$A$104&amp;'AEA2012 update'!$B$6:$B$104,0),MATCH(AI$16,'AEA2012 update'!$S$4:$Z$4,0)))</f>
        <v>868624.01969324483</v>
      </c>
      <c r="AJ37" s="103" cm="1">
        <f t="array" ref="AJ37">IF(AC37,INDEX('AEA2012 update'!$K$6:$R$104,MATCH($T37&amp;$R37,'AEA2012 update'!$A$6:$A$104&amp;'AEA2012 update'!$B$6:$B$104,0),MATCH(AJ$16,'AEA2012 update'!$S$4:$Z$4,0)),INDEX('AEA2012 update'!$K$6:$R$104,MATCH($T37&amp;$U37,'AEA2012 update'!$A$6:$A$104&amp;'AEA2012 update'!$B$6:$B$104,0),MATCH(AJ$16,'AEA2012 update'!$S$4:$Z$4,0)))</f>
        <v>387396.22422821133</v>
      </c>
      <c r="AK37" s="103" t="str">
        <f t="shared" si="13"/>
        <v>SUVHGN</v>
      </c>
      <c r="AL37" s="67">
        <f>INDEX('Vehicle data '!$AD$20:$AD$110,MATCH($AK37,'Vehicle data '!$AC$20:$AC$110,0))/INDEX('Vehicle data '!$AD$20:$AD$110,MATCH($AK$31,'Vehicle data '!$AC$20:$AC$110,0))*AL$31</f>
        <v>1.1523049072229372</v>
      </c>
      <c r="AM37" s="67">
        <f t="array" ref="AM37">IF($AE$1,AL37*(1+INDEX(AM$1:AM$2,MATCH($O37,$AI$1:$AI$2,0)))^(AM$16-AL$16),INDEX('AEA2012 update'!$AC$6:$AG$104,MATCH($T37&amp;$U37,'AEA2012 update'!$A$6:$A$104&amp;'AEA2012 update'!$B$6:$B$104,0),MATCH(AM$16,'AEA2012 update'!$AC$4:$AG$4,0)))</f>
        <v>1.1351066124445215</v>
      </c>
      <c r="AN37" s="67">
        <f t="array" ref="AN37">IF($AE$1,AM37*(1+INDEX(AN$1:AN$2,MATCH($O37,$AI$1:$AI$2,0)))^(AN$16-AM$16),INDEX('AEA2012 update'!$AC$6:$AG$104,MATCH($T37&amp;$U37,'AEA2012 update'!$A$6:$A$104&amp;'AEA2012 update'!$B$6:$B$104,0),MATCH(AN$16,'AEA2012 update'!$AC$4:$AG$4,0)))</f>
        <v>1.0527901378310316</v>
      </c>
      <c r="AO37" s="67">
        <f t="array" ref="AO37">IF($AE$1,AN37*(1+INDEX(AO$1:AO$2,MATCH($O37,$AI$1:$AI$2,0)))^(AO$16-AN$16),INDEX('AEA2012 update'!$AC$6:$AG$104,MATCH($T37&amp;$U37,'AEA2012 update'!$A$6:$A$104&amp;'AEA2012 update'!$B$6:$B$104,0),MATCH(AO$16,'AEA2012 update'!$AC$4:$AG$4,0)))</f>
        <v>0.95212452940043346</v>
      </c>
      <c r="AP37" s="67">
        <f t="array" ref="AP37">IF($AE$1,AO37*(1+INDEX(AP$1:AP$2,MATCH($O37,$AI$1:$AI$2,0)))^(AP$16-AO$16),INDEX('AEA2012 update'!$AC$6:$AG$104,MATCH($T37&amp;$U37,'AEA2012 update'!$A$6:$A$104&amp;'AEA2012 update'!$B$6:$B$104,0),MATCH(AP$16,'AEA2012 update'!$AC$4:$AG$4,0)))</f>
        <v>0.86108435756594526</v>
      </c>
      <c r="AQ37" s="67"/>
      <c r="AR37" s="257">
        <f t="shared" si="10"/>
        <v>-4.9750416666666615E-3</v>
      </c>
      <c r="AS37" s="257">
        <f t="shared" si="11"/>
        <v>-8.0468874575124003E-3</v>
      </c>
      <c r="AY37" s="61" t="str">
        <f t="shared" si="12"/>
        <v>SUV-HGN</v>
      </c>
      <c r="AZ37" s="80" t="e" cm="1">
        <f t="array" aca="1" ref="AZ37" ca="1">AL37/INDIRECT("cv."&amp;LEFT($U37,6)&amp;".hhv.MJL") * 100</f>
        <v>#REF!</v>
      </c>
      <c r="BA37" s="80" t="e" cm="1">
        <f t="array" aca="1" ref="BA37" ca="1">AM37/INDIRECT("cv."&amp;LEFT($U37,6)&amp;".hhv.MJL") * 100</f>
        <v>#REF!</v>
      </c>
      <c r="BB37" s="80" t="e" cm="1">
        <f t="array" aca="1" ref="BB37" ca="1">AN37/INDIRECT("cv."&amp;LEFT($U37,6)&amp;".hhv.MJL") * 100</f>
        <v>#REF!</v>
      </c>
      <c r="BC37" s="80" t="e" cm="1">
        <f t="array" aca="1" ref="BC37" ca="1">AO37/INDIRECT("cv."&amp;LEFT($U37,6)&amp;".hhv.MJL") * 100</f>
        <v>#REF!</v>
      </c>
      <c r="BD37" s="80" t="e" cm="1">
        <f t="array" aca="1" ref="BD37" ca="1">AP37/INDIRECT("cv."&amp;LEFT($U37,6)&amp;".hhv.MJL") * 100</f>
        <v>#REF!</v>
      </c>
    </row>
    <row r="38" spans="1:56" x14ac:dyDescent="0.25">
      <c r="A38" s="65" t="s">
        <v>617</v>
      </c>
      <c r="C38" s="65" t="s">
        <v>702</v>
      </c>
      <c r="N38" s="61" t="s">
        <v>509</v>
      </c>
      <c r="O38" s="61" t="s">
        <v>613</v>
      </c>
      <c r="P38" s="61" t="s">
        <v>460</v>
      </c>
      <c r="Q38" s="61" t="str">
        <f t="shared" si="7"/>
        <v>SUV</v>
      </c>
      <c r="R38" s="61" t="s">
        <v>680</v>
      </c>
      <c r="S38" s="65"/>
      <c r="T38" s="256" t="s">
        <v>701</v>
      </c>
      <c r="U38" s="913" t="s">
        <v>700</v>
      </c>
      <c r="V38" s="921"/>
      <c r="W38" s="914">
        <f t="shared" si="15"/>
        <v>0</v>
      </c>
      <c r="X38" s="915">
        <f t="shared" si="15"/>
        <v>0</v>
      </c>
      <c r="Y38" s="915">
        <f t="shared" si="15"/>
        <v>0</v>
      </c>
      <c r="Z38" s="915">
        <f t="shared" si="15"/>
        <v>0</v>
      </c>
      <c r="AA38" s="915">
        <f t="shared" si="15"/>
        <v>0</v>
      </c>
      <c r="AB38" s="915">
        <f t="shared" si="15"/>
        <v>0</v>
      </c>
      <c r="AC38" s="916">
        <f t="shared" si="15"/>
        <v>0</v>
      </c>
      <c r="AD38" s="103" cm="1">
        <f t="array" ref="AD38">IF(W38,INDEX('AEA2012 update'!$K$6:$R$104,MATCH($T38&amp;$R38,'AEA2012 update'!$A$6:$A$104&amp;'AEA2012 update'!$B$6:$B$104,0),MATCH(AD$16,'AEA2012 update'!$S$4:$Z$4,0)),INDEX('AEA2012 update'!$K$6:$R$104,MATCH($T38&amp;$U38,'AEA2012 update'!$A$6:$A$104&amp;'AEA2012 update'!$B$6:$B$104,0),MATCH(AD$16,'AEA2012 update'!$S$4:$Z$4,0)))</f>
        <v>519120.41439989489</v>
      </c>
      <c r="AE38" s="103" cm="1">
        <f t="array" ref="AE38">IF(X38,INDEX('AEA2012 update'!$K$6:$R$104,MATCH($T38&amp;$R38,'AEA2012 update'!$A$6:$A$104&amp;'AEA2012 update'!$B$6:$B$104,0),MATCH(AE$16,'AEA2012 update'!$S$4:$Z$4,0)),INDEX('AEA2012 update'!$K$6:$R$104,MATCH($T38&amp;$U38,'AEA2012 update'!$A$6:$A$104&amp;'AEA2012 update'!$B$6:$B$104,0),MATCH(AE$16,'AEA2012 update'!$S$4:$Z$4,0)))</f>
        <v>545626.74611489451</v>
      </c>
      <c r="AF38" s="103" cm="1">
        <f t="array" ref="AF38">IF(Y38,INDEX('AEA2012 update'!$K$6:$R$104,MATCH($T38&amp;$R38,'AEA2012 update'!$A$6:$A$104&amp;'AEA2012 update'!$B$6:$B$104,0),MATCH(AF$16,'AEA2012 update'!$S$4:$Z$4,0)),INDEX('AEA2012 update'!$K$6:$R$104,MATCH($T38&amp;$U38,'AEA2012 update'!$A$6:$A$104&amp;'AEA2012 update'!$B$6:$B$104,0),MATCH(AF$16,'AEA2012 update'!$S$4:$Z$4,0)))</f>
        <v>551370.12411759188</v>
      </c>
      <c r="AG38" s="103" cm="1">
        <f t="array" ref="AG38">IF(Z38,INDEX('AEA2012 update'!$K$6:$R$104,MATCH($T38&amp;$R38,'AEA2012 update'!$A$6:$A$104&amp;'AEA2012 update'!$B$6:$B$104,0),MATCH(AG$16,'AEA2012 update'!$S$4:$Z$4,0)),INDEX('AEA2012 update'!$K$6:$R$104,MATCH($T38&amp;$U38,'AEA2012 update'!$A$6:$A$104&amp;'AEA2012 update'!$B$6:$B$104,0),MATCH(AG$16,'AEA2012 update'!$S$4:$Z$4,0)))</f>
        <v>557113.50212028937</v>
      </c>
      <c r="AH38" s="103" cm="1">
        <f t="array" ref="AH38">IF(AA38,INDEX('AEA2012 update'!$K$6:$R$104,MATCH($T38&amp;$R38,'AEA2012 update'!$A$6:$A$104&amp;'AEA2012 update'!$B$6:$B$104,0),MATCH(AH$16,'AEA2012 update'!$S$4:$Z$4,0)),INDEX('AEA2012 update'!$K$6:$R$104,MATCH($T38&amp;$U38,'AEA2012 update'!$A$6:$A$104&amp;'AEA2012 update'!$B$6:$B$104,0),MATCH(AH$16,'AEA2012 update'!$S$4:$Z$4,0)))</f>
        <v>565345.03849646868</v>
      </c>
      <c r="AI38" s="103" cm="1">
        <f t="array" ref="AI38">IF(AB38,INDEX('AEA2012 update'!$K$6:$R$104,MATCH($T38&amp;$R38,'AEA2012 update'!$A$6:$A$104&amp;'AEA2012 update'!$B$6:$B$104,0),MATCH(AI$16,'AEA2012 update'!$S$4:$Z$4,0)),INDEX('AEA2012 update'!$K$6:$R$104,MATCH($T38&amp;$U38,'AEA2012 update'!$A$6:$A$104&amp;'AEA2012 update'!$B$6:$B$104,0),MATCH(AI$16,'AEA2012 update'!$S$4:$Z$4,0)))</f>
        <v>573576.57487264799</v>
      </c>
      <c r="AJ38" s="103" cm="1">
        <f t="array" ref="AJ38">IF(AC38,INDEX('AEA2012 update'!$K$6:$R$104,MATCH($T38&amp;$R38,'AEA2012 update'!$A$6:$A$104&amp;'AEA2012 update'!$B$6:$B$104,0),MATCH(AJ$16,'AEA2012 update'!$S$4:$Z$4,0)),INDEX('AEA2012 update'!$K$6:$R$104,MATCH($T38&amp;$U38,'AEA2012 update'!$A$6:$A$104&amp;'AEA2012 update'!$B$6:$B$104,0),MATCH(AJ$16,'AEA2012 update'!$S$4:$Z$4,0)))</f>
        <v>580795.72210982675</v>
      </c>
      <c r="AK38" s="103" t="str">
        <f t="shared" si="13"/>
        <v>SUVGAS</v>
      </c>
      <c r="AL38" s="67">
        <f>INDEX('Vehicle data '!$AD$20:$AD$110,MATCH($AK38,'Vehicle data '!$AC$20:$AC$110,0))/INDEX('Vehicle data '!$AD$20:$AD$110,MATCH($AK$31,'Vehicle data '!$AC$20:$AC$110,0))*AL$31</f>
        <v>2.7440122351772311</v>
      </c>
      <c r="AM38" s="67">
        <f t="array" ref="AM38">IF($AE$1,AL38*(1+INDEX(AM$1:AM$2,MATCH($O38,$AI$1:$AI$2,0)))^(AM$16-AL$16),INDEX('AEA2012 update'!$AC$6:$AG$104,MATCH($T38&amp;$U38,'AEA2012 update'!$A$6:$A$104&amp;'AEA2012 update'!$B$6:$B$104,0),MATCH(AM$16,'AEA2012 update'!$AC$4:$AG$4,0)))</f>
        <v>2.7030575095656815</v>
      </c>
      <c r="AN38" s="67">
        <f t="array" ref="AN38">IF($AE$1,AM38*(1+INDEX(AN$1:AN$2,MATCH($O38,$AI$1:$AI$2,0)))^(AN$16-AM$16),INDEX('AEA2012 update'!$AC$6:$AG$104,MATCH($T38&amp;$U38,'AEA2012 update'!$A$6:$A$104&amp;'AEA2012 update'!$B$6:$B$104,0),MATCH(AN$16,'AEA2012 update'!$AC$4:$AG$4,0)))</f>
        <v>2.5070352483740335</v>
      </c>
      <c r="AO38" s="67">
        <f t="array" ref="AO38">IF($AE$1,AN38*(1+INDEX(AO$1:AO$2,MATCH($O38,$AI$1:$AI$2,0)))^(AO$16-AN$16),INDEX('AEA2012 update'!$AC$6:$AG$104,MATCH($T38&amp;$U38,'AEA2012 update'!$A$6:$A$104&amp;'AEA2012 update'!$B$6:$B$104,0),MATCH(AO$16,'AEA2012 update'!$AC$4:$AG$4,0)))</f>
        <v>2.2673177400447213</v>
      </c>
      <c r="AP38" s="67">
        <f t="array" ref="AP38">IF($AE$1,AO38*(1+INDEX(AP$1:AP$2,MATCH($O38,$AI$1:$AI$2,0)))^(AP$16-AO$16),INDEX('AEA2012 update'!$AC$6:$AG$104,MATCH($T38&amp;$U38,'AEA2012 update'!$A$6:$A$104&amp;'AEA2012 update'!$B$6:$B$104,0),MATCH(AP$16,'AEA2012 update'!$AC$4:$AG$4,0)))</f>
        <v>2.0505215224459179</v>
      </c>
      <c r="AQ38" s="67"/>
      <c r="AR38" s="257">
        <f t="shared" si="10"/>
        <v>-4.975041666666678E-3</v>
      </c>
      <c r="AS38" s="257">
        <f t="shared" si="11"/>
        <v>-8.0468874575124003E-3</v>
      </c>
      <c r="AY38" s="61" t="str">
        <f t="shared" si="12"/>
        <v>SUV-GAS</v>
      </c>
      <c r="AZ38" s="80" t="e" cm="1">
        <f t="array" aca="1" ref="AZ38" ca="1">AL38/INDIRECT("cv."&amp;LEFT($U38,6)&amp;".hhv.MJL") * 100</f>
        <v>#REF!</v>
      </c>
      <c r="BA38" s="80" t="e" cm="1">
        <f t="array" aca="1" ref="BA38" ca="1">AM38/INDIRECT("cv."&amp;LEFT($U38,6)&amp;".hhv.MJL") * 100</f>
        <v>#REF!</v>
      </c>
      <c r="BB38" s="80" t="e" cm="1">
        <f t="array" aca="1" ref="BB38" ca="1">AN38/INDIRECT("cv."&amp;LEFT($U38,6)&amp;".hhv.MJL") * 100</f>
        <v>#REF!</v>
      </c>
      <c r="BC38" s="80" t="e" cm="1">
        <f t="array" aca="1" ref="BC38" ca="1">AO38/INDIRECT("cv."&amp;LEFT($U38,6)&amp;".hhv.MJL") * 100</f>
        <v>#REF!</v>
      </c>
      <c r="BD38" s="80" t="e" cm="1">
        <f t="array" aca="1" ref="BD38" ca="1">AP38/INDIRECT("cv."&amp;LEFT($U38,6)&amp;".hhv.MJL") * 100</f>
        <v>#REF!</v>
      </c>
    </row>
    <row r="39" spans="1:56" x14ac:dyDescent="0.25">
      <c r="A39" s="65"/>
      <c r="C39" s="65"/>
      <c r="O39" s="61" t="s">
        <v>613</v>
      </c>
      <c r="Q39" s="61" t="str">
        <f t="shared" si="7"/>
        <v/>
      </c>
      <c r="S39" s="65"/>
      <c r="T39" s="256"/>
      <c r="U39" s="913"/>
      <c r="V39" s="921"/>
      <c r="W39" s="914">
        <f t="shared" si="15"/>
        <v>0</v>
      </c>
      <c r="X39" s="915">
        <f t="shared" si="15"/>
        <v>0</v>
      </c>
      <c r="Y39" s="915">
        <f t="shared" si="15"/>
        <v>0</v>
      </c>
      <c r="Z39" s="915">
        <f t="shared" si="15"/>
        <v>0</v>
      </c>
      <c r="AA39" s="915">
        <f t="shared" si="15"/>
        <v>0</v>
      </c>
      <c r="AB39" s="915">
        <f t="shared" si="15"/>
        <v>0</v>
      </c>
      <c r="AC39" s="916">
        <f t="shared" si="15"/>
        <v>0</v>
      </c>
      <c r="AD39" s="103" t="e" cm="1">
        <f t="array" ref="AD39">IF(W39,INDEX('AEA2012 update'!$K$6:$R$104,MATCH($T39&amp;$R39,'AEA2012 update'!$A$6:$A$104&amp;'AEA2012 update'!$B$6:$B$104,0),MATCH(AD$16,'AEA2012 update'!$S$4:$Z$4,0)),INDEX('AEA2012 update'!$K$6:$R$104,MATCH($T39&amp;$U39,'AEA2012 update'!$A$6:$A$104&amp;'AEA2012 update'!$B$6:$B$104,0),MATCH(AD$16,'AEA2012 update'!$S$4:$Z$4,0)))</f>
        <v>#N/A</v>
      </c>
      <c r="AE39" s="103" t="e" cm="1">
        <f t="array" ref="AE39">IF(X39,INDEX('AEA2012 update'!$K$6:$R$104,MATCH($T39&amp;$R39,'AEA2012 update'!$A$6:$A$104&amp;'AEA2012 update'!$B$6:$B$104,0),MATCH(AE$16,'AEA2012 update'!$S$4:$Z$4,0)),INDEX('AEA2012 update'!$K$6:$R$104,MATCH($T39&amp;$U39,'AEA2012 update'!$A$6:$A$104&amp;'AEA2012 update'!$B$6:$B$104,0),MATCH(AE$16,'AEA2012 update'!$S$4:$Z$4,0)))</f>
        <v>#N/A</v>
      </c>
      <c r="AF39" s="103" t="e" cm="1">
        <f t="array" ref="AF39">IF(Y39,INDEX('AEA2012 update'!$K$6:$R$104,MATCH($T39&amp;$R39,'AEA2012 update'!$A$6:$A$104&amp;'AEA2012 update'!$B$6:$B$104,0),MATCH(AF$16,'AEA2012 update'!$S$4:$Z$4,0)),INDEX('AEA2012 update'!$K$6:$R$104,MATCH($T39&amp;$U39,'AEA2012 update'!$A$6:$A$104&amp;'AEA2012 update'!$B$6:$B$104,0),MATCH(AF$16,'AEA2012 update'!$S$4:$Z$4,0)))</f>
        <v>#N/A</v>
      </c>
      <c r="AG39" s="103" t="e" cm="1">
        <f t="array" ref="AG39">IF(Z39,INDEX('AEA2012 update'!$K$6:$R$104,MATCH($T39&amp;$R39,'AEA2012 update'!$A$6:$A$104&amp;'AEA2012 update'!$B$6:$B$104,0),MATCH(AG$16,'AEA2012 update'!$S$4:$Z$4,0)),INDEX('AEA2012 update'!$K$6:$R$104,MATCH($T39&amp;$U39,'AEA2012 update'!$A$6:$A$104&amp;'AEA2012 update'!$B$6:$B$104,0),MATCH(AG$16,'AEA2012 update'!$S$4:$Z$4,0)))</f>
        <v>#N/A</v>
      </c>
      <c r="AH39" s="103" t="e" cm="1">
        <f t="array" ref="AH39">IF(AA39,INDEX('AEA2012 update'!$K$6:$R$104,MATCH($T39&amp;$R39,'AEA2012 update'!$A$6:$A$104&amp;'AEA2012 update'!$B$6:$B$104,0),MATCH(AH$16,'AEA2012 update'!$S$4:$Z$4,0)),INDEX('AEA2012 update'!$K$6:$R$104,MATCH($T39&amp;$U39,'AEA2012 update'!$A$6:$A$104&amp;'AEA2012 update'!$B$6:$B$104,0),MATCH(AH$16,'AEA2012 update'!$S$4:$Z$4,0)))</f>
        <v>#N/A</v>
      </c>
      <c r="AI39" s="103" t="e" cm="1">
        <f t="array" ref="AI39">IF(AB39,INDEX('AEA2012 update'!$K$6:$R$104,MATCH($T39&amp;$R39,'AEA2012 update'!$A$6:$A$104&amp;'AEA2012 update'!$B$6:$B$104,0),MATCH(AI$16,'AEA2012 update'!$S$4:$Z$4,0)),INDEX('AEA2012 update'!$K$6:$R$104,MATCH($T39&amp;$U39,'AEA2012 update'!$A$6:$A$104&amp;'AEA2012 update'!$B$6:$B$104,0),MATCH(AI$16,'AEA2012 update'!$S$4:$Z$4,0)))</f>
        <v>#N/A</v>
      </c>
      <c r="AJ39" s="103" t="e" cm="1">
        <f t="array" ref="AJ39">IF(AC39,INDEX('AEA2012 update'!$K$6:$R$104,MATCH($T39&amp;$R39,'AEA2012 update'!$A$6:$A$104&amp;'AEA2012 update'!$B$6:$B$104,0),MATCH(AJ$16,'AEA2012 update'!$S$4:$Z$4,0)),INDEX('AEA2012 update'!$K$6:$R$104,MATCH($T39&amp;$U39,'AEA2012 update'!$A$6:$A$104&amp;'AEA2012 update'!$B$6:$B$104,0),MATCH(AJ$16,'AEA2012 update'!$S$4:$Z$4,0)))</f>
        <v>#N/A</v>
      </c>
      <c r="AK39" s="103" t="str">
        <f t="shared" si="13"/>
        <v/>
      </c>
      <c r="AL39" s="67" t="e">
        <f>1/INDEX(Analytica!$AA$17:$AE$48,MATCH($AK39,Analytica!$A$17:$A$48,0),MATCH(AL$16,Analytica!$AA$16:$AE$16,0))</f>
        <v>#N/A</v>
      </c>
      <c r="AM39" s="67" t="e">
        <f t="array" ref="AM39">IF($AE$1,AL39*(1+INDEX(AM$1:AM$2,MATCH($O39,$AI$1:$AI$2,0)))^(AM$16-AL$16),INDEX('AEA2012 update'!$AC$6:$AG$104,MATCH($T39&amp;$U39,'AEA2012 update'!$A$6:$A$104&amp;'AEA2012 update'!$B$6:$B$104,0),MATCH(AM$16,'AEA2012 update'!$AC$4:$AG$4,0)))</f>
        <v>#N/A</v>
      </c>
      <c r="AN39" s="67" t="e">
        <f t="array" ref="AN39">IF($AE$1,AM39*(1+INDEX(AN$1:AN$2,MATCH($O39,$AI$1:$AI$2,0)))^(AN$16-AM$16),INDEX('AEA2012 update'!$AC$6:$AG$104,MATCH($T39&amp;$U39,'AEA2012 update'!$A$6:$A$104&amp;'AEA2012 update'!$B$6:$B$104,0),MATCH(AN$16,'AEA2012 update'!$AC$4:$AG$4,0)))</f>
        <v>#N/A</v>
      </c>
      <c r="AO39" s="67" t="e">
        <f t="array" ref="AO39">IF($AE$1,AN39*(1+INDEX(AO$1:AO$2,MATCH($O39,$AI$1:$AI$2,0)))^(AO$16-AN$16),INDEX('AEA2012 update'!$AC$6:$AG$104,MATCH($T39&amp;$U39,'AEA2012 update'!$A$6:$A$104&amp;'AEA2012 update'!$B$6:$B$104,0),MATCH(AO$16,'AEA2012 update'!$AC$4:$AG$4,0)))</f>
        <v>#N/A</v>
      </c>
      <c r="AP39" s="67" t="e">
        <f t="array" ref="AP39">IF($AE$1,AO39*(1+INDEX(AP$1:AP$2,MATCH($O39,$AI$1:$AI$2,0)))^(AP$16-AO$16),INDEX('AEA2012 update'!$AC$6:$AG$104,MATCH($T39&amp;$U39,'AEA2012 update'!$A$6:$A$104&amp;'AEA2012 update'!$B$6:$B$104,0),MATCH(AP$16,'AEA2012 update'!$AC$4:$AG$4,0)))</f>
        <v>#N/A</v>
      </c>
      <c r="AQ39" s="67"/>
      <c r="AR39" s="257" t="e">
        <f t="shared" si="10"/>
        <v>#N/A</v>
      </c>
      <c r="AS39" s="257" t="e">
        <f t="shared" si="11"/>
        <v>#N/A</v>
      </c>
      <c r="AY39" s="61" t="str">
        <f t="shared" si="12"/>
        <v>-</v>
      </c>
      <c r="AZ39" s="80" t="e" cm="1">
        <f t="array" aca="1" ref="AZ39" ca="1">AL39/INDIRECT("cv."&amp;LEFT($U39,6)&amp;".hhv.MJL") * 100</f>
        <v>#N/A</v>
      </c>
      <c r="BA39" s="80" t="e" cm="1">
        <f t="array" aca="1" ref="BA39" ca="1">AM39/INDIRECT("cv."&amp;LEFT($U39,6)&amp;".hhv.MJL") * 100</f>
        <v>#N/A</v>
      </c>
      <c r="BB39" s="80" t="e" cm="1">
        <f t="array" aca="1" ref="BB39" ca="1">AN39/INDIRECT("cv."&amp;LEFT($U39,6)&amp;".hhv.MJL") * 100</f>
        <v>#N/A</v>
      </c>
      <c r="BC39" s="80" t="e" cm="1">
        <f t="array" aca="1" ref="BC39" ca="1">AO39/INDIRECT("cv."&amp;LEFT($U39,6)&amp;".hhv.MJL") * 100</f>
        <v>#N/A</v>
      </c>
      <c r="BD39" s="80" t="e" cm="1">
        <f t="array" aca="1" ref="BD39" ca="1">AP39/INDIRECT("cv."&amp;LEFT($U39,6)&amp;".hhv.MJL") * 100</f>
        <v>#N/A</v>
      </c>
    </row>
    <row r="40" spans="1:56" x14ac:dyDescent="0.25">
      <c r="A40" s="193" t="s">
        <v>703</v>
      </c>
      <c r="C40" s="61" t="s">
        <v>704</v>
      </c>
      <c r="D40" s="61" t="s">
        <v>705</v>
      </c>
      <c r="E40" s="61" t="s">
        <v>706</v>
      </c>
      <c r="F40" s="61">
        <v>10000</v>
      </c>
      <c r="N40" s="61" t="s">
        <v>573</v>
      </c>
      <c r="O40" s="61" t="s">
        <v>613</v>
      </c>
      <c r="P40" s="61" t="s">
        <v>61</v>
      </c>
      <c r="Q40" s="61" t="str">
        <f t="shared" si="7"/>
        <v>MBT</v>
      </c>
      <c r="R40" s="61" t="s">
        <v>680</v>
      </c>
      <c r="S40" s="65"/>
      <c r="T40" s="256" t="s">
        <v>701</v>
      </c>
      <c r="U40" s="913" t="s">
        <v>680</v>
      </c>
      <c r="V40" s="921"/>
      <c r="W40" s="914">
        <f t="shared" si="15"/>
        <v>0</v>
      </c>
      <c r="X40" s="915">
        <f t="shared" si="15"/>
        <v>0</v>
      </c>
      <c r="Y40" s="915">
        <f t="shared" si="15"/>
        <v>0</v>
      </c>
      <c r="Z40" s="915">
        <f t="shared" si="15"/>
        <v>0</v>
      </c>
      <c r="AA40" s="915">
        <f t="shared" si="15"/>
        <v>0</v>
      </c>
      <c r="AB40" s="915">
        <f t="shared" si="15"/>
        <v>0</v>
      </c>
      <c r="AC40" s="916">
        <f t="shared" si="15"/>
        <v>0</v>
      </c>
      <c r="AD40" s="103" cm="1">
        <f t="array" ref="AD40">IF(W40,INDEX('AEA2012 update'!$K$6:$R$104,MATCH($T40&amp;$R40,'AEA2012 update'!$A$6:$A$104&amp;'AEA2012 update'!$B$6:$B$104,0),MATCH(AD$16,'AEA2012 update'!$S$4:$Z$4,0)),INDEX('AEA2012 update'!$K$6:$R$104,MATCH($T40&amp;$U40,'AEA2012 update'!$A$6:$A$104&amp;'AEA2012 update'!$B$6:$B$104,0),MATCH(AD$16,'AEA2012 update'!$S$4:$Z$4,0)))</f>
        <v>322554.53757929691</v>
      </c>
      <c r="AE40" s="103" cm="1">
        <f t="array" ref="AE40">IF(X40,INDEX('AEA2012 update'!$K$6:$R$104,MATCH($T40&amp;$R40,'AEA2012 update'!$A$6:$A$104&amp;'AEA2012 update'!$B$6:$B$104,0),MATCH(AE$16,'AEA2012 update'!$S$4:$Z$4,0)),INDEX('AEA2012 update'!$K$6:$R$104,MATCH($T40&amp;$U40,'AEA2012 update'!$A$6:$A$104&amp;'AEA2012 update'!$B$6:$B$104,0),MATCH(AE$16,'AEA2012 update'!$S$4:$Z$4,0)))</f>
        <v>350637.87759734597</v>
      </c>
      <c r="AF40" s="103" cm="1">
        <f t="array" ref="AF40">IF(Y40,INDEX('AEA2012 update'!$K$6:$R$104,MATCH($T40&amp;$R40,'AEA2012 update'!$A$6:$A$104&amp;'AEA2012 update'!$B$6:$B$104,0),MATCH(AF$16,'AEA2012 update'!$S$4:$Z$4,0)),INDEX('AEA2012 update'!$K$6:$R$104,MATCH($T40&amp;$U40,'AEA2012 update'!$A$6:$A$104&amp;'AEA2012 update'!$B$6:$B$104,0),MATCH(AF$16,'AEA2012 update'!$S$4:$Z$4,0)))</f>
        <v>357099.62238446943</v>
      </c>
      <c r="AG40" s="103" cm="1">
        <f t="array" ref="AG40">IF(Z40,INDEX('AEA2012 update'!$K$6:$R$104,MATCH($T40&amp;$R40,'AEA2012 update'!$A$6:$A$104&amp;'AEA2012 update'!$B$6:$B$104,0),MATCH(AG$16,'AEA2012 update'!$S$4:$Z$4,0)),INDEX('AEA2012 update'!$K$6:$R$104,MATCH($T40&amp;$U40,'AEA2012 update'!$A$6:$A$104&amp;'AEA2012 update'!$B$6:$B$104,0),MATCH(AG$16,'AEA2012 update'!$S$4:$Z$4,0)))</f>
        <v>363561.36717159278</v>
      </c>
      <c r="AH40" s="103" cm="1">
        <f t="array" ref="AH40">IF(AA40,INDEX('AEA2012 update'!$K$6:$R$104,MATCH($T40&amp;$R40,'AEA2012 update'!$A$6:$A$104&amp;'AEA2012 update'!$B$6:$B$104,0),MATCH(AH$16,'AEA2012 update'!$S$4:$Z$4,0)),INDEX('AEA2012 update'!$K$6:$R$104,MATCH($T40&amp;$U40,'AEA2012 update'!$A$6:$A$104&amp;'AEA2012 update'!$B$6:$B$104,0),MATCH(AH$16,'AEA2012 update'!$S$4:$Z$4,0)))</f>
        <v>371500.85823323019</v>
      </c>
      <c r="AI40" s="103" cm="1">
        <f t="array" ref="AI40">IF(AB40,INDEX('AEA2012 update'!$K$6:$R$104,MATCH($T40&amp;$R40,'AEA2012 update'!$A$6:$A$104&amp;'AEA2012 update'!$B$6:$B$104,0),MATCH(AI$16,'AEA2012 update'!$S$4:$Z$4,0)),INDEX('AEA2012 update'!$K$6:$R$104,MATCH($T40&amp;$U40,'AEA2012 update'!$A$6:$A$104&amp;'AEA2012 update'!$B$6:$B$104,0),MATCH(AI$16,'AEA2012 update'!$S$4:$Z$4,0)))</f>
        <v>379440.3492948676</v>
      </c>
      <c r="AJ40" s="103" cm="1">
        <f t="array" ref="AJ40">IF(AC40,INDEX('AEA2012 update'!$K$6:$R$104,MATCH($T40&amp;$R40,'AEA2012 update'!$A$6:$A$104&amp;'AEA2012 update'!$B$6:$B$104,0),MATCH(AJ$16,'AEA2012 update'!$S$4:$Z$4,0)),INDEX('AEA2012 update'!$K$6:$R$104,MATCH($T40&amp;$U40,'AEA2012 update'!$A$6:$A$104&amp;'AEA2012 update'!$B$6:$B$104,0),MATCH(AJ$16,'AEA2012 update'!$S$4:$Z$4,0)))</f>
        <v>387396.22422821133</v>
      </c>
      <c r="AK40" s="103" t="str">
        <f t="shared" si="13"/>
        <v>MBTOGS</v>
      </c>
      <c r="AL40" s="67">
        <f>1/INDEX(Analytica!$AA$17:$AE$48,MATCH($AK40,Analytica!$A$17:$A$48,0),MATCH(AL$16,Analytica!$AA$16:$AE$16,0))</f>
        <v>4.9810534104362922</v>
      </c>
      <c r="AM40" s="67">
        <f t="array" ref="AM40">IF($AE$1,AL40*(1+INDEX(AM$1:AM$2,MATCH($O40,$AI$1:$AI$2,0)))^(AM$16-AL$16),INDEX('AEA2012 update'!$AC$6:$AG$104,MATCH($T40&amp;$U40,'AEA2012 update'!$A$6:$A$104&amp;'AEA2012 update'!$B$6:$B$104,0),MATCH(AM$16,'AEA2012 update'!$AC$4:$AG$4,0)))</f>
        <v>4.9067105656538548</v>
      </c>
      <c r="AN40" s="67">
        <f t="array" ref="AN40">IF($AE$1,AM40*(1+INDEX(AN$1:AN$2,MATCH($O40,$AI$1:$AI$2,0)))^(AN$16-AM$16),INDEX('AEA2012 update'!$AC$6:$AG$104,MATCH($T40&amp;$U40,'AEA2012 update'!$A$6:$A$104&amp;'AEA2012 update'!$B$6:$B$104,0),MATCH(AN$16,'AEA2012 update'!$AC$4:$AG$4,0)))</f>
        <v>4.5508822132460063</v>
      </c>
      <c r="AO40" s="67">
        <f t="array" ref="AO40">IF($AE$1,AN40*(1+INDEX(AO$1:AO$2,MATCH($O40,$AI$1:$AI$2,0)))^(AO$16-AN$16),INDEX('AEA2012 update'!$AC$6:$AG$104,MATCH($T40&amp;$U40,'AEA2012 update'!$A$6:$A$104&amp;'AEA2012 update'!$B$6:$B$104,0),MATCH(AO$16,'AEA2012 update'!$AC$4:$AG$4,0)))</f>
        <v>4.1157362991360831</v>
      </c>
      <c r="AP40" s="67">
        <f t="array" ref="AP40">IF($AE$1,AO40*(1+INDEX(AP$1:AP$2,MATCH($O40,$AI$1:$AI$2,0)))^(AP$16-AO$16),INDEX('AEA2012 update'!$AC$6:$AG$104,MATCH($T40&amp;$U40,'AEA2012 update'!$A$6:$A$104&amp;'AEA2012 update'!$B$6:$B$104,0),MATCH(AP$16,'AEA2012 update'!$AC$4:$AG$4,0)))</f>
        <v>3.7221981344017476</v>
      </c>
      <c r="AQ40" s="67"/>
      <c r="AR40" s="257">
        <f t="shared" si="10"/>
        <v>-4.9750416666666337E-3</v>
      </c>
      <c r="AS40" s="257">
        <f t="shared" si="11"/>
        <v>-8.0468874575123986E-3</v>
      </c>
      <c r="AY40" s="61" t="str">
        <f t="shared" si="12"/>
        <v>MBT-OGS</v>
      </c>
      <c r="AZ40" s="80" t="e" cm="1">
        <f t="array" aca="1" ref="AZ40" ca="1">AL40/INDIRECT("cv."&amp;LEFT($U40,6)&amp;".hhv.MJL") * 100</f>
        <v>#REF!</v>
      </c>
      <c r="BA40" s="80" t="e" cm="1">
        <f t="array" aca="1" ref="BA40" ca="1">AM40/INDIRECT("cv."&amp;LEFT($U40,6)&amp;".hhv.MJL") * 100</f>
        <v>#REF!</v>
      </c>
      <c r="BB40" s="80" t="e" cm="1">
        <f t="array" aca="1" ref="BB40" ca="1">AN40/INDIRECT("cv."&amp;LEFT($U40,6)&amp;".hhv.MJL") * 100</f>
        <v>#REF!</v>
      </c>
      <c r="BC40" s="80" t="e" cm="1">
        <f t="array" aca="1" ref="BC40" ca="1">AO40/INDIRECT("cv."&amp;LEFT($U40,6)&amp;".hhv.MJL") * 100</f>
        <v>#REF!</v>
      </c>
      <c r="BD40" s="80" t="e" cm="1">
        <f t="array" aca="1" ref="BD40" ca="1">AP40/INDIRECT("cv."&amp;LEFT($U40,6)&amp;".hhv.MJL") * 100</f>
        <v>#REF!</v>
      </c>
    </row>
    <row r="41" spans="1:56" x14ac:dyDescent="0.25">
      <c r="A41" s="259" t="s">
        <v>707</v>
      </c>
      <c r="C41" s="178" t="s">
        <v>708</v>
      </c>
      <c r="D41" s="61" t="s">
        <v>705</v>
      </c>
      <c r="E41" s="61" t="s">
        <v>706</v>
      </c>
      <c r="F41" s="61">
        <v>24000</v>
      </c>
      <c r="N41" s="61" t="s">
        <v>506</v>
      </c>
      <c r="O41" s="61" t="s">
        <v>613</v>
      </c>
      <c r="P41" s="61" t="s">
        <v>61</v>
      </c>
      <c r="Q41" s="61" t="str">
        <f t="shared" si="7"/>
        <v>MBT</v>
      </c>
      <c r="R41" s="61" t="s">
        <v>680</v>
      </c>
      <c r="S41" s="65"/>
      <c r="T41" s="256" t="s">
        <v>701</v>
      </c>
      <c r="U41" s="913" t="s">
        <v>680</v>
      </c>
      <c r="V41" s="921"/>
      <c r="W41" s="914">
        <f t="shared" si="15"/>
        <v>0</v>
      </c>
      <c r="X41" s="915">
        <f t="shared" si="15"/>
        <v>0</v>
      </c>
      <c r="Y41" s="915">
        <f t="shared" si="15"/>
        <v>0</v>
      </c>
      <c r="Z41" s="915">
        <f t="shared" si="15"/>
        <v>0</v>
      </c>
      <c r="AA41" s="915">
        <f t="shared" si="15"/>
        <v>0</v>
      </c>
      <c r="AB41" s="915">
        <f t="shared" si="15"/>
        <v>0</v>
      </c>
      <c r="AC41" s="916">
        <f t="shared" si="15"/>
        <v>0</v>
      </c>
      <c r="AD41" s="103" cm="1">
        <f t="array" ref="AD41">IF(W41,INDEX('AEA2012 update'!$K$6:$R$104,MATCH($T41&amp;$R41,'AEA2012 update'!$A$6:$A$104&amp;'AEA2012 update'!$B$6:$B$104,0),MATCH(AD$16,'AEA2012 update'!$S$4:$Z$4,0)),INDEX('AEA2012 update'!$K$6:$R$104,MATCH($T41&amp;$U41,'AEA2012 update'!$A$6:$A$104&amp;'AEA2012 update'!$B$6:$B$104,0),MATCH(AD$16,'AEA2012 update'!$S$4:$Z$4,0)))</f>
        <v>322554.53757929691</v>
      </c>
      <c r="AE41" s="103" cm="1">
        <f t="array" ref="AE41">IF(X41,INDEX('AEA2012 update'!$K$6:$R$104,MATCH($T41&amp;$R41,'AEA2012 update'!$A$6:$A$104&amp;'AEA2012 update'!$B$6:$B$104,0),MATCH(AE$16,'AEA2012 update'!$S$4:$Z$4,0)),INDEX('AEA2012 update'!$K$6:$R$104,MATCH($T41&amp;$U41,'AEA2012 update'!$A$6:$A$104&amp;'AEA2012 update'!$B$6:$B$104,0),MATCH(AE$16,'AEA2012 update'!$S$4:$Z$4,0)))</f>
        <v>350637.87759734597</v>
      </c>
      <c r="AF41" s="103" cm="1">
        <f t="array" ref="AF41">IF(Y41,INDEX('AEA2012 update'!$K$6:$R$104,MATCH($T41&amp;$R41,'AEA2012 update'!$A$6:$A$104&amp;'AEA2012 update'!$B$6:$B$104,0),MATCH(AF$16,'AEA2012 update'!$S$4:$Z$4,0)),INDEX('AEA2012 update'!$K$6:$R$104,MATCH($T41&amp;$U41,'AEA2012 update'!$A$6:$A$104&amp;'AEA2012 update'!$B$6:$B$104,0),MATCH(AF$16,'AEA2012 update'!$S$4:$Z$4,0)))</f>
        <v>357099.62238446943</v>
      </c>
      <c r="AG41" s="103" cm="1">
        <f t="array" ref="AG41">IF(Z41,INDEX('AEA2012 update'!$K$6:$R$104,MATCH($T41&amp;$R41,'AEA2012 update'!$A$6:$A$104&amp;'AEA2012 update'!$B$6:$B$104,0),MATCH(AG$16,'AEA2012 update'!$S$4:$Z$4,0)),INDEX('AEA2012 update'!$K$6:$R$104,MATCH($T41&amp;$U41,'AEA2012 update'!$A$6:$A$104&amp;'AEA2012 update'!$B$6:$B$104,0),MATCH(AG$16,'AEA2012 update'!$S$4:$Z$4,0)))</f>
        <v>363561.36717159278</v>
      </c>
      <c r="AH41" s="103" cm="1">
        <f t="array" ref="AH41">IF(AA41,INDEX('AEA2012 update'!$K$6:$R$104,MATCH($T41&amp;$R41,'AEA2012 update'!$A$6:$A$104&amp;'AEA2012 update'!$B$6:$B$104,0),MATCH(AH$16,'AEA2012 update'!$S$4:$Z$4,0)),INDEX('AEA2012 update'!$K$6:$R$104,MATCH($T41&amp;$U41,'AEA2012 update'!$A$6:$A$104&amp;'AEA2012 update'!$B$6:$B$104,0),MATCH(AH$16,'AEA2012 update'!$S$4:$Z$4,0)))</f>
        <v>371500.85823323019</v>
      </c>
      <c r="AI41" s="103" cm="1">
        <f t="array" ref="AI41">IF(AB41,INDEX('AEA2012 update'!$K$6:$R$104,MATCH($T41&amp;$R41,'AEA2012 update'!$A$6:$A$104&amp;'AEA2012 update'!$B$6:$B$104,0),MATCH(AI$16,'AEA2012 update'!$S$4:$Z$4,0)),INDEX('AEA2012 update'!$K$6:$R$104,MATCH($T41&amp;$U41,'AEA2012 update'!$A$6:$A$104&amp;'AEA2012 update'!$B$6:$B$104,0),MATCH(AI$16,'AEA2012 update'!$S$4:$Z$4,0)))</f>
        <v>379440.3492948676</v>
      </c>
      <c r="AJ41" s="103" cm="1">
        <f t="array" ref="AJ41">IF(AC41,INDEX('AEA2012 update'!$K$6:$R$104,MATCH($T41&amp;$R41,'AEA2012 update'!$A$6:$A$104&amp;'AEA2012 update'!$B$6:$B$104,0),MATCH(AJ$16,'AEA2012 update'!$S$4:$Z$4,0)),INDEX('AEA2012 update'!$K$6:$R$104,MATCH($T41&amp;$U41,'AEA2012 update'!$A$6:$A$104&amp;'AEA2012 update'!$B$6:$B$104,0),MATCH(AJ$16,'AEA2012 update'!$S$4:$Z$4,0)))</f>
        <v>387396.22422821133</v>
      </c>
      <c r="AK41" s="103" t="str">
        <f t="shared" si="13"/>
        <v>MBTBGS</v>
      </c>
      <c r="AL41" s="67">
        <f>INDEX('Vehicle data '!$AD$20:$AD$110,MATCH($AK41,'Vehicle data '!$AC$20:$AC$110,0))/INDEX('Vehicle data '!$AD$20:$AD$110,MATCH($AK$40,'Vehicle data '!$AC$20:$AC$110,0))*AL$40</f>
        <v>4.9810534104362922</v>
      </c>
      <c r="AM41" s="67">
        <f t="array" ref="AM41">IF($AE$1,AL41*(1+INDEX(AM$1:AM$2,MATCH($O41,$AI$1:$AI$2,0)))^(AM$16-AL$16),INDEX('AEA2012 update'!$AC$6:$AG$104,MATCH($T41&amp;$U41,'AEA2012 update'!$A$6:$A$104&amp;'AEA2012 update'!$B$6:$B$104,0),MATCH(AM$16,'AEA2012 update'!$AC$4:$AG$4,0)))</f>
        <v>4.9067105656538548</v>
      </c>
      <c r="AN41" s="67">
        <f t="array" ref="AN41">IF($AE$1,AM41*(1+INDEX(AN$1:AN$2,MATCH($O41,$AI$1:$AI$2,0)))^(AN$16-AM$16),INDEX('AEA2012 update'!$AC$6:$AG$104,MATCH($T41&amp;$U41,'AEA2012 update'!$A$6:$A$104&amp;'AEA2012 update'!$B$6:$B$104,0),MATCH(AN$16,'AEA2012 update'!$AC$4:$AG$4,0)))</f>
        <v>4.5508822132460063</v>
      </c>
      <c r="AO41" s="67">
        <f t="array" ref="AO41">IF($AE$1,AN41*(1+INDEX(AO$1:AO$2,MATCH($O41,$AI$1:$AI$2,0)))^(AO$16-AN$16),INDEX('AEA2012 update'!$AC$6:$AG$104,MATCH($T41&amp;$U41,'AEA2012 update'!$A$6:$A$104&amp;'AEA2012 update'!$B$6:$B$104,0),MATCH(AO$16,'AEA2012 update'!$AC$4:$AG$4,0)))</f>
        <v>4.1157362991360831</v>
      </c>
      <c r="AP41" s="67">
        <f t="array" ref="AP41">IF($AE$1,AO41*(1+INDEX(AP$1:AP$2,MATCH($O41,$AI$1:$AI$2,0)))^(AP$16-AO$16),INDEX('AEA2012 update'!$AC$6:$AG$104,MATCH($T41&amp;$U41,'AEA2012 update'!$A$6:$A$104&amp;'AEA2012 update'!$B$6:$B$104,0),MATCH(AP$16,'AEA2012 update'!$AC$4:$AG$4,0)))</f>
        <v>3.7221981344017476</v>
      </c>
      <c r="AQ41" s="67"/>
      <c r="AR41" s="257">
        <f t="shared" si="10"/>
        <v>-4.9750416666666337E-3</v>
      </c>
      <c r="AS41" s="257">
        <f t="shared" si="11"/>
        <v>-8.0468874575123986E-3</v>
      </c>
      <c r="AY41" s="61" t="str">
        <f t="shared" si="12"/>
        <v>MBT-BGS</v>
      </c>
      <c r="AZ41" s="80" t="e" cm="1">
        <f t="array" aca="1" ref="AZ41" ca="1">AL41/INDIRECT("cv."&amp;LEFT($U41,6)&amp;".hhv.MJL") * 100</f>
        <v>#REF!</v>
      </c>
      <c r="BA41" s="80" t="e" cm="1">
        <f t="array" aca="1" ref="BA41" ca="1">AM41/INDIRECT("cv."&amp;LEFT($U41,6)&amp;".hhv.MJL") * 100</f>
        <v>#REF!</v>
      </c>
      <c r="BB41" s="80" t="e" cm="1">
        <f t="array" aca="1" ref="BB41" ca="1">AN41/INDIRECT("cv."&amp;LEFT($U41,6)&amp;".hhv.MJL") * 100</f>
        <v>#REF!</v>
      </c>
      <c r="BC41" s="80" t="e" cm="1">
        <f t="array" aca="1" ref="BC41" ca="1">AO41/INDIRECT("cv."&amp;LEFT($U41,6)&amp;".hhv.MJL") * 100</f>
        <v>#REF!</v>
      </c>
      <c r="BD41" s="80" t="e" cm="1">
        <f t="array" aca="1" ref="BD41" ca="1">AP41/INDIRECT("cv."&amp;LEFT($U41,6)&amp;".hhv.MJL") * 100</f>
        <v>#REF!</v>
      </c>
    </row>
    <row r="42" spans="1:56" x14ac:dyDescent="0.25">
      <c r="A42" s="193" t="s">
        <v>709</v>
      </c>
      <c r="C42" s="178" t="s">
        <v>710</v>
      </c>
      <c r="D42" s="61" t="s">
        <v>705</v>
      </c>
      <c r="E42" s="61" t="s">
        <v>706</v>
      </c>
      <c r="F42" s="61">
        <v>40000</v>
      </c>
      <c r="N42" s="61" t="s">
        <v>511</v>
      </c>
      <c r="O42" s="61" t="s">
        <v>613</v>
      </c>
      <c r="P42" s="61" t="s">
        <v>61</v>
      </c>
      <c r="Q42" s="61" t="str">
        <f t="shared" si="7"/>
        <v>MBT</v>
      </c>
      <c r="R42" s="61" t="s">
        <v>680</v>
      </c>
      <c r="S42" s="65"/>
      <c r="T42" s="256" t="s">
        <v>701</v>
      </c>
      <c r="U42" s="913" t="s">
        <v>687</v>
      </c>
      <c r="V42" s="921">
        <v>2030</v>
      </c>
      <c r="W42" s="914">
        <f t="shared" si="15"/>
        <v>0</v>
      </c>
      <c r="X42" s="915">
        <f t="shared" si="15"/>
        <v>0</v>
      </c>
      <c r="Y42" s="915">
        <f t="shared" si="15"/>
        <v>0</v>
      </c>
      <c r="Z42" s="915">
        <f t="shared" si="15"/>
        <v>1</v>
      </c>
      <c r="AA42" s="915">
        <f t="shared" si="15"/>
        <v>1</v>
      </c>
      <c r="AB42" s="915">
        <f t="shared" si="15"/>
        <v>1</v>
      </c>
      <c r="AC42" s="916">
        <f t="shared" si="15"/>
        <v>1</v>
      </c>
      <c r="AD42" s="103" cm="1">
        <f t="array" ref="AD42">IF(W42,INDEX('AEA2012 update'!$K$6:$R$104,MATCH($T42&amp;$R42,'AEA2012 update'!$A$6:$A$104&amp;'AEA2012 update'!$B$6:$B$104,0),MATCH(AD$16,'AEA2012 update'!$S$4:$Z$4,0)),INDEX('AEA2012 update'!$K$6:$R$104,MATCH($T42&amp;$U42,'AEA2012 update'!$A$6:$A$104&amp;'AEA2012 update'!$B$6:$B$104,0),MATCH(AD$16,'AEA2012 update'!$S$4:$Z$4,0)))</f>
        <v>449299.91329948109</v>
      </c>
      <c r="AE42" s="103" cm="1">
        <f t="array" ref="AE42">IF(X42,INDEX('AEA2012 update'!$K$6:$R$104,MATCH($T42&amp;$R42,'AEA2012 update'!$A$6:$A$104&amp;'AEA2012 update'!$B$6:$B$104,0),MATCH(AE$16,'AEA2012 update'!$S$4:$Z$4,0)),INDEX('AEA2012 update'!$K$6:$R$104,MATCH($T42&amp;$U42,'AEA2012 update'!$A$6:$A$104&amp;'AEA2012 update'!$B$6:$B$104,0),MATCH(AE$16,'AEA2012 update'!$S$4:$Z$4,0)))</f>
        <v>496024.31464990409</v>
      </c>
      <c r="AF42" s="103" cm="1">
        <f t="array" ref="AF42">IF(Y42,INDEX('AEA2012 update'!$K$6:$R$104,MATCH($T42&amp;$R42,'AEA2012 update'!$A$6:$A$104&amp;'AEA2012 update'!$B$6:$B$104,0),MATCH(AF$16,'AEA2012 update'!$S$4:$Z$4,0)),INDEX('AEA2012 update'!$K$6:$R$104,MATCH($T42&amp;$U42,'AEA2012 update'!$A$6:$A$104&amp;'AEA2012 update'!$B$6:$B$104,0),MATCH(AF$16,'AEA2012 update'!$S$4:$Z$4,0)))</f>
        <v>504862.6389695133</v>
      </c>
      <c r="AG42" s="103" cm="1">
        <f t="array" ref="AG42">IF(Z42,INDEX('AEA2012 update'!$K$6:$R$104,MATCH($T42&amp;$R42,'AEA2012 update'!$A$6:$A$104&amp;'AEA2012 update'!$B$6:$B$104,0),MATCH(AG$16,'AEA2012 update'!$S$4:$Z$4,0)),INDEX('AEA2012 update'!$K$6:$R$104,MATCH($T42&amp;$U42,'AEA2012 update'!$A$6:$A$104&amp;'AEA2012 update'!$B$6:$B$104,0),MATCH(AG$16,'AEA2012 update'!$S$4:$Z$4,0)))</f>
        <v>363561.36717159278</v>
      </c>
      <c r="AH42" s="103" cm="1">
        <f t="array" ref="AH42">IF(AA42,INDEX('AEA2012 update'!$K$6:$R$104,MATCH($T42&amp;$R42,'AEA2012 update'!$A$6:$A$104&amp;'AEA2012 update'!$B$6:$B$104,0),MATCH(AH$16,'AEA2012 update'!$S$4:$Z$4,0)),INDEX('AEA2012 update'!$K$6:$R$104,MATCH($T42&amp;$U42,'AEA2012 update'!$A$6:$A$104&amp;'AEA2012 update'!$B$6:$B$104,0),MATCH(AH$16,'AEA2012 update'!$S$4:$Z$4,0)))</f>
        <v>371500.85823323019</v>
      </c>
      <c r="AI42" s="103" cm="1">
        <f t="array" ref="AI42">IF(AB42,INDEX('AEA2012 update'!$K$6:$R$104,MATCH($T42&amp;$R42,'AEA2012 update'!$A$6:$A$104&amp;'AEA2012 update'!$B$6:$B$104,0),MATCH(AI$16,'AEA2012 update'!$S$4:$Z$4,0)),INDEX('AEA2012 update'!$K$6:$R$104,MATCH($T42&amp;$U42,'AEA2012 update'!$A$6:$A$104&amp;'AEA2012 update'!$B$6:$B$104,0),MATCH(AI$16,'AEA2012 update'!$S$4:$Z$4,0)))</f>
        <v>379440.3492948676</v>
      </c>
      <c r="AJ42" s="103" cm="1">
        <f t="array" ref="AJ42">IF(AC42,INDEX('AEA2012 update'!$K$6:$R$104,MATCH($T42&amp;$R42,'AEA2012 update'!$A$6:$A$104&amp;'AEA2012 update'!$B$6:$B$104,0),MATCH(AJ$16,'AEA2012 update'!$S$4:$Z$4,0)),INDEX('AEA2012 update'!$K$6:$R$104,MATCH($T42&amp;$U42,'AEA2012 update'!$A$6:$A$104&amp;'AEA2012 update'!$B$6:$B$104,0),MATCH(AJ$16,'AEA2012 update'!$S$4:$Z$4,0)))</f>
        <v>387396.22422821133</v>
      </c>
      <c r="AK42" s="103" t="str">
        <f t="shared" si="13"/>
        <v>MBTODS</v>
      </c>
      <c r="AL42" s="67">
        <f>1/INDEX(Analytica!$AA$17:$AE$48,MATCH($AK42,Analytica!$A$17:$A$48,0),MATCH(AL$16,Analytica!$AA$16:$AE$16,0))</f>
        <v>4.2205316616343254</v>
      </c>
      <c r="AM42" s="67">
        <f t="array" ref="AM42">IF($AE$1,AL42*(1+INDEX(AM$1:AM$2,MATCH($O42,$AI$1:$AI$2,0)))^(AM$16-AL$16),INDEX('AEA2012 update'!$AC$6:$AG$104,MATCH($T42&amp;$U42,'AEA2012 update'!$A$6:$A$104&amp;'AEA2012 update'!$B$6:$B$104,0),MATCH(AM$16,'AEA2012 update'!$AC$4:$AG$4,0)))</f>
        <v>4.1575396990179758</v>
      </c>
      <c r="AN42" s="67">
        <f t="array" ref="AN42">IF($AE$1,AM42*(1+INDEX(AN$1:AN$2,MATCH($O42,$AI$1:$AI$2,0)))^(AN$16-AM$16),INDEX('AEA2012 update'!$AC$6:$AG$104,MATCH($T42&amp;$U42,'AEA2012 update'!$A$6:$A$104&amp;'AEA2012 update'!$B$6:$B$104,0),MATCH(AN$16,'AEA2012 update'!$AC$4:$AG$4,0)))</f>
        <v>3.8560402562900649</v>
      </c>
      <c r="AO42" s="67">
        <f t="array" ref="AO42">IF($AE$1,AN42*(1+INDEX(AO$1:AO$2,MATCH($O42,$AI$1:$AI$2,0)))^(AO$16-AN$16),INDEX('AEA2012 update'!$AC$6:$AG$104,MATCH($T42&amp;$U42,'AEA2012 update'!$A$6:$A$104&amp;'AEA2012 update'!$B$6:$B$104,0),MATCH(AO$16,'AEA2012 update'!$AC$4:$AG$4,0)))</f>
        <v>3.4873336883010904</v>
      </c>
      <c r="AP42" s="67">
        <f t="array" ref="AP42">IF($AE$1,AO42*(1+INDEX(AP$1:AP$2,MATCH($O42,$AI$1:$AI$2,0)))^(AP$16-AO$16),INDEX('AEA2012 update'!$AC$6:$AG$104,MATCH($T42&amp;$U42,'AEA2012 update'!$A$6:$A$104&amp;'AEA2012 update'!$B$6:$B$104,0),MATCH(AP$16,'AEA2012 update'!$AC$4:$AG$4,0)))</f>
        <v>3.1538820772738467</v>
      </c>
      <c r="AQ42" s="67"/>
      <c r="AR42" s="257">
        <f t="shared" si="10"/>
        <v>-4.9750416666666294E-3</v>
      </c>
      <c r="AS42" s="257">
        <f t="shared" si="11"/>
        <v>-8.0468874575124021E-3</v>
      </c>
      <c r="AY42" s="61" t="str">
        <f t="shared" si="12"/>
        <v>MBT-ODS</v>
      </c>
      <c r="AZ42" s="80" t="e" cm="1">
        <f t="array" aca="1" ref="AZ42" ca="1">AL42/INDIRECT("cv."&amp;LEFT($U42,6)&amp;".hhv.MJL") * 100</f>
        <v>#REF!</v>
      </c>
      <c r="BA42" s="80" t="e" cm="1">
        <f t="array" aca="1" ref="BA42" ca="1">AM42/INDIRECT("cv."&amp;LEFT($U42,6)&amp;".hhv.MJL") * 100</f>
        <v>#REF!</v>
      </c>
      <c r="BB42" s="80" t="e" cm="1">
        <f t="array" aca="1" ref="BB42" ca="1">AN42/INDIRECT("cv."&amp;LEFT($U42,6)&amp;".hhv.MJL") * 100</f>
        <v>#REF!</v>
      </c>
      <c r="BC42" s="80" t="e" cm="1">
        <f t="array" aca="1" ref="BC42" ca="1">AO42/INDIRECT("cv."&amp;LEFT($U42,6)&amp;".hhv.MJL") * 100</f>
        <v>#REF!</v>
      </c>
      <c r="BD42" s="80" t="e" cm="1">
        <f t="array" aca="1" ref="BD42" ca="1">AP42/INDIRECT("cv."&amp;LEFT($U42,6)&amp;".hhv.MJL") * 100</f>
        <v>#REF!</v>
      </c>
    </row>
    <row r="43" spans="1:56" x14ac:dyDescent="0.25">
      <c r="A43" s="193">
        <v>4</v>
      </c>
      <c r="C43" s="178" t="s">
        <v>711</v>
      </c>
      <c r="D43" s="61" t="s">
        <v>705</v>
      </c>
      <c r="E43" s="61" t="s">
        <v>706</v>
      </c>
      <c r="F43" s="61">
        <v>22000</v>
      </c>
      <c r="N43" s="61" t="s">
        <v>501</v>
      </c>
      <c r="O43" s="61" t="s">
        <v>613</v>
      </c>
      <c r="P43" s="61" t="s">
        <v>61</v>
      </c>
      <c r="Q43" s="61" t="str">
        <f t="shared" si="7"/>
        <v>MBT</v>
      </c>
      <c r="R43" s="61" t="s">
        <v>680</v>
      </c>
      <c r="S43" s="65"/>
      <c r="T43" s="256" t="s">
        <v>701</v>
      </c>
      <c r="U43" s="913" t="s">
        <v>692</v>
      </c>
      <c r="V43" s="921">
        <v>2030</v>
      </c>
      <c r="W43" s="914">
        <f t="shared" si="15"/>
        <v>0</v>
      </c>
      <c r="X43" s="915">
        <f t="shared" si="15"/>
        <v>0</v>
      </c>
      <c r="Y43" s="915">
        <f t="shared" si="15"/>
        <v>0</v>
      </c>
      <c r="Z43" s="915">
        <f t="shared" si="15"/>
        <v>1</v>
      </c>
      <c r="AA43" s="915">
        <f t="shared" si="15"/>
        <v>1</v>
      </c>
      <c r="AB43" s="915">
        <f t="shared" si="15"/>
        <v>1</v>
      </c>
      <c r="AC43" s="916">
        <f t="shared" si="15"/>
        <v>1</v>
      </c>
      <c r="AD43" s="103" cm="1">
        <f t="array" ref="AD43">IF(W43,INDEX('AEA2012 update'!$K$6:$R$104,MATCH($T43&amp;$R43,'AEA2012 update'!$A$6:$A$104&amp;'AEA2012 update'!$B$6:$B$104,0),MATCH(AD$16,'AEA2012 update'!$S$4:$Z$4,0)),INDEX('AEA2012 update'!$K$6:$R$104,MATCH($T43&amp;$U43,'AEA2012 update'!$A$6:$A$104&amp;'AEA2012 update'!$B$6:$B$104,0),MATCH(AD$16,'AEA2012 update'!$S$4:$Z$4,0)))</f>
        <v>1200355.9594665694</v>
      </c>
      <c r="AE43" s="103" cm="1">
        <f t="array" ref="AE43">IF(X43,INDEX('AEA2012 update'!$K$6:$R$104,MATCH($T43&amp;$R43,'AEA2012 update'!$A$6:$A$104&amp;'AEA2012 update'!$B$6:$B$104,0),MATCH(AE$16,'AEA2012 update'!$S$4:$Z$4,0)),INDEX('AEA2012 update'!$K$6:$R$104,MATCH($T43&amp;$U43,'AEA2012 update'!$A$6:$A$104&amp;'AEA2012 update'!$B$6:$B$104,0),MATCH(AE$16,'AEA2012 update'!$S$4:$Z$4,0)))</f>
        <v>820963.00033176108</v>
      </c>
      <c r="AF43" s="103" cm="1">
        <f t="array" ref="AF43">IF(Y43,INDEX('AEA2012 update'!$K$6:$R$104,MATCH($T43&amp;$R43,'AEA2012 update'!$A$6:$A$104&amp;'AEA2012 update'!$B$6:$B$104,0),MATCH(AF$16,'AEA2012 update'!$S$4:$Z$4,0)),INDEX('AEA2012 update'!$K$6:$R$104,MATCH($T43&amp;$U43,'AEA2012 update'!$A$6:$A$104&amp;'AEA2012 update'!$B$6:$B$104,0),MATCH(AF$16,'AEA2012 update'!$S$4:$Z$4,0)))</f>
        <v>755333.69376548787</v>
      </c>
      <c r="AG43" s="103" cm="1">
        <f t="array" ref="AG43">IF(Z43,INDEX('AEA2012 update'!$K$6:$R$104,MATCH($T43&amp;$R43,'AEA2012 update'!$A$6:$A$104&amp;'AEA2012 update'!$B$6:$B$104,0),MATCH(AG$16,'AEA2012 update'!$S$4:$Z$4,0)),INDEX('AEA2012 update'!$K$6:$R$104,MATCH($T43&amp;$U43,'AEA2012 update'!$A$6:$A$104&amp;'AEA2012 update'!$B$6:$B$104,0),MATCH(AG$16,'AEA2012 update'!$S$4:$Z$4,0)))</f>
        <v>363561.36717159278</v>
      </c>
      <c r="AH43" s="103" cm="1">
        <f t="array" ref="AH43">IF(AA43,INDEX('AEA2012 update'!$K$6:$R$104,MATCH($T43&amp;$R43,'AEA2012 update'!$A$6:$A$104&amp;'AEA2012 update'!$B$6:$B$104,0),MATCH(AH$16,'AEA2012 update'!$S$4:$Z$4,0)),INDEX('AEA2012 update'!$K$6:$R$104,MATCH($T43&amp;$U43,'AEA2012 update'!$A$6:$A$104&amp;'AEA2012 update'!$B$6:$B$104,0),MATCH(AH$16,'AEA2012 update'!$S$4:$Z$4,0)))</f>
        <v>371500.85823323019</v>
      </c>
      <c r="AI43" s="103" cm="1">
        <f t="array" ref="AI43">IF(AB43,INDEX('AEA2012 update'!$K$6:$R$104,MATCH($T43&amp;$R43,'AEA2012 update'!$A$6:$A$104&amp;'AEA2012 update'!$B$6:$B$104,0),MATCH(AI$16,'AEA2012 update'!$S$4:$Z$4,0)),INDEX('AEA2012 update'!$K$6:$R$104,MATCH($T43&amp;$U43,'AEA2012 update'!$A$6:$A$104&amp;'AEA2012 update'!$B$6:$B$104,0),MATCH(AI$16,'AEA2012 update'!$S$4:$Z$4,0)))</f>
        <v>379440.3492948676</v>
      </c>
      <c r="AJ43" s="103" cm="1">
        <f t="array" ref="AJ43">IF(AC43,INDEX('AEA2012 update'!$K$6:$R$104,MATCH($T43&amp;$R43,'AEA2012 update'!$A$6:$A$104&amp;'AEA2012 update'!$B$6:$B$104,0),MATCH(AJ$16,'AEA2012 update'!$S$4:$Z$4,0)),INDEX('AEA2012 update'!$K$6:$R$104,MATCH($T43&amp;$U43,'AEA2012 update'!$A$6:$A$104&amp;'AEA2012 update'!$B$6:$B$104,0),MATCH(AJ$16,'AEA2012 update'!$S$4:$Z$4,0)))</f>
        <v>387396.22422821133</v>
      </c>
      <c r="AK43" s="103" t="str">
        <f t="shared" si="13"/>
        <v>MBTELC</v>
      </c>
      <c r="AL43" s="67">
        <f>INDEX('Vehicle data '!$AD$20:$AD$110,MATCH($AK43,'Vehicle data '!$AC$20:$AC$110,0))/INDEX('Vehicle data '!$AD$20:$AD$110,MATCH($AK$40,'Vehicle data '!$AC$20:$AC$110,0))*AL$40</f>
        <v>1.2464721438132793</v>
      </c>
      <c r="AM43" s="67">
        <f t="array" ref="AM43">IF($AE$1,AL43*(1+INDEX(AM$1:AM$2,MATCH($O43,$AI$1:$AI$2,0)))^(AM$16-AL$16),INDEX('AEA2012 update'!$AC$6:$AG$104,MATCH($T43&amp;$U43,'AEA2012 update'!$A$6:$A$104&amp;'AEA2012 update'!$B$6:$B$104,0),MATCH(AM$16,'AEA2012 update'!$AC$4:$AG$4,0)))</f>
        <v>1.2278683912578481</v>
      </c>
      <c r="AN43" s="67">
        <f t="array" ref="AN43">IF($AE$1,AM43*(1+INDEX(AN$1:AN$2,MATCH($O43,$AI$1:$AI$2,0)))^(AN$16-AM$16),INDEX('AEA2012 update'!$AC$6:$AG$104,MATCH($T43&amp;$U43,'AEA2012 update'!$A$6:$A$104&amp;'AEA2012 update'!$B$6:$B$104,0),MATCH(AN$16,'AEA2012 update'!$AC$4:$AG$4,0)))</f>
        <v>1.1388249515055109</v>
      </c>
      <c r="AO43" s="67">
        <f t="array" ref="AO43">IF($AE$1,AN43*(1+INDEX(AO$1:AO$2,MATCH($O43,$AI$1:$AI$2,0)))^(AO$16-AN$16),INDEX('AEA2012 update'!$AC$6:$AG$104,MATCH($T43&amp;$U43,'AEA2012 update'!$A$6:$A$104&amp;'AEA2012 update'!$B$6:$B$104,0),MATCH(AO$16,'AEA2012 update'!$AC$4:$AG$4,0)))</f>
        <v>1.0299328727143549</v>
      </c>
      <c r="AP43" s="67">
        <f t="array" ref="AP43">IF($AE$1,AO43*(1+INDEX(AP$1:AP$2,MATCH($O43,$AI$1:$AI$2,0)))^(AP$16-AO$16),INDEX('AEA2012 update'!$AC$6:$AG$104,MATCH($T43&amp;$U43,'AEA2012 update'!$A$6:$A$104&amp;'AEA2012 update'!$B$6:$B$104,0),MATCH(AP$16,'AEA2012 update'!$AC$4:$AG$4,0)))</f>
        <v>0.93145282854518696</v>
      </c>
      <c r="AQ43" s="67"/>
      <c r="AR43" s="257">
        <f t="shared" si="10"/>
        <v>-4.9750416666666823E-3</v>
      </c>
      <c r="AS43" s="257">
        <f t="shared" si="11"/>
        <v>-8.0468874575123986E-3</v>
      </c>
      <c r="AY43" s="61" t="str">
        <f t="shared" si="12"/>
        <v>MBT-ELC</v>
      </c>
      <c r="AZ43" s="80" t="e" cm="1">
        <f t="array" aca="1" ref="AZ43" ca="1">AL43/INDIRECT("cv."&amp;LEFT($U43,6)&amp;".hhv.MJL") * 100</f>
        <v>#REF!</v>
      </c>
      <c r="BA43" s="80" t="e" cm="1">
        <f t="array" aca="1" ref="BA43" ca="1">AM43/INDIRECT("cv."&amp;LEFT($U43,6)&amp;".hhv.MJL") * 100</f>
        <v>#REF!</v>
      </c>
      <c r="BB43" s="80" t="e" cm="1">
        <f t="array" aca="1" ref="BB43" ca="1">AN43/INDIRECT("cv."&amp;LEFT($U43,6)&amp;".hhv.MJL") * 100</f>
        <v>#REF!</v>
      </c>
      <c r="BC43" s="80" t="e" cm="1">
        <f t="array" aca="1" ref="BC43" ca="1">AO43/INDIRECT("cv."&amp;LEFT($U43,6)&amp;".hhv.MJL") * 100</f>
        <v>#REF!</v>
      </c>
      <c r="BD43" s="80" t="e" cm="1">
        <f t="array" aca="1" ref="BD43" ca="1">AP43/INDIRECT("cv."&amp;LEFT($U43,6)&amp;".hhv.MJL") * 100</f>
        <v>#REF!</v>
      </c>
    </row>
    <row r="44" spans="1:56" x14ac:dyDescent="0.25">
      <c r="A44" s="193"/>
      <c r="C44" s="178" t="s">
        <v>60</v>
      </c>
      <c r="D44" s="61" t="s">
        <v>705</v>
      </c>
      <c r="E44" s="61" t="s">
        <v>706</v>
      </c>
      <c r="F44" s="61">
        <v>15000</v>
      </c>
      <c r="N44" s="61" t="s">
        <v>504</v>
      </c>
      <c r="O44" s="61" t="s">
        <v>613</v>
      </c>
      <c r="P44" s="61" t="s">
        <v>61</v>
      </c>
      <c r="Q44" s="61" t="str">
        <f t="shared" si="7"/>
        <v>MBT</v>
      </c>
      <c r="R44" s="61" t="s">
        <v>680</v>
      </c>
      <c r="S44" s="65"/>
      <c r="T44" s="256" t="s">
        <v>701</v>
      </c>
      <c r="U44" s="913" t="s">
        <v>699</v>
      </c>
      <c r="V44" s="921">
        <v>2050</v>
      </c>
      <c r="W44" s="914">
        <f t="shared" si="15"/>
        <v>0</v>
      </c>
      <c r="X44" s="915">
        <f t="shared" si="15"/>
        <v>0</v>
      </c>
      <c r="Y44" s="915">
        <f t="shared" si="15"/>
        <v>0</v>
      </c>
      <c r="Z44" s="915">
        <f t="shared" si="15"/>
        <v>0</v>
      </c>
      <c r="AA44" s="915">
        <f t="shared" si="15"/>
        <v>0</v>
      </c>
      <c r="AB44" s="915">
        <f t="shared" si="15"/>
        <v>0</v>
      </c>
      <c r="AC44" s="916">
        <f t="shared" si="15"/>
        <v>1</v>
      </c>
      <c r="AD44" s="103" cm="1">
        <f t="array" ref="AD44">IF(W44,INDEX('AEA2012 update'!$K$6:$R$104,MATCH($T44&amp;$R44,'AEA2012 update'!$A$6:$A$104&amp;'AEA2012 update'!$B$6:$B$104,0),MATCH(AD$16,'AEA2012 update'!$S$4:$Z$4,0)),INDEX('AEA2012 update'!$K$6:$R$104,MATCH($T44&amp;$U44,'AEA2012 update'!$A$6:$A$104&amp;'AEA2012 update'!$B$6:$B$104,0),MATCH(AD$16,'AEA2012 update'!$S$4:$Z$4,0)))</f>
        <v>4486535.6914122794</v>
      </c>
      <c r="AE44" s="103" cm="1">
        <f t="array" ref="AE44">IF(X44,INDEX('AEA2012 update'!$K$6:$R$104,MATCH($T44&amp;$R44,'AEA2012 update'!$A$6:$A$104&amp;'AEA2012 update'!$B$6:$B$104,0),MATCH(AE$16,'AEA2012 update'!$S$4:$Z$4,0)),INDEX('AEA2012 update'!$K$6:$R$104,MATCH($T44&amp;$U44,'AEA2012 update'!$A$6:$A$104&amp;'AEA2012 update'!$B$6:$B$104,0),MATCH(AE$16,'AEA2012 update'!$S$4:$Z$4,0)))</f>
        <v>1793789.1316594642</v>
      </c>
      <c r="AF44" s="103" cm="1">
        <f t="array" ref="AF44">IF(Y44,INDEX('AEA2012 update'!$K$6:$R$104,MATCH($T44&amp;$R44,'AEA2012 update'!$A$6:$A$104&amp;'AEA2012 update'!$B$6:$B$104,0),MATCH(AF$16,'AEA2012 update'!$S$4:$Z$4,0)),INDEX('AEA2012 update'!$K$6:$R$104,MATCH($T44&amp;$U44,'AEA2012 update'!$A$6:$A$104&amp;'AEA2012 update'!$B$6:$B$104,0),MATCH(AF$16,'AEA2012 update'!$S$4:$Z$4,0)))</f>
        <v>1377038.9964110029</v>
      </c>
      <c r="AG44" s="103" cm="1">
        <f t="array" ref="AG44">IF(Z44,INDEX('AEA2012 update'!$K$6:$R$104,MATCH($T44&amp;$R44,'AEA2012 update'!$A$6:$A$104&amp;'AEA2012 update'!$B$6:$B$104,0),MATCH(AG$16,'AEA2012 update'!$S$4:$Z$4,0)),INDEX('AEA2012 update'!$K$6:$R$104,MATCH($T44&amp;$U44,'AEA2012 update'!$A$6:$A$104&amp;'AEA2012 update'!$B$6:$B$104,0),MATCH(AG$16,'AEA2012 update'!$S$4:$Z$4,0)))</f>
        <v>960288.86116254178</v>
      </c>
      <c r="AH44" s="103" cm="1">
        <f t="array" ref="AH44">IF(AA44,INDEX('AEA2012 update'!$K$6:$R$104,MATCH($T44&amp;$R44,'AEA2012 update'!$A$6:$A$104&amp;'AEA2012 update'!$B$6:$B$104,0),MATCH(AH$16,'AEA2012 update'!$S$4:$Z$4,0)),INDEX('AEA2012 update'!$K$6:$R$104,MATCH($T44&amp;$U44,'AEA2012 update'!$A$6:$A$104&amp;'AEA2012 update'!$B$6:$B$104,0),MATCH(AH$16,'AEA2012 update'!$S$4:$Z$4,0)))</f>
        <v>914456.44042789342</v>
      </c>
      <c r="AI44" s="103" cm="1">
        <f t="array" ref="AI44">IF(AB44,INDEX('AEA2012 update'!$K$6:$R$104,MATCH($T44&amp;$R44,'AEA2012 update'!$A$6:$A$104&amp;'AEA2012 update'!$B$6:$B$104,0),MATCH(AI$16,'AEA2012 update'!$S$4:$Z$4,0)),INDEX('AEA2012 update'!$K$6:$R$104,MATCH($T44&amp;$U44,'AEA2012 update'!$A$6:$A$104&amp;'AEA2012 update'!$B$6:$B$104,0),MATCH(AI$16,'AEA2012 update'!$S$4:$Z$4,0)))</f>
        <v>868624.01969324483</v>
      </c>
      <c r="AJ44" s="103" cm="1">
        <f t="array" ref="AJ44">IF(AC44,INDEX('AEA2012 update'!$K$6:$R$104,MATCH($T44&amp;$R44,'AEA2012 update'!$A$6:$A$104&amp;'AEA2012 update'!$B$6:$B$104,0),MATCH(AJ$16,'AEA2012 update'!$S$4:$Z$4,0)),INDEX('AEA2012 update'!$K$6:$R$104,MATCH($T44&amp;$U44,'AEA2012 update'!$A$6:$A$104&amp;'AEA2012 update'!$B$6:$B$104,0),MATCH(AJ$16,'AEA2012 update'!$S$4:$Z$4,0)))</f>
        <v>387396.22422821133</v>
      </c>
      <c r="AK44" s="103" t="str">
        <f t="shared" si="13"/>
        <v>MBTHGN</v>
      </c>
      <c r="AL44" s="67">
        <f>INDEX('Vehicle data '!$AD$20:$AD$110,MATCH($AK44,'Vehicle data '!$AC$20:$AC$110,0))/INDEX('Vehicle data '!$AD$20:$AD$110,MATCH($AK$40,'Vehicle data '!$AC$20:$AC$110,0))*AL$40</f>
        <v>2.4542518818628487</v>
      </c>
      <c r="AM44" s="67">
        <f t="array" ref="AM44">IF($AE$1,AL44*(1+INDEX(AM$1:AM$2,MATCH($O44,$AI$1:$AI$2,0)))^(AM$16-AL$16),INDEX('AEA2012 update'!$AC$6:$AG$104,MATCH($T44&amp;$U44,'AEA2012 update'!$A$6:$A$104&amp;'AEA2012 update'!$B$6:$B$104,0),MATCH(AM$16,'AEA2012 update'!$AC$4:$AG$4,0)))</f>
        <v>2.4176218657445605</v>
      </c>
      <c r="AN44" s="67">
        <f t="array" ref="AN44">IF($AE$1,AM44*(1+INDEX(AN$1:AN$2,MATCH($O44,$AI$1:$AI$2,0)))^(AN$16-AM$16),INDEX('AEA2012 update'!$AC$6:$AG$104,MATCH($T44&amp;$U44,'AEA2012 update'!$A$6:$A$104&amp;'AEA2012 update'!$B$6:$B$104,0),MATCH(AN$16,'AEA2012 update'!$AC$4:$AG$4,0)))</f>
        <v>2.2422990310832418</v>
      </c>
      <c r="AO44" s="67">
        <f t="array" ref="AO44">IF($AE$1,AN44*(1+INDEX(AO$1:AO$2,MATCH($O44,$AI$1:$AI$2,0)))^(AO$16-AN$16),INDEX('AEA2012 update'!$AC$6:$AG$104,MATCH($T44&amp;$U44,'AEA2012 update'!$A$6:$A$104&amp;'AEA2012 update'!$B$6:$B$104,0),MATCH(AO$16,'AEA2012 update'!$AC$4:$AG$4,0)))</f>
        <v>2.0278950505212934</v>
      </c>
      <c r="AP44" s="67">
        <f t="array" ref="AP44">IF($AE$1,AO44*(1+INDEX(AP$1:AP$2,MATCH($O44,$AI$1:$AI$2,0)))^(AP$16-AO$16),INDEX('AEA2012 update'!$AC$6:$AG$104,MATCH($T44&amp;$U44,'AEA2012 update'!$A$6:$A$104&amp;'AEA2012 update'!$B$6:$B$104,0),MATCH(AP$16,'AEA2012 update'!$AC$4:$AG$4,0)))</f>
        <v>1.8339919336905313</v>
      </c>
      <c r="AQ44" s="67"/>
      <c r="AR44" s="257">
        <f t="shared" si="10"/>
        <v>-4.9750416666666597E-3</v>
      </c>
      <c r="AS44" s="257">
        <f t="shared" si="11"/>
        <v>-8.0468874575124055E-3</v>
      </c>
      <c r="AY44" s="61" t="str">
        <f t="shared" si="12"/>
        <v>MBT-HGN</v>
      </c>
      <c r="AZ44" s="80" t="e" cm="1">
        <f t="array" aca="1" ref="AZ44" ca="1">AL44/INDIRECT("cv."&amp;LEFT($U44,6)&amp;".hhv.MJL") * 100</f>
        <v>#REF!</v>
      </c>
      <c r="BA44" s="80" t="e" cm="1">
        <f t="array" aca="1" ref="BA44" ca="1">AM44/INDIRECT("cv."&amp;LEFT($U44,6)&amp;".hhv.MJL") * 100</f>
        <v>#REF!</v>
      </c>
      <c r="BB44" s="80" t="e" cm="1">
        <f t="array" aca="1" ref="BB44" ca="1">AN44/INDIRECT("cv."&amp;LEFT($U44,6)&amp;".hhv.MJL") * 100</f>
        <v>#REF!</v>
      </c>
      <c r="BC44" s="80" t="e" cm="1">
        <f t="array" aca="1" ref="BC44" ca="1">AO44/INDIRECT("cv."&amp;LEFT($U44,6)&amp;".hhv.MJL") * 100</f>
        <v>#REF!</v>
      </c>
      <c r="BD44" s="80" t="e" cm="1">
        <f t="array" aca="1" ref="BD44" ca="1">AP44/INDIRECT("cv."&amp;LEFT($U44,6)&amp;".hhv.MJL") * 100</f>
        <v>#REF!</v>
      </c>
    </row>
    <row r="45" spans="1:56" x14ac:dyDescent="0.25">
      <c r="C45" s="178" t="s">
        <v>712</v>
      </c>
      <c r="D45" s="61" t="s">
        <v>705</v>
      </c>
      <c r="E45" s="61" t="s">
        <v>706</v>
      </c>
      <c r="F45" s="61">
        <v>18000</v>
      </c>
      <c r="N45" s="61" t="s">
        <v>509</v>
      </c>
      <c r="O45" s="61" t="s">
        <v>613</v>
      </c>
      <c r="P45" s="61" t="s">
        <v>61</v>
      </c>
      <c r="Q45" s="61" t="str">
        <f t="shared" si="7"/>
        <v>MBT</v>
      </c>
      <c r="R45" s="61" t="s">
        <v>680</v>
      </c>
      <c r="S45" s="65"/>
      <c r="T45" s="256" t="s">
        <v>701</v>
      </c>
      <c r="U45" s="913" t="s">
        <v>700</v>
      </c>
      <c r="V45" s="921"/>
      <c r="W45" s="914">
        <f t="shared" si="15"/>
        <v>0</v>
      </c>
      <c r="X45" s="915">
        <f t="shared" si="15"/>
        <v>0</v>
      </c>
      <c r="Y45" s="915">
        <f t="shared" si="15"/>
        <v>0</v>
      </c>
      <c r="Z45" s="915">
        <f t="shared" si="15"/>
        <v>0</v>
      </c>
      <c r="AA45" s="915">
        <f t="shared" si="15"/>
        <v>0</v>
      </c>
      <c r="AB45" s="915">
        <f t="shared" si="15"/>
        <v>0</v>
      </c>
      <c r="AC45" s="916">
        <f t="shared" si="15"/>
        <v>0</v>
      </c>
      <c r="AD45" s="103" cm="1">
        <f t="array" ref="AD45">IF(W45,INDEX('AEA2012 update'!$K$6:$R$104,MATCH($T45&amp;$R45,'AEA2012 update'!$A$6:$A$104&amp;'AEA2012 update'!$B$6:$B$104,0),MATCH(AD$16,'AEA2012 update'!$S$4:$Z$4,0)),INDEX('AEA2012 update'!$K$6:$R$104,MATCH($T45&amp;$U45,'AEA2012 update'!$A$6:$A$104&amp;'AEA2012 update'!$B$6:$B$104,0),MATCH(AD$16,'AEA2012 update'!$S$4:$Z$4,0)))</f>
        <v>519120.41439989489</v>
      </c>
      <c r="AE45" s="103" cm="1">
        <f t="array" ref="AE45">IF(X45,INDEX('AEA2012 update'!$K$6:$R$104,MATCH($T45&amp;$R45,'AEA2012 update'!$A$6:$A$104&amp;'AEA2012 update'!$B$6:$B$104,0),MATCH(AE$16,'AEA2012 update'!$S$4:$Z$4,0)),INDEX('AEA2012 update'!$K$6:$R$104,MATCH($T45&amp;$U45,'AEA2012 update'!$A$6:$A$104&amp;'AEA2012 update'!$B$6:$B$104,0),MATCH(AE$16,'AEA2012 update'!$S$4:$Z$4,0)))</f>
        <v>545626.74611489451</v>
      </c>
      <c r="AF45" s="103" cm="1">
        <f t="array" ref="AF45">IF(Y45,INDEX('AEA2012 update'!$K$6:$R$104,MATCH($T45&amp;$R45,'AEA2012 update'!$A$6:$A$104&amp;'AEA2012 update'!$B$6:$B$104,0),MATCH(AF$16,'AEA2012 update'!$S$4:$Z$4,0)),INDEX('AEA2012 update'!$K$6:$R$104,MATCH($T45&amp;$U45,'AEA2012 update'!$A$6:$A$104&amp;'AEA2012 update'!$B$6:$B$104,0),MATCH(AF$16,'AEA2012 update'!$S$4:$Z$4,0)))</f>
        <v>551370.12411759188</v>
      </c>
      <c r="AG45" s="103" cm="1">
        <f t="array" ref="AG45">IF(Z45,INDEX('AEA2012 update'!$K$6:$R$104,MATCH($T45&amp;$R45,'AEA2012 update'!$A$6:$A$104&amp;'AEA2012 update'!$B$6:$B$104,0),MATCH(AG$16,'AEA2012 update'!$S$4:$Z$4,0)),INDEX('AEA2012 update'!$K$6:$R$104,MATCH($T45&amp;$U45,'AEA2012 update'!$A$6:$A$104&amp;'AEA2012 update'!$B$6:$B$104,0),MATCH(AG$16,'AEA2012 update'!$S$4:$Z$4,0)))</f>
        <v>557113.50212028937</v>
      </c>
      <c r="AH45" s="103" cm="1">
        <f t="array" ref="AH45">IF(AA45,INDEX('AEA2012 update'!$K$6:$R$104,MATCH($T45&amp;$R45,'AEA2012 update'!$A$6:$A$104&amp;'AEA2012 update'!$B$6:$B$104,0),MATCH(AH$16,'AEA2012 update'!$S$4:$Z$4,0)),INDEX('AEA2012 update'!$K$6:$R$104,MATCH($T45&amp;$U45,'AEA2012 update'!$A$6:$A$104&amp;'AEA2012 update'!$B$6:$B$104,0),MATCH(AH$16,'AEA2012 update'!$S$4:$Z$4,0)))</f>
        <v>565345.03849646868</v>
      </c>
      <c r="AI45" s="103" cm="1">
        <f t="array" ref="AI45">IF(AB45,INDEX('AEA2012 update'!$K$6:$R$104,MATCH($T45&amp;$R45,'AEA2012 update'!$A$6:$A$104&amp;'AEA2012 update'!$B$6:$B$104,0),MATCH(AI$16,'AEA2012 update'!$S$4:$Z$4,0)),INDEX('AEA2012 update'!$K$6:$R$104,MATCH($T45&amp;$U45,'AEA2012 update'!$A$6:$A$104&amp;'AEA2012 update'!$B$6:$B$104,0),MATCH(AI$16,'AEA2012 update'!$S$4:$Z$4,0)))</f>
        <v>573576.57487264799</v>
      </c>
      <c r="AJ45" s="103" cm="1">
        <f t="array" ref="AJ45">IF(AC45,INDEX('AEA2012 update'!$K$6:$R$104,MATCH($T45&amp;$R45,'AEA2012 update'!$A$6:$A$104&amp;'AEA2012 update'!$B$6:$B$104,0),MATCH(AJ$16,'AEA2012 update'!$S$4:$Z$4,0)),INDEX('AEA2012 update'!$K$6:$R$104,MATCH($T45&amp;$U45,'AEA2012 update'!$A$6:$A$104&amp;'AEA2012 update'!$B$6:$B$104,0),MATCH(AJ$16,'AEA2012 update'!$S$4:$Z$4,0)))</f>
        <v>580795.72210982675</v>
      </c>
      <c r="AK45" s="103" t="str">
        <f t="shared" si="13"/>
        <v>MBTGAS</v>
      </c>
      <c r="AL45" s="67">
        <f>INDEX('Vehicle data '!$AD$20:$AD$110,MATCH($AK45,'Vehicle data '!$AC$20:$AC$110,0))/INDEX('Vehicle data '!$AD$20:$AD$110,MATCH($AK$40,'Vehicle data '!$AC$20:$AC$110,0))*AL$40</f>
        <v>5.8443708343380978</v>
      </c>
      <c r="AM45" s="67">
        <f t="array" ref="AM45">IF($AE$1,AL45*(1+INDEX(AM$1:AM$2,MATCH($O45,$AI$1:$AI$2,0)))^(AM$16-AL$16),INDEX('AEA2012 update'!$AC$6:$AG$104,MATCH($T45&amp;$U45,'AEA2012 update'!$A$6:$A$104&amp;'AEA2012 update'!$B$6:$B$104,0),MATCH(AM$16,'AEA2012 update'!$AC$4:$AG$4,0)))</f>
        <v>5.7571428690892477</v>
      </c>
      <c r="AN45" s="67">
        <f t="array" ref="AN45">IF($AE$1,AM45*(1+INDEX(AN$1:AN$2,MATCH($O45,$AI$1:$AI$2,0)))^(AN$16-AM$16),INDEX('AEA2012 update'!$AC$6:$AG$104,MATCH($T45&amp;$U45,'AEA2012 update'!$A$6:$A$104&amp;'AEA2012 update'!$B$6:$B$104,0),MATCH(AN$16,'AEA2012 update'!$AC$4:$AG$4,0)))</f>
        <v>5.3396422575748534</v>
      </c>
      <c r="AO45" s="67">
        <f t="array" ref="AO45">IF($AE$1,AN45*(1+INDEX(AO$1:AO$2,MATCH($O45,$AI$1:$AI$2,0)))^(AO$16-AN$16),INDEX('AEA2012 update'!$AC$6:$AG$104,MATCH($T45&amp;$U45,'AEA2012 update'!$A$6:$A$104&amp;'AEA2012 update'!$B$6:$B$104,0),MATCH(AO$16,'AEA2012 update'!$AC$4:$AG$4,0)))</f>
        <v>4.8290767447102425</v>
      </c>
      <c r="AP45" s="67">
        <f t="array" ref="AP45">IF($AE$1,AO45*(1+INDEX(AP$1:AP$2,MATCH($O45,$AI$1:$AI$2,0)))^(AP$16-AO$16),INDEX('AEA2012 update'!$AC$6:$AG$104,MATCH($T45&amp;$U45,'AEA2012 update'!$A$6:$A$104&amp;'AEA2012 update'!$B$6:$B$104,0),MATCH(AP$16,'AEA2012 update'!$AC$4:$AG$4,0)))</f>
        <v>4.3673304467578111</v>
      </c>
      <c r="AQ45" s="67"/>
      <c r="AR45" s="257">
        <f t="shared" si="10"/>
        <v>-4.9750416666666511E-3</v>
      </c>
      <c r="AS45" s="257">
        <f t="shared" si="11"/>
        <v>-8.0468874575123986E-3</v>
      </c>
      <c r="AY45" s="61" t="str">
        <f t="shared" si="12"/>
        <v>MBT-GAS</v>
      </c>
      <c r="AZ45" s="80" t="e" cm="1">
        <f t="array" aca="1" ref="AZ45" ca="1">AL45/INDIRECT("cv."&amp;LEFT($U45,6)&amp;".hhv.MJL") * 100</f>
        <v>#REF!</v>
      </c>
      <c r="BA45" s="80" t="e" cm="1">
        <f t="array" aca="1" ref="BA45" ca="1">AM45/INDIRECT("cv."&amp;LEFT($U45,6)&amp;".hhv.MJL") * 100</f>
        <v>#REF!</v>
      </c>
      <c r="BB45" s="80" t="e" cm="1">
        <f t="array" aca="1" ref="BB45" ca="1">AN45/INDIRECT("cv."&amp;LEFT($U45,6)&amp;".hhv.MJL") * 100</f>
        <v>#REF!</v>
      </c>
      <c r="BC45" s="80" t="e" cm="1">
        <f t="array" aca="1" ref="BC45" ca="1">AO45/INDIRECT("cv."&amp;LEFT($U45,6)&amp;".hhv.MJL") * 100</f>
        <v>#REF!</v>
      </c>
      <c r="BD45" s="80" t="e" cm="1">
        <f t="array" aca="1" ref="BD45" ca="1">AP45/INDIRECT("cv."&amp;LEFT($U45,6)&amp;".hhv.MJL") * 100</f>
        <v>#REF!</v>
      </c>
    </row>
    <row r="46" spans="1:56" x14ac:dyDescent="0.25">
      <c r="C46" s="178" t="s">
        <v>704</v>
      </c>
      <c r="D46" s="61" t="s">
        <v>713</v>
      </c>
      <c r="E46" s="61" t="s">
        <v>706</v>
      </c>
      <c r="F46" s="61">
        <v>5840</v>
      </c>
      <c r="O46" s="61" t="s">
        <v>613</v>
      </c>
      <c r="Q46" s="61" t="str">
        <f t="shared" si="7"/>
        <v/>
      </c>
      <c r="S46" s="65"/>
      <c r="T46" s="256"/>
      <c r="U46" s="260"/>
      <c r="V46" s="921"/>
      <c r="W46" s="914">
        <f t="shared" si="15"/>
        <v>0</v>
      </c>
      <c r="X46" s="915">
        <f t="shared" si="15"/>
        <v>0</v>
      </c>
      <c r="Y46" s="915">
        <f t="shared" si="15"/>
        <v>0</v>
      </c>
      <c r="Z46" s="915">
        <f t="shared" si="15"/>
        <v>0</v>
      </c>
      <c r="AA46" s="915">
        <f t="shared" si="15"/>
        <v>0</v>
      </c>
      <c r="AB46" s="915">
        <f t="shared" si="15"/>
        <v>0</v>
      </c>
      <c r="AC46" s="916">
        <f t="shared" si="15"/>
        <v>0</v>
      </c>
      <c r="AD46" s="103" t="e" cm="1">
        <f t="array" ref="AD46">IF(W46,INDEX('AEA2012 update'!$K$6:$R$104,MATCH($T46&amp;$R46,'AEA2012 update'!$A$6:$A$104&amp;'AEA2012 update'!$B$6:$B$104,0),MATCH(AD$16,'AEA2012 update'!$S$4:$Z$4,0)),INDEX('AEA2012 update'!$K$6:$R$104,MATCH($T46&amp;$U46,'AEA2012 update'!$A$6:$A$104&amp;'AEA2012 update'!$B$6:$B$104,0),MATCH(AD$16,'AEA2012 update'!$S$4:$Z$4,0)))</f>
        <v>#N/A</v>
      </c>
      <c r="AE46" s="103" t="e" cm="1">
        <f t="array" ref="AE46">IF(X46,INDEX('AEA2012 update'!$K$6:$R$104,MATCH($T46&amp;$R46,'AEA2012 update'!$A$6:$A$104&amp;'AEA2012 update'!$B$6:$B$104,0),MATCH(AE$16,'AEA2012 update'!$S$4:$Z$4,0)),INDEX('AEA2012 update'!$K$6:$R$104,MATCH($T46&amp;$U46,'AEA2012 update'!$A$6:$A$104&amp;'AEA2012 update'!$B$6:$B$104,0),MATCH(AE$16,'AEA2012 update'!$S$4:$Z$4,0)))</f>
        <v>#N/A</v>
      </c>
      <c r="AF46" s="103" t="e" cm="1">
        <f t="array" ref="AF46">IF(Y46,INDEX('AEA2012 update'!$K$6:$R$104,MATCH($T46&amp;$R46,'AEA2012 update'!$A$6:$A$104&amp;'AEA2012 update'!$B$6:$B$104,0),MATCH(AF$16,'AEA2012 update'!$S$4:$Z$4,0)),INDEX('AEA2012 update'!$K$6:$R$104,MATCH($T46&amp;$U46,'AEA2012 update'!$A$6:$A$104&amp;'AEA2012 update'!$B$6:$B$104,0),MATCH(AF$16,'AEA2012 update'!$S$4:$Z$4,0)))</f>
        <v>#N/A</v>
      </c>
      <c r="AG46" s="103" t="e" cm="1">
        <f t="array" ref="AG46">IF(Z46,INDEX('AEA2012 update'!$K$6:$R$104,MATCH($T46&amp;$R46,'AEA2012 update'!$A$6:$A$104&amp;'AEA2012 update'!$B$6:$B$104,0),MATCH(AG$16,'AEA2012 update'!$S$4:$Z$4,0)),INDEX('AEA2012 update'!$K$6:$R$104,MATCH($T46&amp;$U46,'AEA2012 update'!$A$6:$A$104&amp;'AEA2012 update'!$B$6:$B$104,0),MATCH(AG$16,'AEA2012 update'!$S$4:$Z$4,0)))</f>
        <v>#N/A</v>
      </c>
      <c r="AH46" s="103" t="e" cm="1">
        <f t="array" ref="AH46">IF(AA46,INDEX('AEA2012 update'!$K$6:$R$104,MATCH($T46&amp;$R46,'AEA2012 update'!$A$6:$A$104&amp;'AEA2012 update'!$B$6:$B$104,0),MATCH(AH$16,'AEA2012 update'!$S$4:$Z$4,0)),INDEX('AEA2012 update'!$K$6:$R$104,MATCH($T46&amp;$U46,'AEA2012 update'!$A$6:$A$104&amp;'AEA2012 update'!$B$6:$B$104,0),MATCH(AH$16,'AEA2012 update'!$S$4:$Z$4,0)))</f>
        <v>#N/A</v>
      </c>
      <c r="AI46" s="103" t="e" cm="1">
        <f t="array" ref="AI46">IF(AB46,INDEX('AEA2012 update'!$K$6:$R$104,MATCH($T46&amp;$R46,'AEA2012 update'!$A$6:$A$104&amp;'AEA2012 update'!$B$6:$B$104,0),MATCH(AI$16,'AEA2012 update'!$S$4:$Z$4,0)),INDEX('AEA2012 update'!$K$6:$R$104,MATCH($T46&amp;$U46,'AEA2012 update'!$A$6:$A$104&amp;'AEA2012 update'!$B$6:$B$104,0),MATCH(AI$16,'AEA2012 update'!$S$4:$Z$4,0)))</f>
        <v>#N/A</v>
      </c>
      <c r="AJ46" s="103" t="e" cm="1">
        <f t="array" ref="AJ46">IF(AC46,INDEX('AEA2012 update'!$K$6:$R$104,MATCH($T46&amp;$R46,'AEA2012 update'!$A$6:$A$104&amp;'AEA2012 update'!$B$6:$B$104,0),MATCH(AJ$16,'AEA2012 update'!$S$4:$Z$4,0)),INDEX('AEA2012 update'!$K$6:$R$104,MATCH($T46&amp;$U46,'AEA2012 update'!$A$6:$A$104&amp;'AEA2012 update'!$B$6:$B$104,0),MATCH(AJ$16,'AEA2012 update'!$S$4:$Z$4,0)))</f>
        <v>#N/A</v>
      </c>
      <c r="AK46" s="103" t="str">
        <f t="shared" si="13"/>
        <v/>
      </c>
      <c r="AL46" s="67" t="e">
        <f>1/INDEX(Analytica!$AA$17:$AE$48,MATCH($AK46,Analytica!$A$17:$A$48,0),MATCH(AL$16,Analytica!$AA$16:$AE$16,0))</f>
        <v>#N/A</v>
      </c>
      <c r="AM46" s="67" t="e">
        <f t="array" ref="AM46">IF($AE$1,AL46*(1+INDEX(AM$1:AM$2,MATCH($O46,$AI$1:$AI$2,0)))^(AM$16-AL$16),INDEX('AEA2012 update'!$AC$6:$AG$104,MATCH($T46&amp;$U46,'AEA2012 update'!$A$6:$A$104&amp;'AEA2012 update'!$B$6:$B$104,0),MATCH(AM$16,'AEA2012 update'!$AC$4:$AG$4,0)))</f>
        <v>#N/A</v>
      </c>
      <c r="AN46" s="67" t="e">
        <f t="array" ref="AN46">IF($AE$1,AM46*(1+INDEX(AN$1:AN$2,MATCH($O46,$AI$1:$AI$2,0)))^(AN$16-AM$16),INDEX('AEA2012 update'!$AC$6:$AG$104,MATCH($T46&amp;$U46,'AEA2012 update'!$A$6:$A$104&amp;'AEA2012 update'!$B$6:$B$104,0),MATCH(AN$16,'AEA2012 update'!$AC$4:$AG$4,0)))</f>
        <v>#N/A</v>
      </c>
      <c r="AO46" s="67" t="e">
        <f t="array" ref="AO46">IF($AE$1,AN46*(1+INDEX(AO$1:AO$2,MATCH($O46,$AI$1:$AI$2,0)))^(AO$16-AN$16),INDEX('AEA2012 update'!$AC$6:$AG$104,MATCH($T46&amp;$U46,'AEA2012 update'!$A$6:$A$104&amp;'AEA2012 update'!$B$6:$B$104,0),MATCH(AO$16,'AEA2012 update'!$AC$4:$AG$4,0)))</f>
        <v>#N/A</v>
      </c>
      <c r="AP46" s="67" t="e">
        <f t="array" ref="AP46">IF($AE$1,AO46*(1+INDEX(AP$1:AP$2,MATCH($O46,$AI$1:$AI$2,0)))^(AP$16-AO$16),INDEX('AEA2012 update'!$AC$6:$AG$104,MATCH($T46&amp;$U46,'AEA2012 update'!$A$6:$A$104&amp;'AEA2012 update'!$B$6:$B$104,0),MATCH(AP$16,'AEA2012 update'!$AC$4:$AG$4,0)))</f>
        <v>#N/A</v>
      </c>
      <c r="AQ46" s="67"/>
      <c r="AR46" s="257" t="e">
        <f t="shared" si="10"/>
        <v>#N/A</v>
      </c>
      <c r="AS46" s="257" t="e">
        <f t="shared" si="11"/>
        <v>#N/A</v>
      </c>
      <c r="AY46" s="61" t="str">
        <f t="shared" si="12"/>
        <v>-</v>
      </c>
      <c r="AZ46" s="80" t="e" cm="1">
        <f t="array" aca="1" ref="AZ46" ca="1">AL46/INDIRECT("cv."&amp;LEFT($U46,6)&amp;".hhv.MJL") * 100</f>
        <v>#N/A</v>
      </c>
      <c r="BA46" s="80" t="e" cm="1">
        <f t="array" aca="1" ref="BA46" ca="1">AM46/INDIRECT("cv."&amp;LEFT($U46,6)&amp;".hhv.MJL") * 100</f>
        <v>#N/A</v>
      </c>
      <c r="BB46" s="80" t="e" cm="1">
        <f t="array" aca="1" ref="BB46" ca="1">AN46/INDIRECT("cv."&amp;LEFT($U46,6)&amp;".hhv.MJL") * 100</f>
        <v>#N/A</v>
      </c>
      <c r="BC46" s="80" t="e" cm="1">
        <f t="array" aca="1" ref="BC46" ca="1">AO46/INDIRECT("cv."&amp;LEFT($U46,6)&amp;".hhv.MJL") * 100</f>
        <v>#N/A</v>
      </c>
      <c r="BD46" s="80" t="e" cm="1">
        <f t="array" aca="1" ref="BD46" ca="1">AP46/INDIRECT("cv."&amp;LEFT($U46,6)&amp;".hhv.MJL") * 100</f>
        <v>#N/A</v>
      </c>
    </row>
    <row r="47" spans="1:56" x14ac:dyDescent="0.25">
      <c r="C47" s="178" t="s">
        <v>708</v>
      </c>
      <c r="D47" s="61" t="s">
        <v>713</v>
      </c>
      <c r="E47" s="61" t="s">
        <v>706</v>
      </c>
      <c r="F47" s="61">
        <v>9650</v>
      </c>
      <c r="N47" s="61" t="s">
        <v>573</v>
      </c>
      <c r="O47" s="61" t="s">
        <v>613</v>
      </c>
      <c r="P47" s="61" t="s">
        <v>714</v>
      </c>
      <c r="Q47" s="61" t="str">
        <f t="shared" si="7"/>
        <v>MOT</v>
      </c>
      <c r="R47" s="61" t="s">
        <v>680</v>
      </c>
      <c r="S47" s="65"/>
      <c r="T47" s="256" t="s">
        <v>715</v>
      </c>
      <c r="U47" s="913" t="s">
        <v>680</v>
      </c>
      <c r="V47" s="921"/>
      <c r="W47" s="914">
        <f t="shared" si="15"/>
        <v>0</v>
      </c>
      <c r="X47" s="915">
        <f t="shared" si="15"/>
        <v>0</v>
      </c>
      <c r="Y47" s="915">
        <f t="shared" si="15"/>
        <v>0</v>
      </c>
      <c r="Z47" s="915">
        <f t="shared" si="15"/>
        <v>0</v>
      </c>
      <c r="AA47" s="915">
        <f t="shared" si="15"/>
        <v>0</v>
      </c>
      <c r="AB47" s="915">
        <f t="shared" si="15"/>
        <v>0</v>
      </c>
      <c r="AC47" s="916">
        <f t="shared" si="15"/>
        <v>0</v>
      </c>
      <c r="AD47" s="103" cm="1">
        <f t="array" ref="AD47">IF(W47,INDEX('AEA2012 update'!$K$6:$R$104,MATCH($T47&amp;$R47,'AEA2012 update'!$A$6:$A$104&amp;'AEA2012 update'!$B$6:$B$104,0),MATCH(AD$16,'AEA2012 update'!$S$4:$Z$4,0)),INDEX('AEA2012 update'!$K$6:$R$104,MATCH($T47&amp;$U47,'AEA2012 update'!$A$6:$A$104&amp;'AEA2012 update'!$B$6:$B$104,0),MATCH(AD$16,'AEA2012 update'!$S$4:$Z$4,0)))</f>
        <v>96467.645499958366</v>
      </c>
      <c r="AE47" s="103" cm="1">
        <f t="array" ref="AE47">IF(X47,INDEX('AEA2012 update'!$K$6:$R$104,MATCH($T47&amp;$R47,'AEA2012 update'!$A$6:$A$104&amp;'AEA2012 update'!$B$6:$B$104,0),MATCH(AE$16,'AEA2012 update'!$S$4:$Z$4,0)),INDEX('AEA2012 update'!$K$6:$R$104,MATCH($T47&amp;$U47,'AEA2012 update'!$A$6:$A$104&amp;'AEA2012 update'!$B$6:$B$104,0),MATCH(AE$16,'AEA2012 update'!$S$4:$Z$4,0)))</f>
        <v>100952.58236707702</v>
      </c>
      <c r="AF47" s="103" cm="1">
        <f t="array" ref="AF47">IF(Y47,INDEX('AEA2012 update'!$K$6:$R$104,MATCH($T47&amp;$R47,'AEA2012 update'!$A$6:$A$104&amp;'AEA2012 update'!$B$6:$B$104,0),MATCH(AF$16,'AEA2012 update'!$S$4:$Z$4,0)),INDEX('AEA2012 update'!$K$6:$R$104,MATCH($T47&amp;$U47,'AEA2012 update'!$A$6:$A$104&amp;'AEA2012 update'!$B$6:$B$104,0),MATCH(AF$16,'AEA2012 update'!$S$4:$Z$4,0)))</f>
        <v>102362.83931314477</v>
      </c>
      <c r="AG47" s="103" cm="1">
        <f t="array" ref="AG47">IF(Z47,INDEX('AEA2012 update'!$K$6:$R$104,MATCH($T47&amp;$R47,'AEA2012 update'!$A$6:$A$104&amp;'AEA2012 update'!$B$6:$B$104,0),MATCH(AG$16,'AEA2012 update'!$S$4:$Z$4,0)),INDEX('AEA2012 update'!$K$6:$R$104,MATCH($T47&amp;$U47,'AEA2012 update'!$A$6:$A$104&amp;'AEA2012 update'!$B$6:$B$104,0),MATCH(AG$16,'AEA2012 update'!$S$4:$Z$4,0)))</f>
        <v>103773.09625921253</v>
      </c>
      <c r="AH47" s="103" cm="1">
        <f t="array" ref="AH47">IF(AA47,INDEX('AEA2012 update'!$K$6:$R$104,MATCH($T47&amp;$R47,'AEA2012 update'!$A$6:$A$104&amp;'AEA2012 update'!$B$6:$B$104,0),MATCH(AH$16,'AEA2012 update'!$S$4:$Z$4,0)),INDEX('AEA2012 update'!$K$6:$R$104,MATCH($T47&amp;$U47,'AEA2012 update'!$A$6:$A$104&amp;'AEA2012 update'!$B$6:$B$104,0),MATCH(AH$16,'AEA2012 update'!$S$4:$Z$4,0)))</f>
        <v>105377.19050256097</v>
      </c>
      <c r="AI47" s="103" cm="1">
        <f t="array" ref="AI47">IF(AB47,INDEX('AEA2012 update'!$K$6:$R$104,MATCH($T47&amp;$R47,'AEA2012 update'!$A$6:$A$104&amp;'AEA2012 update'!$B$6:$B$104,0),MATCH(AI$16,'AEA2012 update'!$S$4:$Z$4,0)),INDEX('AEA2012 update'!$K$6:$R$104,MATCH($T47&amp;$U47,'AEA2012 update'!$A$6:$A$104&amp;'AEA2012 update'!$B$6:$B$104,0),MATCH(AI$16,'AEA2012 update'!$S$4:$Z$4,0)))</f>
        <v>106981.2847459094</v>
      </c>
      <c r="AJ47" s="103" cm="1">
        <f t="array" ref="AJ47">IF(AC47,INDEX('AEA2012 update'!$K$6:$R$104,MATCH($T47&amp;$R47,'AEA2012 update'!$A$6:$A$104&amp;'AEA2012 update'!$B$6:$B$104,0),MATCH(AJ$16,'AEA2012 update'!$S$4:$Z$4,0)),INDEX('AEA2012 update'!$K$6:$R$104,MATCH($T47&amp;$U47,'AEA2012 update'!$A$6:$A$104&amp;'AEA2012 update'!$B$6:$B$104,0),MATCH(AJ$16,'AEA2012 update'!$S$4:$Z$4,0)))</f>
        <v>108464.33187891265</v>
      </c>
      <c r="AK47" s="103" t="str">
        <f t="shared" si="13"/>
        <v>MOTOGS</v>
      </c>
      <c r="AL47" s="67">
        <f>1/INDEX(Analytica!$AA$17:$AE$48,MATCH($AK47,Analytica!$A$17:$A$48,0),MATCH(AL$16,Analytica!$AA$16:$AE$16,0))</f>
        <v>1.7098493444353202</v>
      </c>
      <c r="AM47" s="67">
        <f t="array" ref="AM47">IF($AE$1,AL47*(1+INDEX(AM$1:AM$2,MATCH($O47,$AI$1:$AI$2,0)))^(AM$16-AL$16),INDEX('AEA2012 update'!$AC$6:$AG$104,MATCH($T47&amp;$U47,'AEA2012 update'!$A$6:$A$104&amp;'AEA2012 update'!$B$6:$B$104,0),MATCH(AM$16,'AEA2012 update'!$AC$4:$AG$4,0)))</f>
        <v>1.6843296292384551</v>
      </c>
      <c r="AN47" s="67">
        <f t="array" ref="AN47">IF($AE$1,AM47*(1+INDEX(AN$1:AN$2,MATCH($O47,$AI$1:$AI$2,0)))^(AN$16-AM$16),INDEX('AEA2012 update'!$AC$6:$AG$104,MATCH($T47&amp;$U47,'AEA2012 update'!$A$6:$A$104&amp;'AEA2012 update'!$B$6:$B$104,0),MATCH(AN$16,'AEA2012 update'!$AC$4:$AG$4,0)))</f>
        <v>1.5621842063804479</v>
      </c>
      <c r="AO47" s="67">
        <f t="array" ref="AO47">IF($AE$1,AN47*(1+INDEX(AO$1:AO$2,MATCH($O47,$AI$1:$AI$2,0)))^(AO$16-AN$16),INDEX('AEA2012 update'!$AC$6:$AG$104,MATCH($T47&amp;$U47,'AEA2012 update'!$A$6:$A$104&amp;'AEA2012 update'!$B$6:$B$104,0),MATCH(AO$16,'AEA2012 update'!$AC$4:$AG$4,0)))</f>
        <v>1.4128113941123317</v>
      </c>
      <c r="AP47" s="67">
        <f t="array" ref="AP47">IF($AE$1,AO47*(1+INDEX(AP$1:AP$2,MATCH($O47,$AI$1:$AI$2,0)))^(AP$16-AO$16),INDEX('AEA2012 update'!$AC$6:$AG$104,MATCH($T47&amp;$U47,'AEA2012 update'!$A$6:$A$104&amp;'AEA2012 update'!$B$6:$B$104,0),MATCH(AP$16,'AEA2012 update'!$AC$4:$AG$4,0)))</f>
        <v>1.277721300203392</v>
      </c>
      <c r="AQ47" s="67"/>
      <c r="AR47" s="257">
        <f t="shared" si="10"/>
        <v>-4.9750416666666528E-3</v>
      </c>
      <c r="AS47" s="257">
        <f t="shared" si="11"/>
        <v>-8.0468874575124003E-3</v>
      </c>
      <c r="AY47" s="61" t="str">
        <f t="shared" si="12"/>
        <v>MOT-OGS</v>
      </c>
      <c r="AZ47" s="80" t="e" cm="1">
        <f t="array" aca="1" ref="AZ47" ca="1">AL47/INDIRECT("cv."&amp;LEFT($U47,6)&amp;".hhv.MJL") * 100</f>
        <v>#REF!</v>
      </c>
      <c r="BA47" s="80" t="e" cm="1">
        <f t="array" aca="1" ref="BA47" ca="1">AM47/INDIRECT("cv."&amp;LEFT($U47,6)&amp;".hhv.MJL") * 100</f>
        <v>#REF!</v>
      </c>
      <c r="BB47" s="80" t="e" cm="1">
        <f t="array" aca="1" ref="BB47" ca="1">AN47/INDIRECT("cv."&amp;LEFT($U47,6)&amp;".hhv.MJL") * 100</f>
        <v>#REF!</v>
      </c>
      <c r="BC47" s="80" t="e" cm="1">
        <f t="array" aca="1" ref="BC47" ca="1">AO47/INDIRECT("cv."&amp;LEFT($U47,6)&amp;".hhv.MJL") * 100</f>
        <v>#REF!</v>
      </c>
      <c r="BD47" s="80" t="e" cm="1">
        <f t="array" aca="1" ref="BD47" ca="1">AP47/INDIRECT("cv."&amp;LEFT($U47,6)&amp;".hhv.MJL") * 100</f>
        <v>#REF!</v>
      </c>
    </row>
    <row r="48" spans="1:56" x14ac:dyDescent="0.25">
      <c r="C48" s="178" t="s">
        <v>710</v>
      </c>
      <c r="D48" s="61" t="s">
        <v>713</v>
      </c>
      <c r="E48" s="61" t="s">
        <v>706</v>
      </c>
      <c r="F48" s="61">
        <v>13960</v>
      </c>
      <c r="N48" s="61" t="s">
        <v>511</v>
      </c>
      <c r="O48" s="61" t="s">
        <v>613</v>
      </c>
      <c r="P48" s="61" t="s">
        <v>714</v>
      </c>
      <c r="Q48" s="61" t="str">
        <f t="shared" si="7"/>
        <v>MOT</v>
      </c>
      <c r="R48" s="61" t="s">
        <v>680</v>
      </c>
      <c r="S48" s="65"/>
      <c r="T48" s="256" t="s">
        <v>715</v>
      </c>
      <c r="U48" s="913" t="s">
        <v>688</v>
      </c>
      <c r="V48" s="921">
        <v>2030</v>
      </c>
      <c r="W48" s="914">
        <f t="shared" si="15"/>
        <v>0</v>
      </c>
      <c r="X48" s="915">
        <f t="shared" si="15"/>
        <v>0</v>
      </c>
      <c r="Y48" s="915">
        <f t="shared" si="15"/>
        <v>0</v>
      </c>
      <c r="Z48" s="915">
        <f t="shared" si="15"/>
        <v>1</v>
      </c>
      <c r="AA48" s="915">
        <f t="shared" si="15"/>
        <v>1</v>
      </c>
      <c r="AB48" s="915">
        <f t="shared" si="15"/>
        <v>1</v>
      </c>
      <c r="AC48" s="916">
        <f t="shared" si="15"/>
        <v>1</v>
      </c>
      <c r="AD48" s="103" cm="1">
        <f t="array" ref="AD48">IF(W48,INDEX('AEA2012 update'!$K$6:$R$104,MATCH($T48&amp;$R48,'AEA2012 update'!$A$6:$A$104&amp;'AEA2012 update'!$B$6:$B$104,0),MATCH(AD$16,'AEA2012 update'!$S$4:$Z$4,0)),INDEX('AEA2012 update'!$K$6:$R$104,MATCH($T48&amp;$U48,'AEA2012 update'!$A$6:$A$104&amp;'AEA2012 update'!$B$6:$B$104,0),MATCH(AD$16,'AEA2012 update'!$S$4:$Z$4,0)))</f>
        <v>202427.5003038717</v>
      </c>
      <c r="AE48" s="103" cm="1">
        <f t="array" ref="AE48">IF(X48,INDEX('AEA2012 update'!$K$6:$R$104,MATCH($T48&amp;$R48,'AEA2012 update'!$A$6:$A$104&amp;'AEA2012 update'!$B$6:$B$104,0),MATCH(AE$16,'AEA2012 update'!$S$4:$Z$4,0)),INDEX('AEA2012 update'!$K$6:$R$104,MATCH($T48&amp;$U48,'AEA2012 update'!$A$6:$A$104&amp;'AEA2012 update'!$B$6:$B$104,0),MATCH(AE$16,'AEA2012 update'!$S$4:$Z$4,0)))</f>
        <v>184982.86079099006</v>
      </c>
      <c r="AF48" s="103" cm="1">
        <f t="array" ref="AF48">IF(Y48,INDEX('AEA2012 update'!$K$6:$R$104,MATCH($T48&amp;$R48,'AEA2012 update'!$A$6:$A$104&amp;'AEA2012 update'!$B$6:$B$104,0),MATCH(AF$16,'AEA2012 update'!$S$4:$Z$4,0)),INDEX('AEA2012 update'!$K$6:$R$104,MATCH($T48&amp;$U48,'AEA2012 update'!$A$6:$A$104&amp;'AEA2012 update'!$B$6:$B$104,0),MATCH(AF$16,'AEA2012 update'!$S$4:$Z$4,0)))</f>
        <v>182001.73414443681</v>
      </c>
      <c r="AG48" s="103" cm="1">
        <f t="array" ref="AG48">IF(Z48,INDEX('AEA2012 update'!$K$6:$R$104,MATCH($T48&amp;$R48,'AEA2012 update'!$A$6:$A$104&amp;'AEA2012 update'!$B$6:$B$104,0),MATCH(AG$16,'AEA2012 update'!$S$4:$Z$4,0)),INDEX('AEA2012 update'!$K$6:$R$104,MATCH($T48&amp;$U48,'AEA2012 update'!$A$6:$A$104&amp;'AEA2012 update'!$B$6:$B$104,0),MATCH(AG$16,'AEA2012 update'!$S$4:$Z$4,0)))</f>
        <v>103773.09625921253</v>
      </c>
      <c r="AH48" s="103" cm="1">
        <f t="array" ref="AH48">IF(AA48,INDEX('AEA2012 update'!$K$6:$R$104,MATCH($T48&amp;$R48,'AEA2012 update'!$A$6:$A$104&amp;'AEA2012 update'!$B$6:$B$104,0),MATCH(AH$16,'AEA2012 update'!$S$4:$Z$4,0)),INDEX('AEA2012 update'!$K$6:$R$104,MATCH($T48&amp;$U48,'AEA2012 update'!$A$6:$A$104&amp;'AEA2012 update'!$B$6:$B$104,0),MATCH(AH$16,'AEA2012 update'!$S$4:$Z$4,0)))</f>
        <v>105377.19050256097</v>
      </c>
      <c r="AI48" s="103" cm="1">
        <f t="array" ref="AI48">IF(AB48,INDEX('AEA2012 update'!$K$6:$R$104,MATCH($T48&amp;$R48,'AEA2012 update'!$A$6:$A$104&amp;'AEA2012 update'!$B$6:$B$104,0),MATCH(AI$16,'AEA2012 update'!$S$4:$Z$4,0)),INDEX('AEA2012 update'!$K$6:$R$104,MATCH($T48&amp;$U48,'AEA2012 update'!$A$6:$A$104&amp;'AEA2012 update'!$B$6:$B$104,0),MATCH(AI$16,'AEA2012 update'!$S$4:$Z$4,0)))</f>
        <v>106981.2847459094</v>
      </c>
      <c r="AJ48" s="103" cm="1">
        <f t="array" ref="AJ48">IF(AC48,INDEX('AEA2012 update'!$K$6:$R$104,MATCH($T48&amp;$R48,'AEA2012 update'!$A$6:$A$104&amp;'AEA2012 update'!$B$6:$B$104,0),MATCH(AJ$16,'AEA2012 update'!$S$4:$Z$4,0)),INDEX('AEA2012 update'!$K$6:$R$104,MATCH($T48&amp;$U48,'AEA2012 update'!$A$6:$A$104&amp;'AEA2012 update'!$B$6:$B$104,0),MATCH(AJ$16,'AEA2012 update'!$S$4:$Z$4,0)))</f>
        <v>108464.33187891265</v>
      </c>
      <c r="AK48" s="103" t="str">
        <f t="shared" si="13"/>
        <v>MOTODS</v>
      </c>
      <c r="AL48" s="67">
        <f>INDEX('Vehicle data '!$AD$20:$AD$110,MATCH($AK48,'Vehicle data '!$AC$20:$AC$110,0))/INDEX('Vehicle data '!$AD$20:$AD$110,MATCH($AK$47,'Vehicle data '!$AC$20:$AC$110,0))*AL$47</f>
        <v>1.2823870083264901</v>
      </c>
      <c r="AM48" s="67">
        <f t="array" ref="AM48">IF($AE$1,AL48*(1+INDEX(AM$1:AM$2,MATCH($O48,$AI$1:$AI$2,0)))^(AM$16-AL$16),INDEX('AEA2012 update'!$AC$6:$AG$104,MATCH($T48&amp;$U48,'AEA2012 update'!$A$6:$A$104&amp;'AEA2012 update'!$B$6:$B$104,0),MATCH(AM$16,'AEA2012 update'!$AC$4:$AG$4,0)))</f>
        <v>1.2632472219288413</v>
      </c>
      <c r="AN48" s="67">
        <f t="array" ref="AN48">IF($AE$1,AM48*(1+INDEX(AN$1:AN$2,MATCH($O48,$AI$1:$AI$2,0)))^(AN$16-AM$16),INDEX('AEA2012 update'!$AC$6:$AG$104,MATCH($T48&amp;$U48,'AEA2012 update'!$A$6:$A$104&amp;'AEA2012 update'!$B$6:$B$104,0),MATCH(AN$16,'AEA2012 update'!$AC$4:$AG$4,0)))</f>
        <v>1.1716381547853358</v>
      </c>
      <c r="AO48" s="67">
        <f t="array" ref="AO48">IF($AE$1,AN48*(1+INDEX(AO$1:AO$2,MATCH($O48,$AI$1:$AI$2,0)))^(AO$16-AN$16),INDEX('AEA2012 update'!$AC$6:$AG$104,MATCH($T48&amp;$U48,'AEA2012 update'!$A$6:$A$104&amp;'AEA2012 update'!$B$6:$B$104,0),MATCH(AO$16,'AEA2012 update'!$AC$4:$AG$4,0)))</f>
        <v>1.0596085455842486</v>
      </c>
      <c r="AP48" s="67">
        <f t="array" ref="AP48">IF($AE$1,AO48*(1+INDEX(AP$1:AP$2,MATCH($O48,$AI$1:$AI$2,0)))^(AP$16-AO$16),INDEX('AEA2012 update'!$AC$6:$AG$104,MATCH($T48&amp;$U48,'AEA2012 update'!$A$6:$A$104&amp;'AEA2012 update'!$B$6:$B$104,0),MATCH(AP$16,'AEA2012 update'!$AC$4:$AG$4,0)))</f>
        <v>0.95829097515254391</v>
      </c>
      <c r="AQ48" s="67"/>
      <c r="AR48" s="257">
        <f t="shared" si="10"/>
        <v>-4.9750416666666381E-3</v>
      </c>
      <c r="AS48" s="257">
        <f t="shared" si="11"/>
        <v>-8.0468874575124021E-3</v>
      </c>
      <c r="AY48" s="61" t="str">
        <f t="shared" si="12"/>
        <v>MOT-ODS</v>
      </c>
      <c r="AZ48" s="80" t="e" cm="1">
        <f t="array" aca="1" ref="AZ48" ca="1">AL48/INDIRECT("cv."&amp;LEFT($U48,6)&amp;".hhv.MJL") * 100</f>
        <v>#REF!</v>
      </c>
      <c r="BA48" s="80" t="e" cm="1">
        <f t="array" aca="1" ref="BA48" ca="1">AM48/INDIRECT("cv."&amp;LEFT($U48,6)&amp;".hhv.MJL") * 100</f>
        <v>#REF!</v>
      </c>
      <c r="BB48" s="80" t="e" cm="1">
        <f t="array" aca="1" ref="BB48" ca="1">AN48/INDIRECT("cv."&amp;LEFT($U48,6)&amp;".hhv.MJL") * 100</f>
        <v>#REF!</v>
      </c>
      <c r="BC48" s="80" t="e" cm="1">
        <f t="array" aca="1" ref="BC48" ca="1">AO48/INDIRECT("cv."&amp;LEFT($U48,6)&amp;".hhv.MJL") * 100</f>
        <v>#REF!</v>
      </c>
      <c r="BD48" s="80" t="e" cm="1">
        <f t="array" aca="1" ref="BD48" ca="1">AP48/INDIRECT("cv."&amp;LEFT($U48,6)&amp;".hhv.MJL") * 100</f>
        <v>#REF!</v>
      </c>
    </row>
    <row r="49" spans="1:61" x14ac:dyDescent="0.25">
      <c r="C49" s="178"/>
      <c r="N49" s="61" t="s">
        <v>501</v>
      </c>
      <c r="O49" s="61" t="s">
        <v>613</v>
      </c>
      <c r="P49" s="61" t="s">
        <v>714</v>
      </c>
      <c r="Q49" s="61" t="str">
        <f t="shared" si="7"/>
        <v>MOT</v>
      </c>
      <c r="R49" s="61" t="s">
        <v>680</v>
      </c>
      <c r="S49"/>
      <c r="T49" s="256" t="s">
        <v>715</v>
      </c>
      <c r="U49" s="913" t="s">
        <v>692</v>
      </c>
      <c r="V49" s="921">
        <v>2030</v>
      </c>
      <c r="W49" s="914">
        <f t="shared" si="15"/>
        <v>0</v>
      </c>
      <c r="X49" s="915">
        <f t="shared" si="15"/>
        <v>0</v>
      </c>
      <c r="Y49" s="915">
        <f t="shared" si="15"/>
        <v>0</v>
      </c>
      <c r="Z49" s="915">
        <f t="shared" si="15"/>
        <v>1</v>
      </c>
      <c r="AA49" s="915">
        <f t="shared" si="15"/>
        <v>1</v>
      </c>
      <c r="AB49" s="915">
        <f t="shared" si="15"/>
        <v>1</v>
      </c>
      <c r="AC49" s="916">
        <f t="shared" si="15"/>
        <v>1</v>
      </c>
      <c r="AD49" s="103" cm="1">
        <f t="array" ref="AD49">IF(W49,INDEX('AEA2012 update'!$K$6:$R$104,MATCH($T49&amp;$R49,'AEA2012 update'!$A$6:$A$104&amp;'AEA2012 update'!$B$6:$B$104,0),MATCH(AD$16,'AEA2012 update'!$S$4:$Z$4,0)),INDEX('AEA2012 update'!$K$6:$R$104,MATCH($T49&amp;$U49,'AEA2012 update'!$A$6:$A$104&amp;'AEA2012 update'!$B$6:$B$104,0),MATCH(AD$16,'AEA2012 update'!$S$4:$Z$4,0)))</f>
        <v>333949.83416192123</v>
      </c>
      <c r="AE49" s="103" cm="1">
        <f t="array" ref="AE49">IF(X49,INDEX('AEA2012 update'!$K$6:$R$104,MATCH($T49&amp;$R49,'AEA2012 update'!$A$6:$A$104&amp;'AEA2012 update'!$B$6:$B$104,0),MATCH(AE$16,'AEA2012 update'!$S$4:$Z$4,0)),INDEX('AEA2012 update'!$K$6:$R$104,MATCH($T49&amp;$U49,'AEA2012 update'!$A$6:$A$104&amp;'AEA2012 update'!$B$6:$B$104,0),MATCH(AE$16,'AEA2012 update'!$S$4:$Z$4,0)))</f>
        <v>266555.63128707331</v>
      </c>
      <c r="AF49" s="103" cm="1">
        <f t="array" ref="AF49">IF(Y49,INDEX('AEA2012 update'!$K$6:$R$104,MATCH($T49&amp;$R49,'AEA2012 update'!$A$6:$A$104&amp;'AEA2012 update'!$B$6:$B$104,0),MATCH(AF$16,'AEA2012 update'!$S$4:$Z$4,0)),INDEX('AEA2012 update'!$K$6:$R$104,MATCH($T49&amp;$U49,'AEA2012 update'!$A$6:$A$104&amp;'AEA2012 update'!$B$6:$B$104,0),MATCH(AF$16,'AEA2012 update'!$S$4:$Z$4,0)))</f>
        <v>251835.85109009614</v>
      </c>
      <c r="AG49" s="103" cm="1">
        <f t="array" ref="AG49">IF(Z49,INDEX('AEA2012 update'!$K$6:$R$104,MATCH($T49&amp;$R49,'AEA2012 update'!$A$6:$A$104&amp;'AEA2012 update'!$B$6:$B$104,0),MATCH(AG$16,'AEA2012 update'!$S$4:$Z$4,0)),INDEX('AEA2012 update'!$K$6:$R$104,MATCH($T49&amp;$U49,'AEA2012 update'!$A$6:$A$104&amp;'AEA2012 update'!$B$6:$B$104,0),MATCH(AG$16,'AEA2012 update'!$S$4:$Z$4,0)))</f>
        <v>103773.09625921253</v>
      </c>
      <c r="AH49" s="103" cm="1">
        <f t="array" ref="AH49">IF(AA49,INDEX('AEA2012 update'!$K$6:$R$104,MATCH($T49&amp;$R49,'AEA2012 update'!$A$6:$A$104&amp;'AEA2012 update'!$B$6:$B$104,0),MATCH(AH$16,'AEA2012 update'!$S$4:$Z$4,0)),INDEX('AEA2012 update'!$K$6:$R$104,MATCH($T49&amp;$U49,'AEA2012 update'!$A$6:$A$104&amp;'AEA2012 update'!$B$6:$B$104,0),MATCH(AH$16,'AEA2012 update'!$S$4:$Z$4,0)))</f>
        <v>105377.19050256097</v>
      </c>
      <c r="AI49" s="103" cm="1">
        <f t="array" ref="AI49">IF(AB49,INDEX('AEA2012 update'!$K$6:$R$104,MATCH($T49&amp;$R49,'AEA2012 update'!$A$6:$A$104&amp;'AEA2012 update'!$B$6:$B$104,0),MATCH(AI$16,'AEA2012 update'!$S$4:$Z$4,0)),INDEX('AEA2012 update'!$K$6:$R$104,MATCH($T49&amp;$U49,'AEA2012 update'!$A$6:$A$104&amp;'AEA2012 update'!$B$6:$B$104,0),MATCH(AI$16,'AEA2012 update'!$S$4:$Z$4,0)))</f>
        <v>106981.2847459094</v>
      </c>
      <c r="AJ49" s="103" cm="1">
        <f t="array" ref="AJ49">IF(AC49,INDEX('AEA2012 update'!$K$6:$R$104,MATCH($T49&amp;$R49,'AEA2012 update'!$A$6:$A$104&amp;'AEA2012 update'!$B$6:$B$104,0),MATCH(AJ$16,'AEA2012 update'!$S$4:$Z$4,0)),INDEX('AEA2012 update'!$K$6:$R$104,MATCH($T49&amp;$U49,'AEA2012 update'!$A$6:$A$104&amp;'AEA2012 update'!$B$6:$B$104,0),MATCH(AJ$16,'AEA2012 update'!$S$4:$Z$4,0)))</f>
        <v>108464.33187891265</v>
      </c>
      <c r="AK49" s="103" t="str">
        <f t="shared" si="13"/>
        <v>MOTELC</v>
      </c>
      <c r="AL49" s="67">
        <f>INDEX('Vehicle data '!$AD$20:$AD$110,MATCH($AK49,'Vehicle data '!$AC$20:$AC$110,0))/INDEX('Vehicle data '!$AD$20:$AD$110,MATCH($AK$47,'Vehicle data '!$AC$20:$AC$110,0))*AL$47</f>
        <v>0.34474892692687192</v>
      </c>
      <c r="AM49" s="67">
        <f t="array" ref="AM49">IF($AE$1,AL49*(1+INDEX(AM$1:AM$2,MATCH($O49,$AI$1:$AI$2,0)))^(AM$16-AL$16),INDEX('AEA2012 update'!$AC$6:$AG$104,MATCH($T49&amp;$U49,'AEA2012 update'!$A$6:$A$104&amp;'AEA2012 update'!$B$6:$B$104,0),MATCH(AM$16,'AEA2012 update'!$AC$4:$AG$4,0)))</f>
        <v>0.33960350609887252</v>
      </c>
      <c r="AN49" s="67">
        <f t="array" ref="AN49">IF($AE$1,AM49*(1+INDEX(AN$1:AN$2,MATCH($O49,$AI$1:$AI$2,0)))^(AN$16-AM$16),INDEX('AEA2012 update'!$AC$6:$AG$104,MATCH($T49&amp;$U49,'AEA2012 update'!$A$6:$A$104&amp;'AEA2012 update'!$B$6:$B$104,0),MATCH(AN$16,'AEA2012 update'!$AC$4:$AG$4,0)))</f>
        <v>0.31497589572116774</v>
      </c>
      <c r="AO49" s="67">
        <f t="array" ref="AO49">IF($AE$1,AN49*(1+INDEX(AO$1:AO$2,MATCH($O49,$AI$1:$AI$2,0)))^(AO$16-AN$16),INDEX('AEA2012 update'!$AC$6:$AG$104,MATCH($T49&amp;$U49,'AEA2012 update'!$A$6:$A$104&amp;'AEA2012 update'!$B$6:$B$104,0),MATCH(AO$16,'AEA2012 update'!$AC$4:$AG$4,0)))</f>
        <v>0.28485855415006645</v>
      </c>
      <c r="AP49" s="67">
        <f t="array" ref="AP49">IF($AE$1,AO49*(1+INDEX(AP$1:AP$2,MATCH($O49,$AI$1:$AI$2,0)))^(AP$16-AO$16),INDEX('AEA2012 update'!$AC$6:$AG$104,MATCH($T49&amp;$U49,'AEA2012 update'!$A$6:$A$104&amp;'AEA2012 update'!$B$6:$B$104,0),MATCH(AP$16,'AEA2012 update'!$AC$4:$AG$4,0)))</f>
        <v>0.25762097028624492</v>
      </c>
      <c r="AQ49" s="67"/>
      <c r="AR49" s="257">
        <f t="shared" si="10"/>
        <v>-4.9750416666666407E-3</v>
      </c>
      <c r="AS49" s="257">
        <f t="shared" si="11"/>
        <v>-8.0468874575124003E-3</v>
      </c>
      <c r="AY49" s="61" t="str">
        <f t="shared" si="12"/>
        <v>MOT-ELC</v>
      </c>
      <c r="AZ49" s="80" t="e" cm="1">
        <f t="array" aca="1" ref="AZ49" ca="1">AL49/INDIRECT("cv."&amp;LEFT($U49,6)&amp;".hhv.MJL") * 100</f>
        <v>#REF!</v>
      </c>
      <c r="BA49" s="80" t="e" cm="1">
        <f t="array" aca="1" ref="BA49" ca="1">AM49/INDIRECT("cv."&amp;LEFT($U49,6)&amp;".hhv.MJL") * 100</f>
        <v>#REF!</v>
      </c>
      <c r="BB49" s="80" t="e" cm="1">
        <f t="array" aca="1" ref="BB49" ca="1">AN49/INDIRECT("cv."&amp;LEFT($U49,6)&amp;".hhv.MJL") * 100</f>
        <v>#REF!</v>
      </c>
      <c r="BC49" s="80" t="e" cm="1">
        <f t="array" aca="1" ref="BC49" ca="1">AO49/INDIRECT("cv."&amp;LEFT($U49,6)&amp;".hhv.MJL") * 100</f>
        <v>#REF!</v>
      </c>
      <c r="BD49" s="80" t="e" cm="1">
        <f t="array" aca="1" ref="BD49" ca="1">AP49/INDIRECT("cv."&amp;LEFT($U49,6)&amp;".hhv.MJL") * 100</f>
        <v>#REF!</v>
      </c>
    </row>
    <row r="50" spans="1:61" x14ac:dyDescent="0.25">
      <c r="C50" s="178"/>
      <c r="N50" s="61" t="s">
        <v>504</v>
      </c>
      <c r="O50" s="61" t="s">
        <v>613</v>
      </c>
      <c r="P50" s="61" t="s">
        <v>714</v>
      </c>
      <c r="Q50" s="61" t="str">
        <f t="shared" si="7"/>
        <v>MOT</v>
      </c>
      <c r="R50" s="61" t="s">
        <v>680</v>
      </c>
      <c r="S50"/>
      <c r="T50" s="256" t="s">
        <v>715</v>
      </c>
      <c r="U50" s="913" t="s">
        <v>699</v>
      </c>
      <c r="V50" s="921"/>
      <c r="W50" s="914">
        <f t="shared" si="15"/>
        <v>0</v>
      </c>
      <c r="X50" s="915">
        <f t="shared" si="15"/>
        <v>0</v>
      </c>
      <c r="Y50" s="915">
        <f t="shared" si="15"/>
        <v>0</v>
      </c>
      <c r="Z50" s="915">
        <f t="shared" si="15"/>
        <v>0</v>
      </c>
      <c r="AA50" s="915">
        <f t="shared" si="15"/>
        <v>0</v>
      </c>
      <c r="AB50" s="915">
        <f t="shared" si="15"/>
        <v>0</v>
      </c>
      <c r="AC50" s="916">
        <f t="shared" si="15"/>
        <v>0</v>
      </c>
      <c r="AD50" s="103" cm="1">
        <f t="array" ref="AD50">IF(W50,INDEX('AEA2012 update'!$K$6:$R$104,MATCH($T50&amp;$R50,'AEA2012 update'!$A$6:$A$104&amp;'AEA2012 update'!$B$6:$B$104,0),MATCH(AD$16,'AEA2012 update'!$S$4:$Z$4,0)),INDEX('AEA2012 update'!$K$6:$R$104,MATCH($T50&amp;$U50,'AEA2012 update'!$A$6:$A$104&amp;'AEA2012 update'!$B$6:$B$104,0),MATCH(AD$16,'AEA2012 update'!$S$4:$Z$4,0)))</f>
        <v>1079521.3133266186</v>
      </c>
      <c r="AE50" s="103" cm="1">
        <f t="array" ref="AE50">IF(X50,INDEX('AEA2012 update'!$K$6:$R$104,MATCH($T50&amp;$R50,'AEA2012 update'!$A$6:$A$104&amp;'AEA2012 update'!$B$6:$B$104,0),MATCH(AE$16,'AEA2012 update'!$S$4:$Z$4,0)),INDEX('AEA2012 update'!$K$6:$R$104,MATCH($T50&amp;$U50,'AEA2012 update'!$A$6:$A$104&amp;'AEA2012 update'!$B$6:$B$104,0),MATCH(AE$16,'AEA2012 update'!$S$4:$Z$4,0)))</f>
        <v>399833.44693060999</v>
      </c>
      <c r="AF50" s="103" cm="1">
        <f t="array" ref="AF50">IF(Y50,INDEX('AEA2012 update'!$K$6:$R$104,MATCH($T50&amp;$R50,'AEA2012 update'!$A$6:$A$104&amp;'AEA2012 update'!$B$6:$B$104,0),MATCH(AF$16,'AEA2012 update'!$S$4:$Z$4,0)),INDEX('AEA2012 update'!$K$6:$R$104,MATCH($T50&amp;$U50,'AEA2012 update'!$A$6:$A$104&amp;'AEA2012 update'!$B$6:$B$104,0),MATCH(AF$16,'AEA2012 update'!$S$4:$Z$4,0)))</f>
        <v>379841.77458407945</v>
      </c>
      <c r="AG50" s="103" cm="1">
        <f t="array" ref="AG50">IF(Z50,INDEX('AEA2012 update'!$K$6:$R$104,MATCH($T50&amp;$R50,'AEA2012 update'!$A$6:$A$104&amp;'AEA2012 update'!$B$6:$B$104,0),MATCH(AG$16,'AEA2012 update'!$S$4:$Z$4,0)),INDEX('AEA2012 update'!$K$6:$R$104,MATCH($T50&amp;$U50,'AEA2012 update'!$A$6:$A$104&amp;'AEA2012 update'!$B$6:$B$104,0),MATCH(AG$16,'AEA2012 update'!$S$4:$Z$4,0)))</f>
        <v>360849.68585487548</v>
      </c>
      <c r="AH50" s="103" cm="1">
        <f t="array" ref="AH50">IF(AA50,INDEX('AEA2012 update'!$K$6:$R$104,MATCH($T50&amp;$R50,'AEA2012 update'!$A$6:$A$104&amp;'AEA2012 update'!$B$6:$B$104,0),MATCH(AH$16,'AEA2012 update'!$S$4:$Z$4,0)),INDEX('AEA2012 update'!$K$6:$R$104,MATCH($T50&amp;$U50,'AEA2012 update'!$A$6:$A$104&amp;'AEA2012 update'!$B$6:$B$104,0),MATCH(AH$16,'AEA2012 update'!$S$4:$Z$4,0)))</f>
        <v>342807.20156213164</v>
      </c>
      <c r="AI50" s="103" cm="1">
        <f t="array" ref="AI50">IF(AB50,INDEX('AEA2012 update'!$K$6:$R$104,MATCH($T50&amp;$R50,'AEA2012 update'!$A$6:$A$104&amp;'AEA2012 update'!$B$6:$B$104,0),MATCH(AI$16,'AEA2012 update'!$S$4:$Z$4,0)),INDEX('AEA2012 update'!$K$6:$R$104,MATCH($T50&amp;$U50,'AEA2012 update'!$A$6:$A$104&amp;'AEA2012 update'!$B$6:$B$104,0),MATCH(AI$16,'AEA2012 update'!$S$4:$Z$4,0)))</f>
        <v>325666.84148402506</v>
      </c>
      <c r="AJ50" s="103" cm="1">
        <f t="array" ref="AJ50">IF(AC50,INDEX('AEA2012 update'!$K$6:$R$104,MATCH($T50&amp;$R50,'AEA2012 update'!$A$6:$A$104&amp;'AEA2012 update'!$B$6:$B$104,0),MATCH(AJ$16,'AEA2012 update'!$S$4:$Z$4,0)),INDEX('AEA2012 update'!$K$6:$R$104,MATCH($T50&amp;$U50,'AEA2012 update'!$A$6:$A$104&amp;'AEA2012 update'!$B$6:$B$104,0),MATCH(AJ$16,'AEA2012 update'!$S$4:$Z$4,0)))</f>
        <v>293914.32443933259</v>
      </c>
      <c r="AK50" s="103" t="str">
        <f t="shared" si="13"/>
        <v>MOTHGN</v>
      </c>
      <c r="AL50" s="67">
        <f>INDEX('Vehicle data '!$AD$20:$AD$110,MATCH($AK50,'Vehicle data '!$AC$20:$AC$110,0))/INDEX('Vehicle data '!$AD$20:$AD$110,MATCH($AK$47,'Vehicle data '!$AC$20:$AC$110,0))*AL$47</f>
        <v>0.75771986763983457</v>
      </c>
      <c r="AM50" s="67">
        <f t="array" ref="AM50">IF($AE$1,AL50*(1+INDEX(AM$1:AM$2,MATCH($O50,$AI$1:$AI$2,0)))^(AM$16-AL$16),INDEX('AEA2012 update'!$AC$6:$AG$104,MATCH($T50&amp;$U50,'AEA2012 update'!$A$6:$A$104&amp;'AEA2012 update'!$B$6:$B$104,0),MATCH(AM$16,'AEA2012 update'!$AC$4:$AG$4,0)))</f>
        <v>0.74641080390032655</v>
      </c>
      <c r="AN50" s="67">
        <f t="array" ref="AN50">IF($AE$1,AM50*(1+INDEX(AN$1:AN$2,MATCH($O50,$AI$1:$AI$2,0)))^(AN$16-AM$16),INDEX('AEA2012 update'!$AC$6:$AG$104,MATCH($T50&amp;$U50,'AEA2012 update'!$A$6:$A$104&amp;'AEA2012 update'!$B$6:$B$104,0),MATCH(AN$16,'AEA2012 update'!$AC$4:$AG$4,0)))</f>
        <v>0.6922820504274021</v>
      </c>
      <c r="AO50" s="67">
        <f t="array" ref="AO50">IF($AE$1,AN50*(1+INDEX(AO$1:AO$2,MATCH($O50,$AI$1:$AI$2,0)))^(AO$16-AN$16),INDEX('AEA2012 update'!$AC$6:$AG$104,MATCH($T50&amp;$U50,'AEA2012 update'!$A$6:$A$104&amp;'AEA2012 update'!$B$6:$B$104,0),MATCH(AO$16,'AEA2012 update'!$AC$4:$AG$4,0)))</f>
        <v>0.62608747725688363</v>
      </c>
      <c r="AP50" s="67">
        <f t="array" ref="AP50">IF($AE$1,AO50*(1+INDEX(AP$1:AP$2,MATCH($O50,$AI$1:$AI$2,0)))^(AP$16-AO$16),INDEX('AEA2012 update'!$AC$6:$AG$104,MATCH($T50&amp;$U50,'AEA2012 update'!$A$6:$A$104&amp;'AEA2012 update'!$B$6:$B$104,0),MATCH(AP$16,'AEA2012 update'!$AC$4:$AG$4,0)))</f>
        <v>0.56622229181860795</v>
      </c>
      <c r="AQ50" s="67"/>
      <c r="AR50" s="257">
        <f t="shared" si="10"/>
        <v>-4.9750416666666814E-3</v>
      </c>
      <c r="AS50" s="257">
        <f t="shared" si="11"/>
        <v>-8.0468874575124021E-3</v>
      </c>
      <c r="AY50" s="61" t="str">
        <f t="shared" si="12"/>
        <v>MOT-HGN</v>
      </c>
      <c r="AZ50" s="80" t="e" cm="1">
        <f t="array" aca="1" ref="AZ50" ca="1">AL50/INDIRECT("cv."&amp;LEFT($U50,6)&amp;".hhv.MJL") * 100</f>
        <v>#REF!</v>
      </c>
      <c r="BA50" s="80" t="e" cm="1">
        <f t="array" aca="1" ref="BA50" ca="1">AM50/INDIRECT("cv."&amp;LEFT($U50,6)&amp;".hhv.MJL") * 100</f>
        <v>#REF!</v>
      </c>
      <c r="BB50" s="80" t="e" cm="1">
        <f t="array" aca="1" ref="BB50" ca="1">AN50/INDIRECT("cv."&amp;LEFT($U50,6)&amp;".hhv.MJL") * 100</f>
        <v>#REF!</v>
      </c>
      <c r="BC50" s="80" t="e" cm="1">
        <f t="array" aca="1" ref="BC50" ca="1">AO50/INDIRECT("cv."&amp;LEFT($U50,6)&amp;".hhv.MJL") * 100</f>
        <v>#REF!</v>
      </c>
      <c r="BD50" s="80" t="e" cm="1">
        <f t="array" aca="1" ref="BD50" ca="1">AP50/INDIRECT("cv."&amp;LEFT($U50,6)&amp;".hhv.MJL") * 100</f>
        <v>#REF!</v>
      </c>
    </row>
    <row r="51" spans="1:61" x14ac:dyDescent="0.25">
      <c r="C51" s="178" t="s">
        <v>711</v>
      </c>
      <c r="D51" s="61" t="s">
        <v>713</v>
      </c>
      <c r="E51" s="61" t="s">
        <v>706</v>
      </c>
      <c r="F51" s="61">
        <v>8850</v>
      </c>
      <c r="O51" s="61" t="s">
        <v>613</v>
      </c>
      <c r="Q51" s="61" t="str">
        <f t="shared" si="7"/>
        <v/>
      </c>
      <c r="S51"/>
      <c r="T51" s="256"/>
      <c r="U51" s="260"/>
      <c r="V51" s="921"/>
      <c r="W51" s="914">
        <f t="shared" si="15"/>
        <v>0</v>
      </c>
      <c r="X51" s="915">
        <f t="shared" si="15"/>
        <v>0</v>
      </c>
      <c r="Y51" s="915">
        <f t="shared" si="15"/>
        <v>0</v>
      </c>
      <c r="Z51" s="915">
        <f t="shared" si="15"/>
        <v>0</v>
      </c>
      <c r="AA51" s="915">
        <f t="shared" si="15"/>
        <v>0</v>
      </c>
      <c r="AB51" s="915">
        <f t="shared" si="15"/>
        <v>0</v>
      </c>
      <c r="AC51" s="916">
        <f t="shared" si="15"/>
        <v>0</v>
      </c>
      <c r="AD51" s="103" t="e" cm="1">
        <f t="array" ref="AD51">IF(W51,INDEX('AEA2012 update'!$K$6:$R$104,MATCH($T51&amp;$R51,'AEA2012 update'!$A$6:$A$104&amp;'AEA2012 update'!$B$6:$B$104,0),MATCH(AD$16,'AEA2012 update'!$S$4:$Z$4,0)),INDEX('AEA2012 update'!$K$6:$R$104,MATCH($T51&amp;$U51,'AEA2012 update'!$A$6:$A$104&amp;'AEA2012 update'!$B$6:$B$104,0),MATCH(AD$16,'AEA2012 update'!$S$4:$Z$4,0)))</f>
        <v>#N/A</v>
      </c>
      <c r="AE51" s="103" t="e" cm="1">
        <f t="array" ref="AE51">IF(X51,INDEX('AEA2012 update'!$K$6:$R$104,MATCH($T51&amp;$R51,'AEA2012 update'!$A$6:$A$104&amp;'AEA2012 update'!$B$6:$B$104,0),MATCH(AE$16,'AEA2012 update'!$S$4:$Z$4,0)),INDEX('AEA2012 update'!$K$6:$R$104,MATCH($T51&amp;$U51,'AEA2012 update'!$A$6:$A$104&amp;'AEA2012 update'!$B$6:$B$104,0),MATCH(AE$16,'AEA2012 update'!$S$4:$Z$4,0)))</f>
        <v>#N/A</v>
      </c>
      <c r="AF51" s="103" t="e" cm="1">
        <f t="array" ref="AF51">IF(Y51,INDEX('AEA2012 update'!$K$6:$R$104,MATCH($T51&amp;$R51,'AEA2012 update'!$A$6:$A$104&amp;'AEA2012 update'!$B$6:$B$104,0),MATCH(AF$16,'AEA2012 update'!$S$4:$Z$4,0)),INDEX('AEA2012 update'!$K$6:$R$104,MATCH($T51&amp;$U51,'AEA2012 update'!$A$6:$A$104&amp;'AEA2012 update'!$B$6:$B$104,0),MATCH(AF$16,'AEA2012 update'!$S$4:$Z$4,0)))</f>
        <v>#N/A</v>
      </c>
      <c r="AG51" s="103" t="e" cm="1">
        <f t="array" ref="AG51">IF(Z51,INDEX('AEA2012 update'!$K$6:$R$104,MATCH($T51&amp;$R51,'AEA2012 update'!$A$6:$A$104&amp;'AEA2012 update'!$B$6:$B$104,0),MATCH(AG$16,'AEA2012 update'!$S$4:$Z$4,0)),INDEX('AEA2012 update'!$K$6:$R$104,MATCH($T51&amp;$U51,'AEA2012 update'!$A$6:$A$104&amp;'AEA2012 update'!$B$6:$B$104,0),MATCH(AG$16,'AEA2012 update'!$S$4:$Z$4,0)))</f>
        <v>#N/A</v>
      </c>
      <c r="AH51" s="103" t="e" cm="1">
        <f t="array" ref="AH51">IF(AA51,INDEX('AEA2012 update'!$K$6:$R$104,MATCH($T51&amp;$R51,'AEA2012 update'!$A$6:$A$104&amp;'AEA2012 update'!$B$6:$B$104,0),MATCH(AH$16,'AEA2012 update'!$S$4:$Z$4,0)),INDEX('AEA2012 update'!$K$6:$R$104,MATCH($T51&amp;$U51,'AEA2012 update'!$A$6:$A$104&amp;'AEA2012 update'!$B$6:$B$104,0),MATCH(AH$16,'AEA2012 update'!$S$4:$Z$4,0)))</f>
        <v>#N/A</v>
      </c>
      <c r="AI51" s="103" t="e" cm="1">
        <f t="array" ref="AI51">IF(AB51,INDEX('AEA2012 update'!$K$6:$R$104,MATCH($T51&amp;$R51,'AEA2012 update'!$A$6:$A$104&amp;'AEA2012 update'!$B$6:$B$104,0),MATCH(AI$16,'AEA2012 update'!$S$4:$Z$4,0)),INDEX('AEA2012 update'!$K$6:$R$104,MATCH($T51&amp;$U51,'AEA2012 update'!$A$6:$A$104&amp;'AEA2012 update'!$B$6:$B$104,0),MATCH(AI$16,'AEA2012 update'!$S$4:$Z$4,0)))</f>
        <v>#N/A</v>
      </c>
      <c r="AJ51" s="103" t="e" cm="1">
        <f t="array" ref="AJ51">IF(AC51,INDEX('AEA2012 update'!$K$6:$R$104,MATCH($T51&amp;$R51,'AEA2012 update'!$A$6:$A$104&amp;'AEA2012 update'!$B$6:$B$104,0),MATCH(AJ$16,'AEA2012 update'!$S$4:$Z$4,0)),INDEX('AEA2012 update'!$K$6:$R$104,MATCH($T51&amp;$U51,'AEA2012 update'!$A$6:$A$104&amp;'AEA2012 update'!$B$6:$B$104,0),MATCH(AJ$16,'AEA2012 update'!$S$4:$Z$4,0)))</f>
        <v>#N/A</v>
      </c>
      <c r="AK51" s="103" t="str">
        <f t="shared" si="13"/>
        <v/>
      </c>
      <c r="AL51" s="67" t="e">
        <f>1/INDEX(Analytica!$AA$17:$AE$48,MATCH($AK51,Analytica!$A$17:$A$48,0),MATCH(AL$16,Analytica!$AA$16:$AE$16,0))</f>
        <v>#N/A</v>
      </c>
      <c r="AM51" s="67" t="e">
        <f t="array" ref="AM51">IF($AE$1,AL51*(1+INDEX(AM$1:AM$2,MATCH($O51,$AI$1:$AI$2,0)))^(AM$16-AL$16),INDEX('AEA2012 update'!$AC$6:$AG$104,MATCH($T51&amp;$U51,'AEA2012 update'!$A$6:$A$104&amp;'AEA2012 update'!$B$6:$B$104,0),MATCH(AM$16,'AEA2012 update'!$AC$4:$AG$4,0)))</f>
        <v>#N/A</v>
      </c>
      <c r="AN51" s="67" t="e">
        <f t="array" ref="AN51">IF($AE$1,AM51*(1+INDEX(AN$1:AN$2,MATCH($O51,$AI$1:$AI$2,0)))^(AN$16-AM$16),INDEX('AEA2012 update'!$AC$6:$AG$104,MATCH($T51&amp;$U51,'AEA2012 update'!$A$6:$A$104&amp;'AEA2012 update'!$B$6:$B$104,0),MATCH(AN$16,'AEA2012 update'!$AC$4:$AG$4,0)))</f>
        <v>#N/A</v>
      </c>
      <c r="AO51" s="67" t="e">
        <f t="array" ref="AO51">IF($AE$1,AN51*(1+INDEX(AO$1:AO$2,MATCH($O51,$AI$1:$AI$2,0)))^(AO$16-AN$16),INDEX('AEA2012 update'!$AC$6:$AG$104,MATCH($T51&amp;$U51,'AEA2012 update'!$A$6:$A$104&amp;'AEA2012 update'!$B$6:$B$104,0),MATCH(AO$16,'AEA2012 update'!$AC$4:$AG$4,0)))</f>
        <v>#N/A</v>
      </c>
      <c r="AP51" s="67" t="e">
        <f t="array" ref="AP51">IF($AE$1,AO51*(1+INDEX(AP$1:AP$2,MATCH($O51,$AI$1:$AI$2,0)))^(AP$16-AO$16),INDEX('AEA2012 update'!$AC$6:$AG$104,MATCH($T51&amp;$U51,'AEA2012 update'!$A$6:$A$104&amp;'AEA2012 update'!$B$6:$B$104,0),MATCH(AP$16,'AEA2012 update'!$AC$4:$AG$4,0)))</f>
        <v>#N/A</v>
      </c>
      <c r="AQ51" s="67"/>
      <c r="AR51" s="257" t="e">
        <f t="shared" si="10"/>
        <v>#N/A</v>
      </c>
      <c r="AS51" s="257" t="e">
        <f t="shared" si="11"/>
        <v>#N/A</v>
      </c>
      <c r="AY51" s="61" t="str">
        <f t="shared" si="12"/>
        <v>-</v>
      </c>
      <c r="AZ51" s="80" t="e" cm="1">
        <f t="array" aca="1" ref="AZ51" ca="1">AL51/INDIRECT("cv."&amp;LEFT($U51,6)&amp;".hhv.MJL") * 100</f>
        <v>#N/A</v>
      </c>
      <c r="BA51" s="80" t="e" cm="1">
        <f t="array" aca="1" ref="BA51" ca="1">AM51/INDIRECT("cv."&amp;LEFT($U51,6)&amp;".hhv.MJL") * 100</f>
        <v>#N/A</v>
      </c>
      <c r="BB51" s="80" t="e" cm="1">
        <f t="array" aca="1" ref="BB51" ca="1">AN51/INDIRECT("cv."&amp;LEFT($U51,6)&amp;".hhv.MJL") * 100</f>
        <v>#N/A</v>
      </c>
      <c r="BC51" s="80" t="e" cm="1">
        <f t="array" aca="1" ref="BC51" ca="1">AO51/INDIRECT("cv."&amp;LEFT($U51,6)&amp;".hhv.MJL") * 100</f>
        <v>#N/A</v>
      </c>
      <c r="BD51" s="80" t="e" cm="1">
        <f t="array" aca="1" ref="BD51" ca="1">AP51/INDIRECT("cv."&amp;LEFT($U51,6)&amp;".hhv.MJL") * 100</f>
        <v>#N/A</v>
      </c>
    </row>
    <row r="52" spans="1:61" x14ac:dyDescent="0.25">
      <c r="C52" s="178" t="s">
        <v>60</v>
      </c>
      <c r="D52" s="61" t="s">
        <v>713</v>
      </c>
      <c r="E52" s="61" t="s">
        <v>706</v>
      </c>
      <c r="F52" s="61">
        <v>9000</v>
      </c>
      <c r="N52" s="61" t="s">
        <v>511</v>
      </c>
      <c r="O52" s="61" t="s">
        <v>613</v>
      </c>
      <c r="P52" s="61" t="s">
        <v>563</v>
      </c>
      <c r="Q52" s="61" t="str">
        <f t="shared" si="7"/>
        <v>BUS</v>
      </c>
      <c r="R52" s="61" t="s">
        <v>687</v>
      </c>
      <c r="S52"/>
      <c r="T52" s="256" t="s">
        <v>60</v>
      </c>
      <c r="U52" s="913" t="s">
        <v>687</v>
      </c>
      <c r="V52" s="921"/>
      <c r="W52" s="914">
        <f t="shared" si="15"/>
        <v>0</v>
      </c>
      <c r="X52" s="915">
        <f t="shared" si="15"/>
        <v>0</v>
      </c>
      <c r="Y52" s="915">
        <f t="shared" si="15"/>
        <v>0</v>
      </c>
      <c r="Z52" s="915">
        <f t="shared" si="15"/>
        <v>0</v>
      </c>
      <c r="AA52" s="915">
        <f t="shared" si="15"/>
        <v>0</v>
      </c>
      <c r="AB52" s="915">
        <f t="shared" si="15"/>
        <v>0</v>
      </c>
      <c r="AC52" s="916">
        <f t="shared" si="15"/>
        <v>0</v>
      </c>
      <c r="AD52" s="103" cm="1">
        <f t="array" ref="AD52">IF(W52,INDEX('AEA2012 update'!$K$6:$R$104,MATCH($T52&amp;$R52,'AEA2012 update'!$A$6:$A$104&amp;'AEA2012 update'!$B$6:$B$104,0),MATCH(AD$16,'AEA2012 update'!$S$4:$Z$4,0)),INDEX('AEA2012 update'!$K$6:$R$104,MATCH($T52&amp;$U52,'AEA2012 update'!$A$6:$A$104&amp;'AEA2012 update'!$B$6:$B$104,0),MATCH(AD$16,'AEA2012 update'!$S$4:$Z$4,0)))</f>
        <v>1494094.612984641</v>
      </c>
      <c r="AE52" s="103" cm="1">
        <f t="array" ref="AE52">IF(X52,INDEX('AEA2012 update'!$K$6:$R$104,MATCH($T52&amp;$R52,'AEA2012 update'!$A$6:$A$104&amp;'AEA2012 update'!$B$6:$B$104,0),MATCH(AE$16,'AEA2012 update'!$S$4:$Z$4,0)),INDEX('AEA2012 update'!$K$6:$R$104,MATCH($T52&amp;$U52,'AEA2012 update'!$A$6:$A$104&amp;'AEA2012 update'!$B$6:$B$104,0),MATCH(AE$16,'AEA2012 update'!$S$4:$Z$4,0)))</f>
        <v>1615401.3682562639</v>
      </c>
      <c r="AF52" s="103" cm="1">
        <f t="array" ref="AF52">IF(Y52,INDEX('AEA2012 update'!$K$6:$R$104,MATCH($T52&amp;$R52,'AEA2012 update'!$A$6:$A$104&amp;'AEA2012 update'!$B$6:$B$104,0),MATCH(AF$16,'AEA2012 update'!$S$4:$Z$4,0)),INDEX('AEA2012 update'!$K$6:$R$104,MATCH($T52&amp;$U52,'AEA2012 update'!$A$6:$A$104&amp;'AEA2012 update'!$B$6:$B$104,0),MATCH(AF$16,'AEA2012 update'!$S$4:$Z$4,0)))</f>
        <v>1645563.3521187683</v>
      </c>
      <c r="AG52" s="103" cm="1">
        <f t="array" ref="AG52">IF(Z52,INDEX('AEA2012 update'!$K$6:$R$104,MATCH($T52&amp;$R52,'AEA2012 update'!$A$6:$A$104&amp;'AEA2012 update'!$B$6:$B$104,0),MATCH(AG$16,'AEA2012 update'!$S$4:$Z$4,0)),INDEX('AEA2012 update'!$K$6:$R$104,MATCH($T52&amp;$U52,'AEA2012 update'!$A$6:$A$104&amp;'AEA2012 update'!$B$6:$B$104,0),MATCH(AG$16,'AEA2012 update'!$S$4:$Z$4,0)))</f>
        <v>1675725.3359812722</v>
      </c>
      <c r="AH52" s="103" cm="1">
        <f t="array" ref="AH52">IF(AA52,INDEX('AEA2012 update'!$K$6:$R$104,MATCH($T52&amp;$R52,'AEA2012 update'!$A$6:$A$104&amp;'AEA2012 update'!$B$6:$B$104,0),MATCH(AH$16,'AEA2012 update'!$S$4:$Z$4,0)),INDEX('AEA2012 update'!$K$6:$R$104,MATCH($T52&amp;$U52,'AEA2012 update'!$A$6:$A$104&amp;'AEA2012 update'!$B$6:$B$104,0),MATCH(AH$16,'AEA2012 update'!$S$4:$Z$4,0)))</f>
        <v>1695117.6876140197</v>
      </c>
      <c r="AI52" s="103" cm="1">
        <f t="array" ref="AI52">IF(AB52,INDEX('AEA2012 update'!$K$6:$R$104,MATCH($T52&amp;$R52,'AEA2012 update'!$A$6:$A$104&amp;'AEA2012 update'!$B$6:$B$104,0),MATCH(AI$16,'AEA2012 update'!$S$4:$Z$4,0)),INDEX('AEA2012 update'!$K$6:$R$104,MATCH($T52&amp;$U52,'AEA2012 update'!$A$6:$A$104&amp;'AEA2012 update'!$B$6:$B$104,0),MATCH(AI$16,'AEA2012 update'!$S$4:$Z$4,0)))</f>
        <v>1714510.0392467668</v>
      </c>
      <c r="AJ52" s="103" cm="1">
        <f t="array" ref="AJ52">IF(AC52,INDEX('AEA2012 update'!$K$6:$R$104,MATCH($T52&amp;$R52,'AEA2012 update'!$A$6:$A$104&amp;'AEA2012 update'!$B$6:$B$104,0),MATCH(AJ$16,'AEA2012 update'!$S$4:$Z$4,0)),INDEX('AEA2012 update'!$K$6:$R$104,MATCH($T52&amp;$U52,'AEA2012 update'!$A$6:$A$104&amp;'AEA2012 update'!$B$6:$B$104,0),MATCH(AJ$16,'AEA2012 update'!$S$4:$Z$4,0)))</f>
        <v>1758785.822670358</v>
      </c>
      <c r="AK52" s="103" t="str">
        <f t="shared" si="13"/>
        <v>BUSODS</v>
      </c>
      <c r="AL52" s="67">
        <f>1/INDEX(Analytica!$AA$17:$AE$48,MATCH($AK52,Analytica!$A$17:$A$48,0),MATCH(AL$16,Analytica!$AA$16:$AE$16,0))</f>
        <v>15.540416584459544</v>
      </c>
      <c r="AM52" s="67">
        <f t="array" ref="AM52">IF($AE$1,AL52*(1+INDEX(AM$1:AM$2,MATCH($O52,$AI$1:$AI$2,0)))^(AM$16-AL$16),INDEX('AEA2012 update'!$AC$6:$AG$104,MATCH($T52&amp;$U52,'AEA2012 update'!$A$6:$A$104&amp;'AEA2012 update'!$B$6:$B$104,0),MATCH(AM$16,'AEA2012 update'!$AC$4:$AG$4,0)))</f>
        <v>15.308473924384414</v>
      </c>
      <c r="AN52" s="67">
        <f t="array" ref="AN52">IF($AE$1,AM52*(1+INDEX(AN$1:AN$2,MATCH($O52,$AI$1:$AI$2,0)))^(AN$16-AM$16),INDEX('AEA2012 update'!$AC$6:$AG$104,MATCH($T52&amp;$U52,'AEA2012 update'!$A$6:$A$104&amp;'AEA2012 update'!$B$6:$B$104,0),MATCH(AN$16,'AEA2012 update'!$AC$4:$AG$4,0)))</f>
        <v>14.198323043971449</v>
      </c>
      <c r="AO52" s="67">
        <f t="array" ref="AO52">IF($AE$1,AN52*(1+INDEX(AO$1:AO$2,MATCH($O52,$AI$1:$AI$2,0)))^(AO$16-AN$16),INDEX('AEA2012 update'!$AC$6:$AG$104,MATCH($T52&amp;$U52,'AEA2012 update'!$A$6:$A$104&amp;'AEA2012 update'!$B$6:$B$104,0),MATCH(AO$16,'AEA2012 update'!$AC$4:$AG$4,0)))</f>
        <v>12.840708856152222</v>
      </c>
      <c r="AP52" s="67">
        <f t="array" ref="AP52">IF($AE$1,AO52*(1+INDEX(AP$1:AP$2,MATCH($O52,$AI$1:$AI$2,0)))^(AP$16-AO$16),INDEX('AEA2012 update'!$AC$6:$AG$104,MATCH($T52&amp;$U52,'AEA2012 update'!$A$6:$A$104&amp;'AEA2012 update'!$B$6:$B$104,0),MATCH(AP$16,'AEA2012 update'!$AC$4:$AG$4,0)))</f>
        <v>11.612906919910877</v>
      </c>
      <c r="AQ52" s="67"/>
      <c r="AR52" s="257">
        <f t="shared" si="10"/>
        <v>-4.9750416666666433E-3</v>
      </c>
      <c r="AS52" s="257">
        <f t="shared" si="11"/>
        <v>-8.0468874575124003E-3</v>
      </c>
      <c r="AY52" s="61" t="str">
        <f t="shared" si="12"/>
        <v>BUS-ODS</v>
      </c>
      <c r="AZ52" s="80" t="e" cm="1">
        <f t="array" aca="1" ref="AZ52" ca="1">AL52/INDIRECT("cv."&amp;LEFT($U52,6)&amp;".hhv.MJL") * 100</f>
        <v>#REF!</v>
      </c>
      <c r="BA52" s="80" t="e" cm="1">
        <f t="array" aca="1" ref="BA52" ca="1">AM52/INDIRECT("cv."&amp;LEFT($U52,6)&amp;".hhv.MJL") * 100</f>
        <v>#REF!</v>
      </c>
      <c r="BB52" s="80" t="e" cm="1">
        <f t="array" aca="1" ref="BB52" ca="1">AN52/INDIRECT("cv."&amp;LEFT($U52,6)&amp;".hhv.MJL") * 100</f>
        <v>#REF!</v>
      </c>
      <c r="BC52" s="80" t="e" cm="1">
        <f t="array" aca="1" ref="BC52" ca="1">AO52/INDIRECT("cv."&amp;LEFT($U52,6)&amp;".hhv.MJL") * 100</f>
        <v>#REF!</v>
      </c>
      <c r="BD52" s="80" t="e" cm="1">
        <f t="array" aca="1" ref="BD52" ca="1">AP52/INDIRECT("cv."&amp;LEFT($U52,6)&amp;".hhv.MJL") * 100</f>
        <v>#REF!</v>
      </c>
    </row>
    <row r="53" spans="1:61" x14ac:dyDescent="0.25">
      <c r="C53" s="178"/>
      <c r="N53" s="61" t="s">
        <v>506</v>
      </c>
      <c r="O53" s="61" t="s">
        <v>613</v>
      </c>
      <c r="P53" s="61" t="s">
        <v>563</v>
      </c>
      <c r="Q53" s="61" t="str">
        <f t="shared" si="7"/>
        <v>BUS</v>
      </c>
      <c r="R53" s="61" t="s">
        <v>687</v>
      </c>
      <c r="S53"/>
      <c r="T53" s="256" t="s">
        <v>60</v>
      </c>
      <c r="U53" s="913" t="s">
        <v>687</v>
      </c>
      <c r="V53" s="921"/>
      <c r="W53" s="914">
        <f t="shared" ref="W53:AC68" si="16">IF($V53="",0,IF(W$19&gt;=$V53,1,0))</f>
        <v>0</v>
      </c>
      <c r="X53" s="915">
        <f t="shared" si="16"/>
        <v>0</v>
      </c>
      <c r="Y53" s="915">
        <f t="shared" si="16"/>
        <v>0</v>
      </c>
      <c r="Z53" s="915">
        <f t="shared" si="16"/>
        <v>0</v>
      </c>
      <c r="AA53" s="915">
        <f t="shared" si="16"/>
        <v>0</v>
      </c>
      <c r="AB53" s="915">
        <f t="shared" si="16"/>
        <v>0</v>
      </c>
      <c r="AC53" s="916">
        <f t="shared" si="16"/>
        <v>0</v>
      </c>
      <c r="AD53" s="103" cm="1">
        <f t="array" ref="AD53">IF(W53,INDEX('AEA2012 update'!$K$6:$R$104,MATCH($T53&amp;$R53,'AEA2012 update'!$A$6:$A$104&amp;'AEA2012 update'!$B$6:$B$104,0),MATCH(AD$16,'AEA2012 update'!$S$4:$Z$4,0)),INDEX('AEA2012 update'!$K$6:$R$104,MATCH($T53&amp;$U53,'AEA2012 update'!$A$6:$A$104&amp;'AEA2012 update'!$B$6:$B$104,0),MATCH(AD$16,'AEA2012 update'!$S$4:$Z$4,0)))</f>
        <v>1494094.612984641</v>
      </c>
      <c r="AE53" s="103" cm="1">
        <f t="array" ref="AE53">IF(X53,INDEX('AEA2012 update'!$K$6:$R$104,MATCH($T53&amp;$R53,'AEA2012 update'!$A$6:$A$104&amp;'AEA2012 update'!$B$6:$B$104,0),MATCH(AE$16,'AEA2012 update'!$S$4:$Z$4,0)),INDEX('AEA2012 update'!$K$6:$R$104,MATCH($T53&amp;$U53,'AEA2012 update'!$A$6:$A$104&amp;'AEA2012 update'!$B$6:$B$104,0),MATCH(AE$16,'AEA2012 update'!$S$4:$Z$4,0)))</f>
        <v>1615401.3682562639</v>
      </c>
      <c r="AF53" s="103" cm="1">
        <f t="array" ref="AF53">IF(Y53,INDEX('AEA2012 update'!$K$6:$R$104,MATCH($T53&amp;$R53,'AEA2012 update'!$A$6:$A$104&amp;'AEA2012 update'!$B$6:$B$104,0),MATCH(AF$16,'AEA2012 update'!$S$4:$Z$4,0)),INDEX('AEA2012 update'!$K$6:$R$104,MATCH($T53&amp;$U53,'AEA2012 update'!$A$6:$A$104&amp;'AEA2012 update'!$B$6:$B$104,0),MATCH(AF$16,'AEA2012 update'!$S$4:$Z$4,0)))</f>
        <v>1645563.3521187683</v>
      </c>
      <c r="AG53" s="103" cm="1">
        <f t="array" ref="AG53">IF(Z53,INDEX('AEA2012 update'!$K$6:$R$104,MATCH($T53&amp;$R53,'AEA2012 update'!$A$6:$A$104&amp;'AEA2012 update'!$B$6:$B$104,0),MATCH(AG$16,'AEA2012 update'!$S$4:$Z$4,0)),INDEX('AEA2012 update'!$K$6:$R$104,MATCH($T53&amp;$U53,'AEA2012 update'!$A$6:$A$104&amp;'AEA2012 update'!$B$6:$B$104,0),MATCH(AG$16,'AEA2012 update'!$S$4:$Z$4,0)))</f>
        <v>1675725.3359812722</v>
      </c>
      <c r="AH53" s="103" cm="1">
        <f t="array" ref="AH53">IF(AA53,INDEX('AEA2012 update'!$K$6:$R$104,MATCH($T53&amp;$R53,'AEA2012 update'!$A$6:$A$104&amp;'AEA2012 update'!$B$6:$B$104,0),MATCH(AH$16,'AEA2012 update'!$S$4:$Z$4,0)),INDEX('AEA2012 update'!$K$6:$R$104,MATCH($T53&amp;$U53,'AEA2012 update'!$A$6:$A$104&amp;'AEA2012 update'!$B$6:$B$104,0),MATCH(AH$16,'AEA2012 update'!$S$4:$Z$4,0)))</f>
        <v>1695117.6876140197</v>
      </c>
      <c r="AI53" s="103" cm="1">
        <f t="array" ref="AI53">IF(AB53,INDEX('AEA2012 update'!$K$6:$R$104,MATCH($T53&amp;$R53,'AEA2012 update'!$A$6:$A$104&amp;'AEA2012 update'!$B$6:$B$104,0),MATCH(AI$16,'AEA2012 update'!$S$4:$Z$4,0)),INDEX('AEA2012 update'!$K$6:$R$104,MATCH($T53&amp;$U53,'AEA2012 update'!$A$6:$A$104&amp;'AEA2012 update'!$B$6:$B$104,0),MATCH(AI$16,'AEA2012 update'!$S$4:$Z$4,0)))</f>
        <v>1714510.0392467668</v>
      </c>
      <c r="AJ53" s="103" cm="1">
        <f t="array" ref="AJ53">IF(AC53,INDEX('AEA2012 update'!$K$6:$R$104,MATCH($T53&amp;$R53,'AEA2012 update'!$A$6:$A$104&amp;'AEA2012 update'!$B$6:$B$104,0),MATCH(AJ$16,'AEA2012 update'!$S$4:$Z$4,0)),INDEX('AEA2012 update'!$K$6:$R$104,MATCH($T53&amp;$U53,'AEA2012 update'!$A$6:$A$104&amp;'AEA2012 update'!$B$6:$B$104,0),MATCH(AJ$16,'AEA2012 update'!$S$4:$Z$4,0)))</f>
        <v>1758785.822670358</v>
      </c>
      <c r="AK53" s="103" t="str">
        <f t="shared" si="13"/>
        <v>BUSBGS</v>
      </c>
      <c r="AL53" s="67">
        <f>INDEX('Vehicle data '!$AD$20:$AD$110,MATCH($AK53,'Vehicle data '!$AC$20:$AC$110,0))/INDEX('Vehicle data '!$AD$20:$AD$110,MATCH($AK$52,'Vehicle data '!$AC$20:$AC$110,0))*AL$52</f>
        <v>15.540416584459544</v>
      </c>
      <c r="AM53" s="67">
        <f t="array" ref="AM53">IF($AE$1,AL53*(1+INDEX(AM$1:AM$2,MATCH($O53,$AI$1:$AI$2,0)))^(AM$16-AL$16),INDEX('AEA2012 update'!$AC$6:$AG$104,MATCH($T53&amp;$U53,'AEA2012 update'!$A$6:$A$104&amp;'AEA2012 update'!$B$6:$B$104,0),MATCH(AM$16,'AEA2012 update'!$AC$4:$AG$4,0)))</f>
        <v>15.308473924384414</v>
      </c>
      <c r="AN53" s="67">
        <f t="array" ref="AN53">IF($AE$1,AM53*(1+INDEX(AN$1:AN$2,MATCH($O53,$AI$1:$AI$2,0)))^(AN$16-AM$16),INDEX('AEA2012 update'!$AC$6:$AG$104,MATCH($T53&amp;$U53,'AEA2012 update'!$A$6:$A$104&amp;'AEA2012 update'!$B$6:$B$104,0),MATCH(AN$16,'AEA2012 update'!$AC$4:$AG$4,0)))</f>
        <v>14.198323043971449</v>
      </c>
      <c r="AO53" s="67">
        <f t="array" ref="AO53">IF($AE$1,AN53*(1+INDEX(AO$1:AO$2,MATCH($O53,$AI$1:$AI$2,0)))^(AO$16-AN$16),INDEX('AEA2012 update'!$AC$6:$AG$104,MATCH($T53&amp;$U53,'AEA2012 update'!$A$6:$A$104&amp;'AEA2012 update'!$B$6:$B$104,0),MATCH(AO$16,'AEA2012 update'!$AC$4:$AG$4,0)))</f>
        <v>12.840708856152222</v>
      </c>
      <c r="AP53" s="67">
        <f t="array" ref="AP53">IF($AE$1,AO53*(1+INDEX(AP$1:AP$2,MATCH($O53,$AI$1:$AI$2,0)))^(AP$16-AO$16),INDEX('AEA2012 update'!$AC$6:$AG$104,MATCH($T53&amp;$U53,'AEA2012 update'!$A$6:$A$104&amp;'AEA2012 update'!$B$6:$B$104,0),MATCH(AP$16,'AEA2012 update'!$AC$4:$AG$4,0)))</f>
        <v>11.612906919910877</v>
      </c>
      <c r="AQ53" s="67"/>
      <c r="AR53" s="257">
        <f t="shared" si="10"/>
        <v>-4.9750416666666433E-3</v>
      </c>
      <c r="AS53" s="257">
        <f t="shared" si="11"/>
        <v>-8.0468874575124003E-3</v>
      </c>
      <c r="AY53" s="61" t="str">
        <f t="shared" si="12"/>
        <v>BUS-BGS</v>
      </c>
      <c r="AZ53" s="80" t="e" cm="1">
        <f t="array" aca="1" ref="AZ53" ca="1">AL53/INDIRECT("cv."&amp;LEFT($U53,6)&amp;".hhv.MJL") * 100</f>
        <v>#REF!</v>
      </c>
      <c r="BA53" s="80" t="e" cm="1">
        <f t="array" aca="1" ref="BA53" ca="1">AM53/INDIRECT("cv."&amp;LEFT($U53,6)&amp;".hhv.MJL") * 100</f>
        <v>#REF!</v>
      </c>
      <c r="BB53" s="80" t="e" cm="1">
        <f t="array" aca="1" ref="BB53" ca="1">AN53/INDIRECT("cv."&amp;LEFT($U53,6)&amp;".hhv.MJL") * 100</f>
        <v>#REF!</v>
      </c>
      <c r="BC53" s="80" t="e" cm="1">
        <f t="array" aca="1" ref="BC53" ca="1">AO53/INDIRECT("cv."&amp;LEFT($U53,6)&amp;".hhv.MJL") * 100</f>
        <v>#REF!</v>
      </c>
      <c r="BD53" s="80" t="e" cm="1">
        <f t="array" aca="1" ref="BD53" ca="1">AP53/INDIRECT("cv."&amp;LEFT($U53,6)&amp;".hhv.MJL") * 100</f>
        <v>#REF!</v>
      </c>
    </row>
    <row r="54" spans="1:61" ht="15.75" customHeight="1" x14ac:dyDescent="0.25">
      <c r="C54" s="178" t="s">
        <v>712</v>
      </c>
      <c r="D54" s="61" t="s">
        <v>713</v>
      </c>
      <c r="E54" s="61" t="s">
        <v>706</v>
      </c>
      <c r="F54" s="61">
        <v>11000</v>
      </c>
      <c r="N54" s="61" t="s">
        <v>501</v>
      </c>
      <c r="O54" s="61" t="s">
        <v>613</v>
      </c>
      <c r="P54" s="61" t="s">
        <v>563</v>
      </c>
      <c r="Q54" s="61" t="str">
        <f t="shared" si="7"/>
        <v>BUS</v>
      </c>
      <c r="R54" s="61" t="s">
        <v>687</v>
      </c>
      <c r="S54"/>
      <c r="T54" s="256" t="s">
        <v>60</v>
      </c>
      <c r="U54" s="913" t="s">
        <v>692</v>
      </c>
      <c r="V54" s="921">
        <v>2050</v>
      </c>
      <c r="W54" s="914">
        <f t="shared" si="16"/>
        <v>0</v>
      </c>
      <c r="X54" s="915">
        <f t="shared" si="16"/>
        <v>0</v>
      </c>
      <c r="Y54" s="915">
        <f t="shared" si="16"/>
        <v>0</v>
      </c>
      <c r="Z54" s="915">
        <f t="shared" si="16"/>
        <v>0</v>
      </c>
      <c r="AA54" s="915">
        <f t="shared" si="16"/>
        <v>0</v>
      </c>
      <c r="AB54" s="915">
        <f t="shared" si="16"/>
        <v>0</v>
      </c>
      <c r="AC54" s="916">
        <f t="shared" si="16"/>
        <v>1</v>
      </c>
      <c r="AD54" s="103" cm="1">
        <f t="array" ref="AD54">IF(W54,INDEX('AEA2012 update'!$K$6:$R$104,MATCH($T54&amp;$R54,'AEA2012 update'!$A$6:$A$104&amp;'AEA2012 update'!$B$6:$B$104,0),MATCH(AD$16,'AEA2012 update'!$S$4:$Z$4,0)),INDEX('AEA2012 update'!$K$6:$R$104,MATCH($T54&amp;$U54,'AEA2012 update'!$A$6:$A$104&amp;'AEA2012 update'!$B$6:$B$104,0),MATCH(AD$16,'AEA2012 update'!$S$4:$Z$4,0)))</f>
        <v>6089818.753990707</v>
      </c>
      <c r="AE54" s="103" cm="1">
        <f t="array" ref="AE54">IF(X54,INDEX('AEA2012 update'!$K$6:$R$104,MATCH($T54&amp;$R54,'AEA2012 update'!$A$6:$A$104&amp;'AEA2012 update'!$B$6:$B$104,0),MATCH(AE$16,'AEA2012 update'!$S$4:$Z$4,0)),INDEX('AEA2012 update'!$K$6:$R$104,MATCH($T54&amp;$U54,'AEA2012 update'!$A$6:$A$104&amp;'AEA2012 update'!$B$6:$B$104,0),MATCH(AE$16,'AEA2012 update'!$S$4:$Z$4,0)))</f>
        <v>4643418.4762355024</v>
      </c>
      <c r="AF54" s="103" cm="1">
        <f t="array" ref="AF54">IF(Y54,INDEX('AEA2012 update'!$K$6:$R$104,MATCH($T54&amp;$R54,'AEA2012 update'!$A$6:$A$104&amp;'AEA2012 update'!$B$6:$B$104,0),MATCH(AF$16,'AEA2012 update'!$S$4:$Z$4,0)),INDEX('AEA2012 update'!$K$6:$R$104,MATCH($T54&amp;$U54,'AEA2012 update'!$A$6:$A$104&amp;'AEA2012 update'!$B$6:$B$104,0),MATCH(AF$16,'AEA2012 update'!$S$4:$Z$4,0)))</f>
        <v>4403362.6567749837</v>
      </c>
      <c r="AG54" s="103" cm="1">
        <f t="array" ref="AG54">IF(Z54,INDEX('AEA2012 update'!$K$6:$R$104,MATCH($T54&amp;$R54,'AEA2012 update'!$A$6:$A$104&amp;'AEA2012 update'!$B$6:$B$104,0),MATCH(AG$16,'AEA2012 update'!$S$4:$Z$4,0)),INDEX('AEA2012 update'!$K$6:$R$104,MATCH($T54&amp;$U54,'AEA2012 update'!$A$6:$A$104&amp;'AEA2012 update'!$B$6:$B$104,0),MATCH(AG$16,'AEA2012 update'!$S$4:$Z$4,0)))</f>
        <v>4163306.8373144628</v>
      </c>
      <c r="AH54" s="103" cm="1">
        <f t="array" ref="AH54">IF(AA54,INDEX('AEA2012 update'!$K$6:$R$104,MATCH($T54&amp;$R54,'AEA2012 update'!$A$6:$A$104&amp;'AEA2012 update'!$B$6:$B$104,0),MATCH(AH$16,'AEA2012 update'!$S$4:$Z$4,0)),INDEX('AEA2012 update'!$K$6:$R$104,MATCH($T54&amp;$U54,'AEA2012 update'!$A$6:$A$104&amp;'AEA2012 update'!$B$6:$B$104,0),MATCH(AH$16,'AEA2012 update'!$S$4:$Z$4,0)))</f>
        <v>4191617.6377219548</v>
      </c>
      <c r="AI54" s="103" cm="1">
        <f t="array" ref="AI54">IF(AB54,INDEX('AEA2012 update'!$K$6:$R$104,MATCH($T54&amp;$R54,'AEA2012 update'!$A$6:$A$104&amp;'AEA2012 update'!$B$6:$B$104,0),MATCH(AI$16,'AEA2012 update'!$S$4:$Z$4,0)),INDEX('AEA2012 update'!$K$6:$R$104,MATCH($T54&amp;$U54,'AEA2012 update'!$A$6:$A$104&amp;'AEA2012 update'!$B$6:$B$104,0),MATCH(AI$16,'AEA2012 update'!$S$4:$Z$4,0)))</f>
        <v>4219928.4381294465</v>
      </c>
      <c r="AJ54" s="103" cm="1">
        <f t="array" ref="AJ54">IF(AC54,INDEX('AEA2012 update'!$K$6:$R$104,MATCH($T54&amp;$R54,'AEA2012 update'!$A$6:$A$104&amp;'AEA2012 update'!$B$6:$B$104,0),MATCH(AJ$16,'AEA2012 update'!$S$4:$Z$4,0)),INDEX('AEA2012 update'!$K$6:$R$104,MATCH($T54&amp;$U54,'AEA2012 update'!$A$6:$A$104&amp;'AEA2012 update'!$B$6:$B$104,0),MATCH(AJ$16,'AEA2012 update'!$S$4:$Z$4,0)))</f>
        <v>1758785.822670358</v>
      </c>
      <c r="AK54" s="103" t="str">
        <f t="shared" si="13"/>
        <v>BUSELC</v>
      </c>
      <c r="AL54" s="67">
        <f>INDEX('Vehicle data '!$AD$20:$AD$110,MATCH($AK54,'Vehicle data '!$AC$20:$AC$110,0))/INDEX('Vehicle data '!$AD$20:$AD$110,MATCH($AK$52,'Vehicle data '!$AC$20:$AC$110,0))*AL$52</f>
        <v>4.7713841489159794</v>
      </c>
      <c r="AM54" s="67">
        <f t="array" ref="AM54">IF($AE$1,AL54*(1+INDEX(AM$1:AM$2,MATCH($O54,$AI$1:$AI$2,0)))^(AM$16-AL$16),INDEX('AEA2012 update'!$AC$6:$AG$104,MATCH($T54&amp;$U54,'AEA2012 update'!$A$6:$A$104&amp;'AEA2012 update'!$B$6:$B$104,0),MATCH(AM$16,'AEA2012 update'!$AC$4:$AG$4,0)))</f>
        <v>4.7001706440703899</v>
      </c>
      <c r="AN54" s="67">
        <f t="array" ref="AN54">IF($AE$1,AM54*(1+INDEX(AN$1:AN$2,MATCH($O54,$AI$1:$AI$2,0)))^(AN$16-AM$16),INDEX('AEA2012 update'!$AC$6:$AG$104,MATCH($T54&amp;$U54,'AEA2012 update'!$A$6:$A$104&amp;'AEA2012 update'!$B$6:$B$104,0),MATCH(AN$16,'AEA2012 update'!$AC$4:$AG$4,0)))</f>
        <v>4.3593203016796647</v>
      </c>
      <c r="AO54" s="67">
        <f t="array" ref="AO54">IF($AE$1,AN54*(1+INDEX(AO$1:AO$2,MATCH($O54,$AI$1:$AI$2,0)))^(AO$16-AN$16),INDEX('AEA2012 update'!$AC$6:$AG$104,MATCH($T54&amp;$U54,'AEA2012 update'!$A$6:$A$104&amp;'AEA2012 update'!$B$6:$B$104,0),MATCH(AO$16,'AEA2012 update'!$AC$4:$AG$4,0)))</f>
        <v>3.9424911400610618</v>
      </c>
      <c r="AP54" s="67">
        <f t="array" ref="AP54">IF($AE$1,AO54*(1+INDEX(AP$1:AP$2,MATCH($O54,$AI$1:$AI$2,0)))^(AP$16-AO$16),INDEX('AEA2012 update'!$AC$6:$AG$104,MATCH($T54&amp;$U54,'AEA2012 update'!$A$6:$A$104&amp;'AEA2012 update'!$B$6:$B$104,0),MATCH(AP$16,'AEA2012 update'!$AC$4:$AG$4,0)))</f>
        <v>3.5655183179522494</v>
      </c>
      <c r="AQ54" s="67"/>
      <c r="AR54" s="257">
        <f t="shared" si="10"/>
        <v>-4.9750416666666606E-3</v>
      </c>
      <c r="AS54" s="257">
        <f t="shared" si="11"/>
        <v>-8.0468874575124038E-3</v>
      </c>
      <c r="AY54" s="61" t="str">
        <f t="shared" si="12"/>
        <v>BUS-ELC</v>
      </c>
      <c r="AZ54" s="80" t="e" cm="1">
        <f t="array" aca="1" ref="AZ54" ca="1">AL54/INDIRECT("cv."&amp;LEFT($U54,6)&amp;".hhv.MJL") * 100</f>
        <v>#REF!</v>
      </c>
      <c r="BA54" s="80" t="e" cm="1">
        <f t="array" aca="1" ref="BA54" ca="1">AM54/INDIRECT("cv."&amp;LEFT($U54,6)&amp;".hhv.MJL") * 100</f>
        <v>#REF!</v>
      </c>
      <c r="BB54" s="80" t="e" cm="1">
        <f t="array" aca="1" ref="BB54" ca="1">AN54/INDIRECT("cv."&amp;LEFT($U54,6)&amp;".hhv.MJL") * 100</f>
        <v>#REF!</v>
      </c>
      <c r="BC54" s="80" t="e" cm="1">
        <f t="array" aca="1" ref="BC54" ca="1">AO54/INDIRECT("cv."&amp;LEFT($U54,6)&amp;".hhv.MJL") * 100</f>
        <v>#REF!</v>
      </c>
      <c r="BD54" s="80" t="e" cm="1">
        <f t="array" aca="1" ref="BD54" ca="1">AP54/INDIRECT("cv."&amp;LEFT($U54,6)&amp;".hhv.MJL") * 100</f>
        <v>#REF!</v>
      </c>
    </row>
    <row r="55" spans="1:61" x14ac:dyDescent="0.25">
      <c r="C55" s="61" t="s">
        <v>716</v>
      </c>
      <c r="D55" s="61" t="s">
        <v>713</v>
      </c>
      <c r="E55" s="61" t="s">
        <v>484</v>
      </c>
      <c r="F55" s="61">
        <v>166.19066377782153</v>
      </c>
      <c r="N55" s="61" t="s">
        <v>504</v>
      </c>
      <c r="O55" s="61" t="s">
        <v>613</v>
      </c>
      <c r="P55" s="61" t="s">
        <v>563</v>
      </c>
      <c r="Q55" s="61" t="str">
        <f t="shared" si="7"/>
        <v>BUS</v>
      </c>
      <c r="R55" s="61" t="s">
        <v>687</v>
      </c>
      <c r="S55" s="65"/>
      <c r="T55" s="256" t="s">
        <v>60</v>
      </c>
      <c r="U55" s="913" t="s">
        <v>699</v>
      </c>
      <c r="V55" s="921">
        <v>2050</v>
      </c>
      <c r="W55" s="914">
        <f t="shared" si="16"/>
        <v>0</v>
      </c>
      <c r="X55" s="915">
        <f t="shared" si="16"/>
        <v>0</v>
      </c>
      <c r="Y55" s="915">
        <f t="shared" si="16"/>
        <v>0</v>
      </c>
      <c r="Z55" s="915">
        <f t="shared" si="16"/>
        <v>0</v>
      </c>
      <c r="AA55" s="915">
        <f t="shared" si="16"/>
        <v>0</v>
      </c>
      <c r="AB55" s="915">
        <f t="shared" si="16"/>
        <v>0</v>
      </c>
      <c r="AC55" s="916">
        <f t="shared" si="16"/>
        <v>1</v>
      </c>
      <c r="AD55" s="103" cm="1">
        <f t="array" ref="AD55">IF(W55,INDEX('AEA2012 update'!$K$6:$R$104,MATCH($T55&amp;$R55,'AEA2012 update'!$A$6:$A$104&amp;'AEA2012 update'!$B$6:$B$104,0),MATCH(AD$16,'AEA2012 update'!$S$4:$Z$4,0)),INDEX('AEA2012 update'!$K$6:$R$104,MATCH($T55&amp;$U55,'AEA2012 update'!$A$6:$A$104&amp;'AEA2012 update'!$B$6:$B$104,0),MATCH(AD$16,'AEA2012 update'!$S$4:$Z$4,0)))</f>
        <v>3962049.5059577962</v>
      </c>
      <c r="AE55" s="103" cm="1">
        <f t="array" ref="AE55">IF(X55,INDEX('AEA2012 update'!$K$6:$R$104,MATCH($T55&amp;$R55,'AEA2012 update'!$A$6:$A$104&amp;'AEA2012 update'!$B$6:$B$104,0),MATCH(AE$16,'AEA2012 update'!$S$4:$Z$4,0)),INDEX('AEA2012 update'!$K$6:$R$104,MATCH($T55&amp;$U55,'AEA2012 update'!$A$6:$A$104&amp;'AEA2012 update'!$B$6:$B$104,0),MATCH(AE$16,'AEA2012 update'!$S$4:$Z$4,0)))</f>
        <v>2321709.2381177512</v>
      </c>
      <c r="AF55" s="103" cm="1">
        <f t="array" ref="AF55">IF(Y55,INDEX('AEA2012 update'!$K$6:$R$104,MATCH($T55&amp;$R55,'AEA2012 update'!$A$6:$A$104&amp;'AEA2012 update'!$B$6:$B$104,0),MATCH(AF$16,'AEA2012 update'!$S$4:$Z$4,0)),INDEX('AEA2012 update'!$K$6:$R$104,MATCH($T55&amp;$U55,'AEA2012 update'!$A$6:$A$104&amp;'AEA2012 update'!$B$6:$B$104,0),MATCH(AF$16,'AEA2012 update'!$S$4:$Z$4,0)))</f>
        <v>2069503.9570616197</v>
      </c>
      <c r="AG55" s="103" cm="1">
        <f t="array" ref="AG55">IF(Z55,INDEX('AEA2012 update'!$K$6:$R$104,MATCH($T55&amp;$R55,'AEA2012 update'!$A$6:$A$104&amp;'AEA2012 update'!$B$6:$B$104,0),MATCH(AG$16,'AEA2012 update'!$S$4:$Z$4,0)),INDEX('AEA2012 update'!$K$6:$R$104,MATCH($T55&amp;$U55,'AEA2012 update'!$A$6:$A$104&amp;'AEA2012 update'!$B$6:$B$104,0),MATCH(AG$16,'AEA2012 update'!$S$4:$Z$4,0)))</f>
        <v>1817298.6760054873</v>
      </c>
      <c r="AH55" s="103" cm="1">
        <f t="array" ref="AH55">IF(AA55,INDEX('AEA2012 update'!$K$6:$R$104,MATCH($T55&amp;$R55,'AEA2012 update'!$A$6:$A$104&amp;'AEA2012 update'!$B$6:$B$104,0),MATCH(AH$16,'AEA2012 update'!$S$4:$Z$4,0)),INDEX('AEA2012 update'!$K$6:$R$104,MATCH($T55&amp;$U55,'AEA2012 update'!$A$6:$A$104&amp;'AEA2012 update'!$B$6:$B$104,0),MATCH(AH$16,'AEA2012 update'!$S$4:$Z$4,0)))</f>
        <v>1788694.1354190726</v>
      </c>
      <c r="AI55" s="103" cm="1">
        <f t="array" ref="AI55">IF(AB55,INDEX('AEA2012 update'!$K$6:$R$104,MATCH($T55&amp;$R55,'AEA2012 update'!$A$6:$A$104&amp;'AEA2012 update'!$B$6:$B$104,0),MATCH(AI$16,'AEA2012 update'!$S$4:$Z$4,0)),INDEX('AEA2012 update'!$K$6:$R$104,MATCH($T55&amp;$U55,'AEA2012 update'!$A$6:$A$104&amp;'AEA2012 update'!$B$6:$B$104,0),MATCH(AI$16,'AEA2012 update'!$S$4:$Z$4,0)))</f>
        <v>1760089.5948326574</v>
      </c>
      <c r="AJ55" s="103" cm="1">
        <f t="array" ref="AJ55">IF(AC55,INDEX('AEA2012 update'!$K$6:$R$104,MATCH($T55&amp;$R55,'AEA2012 update'!$A$6:$A$104&amp;'AEA2012 update'!$B$6:$B$104,0),MATCH(AJ$16,'AEA2012 update'!$S$4:$Z$4,0)),INDEX('AEA2012 update'!$K$6:$R$104,MATCH($T55&amp;$U55,'AEA2012 update'!$A$6:$A$104&amp;'AEA2012 update'!$B$6:$B$104,0),MATCH(AJ$16,'AEA2012 update'!$S$4:$Z$4,0)))</f>
        <v>1758785.822670358</v>
      </c>
      <c r="AK55" s="103" t="str">
        <f t="shared" si="13"/>
        <v>BUSHGN</v>
      </c>
      <c r="AL55" s="67">
        <f>INDEX('Vehicle data '!$AD$20:$AD$110,MATCH($AK55,'Vehicle data '!$AC$20:$AC$110,0))/INDEX('Vehicle data '!$AD$20:$AD$110,MATCH($AK$52,'Vehicle data '!$AC$20:$AC$110,0))*AL$52</f>
        <v>7.3663474579755475</v>
      </c>
      <c r="AM55" s="67">
        <f t="array" ref="AM55">IF($AE$1,AL55*(1+INDEX(AM$1:AM$2,MATCH($O55,$AI$1:$AI$2,0)))^(AM$16-AL$16),INDEX('AEA2012 update'!$AC$6:$AG$104,MATCH($T55&amp;$U55,'AEA2012 update'!$A$6:$A$104&amp;'AEA2012 update'!$B$6:$B$104,0),MATCH(AM$16,'AEA2012 update'!$AC$4:$AG$4,0)))</f>
        <v>7.2564038013718299</v>
      </c>
      <c r="AN55" s="67">
        <f t="array" ref="AN55">IF($AE$1,AM55*(1+INDEX(AN$1:AN$2,MATCH($O55,$AI$1:$AI$2,0)))^(AN$16-AM$16),INDEX('AEA2012 update'!$AC$6:$AG$104,MATCH($T55&amp;$U55,'AEA2012 update'!$A$6:$A$104&amp;'AEA2012 update'!$B$6:$B$104,0),MATCH(AN$16,'AEA2012 update'!$AC$4:$AG$4,0)))</f>
        <v>6.730178711365097</v>
      </c>
      <c r="AO55" s="67">
        <f t="array" ref="AO55">IF($AE$1,AN55*(1+INDEX(AO$1:AO$2,MATCH($O55,$AI$1:$AI$2,0)))^(AO$16-AN$16),INDEX('AEA2012 update'!$AC$6:$AG$104,MATCH($T55&amp;$U55,'AEA2012 update'!$A$6:$A$104&amp;'AEA2012 update'!$B$6:$B$104,0),MATCH(AO$16,'AEA2012 update'!$AC$4:$AG$4,0)))</f>
        <v>6.0866529881644471</v>
      </c>
      <c r="AP55" s="67">
        <f t="array" ref="AP55">IF($AE$1,AO55*(1+INDEX(AP$1:AP$2,MATCH($O55,$AI$1:$AI$2,0)))^(AP$16-AO$16),INDEX('AEA2012 update'!$AC$6:$AG$104,MATCH($T55&amp;$U55,'AEA2012 update'!$A$6:$A$104&amp;'AEA2012 update'!$B$6:$B$104,0),MATCH(AP$16,'AEA2012 update'!$AC$4:$AG$4,0)))</f>
        <v>5.5046598592947023</v>
      </c>
      <c r="AQ55" s="67"/>
      <c r="AR55" s="257">
        <f t="shared" si="10"/>
        <v>-4.9750416666666771E-3</v>
      </c>
      <c r="AS55" s="257">
        <f t="shared" si="11"/>
        <v>-8.0468874575123969E-3</v>
      </c>
      <c r="AY55" s="61" t="str">
        <f t="shared" si="12"/>
        <v>BUS-HGN</v>
      </c>
      <c r="AZ55" s="80" t="e" cm="1">
        <f t="array" aca="1" ref="AZ55" ca="1">AL55/INDIRECT("cv."&amp;LEFT($U55,6)&amp;".hhv.MJL") * 100</f>
        <v>#REF!</v>
      </c>
      <c r="BA55" s="80" t="e" cm="1">
        <f t="array" aca="1" ref="BA55" ca="1">AM55/INDIRECT("cv."&amp;LEFT($U55,6)&amp;".hhv.MJL") * 100</f>
        <v>#REF!</v>
      </c>
      <c r="BB55" s="80" t="e" cm="1">
        <f t="array" aca="1" ref="BB55" ca="1">AN55/INDIRECT("cv."&amp;LEFT($U55,6)&amp;".hhv.MJL") * 100</f>
        <v>#REF!</v>
      </c>
      <c r="BC55" s="80" t="e" cm="1">
        <f t="array" aca="1" ref="BC55" ca="1">AO55/INDIRECT("cv."&amp;LEFT($U55,6)&amp;".hhv.MJL") * 100</f>
        <v>#REF!</v>
      </c>
      <c r="BD55" s="80" t="e" cm="1">
        <f t="array" aca="1" ref="BD55" ca="1">AP55/INDIRECT("cv."&amp;LEFT($U55,6)&amp;".hhv.MJL") * 100</f>
        <v>#REF!</v>
      </c>
    </row>
    <row r="56" spans="1:61" x14ac:dyDescent="0.25">
      <c r="C56" s="178"/>
      <c r="N56" s="61" t="s">
        <v>509</v>
      </c>
      <c r="O56" s="61" t="s">
        <v>613</v>
      </c>
      <c r="P56" s="61" t="s">
        <v>563</v>
      </c>
      <c r="Q56" s="61" t="str">
        <f t="shared" si="7"/>
        <v>BUS</v>
      </c>
      <c r="R56" s="61" t="s">
        <v>687</v>
      </c>
      <c r="S56" s="65"/>
      <c r="T56" s="256" t="s">
        <v>60</v>
      </c>
      <c r="U56" s="913" t="s">
        <v>700</v>
      </c>
      <c r="V56" s="921"/>
      <c r="W56" s="914">
        <f t="shared" si="16"/>
        <v>0</v>
      </c>
      <c r="X56" s="915">
        <f t="shared" si="16"/>
        <v>0</v>
      </c>
      <c r="Y56" s="915">
        <f t="shared" si="16"/>
        <v>0</v>
      </c>
      <c r="Z56" s="915">
        <f t="shared" si="16"/>
        <v>0</v>
      </c>
      <c r="AA56" s="915">
        <f t="shared" si="16"/>
        <v>0</v>
      </c>
      <c r="AB56" s="915">
        <f t="shared" si="16"/>
        <v>0</v>
      </c>
      <c r="AC56" s="916">
        <f t="shared" si="16"/>
        <v>0</v>
      </c>
      <c r="AD56" s="103" cm="1">
        <f t="array" ref="AD56">IF(W56,INDEX('AEA2012 update'!$K$6:$R$104,MATCH($T56&amp;$R56,'AEA2012 update'!$A$6:$A$104&amp;'AEA2012 update'!$B$6:$B$104,0),MATCH(AD$16,'AEA2012 update'!$S$4:$Z$4,0)),INDEX('AEA2012 update'!$K$6:$R$104,MATCH($T56&amp;$U56,'AEA2012 update'!$A$6:$A$104&amp;'AEA2012 update'!$B$6:$B$104,0),MATCH(AD$16,'AEA2012 update'!$S$4:$Z$4,0)))</f>
        <v>1662957.7926762076</v>
      </c>
      <c r="AE56" s="103" cm="1">
        <f t="array" ref="AE56">IF(X56,INDEX('AEA2012 update'!$K$6:$R$104,MATCH($T56&amp;$R56,'AEA2012 update'!$A$6:$A$104&amp;'AEA2012 update'!$B$6:$B$104,0),MATCH(AE$16,'AEA2012 update'!$S$4:$Z$4,0)),INDEX('AEA2012 update'!$K$6:$R$104,MATCH($T56&amp;$U56,'AEA2012 update'!$A$6:$A$104&amp;'AEA2012 update'!$B$6:$B$104,0),MATCH(AE$16,'AEA2012 update'!$S$4:$Z$4,0)))</f>
        <v>1712796.8806812237</v>
      </c>
      <c r="AF56" s="103" cm="1">
        <f t="array" ref="AF56">IF(Y56,INDEX('AEA2012 update'!$K$6:$R$104,MATCH($T56&amp;$R56,'AEA2012 update'!$A$6:$A$104&amp;'AEA2012 update'!$B$6:$B$104,0),MATCH(AF$16,'AEA2012 update'!$S$4:$Z$4,0)),INDEX('AEA2012 update'!$K$6:$R$104,MATCH($T56&amp;$U56,'AEA2012 update'!$A$6:$A$104&amp;'AEA2012 update'!$B$6:$B$104,0),MATCH(AF$16,'AEA2012 update'!$S$4:$Z$4,0)))</f>
        <v>1730793.9448361397</v>
      </c>
      <c r="AG56" s="103" cm="1">
        <f t="array" ref="AG56">IF(Z56,INDEX('AEA2012 update'!$K$6:$R$104,MATCH($T56&amp;$R56,'AEA2012 update'!$A$6:$A$104&amp;'AEA2012 update'!$B$6:$B$104,0),MATCH(AG$16,'AEA2012 update'!$S$4:$Z$4,0)),INDEX('AEA2012 update'!$K$6:$R$104,MATCH($T56&amp;$U56,'AEA2012 update'!$A$6:$A$104&amp;'AEA2012 update'!$B$6:$B$104,0),MATCH(AG$16,'AEA2012 update'!$S$4:$Z$4,0)))</f>
        <v>1748791.0089910564</v>
      </c>
      <c r="AH56" s="103" cm="1">
        <f t="array" ref="AH56">IF(AA56,INDEX('AEA2012 update'!$K$6:$R$104,MATCH($T56&amp;$R56,'AEA2012 update'!$A$6:$A$104&amp;'AEA2012 update'!$B$6:$B$104,0),MATCH(AH$16,'AEA2012 update'!$S$4:$Z$4,0)),INDEX('AEA2012 update'!$K$6:$R$104,MATCH($T56&amp;$U56,'AEA2012 update'!$A$6:$A$104&amp;'AEA2012 update'!$B$6:$B$104,0),MATCH(AH$16,'AEA2012 update'!$S$4:$Z$4,0)))</f>
        <v>1763372.5882959811</v>
      </c>
      <c r="AI56" s="103" cm="1">
        <f t="array" ref="AI56">IF(AB56,INDEX('AEA2012 update'!$K$6:$R$104,MATCH($T56&amp;$R56,'AEA2012 update'!$A$6:$A$104&amp;'AEA2012 update'!$B$6:$B$104,0),MATCH(AI$16,'AEA2012 update'!$S$4:$Z$4,0)),INDEX('AEA2012 update'!$K$6:$R$104,MATCH($T56&amp;$U56,'AEA2012 update'!$A$6:$A$104&amp;'AEA2012 update'!$B$6:$B$104,0),MATCH(AI$16,'AEA2012 update'!$S$4:$Z$4,0)))</f>
        <v>1777954.1676009053</v>
      </c>
      <c r="AJ56" s="103" cm="1">
        <f t="array" ref="AJ56">IF(AC56,INDEX('AEA2012 update'!$K$6:$R$104,MATCH($T56&amp;$R56,'AEA2012 update'!$A$6:$A$104&amp;'AEA2012 update'!$B$6:$B$104,0),MATCH(AJ$16,'AEA2012 update'!$S$4:$Z$4,0)),INDEX('AEA2012 update'!$K$6:$R$104,MATCH($T56&amp;$U56,'AEA2012 update'!$A$6:$A$104&amp;'AEA2012 update'!$B$6:$B$104,0),MATCH(AJ$16,'AEA2012 update'!$S$4:$Z$4,0)))</f>
        <v>1815467.0514421153</v>
      </c>
      <c r="AK56" s="103" t="str">
        <f t="shared" si="13"/>
        <v>BUSGAS</v>
      </c>
      <c r="AL56" s="67">
        <f>INDEX('Vehicle data '!$AD$20:$AD$110,MATCH($AK56,'Vehicle data '!$AC$20:$AC$110,0))/INDEX('Vehicle data '!$AD$20:$AD$110,MATCH($AK$52,'Vehicle data '!$AC$20:$AC$110,0))*AL$52</f>
        <v>17.871479072128476</v>
      </c>
      <c r="AM56" s="67">
        <f t="array" ref="AM56">IF($AE$1,AL56*(1+INDEX(AM$1:AM$2,MATCH($O56,$AI$1:$AI$2,0)))^(AM$16-AL$16),INDEX('AEA2012 update'!$AC$6:$AG$104,MATCH($T56&amp;$U56,'AEA2012 update'!$A$6:$A$104&amp;'AEA2012 update'!$B$6:$B$104,0),MATCH(AM$16,'AEA2012 update'!$AC$4:$AG$4,0)))</f>
        <v>17.604745013042074</v>
      </c>
      <c r="AN56" s="67">
        <f t="array" ref="AN56">IF($AE$1,AM56*(1+INDEX(AN$1:AN$2,MATCH($O56,$AI$1:$AI$2,0)))^(AN$16-AM$16),INDEX('AEA2012 update'!$AC$6:$AG$104,MATCH($T56&amp;$U56,'AEA2012 update'!$A$6:$A$104&amp;'AEA2012 update'!$B$6:$B$104,0),MATCH(AN$16,'AEA2012 update'!$AC$4:$AG$4,0)))</f>
        <v>16.328071500567166</v>
      </c>
      <c r="AO56" s="67">
        <f t="array" ref="AO56">IF($AE$1,AN56*(1+INDEX(AO$1:AO$2,MATCH($O56,$AI$1:$AI$2,0)))^(AO$16-AN$16),INDEX('AEA2012 update'!$AC$6:$AG$104,MATCH($T56&amp;$U56,'AEA2012 update'!$A$6:$A$104&amp;'AEA2012 update'!$B$6:$B$104,0),MATCH(AO$16,'AEA2012 update'!$AC$4:$AG$4,0)))</f>
        <v>14.766815184575055</v>
      </c>
      <c r="AP56" s="67">
        <f t="array" ref="AP56">IF($AE$1,AO56*(1+INDEX(AP$1:AP$2,MATCH($O56,$AI$1:$AI$2,0)))^(AP$16-AO$16),INDEX('AEA2012 update'!$AC$6:$AG$104,MATCH($T56&amp;$U56,'AEA2012 update'!$A$6:$A$104&amp;'AEA2012 update'!$B$6:$B$104,0),MATCH(AP$16,'AEA2012 update'!$AC$4:$AG$4,0)))</f>
        <v>13.354842957897509</v>
      </c>
      <c r="AQ56" s="67"/>
      <c r="AR56" s="257">
        <f t="shared" si="10"/>
        <v>-4.9750416666666927E-3</v>
      </c>
      <c r="AS56" s="257">
        <f t="shared" si="11"/>
        <v>-8.0468874575123951E-3</v>
      </c>
      <c r="AY56" s="61" t="str">
        <f t="shared" si="12"/>
        <v>BUS-GAS</v>
      </c>
      <c r="AZ56" s="80" t="e" cm="1">
        <f t="array" aca="1" ref="AZ56" ca="1">AL56/INDIRECT("cv."&amp;LEFT($U56,6)&amp;".hhv.MJL") * 100</f>
        <v>#REF!</v>
      </c>
      <c r="BA56" s="80" t="e" cm="1">
        <f t="array" aca="1" ref="BA56" ca="1">AM56/INDIRECT("cv."&amp;LEFT($U56,6)&amp;".hhv.MJL") * 100</f>
        <v>#REF!</v>
      </c>
      <c r="BB56" s="80" t="e" cm="1">
        <f t="array" aca="1" ref="BB56" ca="1">AN56/INDIRECT("cv."&amp;LEFT($U56,6)&amp;".hhv.MJL") * 100</f>
        <v>#REF!</v>
      </c>
      <c r="BC56" s="80" t="e" cm="1">
        <f t="array" aca="1" ref="BC56" ca="1">AO56/INDIRECT("cv."&amp;LEFT($U56,6)&amp;".hhv.MJL") * 100</f>
        <v>#REF!</v>
      </c>
      <c r="BD56" s="80" t="e" cm="1">
        <f t="array" aca="1" ref="BD56" ca="1">AP56/INDIRECT("cv."&amp;LEFT($U56,6)&amp;".hhv.MJL") * 100</f>
        <v>#REF!</v>
      </c>
    </row>
    <row r="57" spans="1:61" x14ac:dyDescent="0.25">
      <c r="D57" s="61">
        <v>2012</v>
      </c>
      <c r="Q57" s="61" t="str">
        <f t="shared" si="7"/>
        <v/>
      </c>
      <c r="S57" s="65"/>
      <c r="T57" s="256"/>
      <c r="U57" s="260"/>
      <c r="V57" s="921"/>
      <c r="W57" s="914">
        <f t="shared" si="16"/>
        <v>0</v>
      </c>
      <c r="X57" s="915">
        <f t="shared" si="16"/>
        <v>0</v>
      </c>
      <c r="Y57" s="915">
        <f t="shared" si="16"/>
        <v>0</v>
      </c>
      <c r="Z57" s="915">
        <f t="shared" si="16"/>
        <v>0</v>
      </c>
      <c r="AA57" s="915">
        <f t="shared" si="16"/>
        <v>0</v>
      </c>
      <c r="AB57" s="915">
        <f t="shared" si="16"/>
        <v>0</v>
      </c>
      <c r="AC57" s="916">
        <f t="shared" si="16"/>
        <v>0</v>
      </c>
      <c r="AD57" s="103" t="e" cm="1">
        <f t="array" ref="AD57">IF(W57,INDEX('AEA2012 update'!$K$6:$R$104,MATCH($T57&amp;$R57,'AEA2012 update'!$A$6:$A$104&amp;'AEA2012 update'!$B$6:$B$104,0),MATCH(AD$16,'AEA2012 update'!$S$4:$Z$4,0)),INDEX('AEA2012 update'!$K$6:$R$104,MATCH($T57&amp;$U57,'AEA2012 update'!$A$6:$A$104&amp;'AEA2012 update'!$B$6:$B$104,0),MATCH(AD$16,'AEA2012 update'!$S$4:$Z$4,0)))</f>
        <v>#N/A</v>
      </c>
      <c r="AE57" s="103" t="e" cm="1">
        <f t="array" ref="AE57">IF(X57,INDEX('AEA2012 update'!$K$6:$R$104,MATCH($T57&amp;$R57,'AEA2012 update'!$A$6:$A$104&amp;'AEA2012 update'!$B$6:$B$104,0),MATCH(AE$16,'AEA2012 update'!$S$4:$Z$4,0)),INDEX('AEA2012 update'!$K$6:$R$104,MATCH($T57&amp;$U57,'AEA2012 update'!$A$6:$A$104&amp;'AEA2012 update'!$B$6:$B$104,0),MATCH(AE$16,'AEA2012 update'!$S$4:$Z$4,0)))</f>
        <v>#N/A</v>
      </c>
      <c r="AF57" s="103" t="e" cm="1">
        <f t="array" ref="AF57">IF(Y57,INDEX('AEA2012 update'!$K$6:$R$104,MATCH($T57&amp;$R57,'AEA2012 update'!$A$6:$A$104&amp;'AEA2012 update'!$B$6:$B$104,0),MATCH(AF$16,'AEA2012 update'!$S$4:$Z$4,0)),INDEX('AEA2012 update'!$K$6:$R$104,MATCH($T57&amp;$U57,'AEA2012 update'!$A$6:$A$104&amp;'AEA2012 update'!$B$6:$B$104,0),MATCH(AF$16,'AEA2012 update'!$S$4:$Z$4,0)))</f>
        <v>#N/A</v>
      </c>
      <c r="AG57" s="103" t="e" cm="1">
        <f t="array" ref="AG57">IF(Z57,INDEX('AEA2012 update'!$K$6:$R$104,MATCH($T57&amp;$R57,'AEA2012 update'!$A$6:$A$104&amp;'AEA2012 update'!$B$6:$B$104,0),MATCH(AG$16,'AEA2012 update'!$S$4:$Z$4,0)),INDEX('AEA2012 update'!$K$6:$R$104,MATCH($T57&amp;$U57,'AEA2012 update'!$A$6:$A$104&amp;'AEA2012 update'!$B$6:$B$104,0),MATCH(AG$16,'AEA2012 update'!$S$4:$Z$4,0)))</f>
        <v>#N/A</v>
      </c>
      <c r="AH57" s="103" t="e" cm="1">
        <f t="array" ref="AH57">IF(AA57,INDEX('AEA2012 update'!$K$6:$R$104,MATCH($T57&amp;$R57,'AEA2012 update'!$A$6:$A$104&amp;'AEA2012 update'!$B$6:$B$104,0),MATCH(AH$16,'AEA2012 update'!$S$4:$Z$4,0)),INDEX('AEA2012 update'!$K$6:$R$104,MATCH($T57&amp;$U57,'AEA2012 update'!$A$6:$A$104&amp;'AEA2012 update'!$B$6:$B$104,0),MATCH(AH$16,'AEA2012 update'!$S$4:$Z$4,0)))</f>
        <v>#N/A</v>
      </c>
      <c r="AI57" s="103" t="e" cm="1">
        <f t="array" ref="AI57">IF(AB57,INDEX('AEA2012 update'!$K$6:$R$104,MATCH($T57&amp;$R57,'AEA2012 update'!$A$6:$A$104&amp;'AEA2012 update'!$B$6:$B$104,0),MATCH(AI$16,'AEA2012 update'!$S$4:$Z$4,0)),INDEX('AEA2012 update'!$K$6:$R$104,MATCH($T57&amp;$U57,'AEA2012 update'!$A$6:$A$104&amp;'AEA2012 update'!$B$6:$B$104,0),MATCH(AI$16,'AEA2012 update'!$S$4:$Z$4,0)))</f>
        <v>#N/A</v>
      </c>
      <c r="AJ57" s="103" t="e" cm="1">
        <f t="array" ref="AJ57">IF(AC57,INDEX('AEA2012 update'!$K$6:$R$104,MATCH($T57&amp;$R57,'AEA2012 update'!$A$6:$A$104&amp;'AEA2012 update'!$B$6:$B$104,0),MATCH(AJ$16,'AEA2012 update'!$S$4:$Z$4,0)),INDEX('AEA2012 update'!$K$6:$R$104,MATCH($T57&amp;$U57,'AEA2012 update'!$A$6:$A$104&amp;'AEA2012 update'!$B$6:$B$104,0),MATCH(AJ$16,'AEA2012 update'!$S$4:$Z$4,0)))</f>
        <v>#N/A</v>
      </c>
      <c r="AK57" s="103" t="str">
        <f t="shared" si="13"/>
        <v/>
      </c>
      <c r="AL57" s="67" t="e">
        <f>1/INDEX(Analytica!$AA$17:$AE$48,MATCH($AK57,Analytica!$A$17:$A$48,0),MATCH(AL$16,Analytica!$AA$16:$AE$16,0))</f>
        <v>#N/A</v>
      </c>
      <c r="AM57" s="67" t="e">
        <f t="array" ref="AM57">IF($AE$1,AL57*(1+INDEX(AM$1:AM$2,MATCH($O57,$AI$1:$AI$2,0)))^(AM$16-AL$16),INDEX('AEA2012 update'!$AC$6:$AG$104,MATCH($T57&amp;$U57,'AEA2012 update'!$A$6:$A$104&amp;'AEA2012 update'!$B$6:$B$104,0),MATCH(AM$16,'AEA2012 update'!$AC$4:$AG$4,0)))</f>
        <v>#N/A</v>
      </c>
      <c r="AN57" s="67" t="e">
        <f t="array" ref="AN57">IF($AE$1,AM57*(1+INDEX(AN$1:AN$2,MATCH($O57,$AI$1:$AI$2,0)))^(AN$16-AM$16),INDEX('AEA2012 update'!$AC$6:$AG$104,MATCH($T57&amp;$U57,'AEA2012 update'!$A$6:$A$104&amp;'AEA2012 update'!$B$6:$B$104,0),MATCH(AN$16,'AEA2012 update'!$AC$4:$AG$4,0)))</f>
        <v>#N/A</v>
      </c>
      <c r="AO57" s="67" t="e">
        <f t="array" ref="AO57">IF($AE$1,AN57*(1+INDEX(AO$1:AO$2,MATCH($O57,$AI$1:$AI$2,0)))^(AO$16-AN$16),INDEX('AEA2012 update'!$AC$6:$AG$104,MATCH($T57&amp;$U57,'AEA2012 update'!$A$6:$A$104&amp;'AEA2012 update'!$B$6:$B$104,0),MATCH(AO$16,'AEA2012 update'!$AC$4:$AG$4,0)))</f>
        <v>#N/A</v>
      </c>
      <c r="AP57" s="67" t="e">
        <f t="array" ref="AP57">IF($AE$1,AO57*(1+INDEX(AP$1:AP$2,MATCH($O57,$AI$1:$AI$2,0)))^(AP$16-AO$16),INDEX('AEA2012 update'!$AC$6:$AG$104,MATCH($T57&amp;$U57,'AEA2012 update'!$A$6:$A$104&amp;'AEA2012 update'!$B$6:$B$104,0),MATCH(AP$16,'AEA2012 update'!$AC$4:$AG$4,0)))</f>
        <v>#N/A</v>
      </c>
      <c r="AQ57" s="67"/>
      <c r="AR57" s="257" t="e">
        <f t="shared" si="10"/>
        <v>#N/A</v>
      </c>
      <c r="AS57" s="257" t="e">
        <f t="shared" si="11"/>
        <v>#N/A</v>
      </c>
      <c r="AY57" s="61" t="str">
        <f t="shared" si="12"/>
        <v>-</v>
      </c>
      <c r="AZ57" s="80" t="e" cm="1">
        <f t="array" aca="1" ref="AZ57" ca="1">AL57/INDIRECT("cv."&amp;LEFT($U57,6)&amp;".hhv.MJL") * 100</f>
        <v>#N/A</v>
      </c>
      <c r="BA57" s="80" t="e" cm="1">
        <f t="array" aca="1" ref="BA57" ca="1">AM57/INDIRECT("cv."&amp;LEFT($U57,6)&amp;".hhv.MJL") * 100</f>
        <v>#N/A</v>
      </c>
      <c r="BB57" s="80" t="e" cm="1">
        <f t="array" aca="1" ref="BB57" ca="1">AN57/INDIRECT("cv."&amp;LEFT($U57,6)&amp;".hhv.MJL") * 100</f>
        <v>#N/A</v>
      </c>
      <c r="BC57" s="80" t="e" cm="1">
        <f t="array" aca="1" ref="BC57" ca="1">AO57/INDIRECT("cv."&amp;LEFT($U57,6)&amp;".hhv.MJL") * 100</f>
        <v>#N/A</v>
      </c>
      <c r="BD57" s="80" t="e" cm="1">
        <f t="array" aca="1" ref="BD57" ca="1">AP57/INDIRECT("cv."&amp;LEFT($U57,6)&amp;".hhv.MJL") * 100</f>
        <v>#N/A</v>
      </c>
    </row>
    <row r="58" spans="1:61" x14ac:dyDescent="0.25">
      <c r="B58" s="61" t="s">
        <v>717</v>
      </c>
      <c r="D58" s="7">
        <f>SUM(D59:D60)</f>
        <v>15629</v>
      </c>
      <c r="K58" s="61" t="s">
        <v>718</v>
      </c>
      <c r="L58" s="254">
        <f>S60/S58</f>
        <v>3.2995608830795962</v>
      </c>
      <c r="N58" s="61" t="s">
        <v>511</v>
      </c>
      <c r="O58" s="61" t="s">
        <v>613</v>
      </c>
      <c r="P58" s="61" t="s">
        <v>59</v>
      </c>
      <c r="Q58" s="61" t="str">
        <f t="shared" si="7"/>
        <v>BRT</v>
      </c>
      <c r="R58" s="61" t="s">
        <v>687</v>
      </c>
      <c r="S58" s="103">
        <v>3471536.3226923002</v>
      </c>
      <c r="T58" s="256" t="s">
        <v>60</v>
      </c>
      <c r="U58" s="913" t="s">
        <v>687</v>
      </c>
      <c r="V58" s="921"/>
      <c r="W58" s="914">
        <f t="shared" si="16"/>
        <v>0</v>
      </c>
      <c r="X58" s="915">
        <f t="shared" si="16"/>
        <v>0</v>
      </c>
      <c r="Y58" s="915">
        <f t="shared" si="16"/>
        <v>0</v>
      </c>
      <c r="Z58" s="915">
        <f t="shared" si="16"/>
        <v>0</v>
      </c>
      <c r="AA58" s="915">
        <f t="shared" si="16"/>
        <v>0</v>
      </c>
      <c r="AB58" s="915">
        <f t="shared" si="16"/>
        <v>0</v>
      </c>
      <c r="AC58" s="916">
        <f t="shared" si="16"/>
        <v>0</v>
      </c>
      <c r="AD58" s="103" cm="1">
        <f t="array" ref="AD58">IF(W58,INDEX('AEA2012 update'!$K$6:$R$104,MATCH($T58&amp;$R58,'AEA2012 update'!$A$6:$A$104&amp;'AEA2012 update'!$B$6:$B$104,0),MATCH(AD$16,'AEA2012 update'!$S$4:$Z$4,0)),INDEX('AEA2012 update'!$K$6:$R$104,MATCH($T58&amp;$U58,'AEA2012 update'!$A$6:$A$104&amp;'AEA2012 update'!$B$6:$B$104,0),MATCH(AD$16,'AEA2012 update'!$S$4:$Z$4,0)))</f>
        <v>1494094.612984641</v>
      </c>
      <c r="AE58" s="103" cm="1">
        <f t="array" ref="AE58">IF(X58,INDEX('AEA2012 update'!$K$6:$R$104,MATCH($T58&amp;$R58,'AEA2012 update'!$A$6:$A$104&amp;'AEA2012 update'!$B$6:$B$104,0),MATCH(AE$16,'AEA2012 update'!$S$4:$Z$4,0)),INDEX('AEA2012 update'!$K$6:$R$104,MATCH($T58&amp;$U58,'AEA2012 update'!$A$6:$A$104&amp;'AEA2012 update'!$B$6:$B$104,0),MATCH(AE$16,'AEA2012 update'!$S$4:$Z$4,0)))</f>
        <v>1615401.3682562639</v>
      </c>
      <c r="AF58" s="103" cm="1">
        <f t="array" ref="AF58">IF(Y58,INDEX('AEA2012 update'!$K$6:$R$104,MATCH($T58&amp;$R58,'AEA2012 update'!$A$6:$A$104&amp;'AEA2012 update'!$B$6:$B$104,0),MATCH(AF$16,'AEA2012 update'!$S$4:$Z$4,0)),INDEX('AEA2012 update'!$K$6:$R$104,MATCH($T58&amp;$U58,'AEA2012 update'!$A$6:$A$104&amp;'AEA2012 update'!$B$6:$B$104,0),MATCH(AF$16,'AEA2012 update'!$S$4:$Z$4,0)))</f>
        <v>1645563.3521187683</v>
      </c>
      <c r="AG58" s="103" cm="1">
        <f t="array" ref="AG58">IF(Z58,INDEX('AEA2012 update'!$K$6:$R$104,MATCH($T58&amp;$R58,'AEA2012 update'!$A$6:$A$104&amp;'AEA2012 update'!$B$6:$B$104,0),MATCH(AG$16,'AEA2012 update'!$S$4:$Z$4,0)),INDEX('AEA2012 update'!$K$6:$R$104,MATCH($T58&amp;$U58,'AEA2012 update'!$A$6:$A$104&amp;'AEA2012 update'!$B$6:$B$104,0),MATCH(AG$16,'AEA2012 update'!$S$4:$Z$4,0)))</f>
        <v>1675725.3359812722</v>
      </c>
      <c r="AH58" s="103" cm="1">
        <f t="array" ref="AH58">IF(AA58,INDEX('AEA2012 update'!$K$6:$R$104,MATCH($T58&amp;$R58,'AEA2012 update'!$A$6:$A$104&amp;'AEA2012 update'!$B$6:$B$104,0),MATCH(AH$16,'AEA2012 update'!$S$4:$Z$4,0)),INDEX('AEA2012 update'!$K$6:$R$104,MATCH($T58&amp;$U58,'AEA2012 update'!$A$6:$A$104&amp;'AEA2012 update'!$B$6:$B$104,0),MATCH(AH$16,'AEA2012 update'!$S$4:$Z$4,0)))</f>
        <v>1695117.6876140197</v>
      </c>
      <c r="AI58" s="103" cm="1">
        <f t="array" ref="AI58">IF(AB58,INDEX('AEA2012 update'!$K$6:$R$104,MATCH($T58&amp;$R58,'AEA2012 update'!$A$6:$A$104&amp;'AEA2012 update'!$B$6:$B$104,0),MATCH(AI$16,'AEA2012 update'!$S$4:$Z$4,0)),INDEX('AEA2012 update'!$K$6:$R$104,MATCH($T58&amp;$U58,'AEA2012 update'!$A$6:$A$104&amp;'AEA2012 update'!$B$6:$B$104,0),MATCH(AI$16,'AEA2012 update'!$S$4:$Z$4,0)))</f>
        <v>1714510.0392467668</v>
      </c>
      <c r="AJ58" s="103" cm="1">
        <f t="array" ref="AJ58">IF(AC58,INDEX('AEA2012 update'!$K$6:$R$104,MATCH($T58&amp;$R58,'AEA2012 update'!$A$6:$A$104&amp;'AEA2012 update'!$B$6:$B$104,0),MATCH(AJ$16,'AEA2012 update'!$S$4:$Z$4,0)),INDEX('AEA2012 update'!$K$6:$R$104,MATCH($T58&amp;$U58,'AEA2012 update'!$A$6:$A$104&amp;'AEA2012 update'!$B$6:$B$104,0),MATCH(AJ$16,'AEA2012 update'!$S$4:$Z$4,0)))</f>
        <v>1758785.822670358</v>
      </c>
      <c r="AK58" s="103" t="str">
        <f t="shared" si="13"/>
        <v>BRTODS</v>
      </c>
      <c r="AL58" s="67">
        <f>INDEX('Vehicle data '!$AD$20:$AD$110,MATCH($AK58,'Vehicle data '!$AC$20:$AC$110,0))/INDEX('Vehicle data '!$AD$20:$AD$110,MATCH($AK$52,'Vehicle data '!$AC$20:$AC$110,0))*AL$52</f>
        <v>15.540416584459544</v>
      </c>
      <c r="AM58" s="67">
        <f t="array" ref="AM58">IF($AE$1,AL58*(1+INDEX(AM$1:AM$2,MATCH($O58,$AI$1:$AI$2,0)))^(AM$16-AL$16),INDEX('AEA2012 update'!$AC$6:$AG$104,MATCH($T58&amp;$U58,'AEA2012 update'!$A$6:$A$104&amp;'AEA2012 update'!$B$6:$B$104,0),MATCH(AM$16,'AEA2012 update'!$AC$4:$AG$4,0)))</f>
        <v>15.308473924384414</v>
      </c>
      <c r="AN58" s="67">
        <f t="array" ref="AN58">IF($AE$1,AM58*(1+INDEX(AN$1:AN$2,MATCH($O58,$AI$1:$AI$2,0)))^(AN$16-AM$16),INDEX('AEA2012 update'!$AC$6:$AG$104,MATCH($T58&amp;$U58,'AEA2012 update'!$A$6:$A$104&amp;'AEA2012 update'!$B$6:$B$104,0),MATCH(AN$16,'AEA2012 update'!$AC$4:$AG$4,0)))</f>
        <v>14.198323043971449</v>
      </c>
      <c r="AO58" s="67">
        <f t="array" ref="AO58">IF($AE$1,AN58*(1+INDEX(AO$1:AO$2,MATCH($O58,$AI$1:$AI$2,0)))^(AO$16-AN$16),INDEX('AEA2012 update'!$AC$6:$AG$104,MATCH($T58&amp;$U58,'AEA2012 update'!$A$6:$A$104&amp;'AEA2012 update'!$B$6:$B$104,0),MATCH(AO$16,'AEA2012 update'!$AC$4:$AG$4,0)))</f>
        <v>12.840708856152222</v>
      </c>
      <c r="AP58" s="67">
        <f t="array" ref="AP58">IF($AE$1,AO58*(1+INDEX(AP$1:AP$2,MATCH($O58,$AI$1:$AI$2,0)))^(AP$16-AO$16),INDEX('AEA2012 update'!$AC$6:$AG$104,MATCH($T58&amp;$U58,'AEA2012 update'!$A$6:$A$104&amp;'AEA2012 update'!$B$6:$B$104,0),MATCH(AP$16,'AEA2012 update'!$AC$4:$AG$4,0)))</f>
        <v>11.612906919910877</v>
      </c>
      <c r="AQ58" s="67"/>
      <c r="AR58" s="257">
        <f t="shared" si="10"/>
        <v>-4.9750416666666433E-3</v>
      </c>
      <c r="AS58" s="257">
        <f t="shared" si="11"/>
        <v>-8.0468874575124003E-3</v>
      </c>
      <c r="AY58" s="61" t="str">
        <f t="shared" si="12"/>
        <v>BRT-ODS</v>
      </c>
      <c r="AZ58" s="80" t="e" cm="1">
        <f t="array" aca="1" ref="AZ58" ca="1">AL58/INDIRECT("cv."&amp;LEFT($U58,6)&amp;".hhv.MJL") * 100</f>
        <v>#REF!</v>
      </c>
      <c r="BA58" s="80" t="e" cm="1">
        <f t="array" aca="1" ref="BA58" ca="1">AM58/INDIRECT("cv."&amp;LEFT($U58,6)&amp;".hhv.MJL") * 100</f>
        <v>#REF!</v>
      </c>
      <c r="BB58" s="80" t="e" cm="1">
        <f t="array" aca="1" ref="BB58" ca="1">AN58/INDIRECT("cv."&amp;LEFT($U58,6)&amp;".hhv.MJL") * 100</f>
        <v>#REF!</v>
      </c>
      <c r="BC58" s="80" t="e" cm="1">
        <f t="array" aca="1" ref="BC58" ca="1">AO58/INDIRECT("cv."&amp;LEFT($U58,6)&amp;".hhv.MJL") * 100</f>
        <v>#REF!</v>
      </c>
      <c r="BD58" s="80" t="e" cm="1">
        <f t="array" aca="1" ref="BD58" ca="1">AP58/INDIRECT("cv."&amp;LEFT($U58,6)&amp;".hhv.MJL") * 100</f>
        <v>#REF!</v>
      </c>
    </row>
    <row r="59" spans="1:61" x14ac:dyDescent="0.25">
      <c r="A59" s="261" t="s">
        <v>617</v>
      </c>
      <c r="B59" s="261" t="s">
        <v>719</v>
      </c>
      <c r="D59" s="7">
        <v>4742</v>
      </c>
      <c r="N59" s="61" t="s">
        <v>506</v>
      </c>
      <c r="O59" s="61" t="s">
        <v>613</v>
      </c>
      <c r="P59" s="61" t="s">
        <v>59</v>
      </c>
      <c r="Q59" s="61" t="str">
        <f t="shared" si="7"/>
        <v>BRT</v>
      </c>
      <c r="R59" s="61" t="s">
        <v>687</v>
      </c>
      <c r="S59"/>
      <c r="T59" s="256" t="s">
        <v>60</v>
      </c>
      <c r="U59" s="913" t="s">
        <v>687</v>
      </c>
      <c r="V59" s="921"/>
      <c r="W59" s="914">
        <f t="shared" si="16"/>
        <v>0</v>
      </c>
      <c r="X59" s="915">
        <f t="shared" si="16"/>
        <v>0</v>
      </c>
      <c r="Y59" s="915">
        <f t="shared" si="16"/>
        <v>0</v>
      </c>
      <c r="Z59" s="915">
        <f t="shared" si="16"/>
        <v>0</v>
      </c>
      <c r="AA59" s="915">
        <f t="shared" si="16"/>
        <v>0</v>
      </c>
      <c r="AB59" s="915">
        <f t="shared" si="16"/>
        <v>0</v>
      </c>
      <c r="AC59" s="916">
        <f t="shared" si="16"/>
        <v>0</v>
      </c>
      <c r="AD59" s="103" cm="1">
        <f t="array" ref="AD59">IF(W59,INDEX('AEA2012 update'!$K$6:$R$104,MATCH($T59&amp;$R59,'AEA2012 update'!$A$6:$A$104&amp;'AEA2012 update'!$B$6:$B$104,0),MATCH(AD$16,'AEA2012 update'!$S$4:$Z$4,0)),INDEX('AEA2012 update'!$K$6:$R$104,MATCH($T59&amp;$U59,'AEA2012 update'!$A$6:$A$104&amp;'AEA2012 update'!$B$6:$B$104,0),MATCH(AD$16,'AEA2012 update'!$S$4:$Z$4,0)))</f>
        <v>1494094.612984641</v>
      </c>
      <c r="AE59" s="103" cm="1">
        <f t="array" ref="AE59">IF(X59,INDEX('AEA2012 update'!$K$6:$R$104,MATCH($T59&amp;$R59,'AEA2012 update'!$A$6:$A$104&amp;'AEA2012 update'!$B$6:$B$104,0),MATCH(AE$16,'AEA2012 update'!$S$4:$Z$4,0)),INDEX('AEA2012 update'!$K$6:$R$104,MATCH($T59&amp;$U59,'AEA2012 update'!$A$6:$A$104&amp;'AEA2012 update'!$B$6:$B$104,0),MATCH(AE$16,'AEA2012 update'!$S$4:$Z$4,0)))</f>
        <v>1615401.3682562639</v>
      </c>
      <c r="AF59" s="103" cm="1">
        <f t="array" ref="AF59">IF(Y59,INDEX('AEA2012 update'!$K$6:$R$104,MATCH($T59&amp;$R59,'AEA2012 update'!$A$6:$A$104&amp;'AEA2012 update'!$B$6:$B$104,0),MATCH(AF$16,'AEA2012 update'!$S$4:$Z$4,0)),INDEX('AEA2012 update'!$K$6:$R$104,MATCH($T59&amp;$U59,'AEA2012 update'!$A$6:$A$104&amp;'AEA2012 update'!$B$6:$B$104,0),MATCH(AF$16,'AEA2012 update'!$S$4:$Z$4,0)))</f>
        <v>1645563.3521187683</v>
      </c>
      <c r="AG59" s="103" cm="1">
        <f t="array" ref="AG59">IF(Z59,INDEX('AEA2012 update'!$K$6:$R$104,MATCH($T59&amp;$R59,'AEA2012 update'!$A$6:$A$104&amp;'AEA2012 update'!$B$6:$B$104,0),MATCH(AG$16,'AEA2012 update'!$S$4:$Z$4,0)),INDEX('AEA2012 update'!$K$6:$R$104,MATCH($T59&amp;$U59,'AEA2012 update'!$A$6:$A$104&amp;'AEA2012 update'!$B$6:$B$104,0),MATCH(AG$16,'AEA2012 update'!$S$4:$Z$4,0)))</f>
        <v>1675725.3359812722</v>
      </c>
      <c r="AH59" s="103" cm="1">
        <f t="array" ref="AH59">IF(AA59,INDEX('AEA2012 update'!$K$6:$R$104,MATCH($T59&amp;$R59,'AEA2012 update'!$A$6:$A$104&amp;'AEA2012 update'!$B$6:$B$104,0),MATCH(AH$16,'AEA2012 update'!$S$4:$Z$4,0)),INDEX('AEA2012 update'!$K$6:$R$104,MATCH($T59&amp;$U59,'AEA2012 update'!$A$6:$A$104&amp;'AEA2012 update'!$B$6:$B$104,0),MATCH(AH$16,'AEA2012 update'!$S$4:$Z$4,0)))</f>
        <v>1695117.6876140197</v>
      </c>
      <c r="AI59" s="103" cm="1">
        <f t="array" ref="AI59">IF(AB59,INDEX('AEA2012 update'!$K$6:$R$104,MATCH($T59&amp;$R59,'AEA2012 update'!$A$6:$A$104&amp;'AEA2012 update'!$B$6:$B$104,0),MATCH(AI$16,'AEA2012 update'!$S$4:$Z$4,0)),INDEX('AEA2012 update'!$K$6:$R$104,MATCH($T59&amp;$U59,'AEA2012 update'!$A$6:$A$104&amp;'AEA2012 update'!$B$6:$B$104,0),MATCH(AI$16,'AEA2012 update'!$S$4:$Z$4,0)))</f>
        <v>1714510.0392467668</v>
      </c>
      <c r="AJ59" s="103" cm="1">
        <f t="array" ref="AJ59">IF(AC59,INDEX('AEA2012 update'!$K$6:$R$104,MATCH($T59&amp;$R59,'AEA2012 update'!$A$6:$A$104&amp;'AEA2012 update'!$B$6:$B$104,0),MATCH(AJ$16,'AEA2012 update'!$S$4:$Z$4,0)),INDEX('AEA2012 update'!$K$6:$R$104,MATCH($T59&amp;$U59,'AEA2012 update'!$A$6:$A$104&amp;'AEA2012 update'!$B$6:$B$104,0),MATCH(AJ$16,'AEA2012 update'!$S$4:$Z$4,0)))</f>
        <v>1758785.822670358</v>
      </c>
      <c r="AK59" s="103" t="str">
        <f t="shared" si="13"/>
        <v>BRTBGS</v>
      </c>
      <c r="AL59" s="67">
        <f>INDEX('Vehicle data '!$AD$20:$AD$110,MATCH($AK59,'Vehicle data '!$AC$20:$AC$110,0))/INDEX('Vehicle data '!$AD$20:$AD$110,MATCH($AK$52,'Vehicle data '!$AC$20:$AC$110,0))*AL$52</f>
        <v>15.540416584459544</v>
      </c>
      <c r="AM59" s="67">
        <f t="array" ref="AM59">IF($AE$1,AL59*(1+INDEX(AM$1:AM$2,MATCH($O59,$AI$1:$AI$2,0)))^(AM$16-AL$16),INDEX('AEA2012 update'!$AC$6:$AG$104,MATCH($T59&amp;$U59,'AEA2012 update'!$A$6:$A$104&amp;'AEA2012 update'!$B$6:$B$104,0),MATCH(AM$16,'AEA2012 update'!$AC$4:$AG$4,0)))</f>
        <v>15.308473924384414</v>
      </c>
      <c r="AN59" s="67">
        <f t="array" ref="AN59">IF($AE$1,AM59*(1+INDEX(AN$1:AN$2,MATCH($O59,$AI$1:$AI$2,0)))^(AN$16-AM$16),INDEX('AEA2012 update'!$AC$6:$AG$104,MATCH($T59&amp;$U59,'AEA2012 update'!$A$6:$A$104&amp;'AEA2012 update'!$B$6:$B$104,0),MATCH(AN$16,'AEA2012 update'!$AC$4:$AG$4,0)))</f>
        <v>14.198323043971449</v>
      </c>
      <c r="AO59" s="67">
        <f t="array" ref="AO59">IF($AE$1,AN59*(1+INDEX(AO$1:AO$2,MATCH($O59,$AI$1:$AI$2,0)))^(AO$16-AN$16),INDEX('AEA2012 update'!$AC$6:$AG$104,MATCH($T59&amp;$U59,'AEA2012 update'!$A$6:$A$104&amp;'AEA2012 update'!$B$6:$B$104,0),MATCH(AO$16,'AEA2012 update'!$AC$4:$AG$4,0)))</f>
        <v>12.840708856152222</v>
      </c>
      <c r="AP59" s="67">
        <f t="array" ref="AP59">IF($AE$1,AO59*(1+INDEX(AP$1:AP$2,MATCH($O59,$AI$1:$AI$2,0)))^(AP$16-AO$16),INDEX('AEA2012 update'!$AC$6:$AG$104,MATCH($T59&amp;$U59,'AEA2012 update'!$A$6:$A$104&amp;'AEA2012 update'!$B$6:$B$104,0),MATCH(AP$16,'AEA2012 update'!$AC$4:$AG$4,0)))</f>
        <v>11.612906919910877</v>
      </c>
      <c r="AQ59" s="67"/>
      <c r="AR59" s="257">
        <f t="shared" si="10"/>
        <v>-4.9750416666666433E-3</v>
      </c>
      <c r="AS59" s="257">
        <f t="shared" si="11"/>
        <v>-8.0468874575124003E-3</v>
      </c>
      <c r="AY59" s="61" t="str">
        <f t="shared" si="12"/>
        <v>BRT-BGS</v>
      </c>
      <c r="AZ59" s="80" t="e" cm="1">
        <f t="array" aca="1" ref="AZ59" ca="1">AL59/INDIRECT("cv."&amp;LEFT($U59,6)&amp;".hhv.MJL") * 100</f>
        <v>#REF!</v>
      </c>
      <c r="BA59" s="80" t="e" cm="1">
        <f t="array" aca="1" ref="BA59" ca="1">AM59/INDIRECT("cv."&amp;LEFT($U59,6)&amp;".hhv.MJL") * 100</f>
        <v>#REF!</v>
      </c>
      <c r="BB59" s="80" t="e" cm="1">
        <f t="array" aca="1" ref="BB59" ca="1">AN59/INDIRECT("cv."&amp;LEFT($U59,6)&amp;".hhv.MJL") * 100</f>
        <v>#REF!</v>
      </c>
      <c r="BC59" s="80" t="e" cm="1">
        <f t="array" aca="1" ref="BC59" ca="1">AO59/INDIRECT("cv."&amp;LEFT($U59,6)&amp;".hhv.MJL") * 100</f>
        <v>#REF!</v>
      </c>
      <c r="BD59" s="80" t="e" cm="1">
        <f t="array" aca="1" ref="BD59" ca="1">AP59/INDIRECT("cv."&amp;LEFT($U59,6)&amp;".hhv.MJL") * 100</f>
        <v>#REF!</v>
      </c>
    </row>
    <row r="60" spans="1:61" x14ac:dyDescent="0.25">
      <c r="A60" s="261" t="s">
        <v>616</v>
      </c>
      <c r="B60" s="261" t="s">
        <v>720</v>
      </c>
      <c r="D60" s="7">
        <v>10887</v>
      </c>
      <c r="K60" s="247" t="s">
        <v>721</v>
      </c>
      <c r="N60" s="61" t="s">
        <v>501</v>
      </c>
      <c r="O60" s="61" t="s">
        <v>613</v>
      </c>
      <c r="P60" s="61" t="s">
        <v>59</v>
      </c>
      <c r="Q60" s="61" t="str">
        <f t="shared" si="7"/>
        <v>BRT</v>
      </c>
      <c r="R60" s="61" t="s">
        <v>687</v>
      </c>
      <c r="S60" s="103">
        <v>11454545.4545455</v>
      </c>
      <c r="T60" s="256" t="s">
        <v>60</v>
      </c>
      <c r="U60" s="913" t="s">
        <v>692</v>
      </c>
      <c r="V60" s="921"/>
      <c r="W60" s="914">
        <f t="shared" si="16"/>
        <v>0</v>
      </c>
      <c r="X60" s="915">
        <f t="shared" si="16"/>
        <v>0</v>
      </c>
      <c r="Y60" s="915">
        <f t="shared" si="16"/>
        <v>0</v>
      </c>
      <c r="Z60" s="915">
        <f t="shared" si="16"/>
        <v>0</v>
      </c>
      <c r="AA60" s="915">
        <f t="shared" si="16"/>
        <v>0</v>
      </c>
      <c r="AB60" s="915">
        <f t="shared" si="16"/>
        <v>0</v>
      </c>
      <c r="AC60" s="916">
        <f t="shared" si="16"/>
        <v>0</v>
      </c>
      <c r="AD60" s="103" cm="1">
        <f t="array" ref="AD60">IF(W60,INDEX('AEA2012 update'!$K$6:$R$104,MATCH($T60&amp;$R60,'AEA2012 update'!$A$6:$A$104&amp;'AEA2012 update'!$B$6:$B$104,0),MATCH(AD$16,'AEA2012 update'!$S$4:$Z$4,0)),INDEX('AEA2012 update'!$K$6:$R$104,MATCH($T60&amp;$U60,'AEA2012 update'!$A$6:$A$104&amp;'AEA2012 update'!$B$6:$B$104,0),MATCH(AD$16,'AEA2012 update'!$S$4:$Z$4,0)))</f>
        <v>6089818.753990707</v>
      </c>
      <c r="AE60" s="103" cm="1">
        <f t="array" ref="AE60">IF(X60,INDEX('AEA2012 update'!$K$6:$R$104,MATCH($T60&amp;$R60,'AEA2012 update'!$A$6:$A$104&amp;'AEA2012 update'!$B$6:$B$104,0),MATCH(AE$16,'AEA2012 update'!$S$4:$Z$4,0)),INDEX('AEA2012 update'!$K$6:$R$104,MATCH($T60&amp;$U60,'AEA2012 update'!$A$6:$A$104&amp;'AEA2012 update'!$B$6:$B$104,0),MATCH(AE$16,'AEA2012 update'!$S$4:$Z$4,0)))</f>
        <v>4643418.4762355024</v>
      </c>
      <c r="AF60" s="103" cm="1">
        <f t="array" ref="AF60">IF(Y60,INDEX('AEA2012 update'!$K$6:$R$104,MATCH($T60&amp;$R60,'AEA2012 update'!$A$6:$A$104&amp;'AEA2012 update'!$B$6:$B$104,0),MATCH(AF$16,'AEA2012 update'!$S$4:$Z$4,0)),INDEX('AEA2012 update'!$K$6:$R$104,MATCH($T60&amp;$U60,'AEA2012 update'!$A$6:$A$104&amp;'AEA2012 update'!$B$6:$B$104,0),MATCH(AF$16,'AEA2012 update'!$S$4:$Z$4,0)))</f>
        <v>4403362.6567749837</v>
      </c>
      <c r="AG60" s="103" cm="1">
        <f t="array" ref="AG60">IF(Z60,INDEX('AEA2012 update'!$K$6:$R$104,MATCH($T60&amp;$R60,'AEA2012 update'!$A$6:$A$104&amp;'AEA2012 update'!$B$6:$B$104,0),MATCH(AG$16,'AEA2012 update'!$S$4:$Z$4,0)),INDEX('AEA2012 update'!$K$6:$R$104,MATCH($T60&amp;$U60,'AEA2012 update'!$A$6:$A$104&amp;'AEA2012 update'!$B$6:$B$104,0),MATCH(AG$16,'AEA2012 update'!$S$4:$Z$4,0)))</f>
        <v>4163306.8373144628</v>
      </c>
      <c r="AH60" s="103" cm="1">
        <f t="array" ref="AH60">IF(AA60,INDEX('AEA2012 update'!$K$6:$R$104,MATCH($T60&amp;$R60,'AEA2012 update'!$A$6:$A$104&amp;'AEA2012 update'!$B$6:$B$104,0),MATCH(AH$16,'AEA2012 update'!$S$4:$Z$4,0)),INDEX('AEA2012 update'!$K$6:$R$104,MATCH($T60&amp;$U60,'AEA2012 update'!$A$6:$A$104&amp;'AEA2012 update'!$B$6:$B$104,0),MATCH(AH$16,'AEA2012 update'!$S$4:$Z$4,0)))</f>
        <v>4191617.6377219548</v>
      </c>
      <c r="AI60" s="103" cm="1">
        <f t="array" ref="AI60">IF(AB60,INDEX('AEA2012 update'!$K$6:$R$104,MATCH($T60&amp;$R60,'AEA2012 update'!$A$6:$A$104&amp;'AEA2012 update'!$B$6:$B$104,0),MATCH(AI$16,'AEA2012 update'!$S$4:$Z$4,0)),INDEX('AEA2012 update'!$K$6:$R$104,MATCH($T60&amp;$U60,'AEA2012 update'!$A$6:$A$104&amp;'AEA2012 update'!$B$6:$B$104,0),MATCH(AI$16,'AEA2012 update'!$S$4:$Z$4,0)))</f>
        <v>4219928.4381294465</v>
      </c>
      <c r="AJ60" s="103" cm="1">
        <f t="array" ref="AJ60">IF(AC60,INDEX('AEA2012 update'!$K$6:$R$104,MATCH($T60&amp;$R60,'AEA2012 update'!$A$6:$A$104&amp;'AEA2012 update'!$B$6:$B$104,0),MATCH(AJ$16,'AEA2012 update'!$S$4:$Z$4,0)),INDEX('AEA2012 update'!$K$6:$R$104,MATCH($T60&amp;$U60,'AEA2012 update'!$A$6:$A$104&amp;'AEA2012 update'!$B$6:$B$104,0),MATCH(AJ$16,'AEA2012 update'!$S$4:$Z$4,0)))</f>
        <v>4273664.8275840972</v>
      </c>
      <c r="AK60" s="103" t="str">
        <f t="shared" si="13"/>
        <v>BRTELC</v>
      </c>
      <c r="AL60" s="67">
        <f>INDEX('Vehicle data '!$AD$20:$AD$110,MATCH($AK60,'Vehicle data '!$AC$20:$AC$110,0))/INDEX('Vehicle data '!$AD$20:$AD$110,MATCH($AK$52,'Vehicle data '!$AC$20:$AC$110,0))*AL$52</f>
        <v>4.7713841489159794</v>
      </c>
      <c r="AM60" s="67">
        <f t="array" ref="AM60">IF($AE$1,AL60*(1+INDEX(AM$1:AM$2,MATCH($O60,$AI$1:$AI$2,0)))^(AM$16-AL$16),INDEX('AEA2012 update'!$AC$6:$AG$104,MATCH($T60&amp;$U60,'AEA2012 update'!$A$6:$A$104&amp;'AEA2012 update'!$B$6:$B$104,0),MATCH(AM$16,'AEA2012 update'!$AC$4:$AG$4,0)))</f>
        <v>4.7001706440703899</v>
      </c>
      <c r="AN60" s="67">
        <f t="array" ref="AN60">IF($AE$1,AM60*(1+INDEX(AN$1:AN$2,MATCH($O60,$AI$1:$AI$2,0)))^(AN$16-AM$16),INDEX('AEA2012 update'!$AC$6:$AG$104,MATCH($T60&amp;$U60,'AEA2012 update'!$A$6:$A$104&amp;'AEA2012 update'!$B$6:$B$104,0),MATCH(AN$16,'AEA2012 update'!$AC$4:$AG$4,0)))</f>
        <v>4.3593203016796647</v>
      </c>
      <c r="AO60" s="67">
        <f t="array" ref="AO60">IF($AE$1,AN60*(1+INDEX(AO$1:AO$2,MATCH($O60,$AI$1:$AI$2,0)))^(AO$16-AN$16),INDEX('AEA2012 update'!$AC$6:$AG$104,MATCH($T60&amp;$U60,'AEA2012 update'!$A$6:$A$104&amp;'AEA2012 update'!$B$6:$B$104,0),MATCH(AO$16,'AEA2012 update'!$AC$4:$AG$4,0)))</f>
        <v>3.9424911400610618</v>
      </c>
      <c r="AP60" s="67">
        <f t="array" ref="AP60">IF($AE$1,AO60*(1+INDEX(AP$1:AP$2,MATCH($O60,$AI$1:$AI$2,0)))^(AP$16-AO$16),INDEX('AEA2012 update'!$AC$6:$AG$104,MATCH($T60&amp;$U60,'AEA2012 update'!$A$6:$A$104&amp;'AEA2012 update'!$B$6:$B$104,0),MATCH(AP$16,'AEA2012 update'!$AC$4:$AG$4,0)))</f>
        <v>3.5655183179522494</v>
      </c>
      <c r="AQ60" s="67"/>
      <c r="AR60" s="257">
        <f t="shared" si="10"/>
        <v>-4.9750416666666606E-3</v>
      </c>
      <c r="AS60" s="257">
        <f t="shared" si="11"/>
        <v>-8.0468874575124038E-3</v>
      </c>
      <c r="AY60" s="61" t="str">
        <f t="shared" si="12"/>
        <v>BRT-ELC</v>
      </c>
      <c r="AZ60" s="80" t="e" cm="1">
        <f t="array" aca="1" ref="AZ60" ca="1">AL60/INDIRECT("cv."&amp;LEFT($U60,6)&amp;".hhv.MJL") * 100</f>
        <v>#REF!</v>
      </c>
      <c r="BA60" s="80" t="e" cm="1">
        <f t="array" aca="1" ref="BA60" ca="1">AM60/INDIRECT("cv."&amp;LEFT($U60,6)&amp;".hhv.MJL") * 100</f>
        <v>#REF!</v>
      </c>
      <c r="BB60" s="80" t="e" cm="1">
        <f t="array" aca="1" ref="BB60" ca="1">AN60/INDIRECT("cv."&amp;LEFT($U60,6)&amp;".hhv.MJL") * 100</f>
        <v>#REF!</v>
      </c>
      <c r="BC60" s="80" t="e" cm="1">
        <f t="array" aca="1" ref="BC60" ca="1">AO60/INDIRECT("cv."&amp;LEFT($U60,6)&amp;".hhv.MJL") * 100</f>
        <v>#REF!</v>
      </c>
      <c r="BD60" s="80" t="e" cm="1">
        <f t="array" aca="1" ref="BD60" ca="1">AP60/INDIRECT("cv."&amp;LEFT($U60,6)&amp;".hhv.MJL") * 100</f>
        <v>#REF!</v>
      </c>
    </row>
    <row r="61" spans="1:61" x14ac:dyDescent="0.25">
      <c r="N61" s="61" t="s">
        <v>504</v>
      </c>
      <c r="O61" s="61" t="s">
        <v>613</v>
      </c>
      <c r="P61" s="61" t="s">
        <v>59</v>
      </c>
      <c r="Q61" s="61" t="str">
        <f t="shared" si="7"/>
        <v>BRT</v>
      </c>
      <c r="R61" s="61" t="s">
        <v>687</v>
      </c>
      <c r="S61" s="65"/>
      <c r="T61" s="256" t="s">
        <v>60</v>
      </c>
      <c r="U61" s="913" t="s">
        <v>699</v>
      </c>
      <c r="V61" s="921"/>
      <c r="W61" s="914">
        <f t="shared" si="16"/>
        <v>0</v>
      </c>
      <c r="X61" s="915">
        <f t="shared" si="16"/>
        <v>0</v>
      </c>
      <c r="Y61" s="915">
        <f t="shared" si="16"/>
        <v>0</v>
      </c>
      <c r="Z61" s="915">
        <f t="shared" si="16"/>
        <v>0</v>
      </c>
      <c r="AA61" s="915">
        <f t="shared" si="16"/>
        <v>0</v>
      </c>
      <c r="AB61" s="915">
        <f t="shared" si="16"/>
        <v>0</v>
      </c>
      <c r="AC61" s="916">
        <f t="shared" si="16"/>
        <v>0</v>
      </c>
      <c r="AD61" s="103" cm="1">
        <f t="array" ref="AD61">IF(W61,INDEX('AEA2012 update'!$K$6:$R$104,MATCH($T61&amp;$R61,'AEA2012 update'!$A$6:$A$104&amp;'AEA2012 update'!$B$6:$B$104,0),MATCH(AD$16,'AEA2012 update'!$S$4:$Z$4,0)),INDEX('AEA2012 update'!$K$6:$R$104,MATCH($T61&amp;$U61,'AEA2012 update'!$A$6:$A$104&amp;'AEA2012 update'!$B$6:$B$104,0),MATCH(AD$16,'AEA2012 update'!$S$4:$Z$4,0)))</f>
        <v>3962049.5059577962</v>
      </c>
      <c r="AE61" s="103" cm="1">
        <f t="array" ref="AE61">IF(X61,INDEX('AEA2012 update'!$K$6:$R$104,MATCH($T61&amp;$R61,'AEA2012 update'!$A$6:$A$104&amp;'AEA2012 update'!$B$6:$B$104,0),MATCH(AE$16,'AEA2012 update'!$S$4:$Z$4,0)),INDEX('AEA2012 update'!$K$6:$R$104,MATCH($T61&amp;$U61,'AEA2012 update'!$A$6:$A$104&amp;'AEA2012 update'!$B$6:$B$104,0),MATCH(AE$16,'AEA2012 update'!$S$4:$Z$4,0)))</f>
        <v>2321709.2381177512</v>
      </c>
      <c r="AF61" s="103" cm="1">
        <f t="array" ref="AF61">IF(Y61,INDEX('AEA2012 update'!$K$6:$R$104,MATCH($T61&amp;$R61,'AEA2012 update'!$A$6:$A$104&amp;'AEA2012 update'!$B$6:$B$104,0),MATCH(AF$16,'AEA2012 update'!$S$4:$Z$4,0)),INDEX('AEA2012 update'!$K$6:$R$104,MATCH($T61&amp;$U61,'AEA2012 update'!$A$6:$A$104&amp;'AEA2012 update'!$B$6:$B$104,0),MATCH(AF$16,'AEA2012 update'!$S$4:$Z$4,0)))</f>
        <v>2069503.9570616197</v>
      </c>
      <c r="AG61" s="103" cm="1">
        <f t="array" ref="AG61">IF(Z61,INDEX('AEA2012 update'!$K$6:$R$104,MATCH($T61&amp;$R61,'AEA2012 update'!$A$6:$A$104&amp;'AEA2012 update'!$B$6:$B$104,0),MATCH(AG$16,'AEA2012 update'!$S$4:$Z$4,0)),INDEX('AEA2012 update'!$K$6:$R$104,MATCH($T61&amp;$U61,'AEA2012 update'!$A$6:$A$104&amp;'AEA2012 update'!$B$6:$B$104,0),MATCH(AG$16,'AEA2012 update'!$S$4:$Z$4,0)))</f>
        <v>1817298.6760054873</v>
      </c>
      <c r="AH61" s="103" cm="1">
        <f t="array" ref="AH61">IF(AA61,INDEX('AEA2012 update'!$K$6:$R$104,MATCH($T61&amp;$R61,'AEA2012 update'!$A$6:$A$104&amp;'AEA2012 update'!$B$6:$B$104,0),MATCH(AH$16,'AEA2012 update'!$S$4:$Z$4,0)),INDEX('AEA2012 update'!$K$6:$R$104,MATCH($T61&amp;$U61,'AEA2012 update'!$A$6:$A$104&amp;'AEA2012 update'!$B$6:$B$104,0),MATCH(AH$16,'AEA2012 update'!$S$4:$Z$4,0)))</f>
        <v>1788694.1354190726</v>
      </c>
      <c r="AI61" s="103" cm="1">
        <f t="array" ref="AI61">IF(AB61,INDEX('AEA2012 update'!$K$6:$R$104,MATCH($T61&amp;$R61,'AEA2012 update'!$A$6:$A$104&amp;'AEA2012 update'!$B$6:$B$104,0),MATCH(AI$16,'AEA2012 update'!$S$4:$Z$4,0)),INDEX('AEA2012 update'!$K$6:$R$104,MATCH($T61&amp;$U61,'AEA2012 update'!$A$6:$A$104&amp;'AEA2012 update'!$B$6:$B$104,0),MATCH(AI$16,'AEA2012 update'!$S$4:$Z$4,0)))</f>
        <v>1760089.5948326574</v>
      </c>
      <c r="AJ61" s="103" cm="1">
        <f t="array" ref="AJ61">IF(AC61,INDEX('AEA2012 update'!$K$6:$R$104,MATCH($T61&amp;$R61,'AEA2012 update'!$A$6:$A$104&amp;'AEA2012 update'!$B$6:$B$104,0),MATCH(AJ$16,'AEA2012 update'!$S$4:$Z$4,0)),INDEX('AEA2012 update'!$K$6:$R$104,MATCH($T61&amp;$U61,'AEA2012 update'!$A$6:$A$104&amp;'AEA2012 update'!$B$6:$B$104,0),MATCH(AJ$16,'AEA2012 update'!$S$4:$Z$4,0)))</f>
        <v>1753161.7829965593</v>
      </c>
      <c r="AK61" s="103" t="str">
        <f t="shared" si="13"/>
        <v>BRTHGN</v>
      </c>
      <c r="AL61" s="67">
        <f>INDEX('Vehicle data '!$AD$20:$AD$110,MATCH($AK61,'Vehicle data '!$AC$20:$AC$110,0))/INDEX('Vehicle data '!$AD$20:$AD$110,MATCH($AK$52,'Vehicle data '!$AC$20:$AC$110,0))*AL$52</f>
        <v>7.3663474579755475</v>
      </c>
      <c r="AM61" s="67">
        <f t="array" ref="AM61">IF($AE$1,AL61*(1+INDEX(AM$1:AM$2,MATCH($O61,$AI$1:$AI$2,0)))^(AM$16-AL$16),INDEX('AEA2012 update'!$AC$6:$AG$104,MATCH($T61&amp;$U61,'AEA2012 update'!$A$6:$A$104&amp;'AEA2012 update'!$B$6:$B$104,0),MATCH(AM$16,'AEA2012 update'!$AC$4:$AG$4,0)))</f>
        <v>7.2564038013718299</v>
      </c>
      <c r="AN61" s="67">
        <f t="array" ref="AN61">IF($AE$1,AM61*(1+INDEX(AN$1:AN$2,MATCH($O61,$AI$1:$AI$2,0)))^(AN$16-AM$16),INDEX('AEA2012 update'!$AC$6:$AG$104,MATCH($T61&amp;$U61,'AEA2012 update'!$A$6:$A$104&amp;'AEA2012 update'!$B$6:$B$104,0),MATCH(AN$16,'AEA2012 update'!$AC$4:$AG$4,0)))</f>
        <v>6.730178711365097</v>
      </c>
      <c r="AO61" s="67">
        <f t="array" ref="AO61">IF($AE$1,AN61*(1+INDEX(AO$1:AO$2,MATCH($O61,$AI$1:$AI$2,0)))^(AO$16-AN$16),INDEX('AEA2012 update'!$AC$6:$AG$104,MATCH($T61&amp;$U61,'AEA2012 update'!$A$6:$A$104&amp;'AEA2012 update'!$B$6:$B$104,0),MATCH(AO$16,'AEA2012 update'!$AC$4:$AG$4,0)))</f>
        <v>6.0866529881644471</v>
      </c>
      <c r="AP61" s="67">
        <f t="array" ref="AP61">IF($AE$1,AO61*(1+INDEX(AP$1:AP$2,MATCH($O61,$AI$1:$AI$2,0)))^(AP$16-AO$16),INDEX('AEA2012 update'!$AC$6:$AG$104,MATCH($T61&amp;$U61,'AEA2012 update'!$A$6:$A$104&amp;'AEA2012 update'!$B$6:$B$104,0),MATCH(AP$16,'AEA2012 update'!$AC$4:$AG$4,0)))</f>
        <v>5.5046598592947023</v>
      </c>
      <c r="AQ61" s="67"/>
      <c r="AR61" s="257">
        <f t="shared" si="10"/>
        <v>-4.9750416666666771E-3</v>
      </c>
      <c r="AS61" s="257">
        <f t="shared" si="11"/>
        <v>-8.0468874575123969E-3</v>
      </c>
      <c r="AY61" s="61" t="str">
        <f t="shared" si="12"/>
        <v>BRT-HGN</v>
      </c>
      <c r="AZ61" s="80" t="e" cm="1">
        <f t="array" aca="1" ref="AZ61" ca="1">AL61/INDIRECT("cv."&amp;LEFT($U61,6)&amp;".hhv.MJL") * 100</f>
        <v>#REF!</v>
      </c>
      <c r="BA61" s="80" t="e" cm="1">
        <f t="array" aca="1" ref="BA61" ca="1">AM61/INDIRECT("cv."&amp;LEFT($U61,6)&amp;".hhv.MJL") * 100</f>
        <v>#REF!</v>
      </c>
      <c r="BB61" s="80" t="e" cm="1">
        <f t="array" aca="1" ref="BB61" ca="1">AN61/INDIRECT("cv."&amp;LEFT($U61,6)&amp;".hhv.MJL") * 100</f>
        <v>#REF!</v>
      </c>
      <c r="BC61" s="80" t="e" cm="1">
        <f t="array" aca="1" ref="BC61" ca="1">AO61/INDIRECT("cv."&amp;LEFT($U61,6)&amp;".hhv.MJL") * 100</f>
        <v>#REF!</v>
      </c>
      <c r="BD61" s="80" t="e" cm="1">
        <f t="array" aca="1" ref="BD61" ca="1">AP61/INDIRECT("cv."&amp;LEFT($U61,6)&amp;".hhv.MJL") * 100</f>
        <v>#REF!</v>
      </c>
    </row>
    <row r="62" spans="1:61" x14ac:dyDescent="0.25">
      <c r="N62" s="61" t="s">
        <v>509</v>
      </c>
      <c r="O62" s="61" t="s">
        <v>613</v>
      </c>
      <c r="P62" s="61" t="s">
        <v>59</v>
      </c>
      <c r="Q62" s="61" t="str">
        <f t="shared" si="7"/>
        <v>BRT</v>
      </c>
      <c r="R62" s="61" t="s">
        <v>687</v>
      </c>
      <c r="S62" s="65"/>
      <c r="T62" s="256" t="s">
        <v>60</v>
      </c>
      <c r="U62" s="913" t="s">
        <v>700</v>
      </c>
      <c r="V62" s="921"/>
      <c r="W62" s="914">
        <f t="shared" si="16"/>
        <v>0</v>
      </c>
      <c r="X62" s="915">
        <f t="shared" si="16"/>
        <v>0</v>
      </c>
      <c r="Y62" s="915">
        <f t="shared" si="16"/>
        <v>0</v>
      </c>
      <c r="Z62" s="915">
        <f t="shared" si="16"/>
        <v>0</v>
      </c>
      <c r="AA62" s="915">
        <f t="shared" si="16"/>
        <v>0</v>
      </c>
      <c r="AB62" s="915">
        <f t="shared" si="16"/>
        <v>0</v>
      </c>
      <c r="AC62" s="916">
        <f t="shared" si="16"/>
        <v>0</v>
      </c>
      <c r="AD62" s="103" cm="1">
        <f t="array" ref="AD62">IF(W62,INDEX('AEA2012 update'!$K$6:$R$104,MATCH($T62&amp;$R62,'AEA2012 update'!$A$6:$A$104&amp;'AEA2012 update'!$B$6:$B$104,0),MATCH(AD$16,'AEA2012 update'!$S$4:$Z$4,0)),INDEX('AEA2012 update'!$K$6:$R$104,MATCH($T62&amp;$U62,'AEA2012 update'!$A$6:$A$104&amp;'AEA2012 update'!$B$6:$B$104,0),MATCH(AD$16,'AEA2012 update'!$S$4:$Z$4,0)))</f>
        <v>1662957.7926762076</v>
      </c>
      <c r="AE62" s="103" cm="1">
        <f t="array" ref="AE62">IF(X62,INDEX('AEA2012 update'!$K$6:$R$104,MATCH($T62&amp;$R62,'AEA2012 update'!$A$6:$A$104&amp;'AEA2012 update'!$B$6:$B$104,0),MATCH(AE$16,'AEA2012 update'!$S$4:$Z$4,0)),INDEX('AEA2012 update'!$K$6:$R$104,MATCH($T62&amp;$U62,'AEA2012 update'!$A$6:$A$104&amp;'AEA2012 update'!$B$6:$B$104,0),MATCH(AE$16,'AEA2012 update'!$S$4:$Z$4,0)))</f>
        <v>1712796.8806812237</v>
      </c>
      <c r="AF62" s="103" cm="1">
        <f t="array" ref="AF62">IF(Y62,INDEX('AEA2012 update'!$K$6:$R$104,MATCH($T62&amp;$R62,'AEA2012 update'!$A$6:$A$104&amp;'AEA2012 update'!$B$6:$B$104,0),MATCH(AF$16,'AEA2012 update'!$S$4:$Z$4,0)),INDEX('AEA2012 update'!$K$6:$R$104,MATCH($T62&amp;$U62,'AEA2012 update'!$A$6:$A$104&amp;'AEA2012 update'!$B$6:$B$104,0),MATCH(AF$16,'AEA2012 update'!$S$4:$Z$4,0)))</f>
        <v>1730793.9448361397</v>
      </c>
      <c r="AG62" s="103" cm="1">
        <f t="array" ref="AG62">IF(Z62,INDEX('AEA2012 update'!$K$6:$R$104,MATCH($T62&amp;$R62,'AEA2012 update'!$A$6:$A$104&amp;'AEA2012 update'!$B$6:$B$104,0),MATCH(AG$16,'AEA2012 update'!$S$4:$Z$4,0)),INDEX('AEA2012 update'!$K$6:$R$104,MATCH($T62&amp;$U62,'AEA2012 update'!$A$6:$A$104&amp;'AEA2012 update'!$B$6:$B$104,0),MATCH(AG$16,'AEA2012 update'!$S$4:$Z$4,0)))</f>
        <v>1748791.0089910564</v>
      </c>
      <c r="AH62" s="103" cm="1">
        <f t="array" ref="AH62">IF(AA62,INDEX('AEA2012 update'!$K$6:$R$104,MATCH($T62&amp;$R62,'AEA2012 update'!$A$6:$A$104&amp;'AEA2012 update'!$B$6:$B$104,0),MATCH(AH$16,'AEA2012 update'!$S$4:$Z$4,0)),INDEX('AEA2012 update'!$K$6:$R$104,MATCH($T62&amp;$U62,'AEA2012 update'!$A$6:$A$104&amp;'AEA2012 update'!$B$6:$B$104,0),MATCH(AH$16,'AEA2012 update'!$S$4:$Z$4,0)))</f>
        <v>1763372.5882959811</v>
      </c>
      <c r="AI62" s="103" cm="1">
        <f t="array" ref="AI62">IF(AB62,INDEX('AEA2012 update'!$K$6:$R$104,MATCH($T62&amp;$R62,'AEA2012 update'!$A$6:$A$104&amp;'AEA2012 update'!$B$6:$B$104,0),MATCH(AI$16,'AEA2012 update'!$S$4:$Z$4,0)),INDEX('AEA2012 update'!$K$6:$R$104,MATCH($T62&amp;$U62,'AEA2012 update'!$A$6:$A$104&amp;'AEA2012 update'!$B$6:$B$104,0),MATCH(AI$16,'AEA2012 update'!$S$4:$Z$4,0)))</f>
        <v>1777954.1676009053</v>
      </c>
      <c r="AJ62" s="103" cm="1">
        <f t="array" ref="AJ62">IF(AC62,INDEX('AEA2012 update'!$K$6:$R$104,MATCH($T62&amp;$R62,'AEA2012 update'!$A$6:$A$104&amp;'AEA2012 update'!$B$6:$B$104,0),MATCH(AJ$16,'AEA2012 update'!$S$4:$Z$4,0)),INDEX('AEA2012 update'!$K$6:$R$104,MATCH($T62&amp;$U62,'AEA2012 update'!$A$6:$A$104&amp;'AEA2012 update'!$B$6:$B$104,0),MATCH(AJ$16,'AEA2012 update'!$S$4:$Z$4,0)))</f>
        <v>1815467.0514421153</v>
      </c>
      <c r="AK62" s="103" t="str">
        <f t="shared" si="13"/>
        <v>BRTGAS</v>
      </c>
      <c r="AL62" s="67">
        <f>INDEX('Vehicle data '!$AD$20:$AD$110,MATCH($AK62,'Vehicle data '!$AC$20:$AC$110,0))/INDEX('Vehicle data '!$AD$20:$AD$110,MATCH($AK$52,'Vehicle data '!$AC$20:$AC$110,0))*AL$52</f>
        <v>17.871479072128476</v>
      </c>
      <c r="AM62" s="67">
        <f t="array" ref="AM62">IF($AE$1,AL62*(1+INDEX(AM$1:AM$2,MATCH($O62,$AI$1:$AI$2,0)))^(AM$16-AL$16),INDEX('AEA2012 update'!$AC$6:$AG$104,MATCH($T62&amp;$U62,'AEA2012 update'!$A$6:$A$104&amp;'AEA2012 update'!$B$6:$B$104,0),MATCH(AM$16,'AEA2012 update'!$AC$4:$AG$4,0)))</f>
        <v>17.604745013042074</v>
      </c>
      <c r="AN62" s="67">
        <f t="array" ref="AN62">IF($AE$1,AM62*(1+INDEX(AN$1:AN$2,MATCH($O62,$AI$1:$AI$2,0)))^(AN$16-AM$16),INDEX('AEA2012 update'!$AC$6:$AG$104,MATCH($T62&amp;$U62,'AEA2012 update'!$A$6:$A$104&amp;'AEA2012 update'!$B$6:$B$104,0),MATCH(AN$16,'AEA2012 update'!$AC$4:$AG$4,0)))</f>
        <v>16.328071500567166</v>
      </c>
      <c r="AO62" s="67">
        <f t="array" ref="AO62">IF($AE$1,AN62*(1+INDEX(AO$1:AO$2,MATCH($O62,$AI$1:$AI$2,0)))^(AO$16-AN$16),INDEX('AEA2012 update'!$AC$6:$AG$104,MATCH($T62&amp;$U62,'AEA2012 update'!$A$6:$A$104&amp;'AEA2012 update'!$B$6:$B$104,0),MATCH(AO$16,'AEA2012 update'!$AC$4:$AG$4,0)))</f>
        <v>14.766815184575055</v>
      </c>
      <c r="AP62" s="67">
        <f t="array" ref="AP62">IF($AE$1,AO62*(1+INDEX(AP$1:AP$2,MATCH($O62,$AI$1:$AI$2,0)))^(AP$16-AO$16),INDEX('AEA2012 update'!$AC$6:$AG$104,MATCH($T62&amp;$U62,'AEA2012 update'!$A$6:$A$104&amp;'AEA2012 update'!$B$6:$B$104,0),MATCH(AP$16,'AEA2012 update'!$AC$4:$AG$4,0)))</f>
        <v>13.354842957897509</v>
      </c>
      <c r="AQ62" s="67"/>
      <c r="AR62" s="257">
        <f t="shared" si="10"/>
        <v>-4.9750416666666927E-3</v>
      </c>
      <c r="AS62" s="257">
        <f t="shared" si="11"/>
        <v>-8.0468874575123951E-3</v>
      </c>
      <c r="AY62" s="61" t="str">
        <f t="shared" si="12"/>
        <v>BRT-GAS</v>
      </c>
      <c r="AZ62" s="80" t="e" cm="1">
        <f t="array" aca="1" ref="AZ62" ca="1">AL62/INDIRECT("cv."&amp;LEFT($U62,6)&amp;".hhv.MJL") * 100</f>
        <v>#REF!</v>
      </c>
      <c r="BA62" s="80" t="e" cm="1">
        <f t="array" aca="1" ref="BA62" ca="1">AM62/INDIRECT("cv."&amp;LEFT($U62,6)&amp;".hhv.MJL") * 100</f>
        <v>#REF!</v>
      </c>
      <c r="BB62" s="80" t="e" cm="1">
        <f t="array" aca="1" ref="BB62" ca="1">AN62/INDIRECT("cv."&amp;LEFT($U62,6)&amp;".hhv.MJL") * 100</f>
        <v>#REF!</v>
      </c>
      <c r="BC62" s="80" t="e" cm="1">
        <f t="array" aca="1" ref="BC62" ca="1">AO62/INDIRECT("cv."&amp;LEFT($U62,6)&amp;".hhv.MJL") * 100</f>
        <v>#REF!</v>
      </c>
      <c r="BD62" s="80" t="e" cm="1">
        <f t="array" aca="1" ref="BD62" ca="1">AP62/INDIRECT("cv."&amp;LEFT($U62,6)&amp;".hhv.MJL") * 100</f>
        <v>#REF!</v>
      </c>
      <c r="BH62" s="262">
        <v>2020</v>
      </c>
      <c r="BI62" s="262"/>
    </row>
    <row r="63" spans="1:61" ht="15.75" thickBot="1" x14ac:dyDescent="0.3">
      <c r="A63" s="263" t="s">
        <v>722</v>
      </c>
      <c r="C63" s="61">
        <v>2010</v>
      </c>
      <c r="Q63" s="61" t="str">
        <f t="shared" si="7"/>
        <v/>
      </c>
      <c r="S63" s="65"/>
      <c r="T63" s="256"/>
      <c r="V63" s="921"/>
      <c r="W63" s="917">
        <f t="shared" si="16"/>
        <v>0</v>
      </c>
      <c r="X63" s="918">
        <f t="shared" si="16"/>
        <v>0</v>
      </c>
      <c r="Y63" s="918">
        <f t="shared" si="16"/>
        <v>0</v>
      </c>
      <c r="Z63" s="918">
        <f t="shared" si="16"/>
        <v>0</v>
      </c>
      <c r="AA63" s="918">
        <f t="shared" si="16"/>
        <v>0</v>
      </c>
      <c r="AB63" s="918">
        <f t="shared" si="16"/>
        <v>0</v>
      </c>
      <c r="AC63" s="919">
        <f t="shared" si="16"/>
        <v>0</v>
      </c>
      <c r="AD63" s="103" t="e" cm="1">
        <f t="array" ref="AD63">IF(W63,INDEX('AEA2012 update'!$K$6:$R$104,MATCH($T63&amp;$R63,'AEA2012 update'!$A$6:$A$104&amp;'AEA2012 update'!$B$6:$B$104,0),MATCH(AD$16,'AEA2012 update'!$S$4:$Z$4,0)),INDEX('AEA2012 update'!$K$6:$R$104,MATCH($T63&amp;$U63,'AEA2012 update'!$A$6:$A$104&amp;'AEA2012 update'!$B$6:$B$104,0),MATCH(AD$16,'AEA2012 update'!$S$4:$Z$4,0)))</f>
        <v>#N/A</v>
      </c>
      <c r="AE63" s="103" t="e" cm="1">
        <f t="array" ref="AE63">IF(X63,INDEX('AEA2012 update'!$K$6:$R$104,MATCH($T63&amp;$R63,'AEA2012 update'!$A$6:$A$104&amp;'AEA2012 update'!$B$6:$B$104,0),MATCH(AE$16,'AEA2012 update'!$S$4:$Z$4,0)),INDEX('AEA2012 update'!$K$6:$R$104,MATCH($T63&amp;$U63,'AEA2012 update'!$A$6:$A$104&amp;'AEA2012 update'!$B$6:$B$104,0),MATCH(AE$16,'AEA2012 update'!$S$4:$Z$4,0)))</f>
        <v>#N/A</v>
      </c>
      <c r="AF63" s="103" t="e" cm="1">
        <f t="array" ref="AF63">IF(Y63,INDEX('AEA2012 update'!$K$6:$R$104,MATCH($T63&amp;$R63,'AEA2012 update'!$A$6:$A$104&amp;'AEA2012 update'!$B$6:$B$104,0),MATCH(AF$16,'AEA2012 update'!$S$4:$Z$4,0)),INDEX('AEA2012 update'!$K$6:$R$104,MATCH($T63&amp;$U63,'AEA2012 update'!$A$6:$A$104&amp;'AEA2012 update'!$B$6:$B$104,0),MATCH(AF$16,'AEA2012 update'!$S$4:$Z$4,0)))</f>
        <v>#N/A</v>
      </c>
      <c r="AG63" s="103" t="e" cm="1">
        <f t="array" ref="AG63">IF(Z63,INDEX('AEA2012 update'!$K$6:$R$104,MATCH($T63&amp;$R63,'AEA2012 update'!$A$6:$A$104&amp;'AEA2012 update'!$B$6:$B$104,0),MATCH(AG$16,'AEA2012 update'!$S$4:$Z$4,0)),INDEX('AEA2012 update'!$K$6:$R$104,MATCH($T63&amp;$U63,'AEA2012 update'!$A$6:$A$104&amp;'AEA2012 update'!$B$6:$B$104,0),MATCH(AG$16,'AEA2012 update'!$S$4:$Z$4,0)))</f>
        <v>#N/A</v>
      </c>
      <c r="AH63" s="103" t="e" cm="1">
        <f t="array" ref="AH63">IF(AA63,INDEX('AEA2012 update'!$K$6:$R$104,MATCH($T63&amp;$R63,'AEA2012 update'!$A$6:$A$104&amp;'AEA2012 update'!$B$6:$B$104,0),MATCH(AH$16,'AEA2012 update'!$S$4:$Z$4,0)),INDEX('AEA2012 update'!$K$6:$R$104,MATCH($T63&amp;$U63,'AEA2012 update'!$A$6:$A$104&amp;'AEA2012 update'!$B$6:$B$104,0),MATCH(AH$16,'AEA2012 update'!$S$4:$Z$4,0)))</f>
        <v>#N/A</v>
      </c>
      <c r="AI63" s="103" t="e" cm="1">
        <f t="array" ref="AI63">IF(AB63,INDEX('AEA2012 update'!$K$6:$R$104,MATCH($T63&amp;$R63,'AEA2012 update'!$A$6:$A$104&amp;'AEA2012 update'!$B$6:$B$104,0),MATCH(AI$16,'AEA2012 update'!$S$4:$Z$4,0)),INDEX('AEA2012 update'!$K$6:$R$104,MATCH($T63&amp;$U63,'AEA2012 update'!$A$6:$A$104&amp;'AEA2012 update'!$B$6:$B$104,0),MATCH(AI$16,'AEA2012 update'!$S$4:$Z$4,0)))</f>
        <v>#N/A</v>
      </c>
      <c r="AJ63" s="103" t="e" cm="1">
        <f t="array" ref="AJ63">IF(AC63,INDEX('AEA2012 update'!$K$6:$R$104,MATCH($T63&amp;$R63,'AEA2012 update'!$A$6:$A$104&amp;'AEA2012 update'!$B$6:$B$104,0),MATCH(AJ$16,'AEA2012 update'!$S$4:$Z$4,0)),INDEX('AEA2012 update'!$K$6:$R$104,MATCH($T63&amp;$U63,'AEA2012 update'!$A$6:$A$104&amp;'AEA2012 update'!$B$6:$B$104,0),MATCH(AJ$16,'AEA2012 update'!$S$4:$Z$4,0)))</f>
        <v>#N/A</v>
      </c>
      <c r="AK63" s="103" t="str">
        <f t="shared" si="13"/>
        <v/>
      </c>
      <c r="AL63" s="67" t="e">
        <f>1/INDEX(Analytica!$AA$17:$AE$48,MATCH($AK63,Analytica!$A$17:$A$48,0),MATCH(AL$16,Analytica!$AA$16:$AE$16,0))</f>
        <v>#N/A</v>
      </c>
      <c r="AM63" s="67" t="e">
        <f t="array" ref="AM63">IF($AE$1,AL63*(1+INDEX(AM$1:AM$2,MATCH($O63,$AI$1:$AI$2,0)))^(AM$16-AL$16),INDEX('AEA2012 update'!$AC$6:$AG$104,MATCH($T63&amp;$U63,'AEA2012 update'!$A$6:$A$104&amp;'AEA2012 update'!$B$6:$B$104,0),MATCH(AM$16,'AEA2012 update'!$AC$4:$AG$4,0)))</f>
        <v>#N/A</v>
      </c>
      <c r="AN63" s="67" t="e">
        <f t="array" ref="AN63">IF($AE$1,AM63*(1+INDEX(AN$1:AN$2,MATCH($O63,$AI$1:$AI$2,0)))^(AN$16-AM$16),INDEX('AEA2012 update'!$AC$6:$AG$104,MATCH($T63&amp;$U63,'AEA2012 update'!$A$6:$A$104&amp;'AEA2012 update'!$B$6:$B$104,0),MATCH(AN$16,'AEA2012 update'!$AC$4:$AG$4,0)))</f>
        <v>#N/A</v>
      </c>
      <c r="AO63" s="67" t="e">
        <f t="array" ref="AO63">IF($AE$1,AN63*(1+INDEX(AO$1:AO$2,MATCH($O63,$AI$1:$AI$2,0)))^(AO$16-AN$16),INDEX('AEA2012 update'!$AC$6:$AG$104,MATCH($T63&amp;$U63,'AEA2012 update'!$A$6:$A$104&amp;'AEA2012 update'!$B$6:$B$104,0),MATCH(AO$16,'AEA2012 update'!$AC$4:$AG$4,0)))</f>
        <v>#N/A</v>
      </c>
      <c r="AP63" s="67" t="e">
        <f t="array" ref="AP63">IF($AE$1,AO63*(1+INDEX(AP$1:AP$2,MATCH($O63,$AI$1:$AI$2,0)))^(AP$16-AO$16),INDEX('AEA2012 update'!$AC$6:$AG$104,MATCH($T63&amp;$U63,'AEA2012 update'!$A$6:$A$104&amp;'AEA2012 update'!$B$6:$B$104,0),MATCH(AP$16,'AEA2012 update'!$AC$4:$AG$4,0)))</f>
        <v>#N/A</v>
      </c>
      <c r="AQ63" s="67"/>
      <c r="AR63" s="257" t="e">
        <f t="shared" si="10"/>
        <v>#N/A</v>
      </c>
      <c r="AS63" s="257" t="e">
        <f t="shared" si="11"/>
        <v>#N/A</v>
      </c>
      <c r="AY63" s="61" t="str">
        <f t="shared" si="12"/>
        <v>-</v>
      </c>
      <c r="AZ63" s="80" t="e" cm="1">
        <f t="array" aca="1" ref="AZ63" ca="1">AL63/INDIRECT("cv."&amp;LEFT($U63,6)&amp;".hhv.MJL") * 100</f>
        <v>#N/A</v>
      </c>
      <c r="BA63" s="80" t="e" cm="1">
        <f t="array" aca="1" ref="BA63" ca="1">AM63/INDIRECT("cv."&amp;LEFT($U63,6)&amp;".hhv.MJL") * 100</f>
        <v>#N/A</v>
      </c>
      <c r="BB63" s="80" t="e" cm="1">
        <f t="array" aca="1" ref="BB63" ca="1">AN63/INDIRECT("cv."&amp;LEFT($U63,6)&amp;".hhv.MJL") * 100</f>
        <v>#N/A</v>
      </c>
      <c r="BC63" s="80" t="e" cm="1">
        <f t="array" aca="1" ref="BC63" ca="1">AO63/INDIRECT("cv."&amp;LEFT($U63,6)&amp;".hhv.MJL") * 100</f>
        <v>#N/A</v>
      </c>
      <c r="BD63" s="80" t="e" cm="1">
        <f t="array" aca="1" ref="BD63" ca="1">AP63/INDIRECT("cv."&amp;LEFT($U63,6)&amp;".hhv.MJL") * 100</f>
        <v>#N/A</v>
      </c>
      <c r="BH63" s="262" t="s">
        <v>723</v>
      </c>
      <c r="BI63" s="262"/>
    </row>
    <row r="64" spans="1:61" ht="15.75" thickBot="1" x14ac:dyDescent="0.3">
      <c r="A64" s="264" t="s">
        <v>247</v>
      </c>
      <c r="B64" s="265">
        <v>852698</v>
      </c>
      <c r="C64" s="266">
        <f t="shared" ref="C64:C75" si="17">B64/$B$76</f>
        <v>0.33180253208690158</v>
      </c>
      <c r="N64" s="61" t="s">
        <v>573</v>
      </c>
      <c r="O64" s="61" t="s">
        <v>653</v>
      </c>
      <c r="P64" s="61" t="s">
        <v>63</v>
      </c>
      <c r="Q64" s="61" t="str">
        <f t="shared" si="7"/>
        <v>LCV</v>
      </c>
      <c r="R64" s="61" t="s">
        <v>680</v>
      </c>
      <c r="S64" s="65"/>
      <c r="T64" s="256" t="s">
        <v>701</v>
      </c>
      <c r="U64" s="913" t="s">
        <v>680</v>
      </c>
      <c r="V64" s="921"/>
      <c r="W64" s="914">
        <f t="shared" si="16"/>
        <v>0</v>
      </c>
      <c r="X64" s="915">
        <f t="shared" si="16"/>
        <v>0</v>
      </c>
      <c r="Y64" s="915">
        <f t="shared" si="16"/>
        <v>0</v>
      </c>
      <c r="Z64" s="915">
        <f t="shared" si="16"/>
        <v>0</v>
      </c>
      <c r="AA64" s="915">
        <f t="shared" si="16"/>
        <v>0</v>
      </c>
      <c r="AB64" s="915">
        <f t="shared" si="16"/>
        <v>0</v>
      </c>
      <c r="AC64" s="916">
        <f t="shared" si="16"/>
        <v>0</v>
      </c>
      <c r="AD64" s="103" cm="1">
        <f t="array" ref="AD64">IF(W64,INDEX('AEA2012 update'!$K$6:$R$104,MATCH($T64&amp;$R64,'AEA2012 update'!$A$6:$A$104&amp;'AEA2012 update'!$B$6:$B$104,0),MATCH(AD$16,'AEA2012 update'!$S$4:$Z$4,0)),INDEX('AEA2012 update'!$K$6:$R$104,MATCH($T64&amp;$U64,'AEA2012 update'!$A$6:$A$104&amp;'AEA2012 update'!$B$6:$B$104,0),MATCH(AD$16,'AEA2012 update'!$S$4:$Z$4,0)))</f>
        <v>322554.53757929691</v>
      </c>
      <c r="AE64" s="103" cm="1">
        <f t="array" ref="AE64">IF(X64,INDEX('AEA2012 update'!$K$6:$R$104,MATCH($T64&amp;$R64,'AEA2012 update'!$A$6:$A$104&amp;'AEA2012 update'!$B$6:$B$104,0),MATCH(AE$16,'AEA2012 update'!$S$4:$Z$4,0)),INDEX('AEA2012 update'!$K$6:$R$104,MATCH($T64&amp;$U64,'AEA2012 update'!$A$6:$A$104&amp;'AEA2012 update'!$B$6:$B$104,0),MATCH(AE$16,'AEA2012 update'!$S$4:$Z$4,0)))</f>
        <v>350637.87759734597</v>
      </c>
      <c r="AF64" s="103" cm="1">
        <f t="array" ref="AF64">IF(Y64,INDEX('AEA2012 update'!$K$6:$R$104,MATCH($T64&amp;$R64,'AEA2012 update'!$A$6:$A$104&amp;'AEA2012 update'!$B$6:$B$104,0),MATCH(AF$16,'AEA2012 update'!$S$4:$Z$4,0)),INDEX('AEA2012 update'!$K$6:$R$104,MATCH($T64&amp;$U64,'AEA2012 update'!$A$6:$A$104&amp;'AEA2012 update'!$B$6:$B$104,0),MATCH(AF$16,'AEA2012 update'!$S$4:$Z$4,0)))</f>
        <v>357099.62238446943</v>
      </c>
      <c r="AG64" s="103" cm="1">
        <f t="array" ref="AG64">IF(Z64,INDEX('AEA2012 update'!$K$6:$R$104,MATCH($T64&amp;$R64,'AEA2012 update'!$A$6:$A$104&amp;'AEA2012 update'!$B$6:$B$104,0),MATCH(AG$16,'AEA2012 update'!$S$4:$Z$4,0)),INDEX('AEA2012 update'!$K$6:$R$104,MATCH($T64&amp;$U64,'AEA2012 update'!$A$6:$A$104&amp;'AEA2012 update'!$B$6:$B$104,0),MATCH(AG$16,'AEA2012 update'!$S$4:$Z$4,0)))</f>
        <v>363561.36717159278</v>
      </c>
      <c r="AH64" s="103" cm="1">
        <f t="array" ref="AH64">IF(AA64,INDEX('AEA2012 update'!$K$6:$R$104,MATCH($T64&amp;$R64,'AEA2012 update'!$A$6:$A$104&amp;'AEA2012 update'!$B$6:$B$104,0),MATCH(AH$16,'AEA2012 update'!$S$4:$Z$4,0)),INDEX('AEA2012 update'!$K$6:$R$104,MATCH($T64&amp;$U64,'AEA2012 update'!$A$6:$A$104&amp;'AEA2012 update'!$B$6:$B$104,0),MATCH(AH$16,'AEA2012 update'!$S$4:$Z$4,0)))</f>
        <v>371500.85823323019</v>
      </c>
      <c r="AI64" s="103" cm="1">
        <f t="array" ref="AI64">IF(AB64,INDEX('AEA2012 update'!$K$6:$R$104,MATCH($T64&amp;$R64,'AEA2012 update'!$A$6:$A$104&amp;'AEA2012 update'!$B$6:$B$104,0),MATCH(AI$16,'AEA2012 update'!$S$4:$Z$4,0)),INDEX('AEA2012 update'!$K$6:$R$104,MATCH($T64&amp;$U64,'AEA2012 update'!$A$6:$A$104&amp;'AEA2012 update'!$B$6:$B$104,0),MATCH(AI$16,'AEA2012 update'!$S$4:$Z$4,0)))</f>
        <v>379440.3492948676</v>
      </c>
      <c r="AJ64" s="103" cm="1">
        <f t="array" ref="AJ64">IF(AC64,INDEX('AEA2012 update'!$K$6:$R$104,MATCH($T64&amp;$R64,'AEA2012 update'!$A$6:$A$104&amp;'AEA2012 update'!$B$6:$B$104,0),MATCH(AJ$16,'AEA2012 update'!$S$4:$Z$4,0)),INDEX('AEA2012 update'!$K$6:$R$104,MATCH($T64&amp;$U64,'AEA2012 update'!$A$6:$A$104&amp;'AEA2012 update'!$B$6:$B$104,0),MATCH(AJ$16,'AEA2012 update'!$S$4:$Z$4,0)))</f>
        <v>387396.22422821133</v>
      </c>
      <c r="AK64" s="103" t="str">
        <f t="shared" si="13"/>
        <v>LCVOGS</v>
      </c>
      <c r="AL64" s="67">
        <f>1/INDEX(Analytica!$AA$17:$AE$48,MATCH($AK64,Analytica!$A$17:$A$48,0),MATCH(AL$16,Analytica!$AA$16:$AE$16,0))</f>
        <v>4.8483852312768576</v>
      </c>
      <c r="AM64" s="67">
        <f t="array" ref="AM64">IF($AE$1,AL64*(1+INDEX(AM$1:AM$2,MATCH($O64,$AI$1:$AI$2,0)))^(AM$16-AL$16),INDEX('AEA2012 update'!$AC$6:$AG$104,MATCH($T64&amp;$U64,'AEA2012 update'!$A$6:$A$104&amp;'AEA2012 update'!$B$6:$B$104,0),MATCH(AM$16,'AEA2012 update'!$AC$4:$AG$4,0)))</f>
        <v>4.8338546158903357</v>
      </c>
      <c r="AN64" s="67">
        <f t="array" ref="AN64">IF($AE$1,AM64*(1+INDEX(AN$1:AN$2,MATCH($O64,$AI$1:$AI$2,0)))^(AN$16-AM$16),INDEX('AEA2012 update'!$AC$6:$AG$104,MATCH($T64&amp;$U64,'AEA2012 update'!$A$6:$A$104&amp;'AEA2012 update'!$B$6:$B$104,0),MATCH(AN$16,'AEA2012 update'!$AC$4:$AG$4,0)))</f>
        <v>4.5744771114907996</v>
      </c>
      <c r="AO64" s="67">
        <f t="array" ref="AO64">IF($AE$1,AN64*(1+INDEX(AO$1:AO$2,MATCH($O64,$AI$1:$AI$2,0)))^(AO$16-AN$16),INDEX('AEA2012 update'!$AC$6:$AG$104,MATCH($T64&amp;$U64,'AEA2012 update'!$A$6:$A$104&amp;'AEA2012 update'!$B$6:$B$104,0),MATCH(AO$16,'AEA2012 update'!$AC$4:$AG$4,0)))</f>
        <v>4.1370751021703311</v>
      </c>
      <c r="AP64" s="67">
        <f t="array" ref="AP64">IF($AE$1,AO64*(1+INDEX(AP$1:AP$2,MATCH($O64,$AI$1:$AI$2,0)))^(AP$16-AO$16),INDEX('AEA2012 update'!$AC$6:$AG$104,MATCH($T64&amp;$U64,'AEA2012 update'!$A$6:$A$104&amp;'AEA2012 update'!$B$6:$B$104,0),MATCH(AP$16,'AEA2012 update'!$AC$4:$AG$4,0)))</f>
        <v>3.741496565368065</v>
      </c>
      <c r="AQ64" s="67"/>
      <c r="AR64" s="257">
        <f t="shared" si="10"/>
        <v>-9.9900033333332784E-4</v>
      </c>
      <c r="AS64" s="257">
        <f t="shared" si="11"/>
        <v>-7.5326913841620375E-3</v>
      </c>
      <c r="AY64" s="61" t="str">
        <f t="shared" si="12"/>
        <v>LCV-OGS</v>
      </c>
      <c r="AZ64" s="80" t="e" cm="1">
        <f t="array" aca="1" ref="AZ64" ca="1">AL64/INDIRECT("cv."&amp;LEFT($U64,6)&amp;".hhv.MJL") * 100</f>
        <v>#REF!</v>
      </c>
      <c r="BA64" s="80" t="e" cm="1">
        <f t="array" aca="1" ref="BA64" ca="1">AM64/INDIRECT("cv."&amp;LEFT($U64,6)&amp;".hhv.MJL") * 100</f>
        <v>#REF!</v>
      </c>
      <c r="BB64" s="80" t="e" cm="1">
        <f t="array" aca="1" ref="BB64" ca="1">AN64/INDIRECT("cv."&amp;LEFT($U64,6)&amp;".hhv.MJL") * 100</f>
        <v>#REF!</v>
      </c>
      <c r="BC64" s="80" t="e" cm="1">
        <f t="array" aca="1" ref="BC64" ca="1">AO64/INDIRECT("cv."&amp;LEFT($U64,6)&amp;".hhv.MJL") * 100</f>
        <v>#REF!</v>
      </c>
      <c r="BD64" s="80" t="e" cm="1">
        <f t="array" aca="1" ref="BD64" ca="1">AP64/INDIRECT("cv."&amp;LEFT($U64,6)&amp;".hhv.MJL") * 100</f>
        <v>#REF!</v>
      </c>
      <c r="BH64" s="262">
        <f>Analytica!AB34</f>
        <v>0.206726097108171</v>
      </c>
      <c r="BI64" s="267" t="e" cm="1">
        <f t="array" aca="1" ref="BI64" ca="1">(1/BH64)/INDIRECT("cv."&amp;LEFT($U64,6)&amp;".lhv.MJL") * 100</f>
        <v>#REF!</v>
      </c>
    </row>
    <row r="65" spans="1:61" ht="15.75" thickBot="1" x14ac:dyDescent="0.3">
      <c r="A65" s="268" t="s">
        <v>246</v>
      </c>
      <c r="B65" s="269">
        <v>1394106</v>
      </c>
      <c r="C65" s="266">
        <f t="shared" si="17"/>
        <v>0.54247564882003008</v>
      </c>
      <c r="N65" s="61" t="s">
        <v>519</v>
      </c>
      <c r="O65" s="61" t="s">
        <v>653</v>
      </c>
      <c r="P65" s="61" t="s">
        <v>63</v>
      </c>
      <c r="Q65" s="61" t="str">
        <f t="shared" si="7"/>
        <v>LCV</v>
      </c>
      <c r="R65" s="61" t="s">
        <v>680</v>
      </c>
      <c r="S65" s="65"/>
      <c r="T65" s="256" t="s">
        <v>701</v>
      </c>
      <c r="U65" s="913" t="s">
        <v>688</v>
      </c>
      <c r="V65" s="921">
        <v>2030</v>
      </c>
      <c r="W65" s="914">
        <f t="shared" si="16"/>
        <v>0</v>
      </c>
      <c r="X65" s="915">
        <f t="shared" si="16"/>
        <v>0</v>
      </c>
      <c r="Y65" s="915">
        <f t="shared" si="16"/>
        <v>0</v>
      </c>
      <c r="Z65" s="915">
        <f t="shared" si="16"/>
        <v>1</v>
      </c>
      <c r="AA65" s="915">
        <f t="shared" si="16"/>
        <v>1</v>
      </c>
      <c r="AB65" s="915">
        <f t="shared" si="16"/>
        <v>1</v>
      </c>
      <c r="AC65" s="916">
        <f t="shared" si="16"/>
        <v>1</v>
      </c>
      <c r="AD65" s="103" cm="1">
        <f t="array" ref="AD65">IF(W65,INDEX('AEA2012 update'!$K$6:$R$104,MATCH($T65&amp;$R65,'AEA2012 update'!$A$6:$A$104&amp;'AEA2012 update'!$B$6:$B$104,0),MATCH(AD$16,'AEA2012 update'!$S$4:$Z$4,0)),INDEX('AEA2012 update'!$K$6:$R$104,MATCH($T65&amp;$U65,'AEA2012 update'!$A$6:$A$104&amp;'AEA2012 update'!$B$6:$B$104,0),MATCH(AD$16,'AEA2012 update'!$S$4:$Z$4,0)))</f>
        <v>462611.03749439324</v>
      </c>
      <c r="AE65" s="103" cm="1">
        <f t="array" ref="AE65">IF(X65,INDEX('AEA2012 update'!$K$6:$R$104,MATCH($T65&amp;$R65,'AEA2012 update'!$A$6:$A$104&amp;'AEA2012 update'!$B$6:$B$104,0),MATCH(AE$16,'AEA2012 update'!$S$4:$Z$4,0)),INDEX('AEA2012 update'!$K$6:$R$104,MATCH($T65&amp;$U65,'AEA2012 update'!$A$6:$A$104&amp;'AEA2012 update'!$B$6:$B$104,0),MATCH(AE$16,'AEA2012 update'!$S$4:$Z$4,0)))</f>
        <v>450697.95583180117</v>
      </c>
      <c r="AF65" s="103" cm="1">
        <f t="array" ref="AF65">IF(Y65,INDEX('AEA2012 update'!$K$6:$R$104,MATCH($T65&amp;$R65,'AEA2012 update'!$A$6:$A$104&amp;'AEA2012 update'!$B$6:$B$104,0),MATCH(AF$16,'AEA2012 update'!$S$4:$Z$4,0)),INDEX('AEA2012 update'!$K$6:$R$104,MATCH($T65&amp;$U65,'AEA2012 update'!$A$6:$A$104&amp;'AEA2012 update'!$B$6:$B$104,0),MATCH(AF$16,'AEA2012 update'!$S$4:$Z$4,0)))</f>
        <v>447834.90632433031</v>
      </c>
      <c r="AG65" s="103" cm="1">
        <f t="array" ref="AG65">IF(Z65,INDEX('AEA2012 update'!$K$6:$R$104,MATCH($T65&amp;$R65,'AEA2012 update'!$A$6:$A$104&amp;'AEA2012 update'!$B$6:$B$104,0),MATCH(AG$16,'AEA2012 update'!$S$4:$Z$4,0)),INDEX('AEA2012 update'!$K$6:$R$104,MATCH($T65&amp;$U65,'AEA2012 update'!$A$6:$A$104&amp;'AEA2012 update'!$B$6:$B$104,0),MATCH(AG$16,'AEA2012 update'!$S$4:$Z$4,0)))</f>
        <v>363561.36717159278</v>
      </c>
      <c r="AH65" s="103" cm="1">
        <f t="array" ref="AH65">IF(AA65,INDEX('AEA2012 update'!$K$6:$R$104,MATCH($T65&amp;$R65,'AEA2012 update'!$A$6:$A$104&amp;'AEA2012 update'!$B$6:$B$104,0),MATCH(AH$16,'AEA2012 update'!$S$4:$Z$4,0)),INDEX('AEA2012 update'!$K$6:$R$104,MATCH($T65&amp;$U65,'AEA2012 update'!$A$6:$A$104&amp;'AEA2012 update'!$B$6:$B$104,0),MATCH(AH$16,'AEA2012 update'!$S$4:$Z$4,0)))</f>
        <v>371500.85823323019</v>
      </c>
      <c r="AI65" s="103" cm="1">
        <f t="array" ref="AI65">IF(AB65,INDEX('AEA2012 update'!$K$6:$R$104,MATCH($T65&amp;$R65,'AEA2012 update'!$A$6:$A$104&amp;'AEA2012 update'!$B$6:$B$104,0),MATCH(AI$16,'AEA2012 update'!$S$4:$Z$4,0)),INDEX('AEA2012 update'!$K$6:$R$104,MATCH($T65&amp;$U65,'AEA2012 update'!$A$6:$A$104&amp;'AEA2012 update'!$B$6:$B$104,0),MATCH(AI$16,'AEA2012 update'!$S$4:$Z$4,0)))</f>
        <v>379440.3492948676</v>
      </c>
      <c r="AJ65" s="103" cm="1">
        <f t="array" ref="AJ65">IF(AC65,INDEX('AEA2012 update'!$K$6:$R$104,MATCH($T65&amp;$R65,'AEA2012 update'!$A$6:$A$104&amp;'AEA2012 update'!$B$6:$B$104,0),MATCH(AJ$16,'AEA2012 update'!$S$4:$Z$4,0)),INDEX('AEA2012 update'!$K$6:$R$104,MATCH($T65&amp;$U65,'AEA2012 update'!$A$6:$A$104&amp;'AEA2012 update'!$B$6:$B$104,0),MATCH(AJ$16,'AEA2012 update'!$S$4:$Z$4,0)))</f>
        <v>387396.22422821133</v>
      </c>
      <c r="AK65" s="103" t="str">
        <f t="shared" si="13"/>
        <v>LCVOGSH</v>
      </c>
      <c r="AL65" s="67">
        <f>INDEX('Vehicle data '!$AD$20:$AD$110,MATCH($AK65,'Vehicle data '!$AC$20:$AC$110,0))/INDEX('Vehicle data '!$AD$20:$AD$110,MATCH($AK$64,'Vehicle data '!$AC$20:$AC$110,0))*AL$64</f>
        <v>3.7046285266563088</v>
      </c>
      <c r="AM65" s="67">
        <f t="array" ref="AM65">IF($AE$1,AL65*(1+INDEX(AM$1:AM$2,MATCH($O65,$AI$1:$AI$2,0)))^(AM$16-AL$16),INDEX('AEA2012 update'!$AC$6:$AG$104,MATCH($T65&amp;$U65,'AEA2012 update'!$A$6:$A$104&amp;'AEA2012 update'!$B$6:$B$104,0),MATCH(AM$16,'AEA2012 update'!$AC$4:$AG$4,0)))</f>
        <v>3.6935257512572912</v>
      </c>
      <c r="AN65" s="67">
        <f t="array" ref="AN65">IF($AE$1,AM65*(1+INDEX(AN$1:AN$2,MATCH($O65,$AI$1:$AI$2,0)))^(AN$16-AM$16),INDEX('AEA2012 update'!$AC$6:$AG$104,MATCH($T65&amp;$U65,'AEA2012 update'!$A$6:$A$104&amp;'AEA2012 update'!$B$6:$B$104,0),MATCH(AN$16,'AEA2012 update'!$AC$4:$AG$4,0)))</f>
        <v>3.4953366107218584</v>
      </c>
      <c r="AO65" s="67">
        <f t="array" ref="AO65">IF($AE$1,AN65*(1+INDEX(AO$1:AO$2,MATCH($O65,$AI$1:$AI$2,0)))^(AO$16-AN$16),INDEX('AEA2012 update'!$AC$6:$AG$104,MATCH($T65&amp;$U65,'AEA2012 update'!$A$6:$A$104&amp;'AEA2012 update'!$B$6:$B$104,0),MATCH(AO$16,'AEA2012 update'!$AC$4:$AG$4,0)))</f>
        <v>3.1611197768588757</v>
      </c>
      <c r="AP65" s="67">
        <f t="array" ref="AP65">IF($AE$1,AO65*(1+INDEX(AP$1:AP$2,MATCH($O65,$AI$1:$AI$2,0)))^(AP$16-AO$16),INDEX('AEA2012 update'!$AC$6:$AG$104,MATCH($T65&amp;$U65,'AEA2012 update'!$A$6:$A$104&amp;'AEA2012 update'!$B$6:$B$104,0),MATCH(AP$16,'AEA2012 update'!$AC$4:$AG$4,0)))</f>
        <v>2.8588600631469983</v>
      </c>
      <c r="AQ65" s="67"/>
      <c r="AR65" s="257">
        <f t="shared" si="10"/>
        <v>-9.9900033333334432E-4</v>
      </c>
      <c r="AS65" s="257">
        <f t="shared" si="11"/>
        <v>-7.5326913841620427E-3</v>
      </c>
      <c r="AY65" s="61" t="str">
        <f t="shared" si="12"/>
        <v>LCV-OGSH</v>
      </c>
      <c r="AZ65" s="80" t="e" cm="1">
        <f t="array" aca="1" ref="AZ65" ca="1">AL65/INDIRECT("cv."&amp;LEFT($U65,6)&amp;".hhv.MJL") * 100</f>
        <v>#REF!</v>
      </c>
      <c r="BA65" s="80" t="e" cm="1">
        <f t="array" aca="1" ref="BA65" ca="1">AM65/INDIRECT("cv."&amp;LEFT($U65,6)&amp;".hhv.MJL") * 100</f>
        <v>#REF!</v>
      </c>
      <c r="BB65" s="80" t="e" cm="1">
        <f t="array" aca="1" ref="BB65" ca="1">AN65/INDIRECT("cv."&amp;LEFT($U65,6)&amp;".hhv.MJL") * 100</f>
        <v>#REF!</v>
      </c>
      <c r="BC65" s="80" t="e" cm="1">
        <f t="array" aca="1" ref="BC65" ca="1">AO65/INDIRECT("cv."&amp;LEFT($U65,6)&amp;".hhv.MJL") * 100</f>
        <v>#REF!</v>
      </c>
      <c r="BD65" s="80" t="e" cm="1">
        <f t="array" aca="1" ref="BD65" ca="1">AP65/INDIRECT("cv."&amp;LEFT($U65,6)&amp;".hhv.MJL") * 100</f>
        <v>#REF!</v>
      </c>
      <c r="BH65" s="262">
        <f>Analytica!AB33</f>
        <v>0.236416891901715</v>
      </c>
      <c r="BI65" s="267" t="e" cm="1">
        <f t="array" aca="1" ref="BI65" ca="1">(1/BH65)/INDIRECT("cv."&amp;LEFT($U65,6)&amp;".lhv.MJL") * 100</f>
        <v>#REF!</v>
      </c>
    </row>
    <row r="66" spans="1:61" ht="15.75" thickBot="1" x14ac:dyDescent="0.3">
      <c r="A66" s="268" t="s">
        <v>265</v>
      </c>
      <c r="B66" s="269">
        <v>6061</v>
      </c>
      <c r="C66" s="266">
        <f t="shared" si="17"/>
        <v>2.3584611984298195E-3</v>
      </c>
      <c r="N66" s="61" t="s">
        <v>511</v>
      </c>
      <c r="O66" s="61" t="s">
        <v>653</v>
      </c>
      <c r="P66" s="61" t="s">
        <v>63</v>
      </c>
      <c r="Q66" s="61" t="str">
        <f t="shared" si="7"/>
        <v>LCV</v>
      </c>
      <c r="R66" s="61" t="s">
        <v>680</v>
      </c>
      <c r="S66" s="65"/>
      <c r="T66" s="997" t="s">
        <v>701</v>
      </c>
      <c r="U66" s="998" t="s">
        <v>687</v>
      </c>
      <c r="V66" s="999">
        <v>2030</v>
      </c>
      <c r="W66" s="1000">
        <f t="shared" si="16"/>
        <v>0</v>
      </c>
      <c r="X66" s="1001">
        <f t="shared" si="16"/>
        <v>0</v>
      </c>
      <c r="Y66" s="1001">
        <f t="shared" si="16"/>
        <v>0</v>
      </c>
      <c r="Z66" s="1001">
        <f t="shared" si="16"/>
        <v>1</v>
      </c>
      <c r="AA66" s="1001">
        <f t="shared" si="16"/>
        <v>1</v>
      </c>
      <c r="AB66" s="1001">
        <f t="shared" si="16"/>
        <v>1</v>
      </c>
      <c r="AC66" s="1002">
        <f t="shared" si="16"/>
        <v>1</v>
      </c>
      <c r="AD66" s="1003" cm="1">
        <f t="array" ref="AD66">IF(W66,INDEX('AEA2012 update'!$K$6:$R$104,MATCH($T66&amp;$R66,'AEA2012 update'!$A$6:$A$104&amp;'AEA2012 update'!$B$6:$B$104,0),MATCH(AD$16,'AEA2012 update'!$S$4:$Z$4,0)),INDEX('AEA2012 update'!$K$6:$R$104,MATCH($T66&amp;$U66,'AEA2012 update'!$A$6:$A$104&amp;'AEA2012 update'!$B$6:$B$104,0),MATCH(AD$16,'AEA2012 update'!$S$4:$Z$4,0)))</f>
        <v>449299.91329948109</v>
      </c>
      <c r="AE66" s="1003" cm="1">
        <f t="array" ref="AE66">IF(X66,INDEX('AEA2012 update'!$K$6:$R$104,MATCH($T66&amp;$R66,'AEA2012 update'!$A$6:$A$104&amp;'AEA2012 update'!$B$6:$B$104,0),MATCH(AE$16,'AEA2012 update'!$S$4:$Z$4,0)),INDEX('AEA2012 update'!$K$6:$R$104,MATCH($T66&amp;$U66,'AEA2012 update'!$A$6:$A$104&amp;'AEA2012 update'!$B$6:$B$104,0),MATCH(AE$16,'AEA2012 update'!$S$4:$Z$4,0)))</f>
        <v>496024.31464990409</v>
      </c>
      <c r="AF66" s="1003" cm="1">
        <f t="array" ref="AF66">IF(Y66,INDEX('AEA2012 update'!$K$6:$R$104,MATCH($T66&amp;$R66,'AEA2012 update'!$A$6:$A$104&amp;'AEA2012 update'!$B$6:$B$104,0),MATCH(AF$16,'AEA2012 update'!$S$4:$Z$4,0)),INDEX('AEA2012 update'!$K$6:$R$104,MATCH($T66&amp;$U66,'AEA2012 update'!$A$6:$A$104&amp;'AEA2012 update'!$B$6:$B$104,0),MATCH(AF$16,'AEA2012 update'!$S$4:$Z$4,0)))</f>
        <v>504862.6389695133</v>
      </c>
      <c r="AG66" s="1003" cm="1">
        <f t="array" ref="AG66">IF(Z66,INDEX('AEA2012 update'!$K$6:$R$104,MATCH($T66&amp;$R66,'AEA2012 update'!$A$6:$A$104&amp;'AEA2012 update'!$B$6:$B$104,0),MATCH(AG$16,'AEA2012 update'!$S$4:$Z$4,0)),INDEX('AEA2012 update'!$K$6:$R$104,MATCH($T66&amp;$U66,'AEA2012 update'!$A$6:$A$104&amp;'AEA2012 update'!$B$6:$B$104,0),MATCH(AG$16,'AEA2012 update'!$S$4:$Z$4,0)))</f>
        <v>363561.36717159278</v>
      </c>
      <c r="AH66" s="1003" cm="1">
        <f t="array" ref="AH66">IF(AA66,INDEX('AEA2012 update'!$K$6:$R$104,MATCH($T66&amp;$R66,'AEA2012 update'!$A$6:$A$104&amp;'AEA2012 update'!$B$6:$B$104,0),MATCH(AH$16,'AEA2012 update'!$S$4:$Z$4,0)),INDEX('AEA2012 update'!$K$6:$R$104,MATCH($T66&amp;$U66,'AEA2012 update'!$A$6:$A$104&amp;'AEA2012 update'!$B$6:$B$104,0),MATCH(AH$16,'AEA2012 update'!$S$4:$Z$4,0)))</f>
        <v>371500.85823323019</v>
      </c>
      <c r="AI66" s="1003" cm="1">
        <f t="array" ref="AI66">IF(AB66,INDEX('AEA2012 update'!$K$6:$R$104,MATCH($T66&amp;$R66,'AEA2012 update'!$A$6:$A$104&amp;'AEA2012 update'!$B$6:$B$104,0),MATCH(AI$16,'AEA2012 update'!$S$4:$Z$4,0)),INDEX('AEA2012 update'!$K$6:$R$104,MATCH($T66&amp;$U66,'AEA2012 update'!$A$6:$A$104&amp;'AEA2012 update'!$B$6:$B$104,0),MATCH(AI$16,'AEA2012 update'!$S$4:$Z$4,0)))</f>
        <v>379440.3492948676</v>
      </c>
      <c r="AJ66" s="1003" cm="1">
        <f t="array" ref="AJ66">IF(AC66,INDEX('AEA2012 update'!$K$6:$R$104,MATCH($T66&amp;$R66,'AEA2012 update'!$A$6:$A$104&amp;'AEA2012 update'!$B$6:$B$104,0),MATCH(AJ$16,'AEA2012 update'!$S$4:$Z$4,0)),INDEX('AEA2012 update'!$K$6:$R$104,MATCH($T66&amp;$U66,'AEA2012 update'!$A$6:$A$104&amp;'AEA2012 update'!$B$6:$B$104,0),MATCH(AJ$16,'AEA2012 update'!$S$4:$Z$4,0)))</f>
        <v>387396.22422821133</v>
      </c>
      <c r="AK66" s="1003" t="str">
        <f t="shared" si="13"/>
        <v>LCVODS</v>
      </c>
      <c r="AL66" s="1004">
        <f>1/INDEX(Analytica!$AA$17:$AE$48,MATCH($AK66,Analytica!$A$17:$A$48,0),MATCH(AL$16,Analytica!$AA$16:$AE$16,0))</f>
        <v>4.2382643969590106</v>
      </c>
      <c r="AM66" s="1004">
        <f t="array" ref="AM66">IF($AE$1,AL66*(1+INDEX(AM$1:AM$2,MATCH($O66,$AI$1:$AI$2,0)))^(AM$16-AL$16),INDEX('AEA2012 update'!$AC$6:$AG$104,MATCH($T66&amp;$U66,'AEA2012 update'!$A$6:$A$104&amp;'AEA2012 update'!$B$6:$B$104,0),MATCH(AM$16,'AEA2012 update'!$AC$4:$AG$4,0)))</f>
        <v>4.2255623143230601</v>
      </c>
      <c r="AN66" s="1004">
        <f t="array" ref="AN66">IF($AE$1,AM66*(1+INDEX(AN$1:AN$2,MATCH($O66,$AI$1:$AI$2,0)))^(AN$16-AM$16),INDEX('AEA2012 update'!$AC$6:$AG$104,MATCH($T66&amp;$U66,'AEA2012 update'!$A$6:$A$104&amp;'AEA2012 update'!$B$6:$B$104,0),MATCH(AN$16,'AEA2012 update'!$AC$4:$AG$4,0)))</f>
        <v>3.9988248770466241</v>
      </c>
      <c r="AO66" s="1004">
        <f t="array" ref="AO66">IF($AE$1,AN66*(1+INDEX(AO$1:AO$2,MATCH($O66,$AI$1:$AI$2,0)))^(AO$16-AN$16),INDEX('AEA2012 update'!$AC$6:$AG$104,MATCH($T66&amp;$U66,'AEA2012 update'!$A$6:$A$104&amp;'AEA2012 update'!$B$6:$B$104,0),MATCH(AO$16,'AEA2012 update'!$AC$4:$AG$4,0)))</f>
        <v>3.6164655399002528</v>
      </c>
      <c r="AP66" s="1004">
        <f t="array" ref="AP66">IF($AE$1,AO66*(1+INDEX(AP$1:AP$2,MATCH($O66,$AI$1:$AI$2,0)))^(AP$16-AO$16),INDEX('AEA2012 update'!$AC$6:$AG$104,MATCH($T66&amp;$U66,'AEA2012 update'!$A$6:$A$104&amp;'AEA2012 update'!$B$6:$B$104,0),MATCH(AP$16,'AEA2012 update'!$AC$4:$AG$4,0)))</f>
        <v>3.2706666091728263</v>
      </c>
      <c r="AQ66" s="67"/>
      <c r="AR66" s="257">
        <f t="shared" si="10"/>
        <v>-9.9900033333333066E-4</v>
      </c>
      <c r="AS66" s="257">
        <f t="shared" si="11"/>
        <v>-7.5326913841620409E-3</v>
      </c>
      <c r="AY66" s="61" t="str">
        <f t="shared" si="12"/>
        <v>LCV-ODS</v>
      </c>
      <c r="AZ66" s="80" t="e" cm="1">
        <f t="array" aca="1" ref="AZ66" ca="1">AL66/INDIRECT("cv."&amp;LEFT($U66,6)&amp;".hhv.MJL") * 100</f>
        <v>#REF!</v>
      </c>
      <c r="BA66" s="80" t="e" cm="1">
        <f t="array" aca="1" ref="BA66" ca="1">AM66/INDIRECT("cv."&amp;LEFT($U66,6)&amp;".hhv.MJL") * 100</f>
        <v>#REF!</v>
      </c>
      <c r="BB66" s="80" t="e" cm="1">
        <f t="array" aca="1" ref="BB66" ca="1">AN66/INDIRECT("cv."&amp;LEFT($U66,6)&amp;".hhv.MJL") * 100</f>
        <v>#REF!</v>
      </c>
      <c r="BC66" s="80" t="e" cm="1">
        <f t="array" aca="1" ref="BC66" ca="1">AO66/INDIRECT("cv."&amp;LEFT($U66,6)&amp;".hhv.MJL") * 100</f>
        <v>#REF!</v>
      </c>
      <c r="BD66" s="80" t="e" cm="1">
        <f t="array" aca="1" ref="BD66" ca="1">AP66/INDIRECT("cv."&amp;LEFT($U66,6)&amp;".hhv.MJL") * 100</f>
        <v>#REF!</v>
      </c>
    </row>
    <row r="67" spans="1:61" ht="15.75" thickBot="1" x14ac:dyDescent="0.3">
      <c r="A67" s="268" t="s">
        <v>266</v>
      </c>
      <c r="B67" s="269">
        <v>120270</v>
      </c>
      <c r="C67" s="266">
        <f t="shared" si="17"/>
        <v>4.6799559203952221E-2</v>
      </c>
      <c r="N67" s="61" t="s">
        <v>521</v>
      </c>
      <c r="O67" s="61" t="s">
        <v>653</v>
      </c>
      <c r="P67" s="61" t="s">
        <v>63</v>
      </c>
      <c r="Q67" s="61" t="str">
        <f t="shared" si="7"/>
        <v>LCV</v>
      </c>
      <c r="R67" s="61" t="s">
        <v>680</v>
      </c>
      <c r="S67" s="65"/>
      <c r="T67" s="256" t="s">
        <v>701</v>
      </c>
      <c r="U67" s="913" t="s">
        <v>689</v>
      </c>
      <c r="V67" s="921">
        <v>2030</v>
      </c>
      <c r="W67" s="914">
        <f t="shared" si="16"/>
        <v>0</v>
      </c>
      <c r="X67" s="915">
        <f t="shared" si="16"/>
        <v>0</v>
      </c>
      <c r="Y67" s="915">
        <f t="shared" si="16"/>
        <v>0</v>
      </c>
      <c r="Z67" s="915">
        <f t="shared" si="16"/>
        <v>1</v>
      </c>
      <c r="AA67" s="915">
        <f t="shared" si="16"/>
        <v>1</v>
      </c>
      <c r="AB67" s="915">
        <f t="shared" si="16"/>
        <v>1</v>
      </c>
      <c r="AC67" s="916">
        <f t="shared" si="16"/>
        <v>1</v>
      </c>
      <c r="AD67" s="103" cm="1">
        <f t="array" ref="AD67">IF(W67,INDEX('AEA2012 update'!$K$6:$R$104,MATCH($T67&amp;$R67,'AEA2012 update'!$A$6:$A$104&amp;'AEA2012 update'!$B$6:$B$104,0),MATCH(AD$16,'AEA2012 update'!$S$4:$Z$4,0)),INDEX('AEA2012 update'!$K$6:$R$104,MATCH($T67&amp;$U67,'AEA2012 update'!$A$6:$A$104&amp;'AEA2012 update'!$B$6:$B$104,0),MATCH(AD$16,'AEA2012 update'!$S$4:$Z$4,0)))</f>
        <v>684967.98910243902</v>
      </c>
      <c r="AE67" s="103" cm="1">
        <f t="array" ref="AE67">IF(X67,INDEX('AEA2012 update'!$K$6:$R$104,MATCH($T67&amp;$R67,'AEA2012 update'!$A$6:$A$104&amp;'AEA2012 update'!$B$6:$B$104,0),MATCH(AE$16,'AEA2012 update'!$S$4:$Z$4,0)),INDEX('AEA2012 update'!$K$6:$R$104,MATCH($T67&amp;$U67,'AEA2012 update'!$A$6:$A$104&amp;'AEA2012 update'!$B$6:$B$104,0),MATCH(AE$16,'AEA2012 update'!$S$4:$Z$4,0)))</f>
        <v>676046.93374770158</v>
      </c>
      <c r="AF67" s="103" cm="1">
        <f t="array" ref="AF67">IF(Y67,INDEX('AEA2012 update'!$K$6:$R$104,MATCH($T67&amp;$R67,'AEA2012 update'!$A$6:$A$104&amp;'AEA2012 update'!$B$6:$B$104,0),MATCH(AF$16,'AEA2012 update'!$S$4:$Z$4,0)),INDEX('AEA2012 update'!$K$6:$R$104,MATCH($T67&amp;$U67,'AEA2012 update'!$A$6:$A$104&amp;'AEA2012 update'!$B$6:$B$104,0),MATCH(AF$16,'AEA2012 update'!$S$4:$Z$4,0)))</f>
        <v>671504.019880448</v>
      </c>
      <c r="AG67" s="103" cm="1">
        <f t="array" ref="AG67">IF(Z67,INDEX('AEA2012 update'!$K$6:$R$104,MATCH($T67&amp;$R67,'AEA2012 update'!$A$6:$A$104&amp;'AEA2012 update'!$B$6:$B$104,0),MATCH(AG$16,'AEA2012 update'!$S$4:$Z$4,0)),INDEX('AEA2012 update'!$K$6:$R$104,MATCH($T67&amp;$U67,'AEA2012 update'!$A$6:$A$104&amp;'AEA2012 update'!$B$6:$B$104,0),MATCH(AG$16,'AEA2012 update'!$S$4:$Z$4,0)))</f>
        <v>363561.36717159278</v>
      </c>
      <c r="AH67" s="103" cm="1">
        <f t="array" ref="AH67">IF(AA67,INDEX('AEA2012 update'!$K$6:$R$104,MATCH($T67&amp;$R67,'AEA2012 update'!$A$6:$A$104&amp;'AEA2012 update'!$B$6:$B$104,0),MATCH(AH$16,'AEA2012 update'!$S$4:$Z$4,0)),INDEX('AEA2012 update'!$K$6:$R$104,MATCH($T67&amp;$U67,'AEA2012 update'!$A$6:$A$104&amp;'AEA2012 update'!$B$6:$B$104,0),MATCH(AH$16,'AEA2012 update'!$S$4:$Z$4,0)))</f>
        <v>371500.85823323019</v>
      </c>
      <c r="AI67" s="103" cm="1">
        <f t="array" ref="AI67">IF(AB67,INDEX('AEA2012 update'!$K$6:$R$104,MATCH($T67&amp;$R67,'AEA2012 update'!$A$6:$A$104&amp;'AEA2012 update'!$B$6:$B$104,0),MATCH(AI$16,'AEA2012 update'!$S$4:$Z$4,0)),INDEX('AEA2012 update'!$K$6:$R$104,MATCH($T67&amp;$U67,'AEA2012 update'!$A$6:$A$104&amp;'AEA2012 update'!$B$6:$B$104,0),MATCH(AI$16,'AEA2012 update'!$S$4:$Z$4,0)))</f>
        <v>379440.3492948676</v>
      </c>
      <c r="AJ67" s="103" cm="1">
        <f t="array" ref="AJ67">IF(AC67,INDEX('AEA2012 update'!$K$6:$R$104,MATCH($T67&amp;$R67,'AEA2012 update'!$A$6:$A$104&amp;'AEA2012 update'!$B$6:$B$104,0),MATCH(AJ$16,'AEA2012 update'!$S$4:$Z$4,0)),INDEX('AEA2012 update'!$K$6:$R$104,MATCH($T67&amp;$U67,'AEA2012 update'!$A$6:$A$104&amp;'AEA2012 update'!$B$6:$B$104,0),MATCH(AJ$16,'AEA2012 update'!$S$4:$Z$4,0)))</f>
        <v>387396.22422821133</v>
      </c>
      <c r="AK67" s="103" t="str">
        <f t="shared" si="13"/>
        <v>LCVODSH</v>
      </c>
      <c r="AL67" s="67">
        <f>INDEX('Vehicle data '!$AD$20:$AD$110,MATCH($AK67,'Vehicle data '!$AC$20:$AC$110,0))/INDEX('Vehicle data '!$AD$20:$AD$110,MATCH($AK$64,'Vehicle data '!$AC$20:$AC$110,0))*AL$64</f>
        <v>4.1325296806540024</v>
      </c>
      <c r="AM67" s="67">
        <f t="array" ref="AM67">IF($AE$1,AL67*(1+INDEX(AM$1:AM$2,MATCH($O67,$AI$1:$AI$2,0)))^(AM$16-AL$16),INDEX('AEA2012 update'!$AC$6:$AG$104,MATCH($T67&amp;$U67,'AEA2012 update'!$A$6:$A$104&amp;'AEA2012 update'!$B$6:$B$104,0),MATCH(AM$16,'AEA2012 update'!$AC$4:$AG$4,0)))</f>
        <v>4.1201444850685522</v>
      </c>
      <c r="AN67" s="67">
        <f t="array" ref="AN67">IF($AE$1,AM67*(1+INDEX(AN$1:AN$2,MATCH($O67,$AI$1:$AI$2,0)))^(AN$16-AM$16),INDEX('AEA2012 update'!$AC$6:$AG$104,MATCH($T67&amp;$U67,'AEA2012 update'!$A$6:$A$104&amp;'AEA2012 update'!$B$6:$B$104,0),MATCH(AN$16,'AEA2012 update'!$AC$4:$AG$4,0)))</f>
        <v>3.8990636129236713</v>
      </c>
      <c r="AO67" s="67">
        <f t="array" ref="AO67">IF($AE$1,AN67*(1+INDEX(AO$1:AO$2,MATCH($O67,$AI$1:$AI$2,0)))^(AO$16-AN$16),INDEX('AEA2012 update'!$AC$6:$AG$104,MATCH($T67&amp;$U67,'AEA2012 update'!$A$6:$A$104&amp;'AEA2012 update'!$B$6:$B$104,0),MATCH(AO$16,'AEA2012 update'!$AC$4:$AG$4,0)))</f>
        <v>3.5262432408472351</v>
      </c>
      <c r="AP67" s="67">
        <f t="array" ref="AP67">IF($AE$1,AO67*(1+INDEX(AP$1:AP$2,MATCH($O67,$AI$1:$AI$2,0)))^(AP$16-AO$16),INDEX('AEA2012 update'!$AC$6:$AG$104,MATCH($T67&amp;$U67,'AEA2012 update'!$A$6:$A$104&amp;'AEA2012 update'!$B$6:$B$104,0),MATCH(AP$16,'AEA2012 update'!$AC$4:$AG$4,0)))</f>
        <v>3.1890711791431934</v>
      </c>
      <c r="AQ67" s="67"/>
      <c r="AR67" s="257">
        <f t="shared" si="10"/>
        <v>-9.9900033333336752E-4</v>
      </c>
      <c r="AS67" s="257">
        <f t="shared" si="11"/>
        <v>-7.5326913841620401E-3</v>
      </c>
      <c r="AY67" s="61" t="str">
        <f t="shared" si="12"/>
        <v>LCV-ODSH</v>
      </c>
      <c r="AZ67" s="80" t="e" cm="1">
        <f t="array" aca="1" ref="AZ67" ca="1">AL67/INDIRECT("cv."&amp;LEFT($U67,6)&amp;".hhv.MJL") * 100</f>
        <v>#REF!</v>
      </c>
      <c r="BA67" s="80" t="e" cm="1">
        <f t="array" aca="1" ref="BA67" ca="1">AM67/INDIRECT("cv."&amp;LEFT($U67,6)&amp;".hhv.MJL") * 100</f>
        <v>#REF!</v>
      </c>
      <c r="BB67" s="80" t="e" cm="1">
        <f t="array" aca="1" ref="BB67" ca="1">AN67/INDIRECT("cv."&amp;LEFT($U67,6)&amp;".hhv.MJL") * 100</f>
        <v>#REF!</v>
      </c>
      <c r="BC67" s="80" t="e" cm="1">
        <f t="array" aca="1" ref="BC67" ca="1">AO67/INDIRECT("cv."&amp;LEFT($U67,6)&amp;".hhv.MJL") * 100</f>
        <v>#REF!</v>
      </c>
      <c r="BD67" s="80" t="e" cm="1">
        <f t="array" aca="1" ref="BD67" ca="1">AP67/INDIRECT("cv."&amp;LEFT($U67,6)&amp;".hhv.MJL") * 100</f>
        <v>#REF!</v>
      </c>
    </row>
    <row r="68" spans="1:61" ht="15.75" thickBot="1" x14ac:dyDescent="0.3">
      <c r="A68" s="268" t="s">
        <v>263</v>
      </c>
      <c r="B68" s="269">
        <v>31074</v>
      </c>
      <c r="C68" s="266">
        <f t="shared" si="17"/>
        <v>1.2091539891108434E-2</v>
      </c>
      <c r="I68"/>
      <c r="N68" s="61" t="s">
        <v>501</v>
      </c>
      <c r="O68" s="61" t="s">
        <v>653</v>
      </c>
      <c r="P68" s="61" t="s">
        <v>63</v>
      </c>
      <c r="Q68" s="61" t="str">
        <f t="shared" si="7"/>
        <v>LCV</v>
      </c>
      <c r="R68" s="61" t="s">
        <v>680</v>
      </c>
      <c r="S68" s="65"/>
      <c r="T68" s="997" t="s">
        <v>701</v>
      </c>
      <c r="U68" s="998" t="s">
        <v>692</v>
      </c>
      <c r="V68" s="999">
        <v>2040</v>
      </c>
      <c r="W68" s="1000">
        <f t="shared" si="16"/>
        <v>0</v>
      </c>
      <c r="X68" s="1001">
        <f t="shared" si="16"/>
        <v>0</v>
      </c>
      <c r="Y68" s="1001">
        <f t="shared" si="16"/>
        <v>0</v>
      </c>
      <c r="Z68" s="1001">
        <f t="shared" si="16"/>
        <v>0</v>
      </c>
      <c r="AA68" s="1001">
        <f t="shared" si="16"/>
        <v>0</v>
      </c>
      <c r="AB68" s="1001">
        <f t="shared" si="16"/>
        <v>1</v>
      </c>
      <c r="AC68" s="1002">
        <f t="shared" si="16"/>
        <v>1</v>
      </c>
      <c r="AD68" s="1003" cm="1">
        <f t="array" ref="AD68">IF(W68,INDEX('AEA2012 update'!$K$6:$R$104,MATCH($T68&amp;$R68,'AEA2012 update'!$A$6:$A$104&amp;'AEA2012 update'!$B$6:$B$104,0),MATCH(AD$16,'AEA2012 update'!$S$4:$Z$4,0)),INDEX('AEA2012 update'!$K$6:$R$104,MATCH($T68&amp;$U68,'AEA2012 update'!$A$6:$A$104&amp;'AEA2012 update'!$B$6:$B$104,0),MATCH(AD$16,'AEA2012 update'!$S$4:$Z$4,0)))</f>
        <v>1200355.9594665694</v>
      </c>
      <c r="AE68" s="1003" cm="1">
        <f t="array" ref="AE68">IF(X68,INDEX('AEA2012 update'!$K$6:$R$104,MATCH($T68&amp;$R68,'AEA2012 update'!$A$6:$A$104&amp;'AEA2012 update'!$B$6:$B$104,0),MATCH(AE$16,'AEA2012 update'!$S$4:$Z$4,0)),INDEX('AEA2012 update'!$K$6:$R$104,MATCH($T68&amp;$U68,'AEA2012 update'!$A$6:$A$104&amp;'AEA2012 update'!$B$6:$B$104,0),MATCH(AE$16,'AEA2012 update'!$S$4:$Z$4,0)))</f>
        <v>820963.00033176108</v>
      </c>
      <c r="AF68" s="1003" cm="1">
        <f t="array" ref="AF68">IF(Y68,INDEX('AEA2012 update'!$K$6:$R$104,MATCH($T68&amp;$R68,'AEA2012 update'!$A$6:$A$104&amp;'AEA2012 update'!$B$6:$B$104,0),MATCH(AF$16,'AEA2012 update'!$S$4:$Z$4,0)),INDEX('AEA2012 update'!$K$6:$R$104,MATCH($T68&amp;$U68,'AEA2012 update'!$A$6:$A$104&amp;'AEA2012 update'!$B$6:$B$104,0),MATCH(AF$16,'AEA2012 update'!$S$4:$Z$4,0)))</f>
        <v>755333.69376548787</v>
      </c>
      <c r="AG68" s="1003" cm="1">
        <f t="array" ref="AG68">IF(Z68,INDEX('AEA2012 update'!$K$6:$R$104,MATCH($T68&amp;$R68,'AEA2012 update'!$A$6:$A$104&amp;'AEA2012 update'!$B$6:$B$104,0),MATCH(AG$16,'AEA2012 update'!$S$4:$Z$4,0)),INDEX('AEA2012 update'!$K$6:$R$104,MATCH($T68&amp;$U68,'AEA2012 update'!$A$6:$A$104&amp;'AEA2012 update'!$B$6:$B$104,0),MATCH(AG$16,'AEA2012 update'!$S$4:$Z$4,0)))</f>
        <v>689704.38719921454</v>
      </c>
      <c r="AH68" s="1003" cm="1">
        <f t="array" ref="AH68">IF(AA68,INDEX('AEA2012 update'!$K$6:$R$104,MATCH($T68&amp;$R68,'AEA2012 update'!$A$6:$A$104&amp;'AEA2012 update'!$B$6:$B$104,0),MATCH(AH$16,'AEA2012 update'!$S$4:$Z$4,0)),INDEX('AEA2012 update'!$K$6:$R$104,MATCH($T68&amp;$U68,'AEA2012 update'!$A$6:$A$104&amp;'AEA2012 update'!$B$6:$B$104,0),MATCH(AH$16,'AEA2012 update'!$S$4:$Z$4,0)))</f>
        <v>696544.23846668703</v>
      </c>
      <c r="AI68" s="1003" cm="1">
        <f t="array" ref="AI68">IF(AB68,INDEX('AEA2012 update'!$K$6:$R$104,MATCH($T68&amp;$R68,'AEA2012 update'!$A$6:$A$104&amp;'AEA2012 update'!$B$6:$B$104,0),MATCH(AI$16,'AEA2012 update'!$S$4:$Z$4,0)),INDEX('AEA2012 update'!$K$6:$R$104,MATCH($T68&amp;$U68,'AEA2012 update'!$A$6:$A$104&amp;'AEA2012 update'!$B$6:$B$104,0),MATCH(AI$16,'AEA2012 update'!$S$4:$Z$4,0)))</f>
        <v>379440.3492948676</v>
      </c>
      <c r="AJ68" s="1003" cm="1">
        <f t="array" ref="AJ68">IF(AC68,INDEX('AEA2012 update'!$K$6:$R$104,MATCH($T68&amp;$R68,'AEA2012 update'!$A$6:$A$104&amp;'AEA2012 update'!$B$6:$B$104,0),MATCH(AJ$16,'AEA2012 update'!$S$4:$Z$4,0)),INDEX('AEA2012 update'!$K$6:$R$104,MATCH($T68&amp;$U68,'AEA2012 update'!$A$6:$A$104&amp;'AEA2012 update'!$B$6:$B$104,0),MATCH(AJ$16,'AEA2012 update'!$S$4:$Z$4,0)))</f>
        <v>387396.22422821133</v>
      </c>
      <c r="AK68" s="1003" t="str">
        <f t="shared" si="13"/>
        <v>LCVELC</v>
      </c>
      <c r="AL68" s="1004">
        <f>INDEX('Vehicle data '!$AD$20:$AD$110,MATCH($AK68,'Vehicle data '!$AC$20:$AC$110,0))/INDEX('Vehicle data '!$AD$20:$AD$110,MATCH($AK$64,'Vehicle data '!$AC$20:$AC$110,0))*AL$64</f>
        <v>1.2132729033983527</v>
      </c>
      <c r="AM68" s="1004">
        <f t="array" ref="AM68">IF($AE$1,AL68*(1+INDEX(AM$1:AM$2,MATCH($O68,$AI$1:$AI$2,0)))^(AM$16-AL$16),INDEX('AEA2012 update'!$AC$6:$AG$104,MATCH($T68&amp;$U68,'AEA2012 update'!$A$6:$A$104&amp;'AEA2012 update'!$B$6:$B$104,0),MATCH(AM$16,'AEA2012 update'!$AC$4:$AG$4,0)))</f>
        <v>1.209636723293595</v>
      </c>
      <c r="AN68" s="1004">
        <f t="array" ref="AN68">IF($AE$1,AM68*(1+INDEX(AN$1:AN$2,MATCH($O68,$AI$1:$AI$2,0)))^(AN$16-AM$16),INDEX('AEA2012 update'!$AC$6:$AG$104,MATCH($T68&amp;$U68,'AEA2012 update'!$A$6:$A$104&amp;'AEA2012 update'!$B$6:$B$104,0),MATCH(AN$16,'AEA2012 update'!$AC$4:$AG$4,0)))</f>
        <v>1.1447294020252792</v>
      </c>
      <c r="AO68" s="1004">
        <f t="array" ref="AO68">IF($AE$1,AN68*(1+INDEX(AO$1:AO$2,MATCH($O68,$AI$1:$AI$2,0)))^(AO$16-AN$16),INDEX('AEA2012 update'!$AC$6:$AG$104,MATCH($T68&amp;$U68,'AEA2012 update'!$A$6:$A$104&amp;'AEA2012 update'!$B$6:$B$104,0),MATCH(AO$16,'AEA2012 update'!$AC$4:$AG$4,0)))</f>
        <v>1.0352727519272098</v>
      </c>
      <c r="AP68" s="1004">
        <f t="array" ref="AP68">IF($AE$1,AO68*(1+INDEX(AP$1:AP$2,MATCH($O68,$AI$1:$AI$2,0)))^(AP$16-AO$16),INDEX('AEA2012 update'!$AC$6:$AG$104,MATCH($T68&amp;$U68,'AEA2012 update'!$A$6:$A$104&amp;'AEA2012 update'!$B$6:$B$104,0),MATCH(AP$16,'AEA2012 update'!$AC$4:$AG$4,0)))</f>
        <v>0.93628211958800511</v>
      </c>
      <c r="AQ68" s="67"/>
      <c r="AR68" s="257">
        <f t="shared" si="10"/>
        <v>-9.9900033333332806E-4</v>
      </c>
      <c r="AS68" s="257">
        <f t="shared" si="11"/>
        <v>-7.5326913841620375E-3</v>
      </c>
      <c r="AY68" s="61" t="str">
        <f t="shared" si="12"/>
        <v>LCV-ELC</v>
      </c>
      <c r="AZ68" s="80" t="e" cm="1">
        <f t="array" aca="1" ref="AZ68" ca="1">AL68/INDIRECT("cv."&amp;LEFT($U68,6)&amp;".hhv.MJL") * 100</f>
        <v>#REF!</v>
      </c>
      <c r="BA68" s="80" t="e" cm="1">
        <f t="array" aca="1" ref="BA68" ca="1">AM68/INDIRECT("cv."&amp;LEFT($U68,6)&amp;".hhv.MJL") * 100</f>
        <v>#REF!</v>
      </c>
      <c r="BB68" s="80" t="e" cm="1">
        <f t="array" aca="1" ref="BB68" ca="1">AN68/INDIRECT("cv."&amp;LEFT($U68,6)&amp;".hhv.MJL") * 100</f>
        <v>#REF!</v>
      </c>
      <c r="BC68" s="80" t="e" cm="1">
        <f t="array" aca="1" ref="BC68" ca="1">AO68/INDIRECT("cv."&amp;LEFT($U68,6)&amp;".hhv.MJL") * 100</f>
        <v>#REF!</v>
      </c>
      <c r="BD68" s="80" t="e" cm="1">
        <f t="array" aca="1" ref="BD68" ca="1">AP68/INDIRECT("cv."&amp;LEFT($U68,6)&amp;".hhv.MJL") * 100</f>
        <v>#REF!</v>
      </c>
    </row>
    <row r="69" spans="1:61" ht="15.75" thickBot="1" x14ac:dyDescent="0.3">
      <c r="A69" s="268" t="s">
        <v>261</v>
      </c>
      <c r="B69" s="269">
        <v>53763</v>
      </c>
      <c r="C69" s="266">
        <f t="shared" si="17"/>
        <v>2.0920301833225935E-2</v>
      </c>
      <c r="N69" s="61" t="s">
        <v>504</v>
      </c>
      <c r="O69" s="61" t="s">
        <v>653</v>
      </c>
      <c r="P69" s="61" t="s">
        <v>63</v>
      </c>
      <c r="Q69" s="61" t="str">
        <f t="shared" si="7"/>
        <v>LCV</v>
      </c>
      <c r="R69" s="61" t="s">
        <v>680</v>
      </c>
      <c r="S69" s="65"/>
      <c r="T69" s="256" t="s">
        <v>701</v>
      </c>
      <c r="U69" s="913" t="s">
        <v>699</v>
      </c>
      <c r="V69" s="921">
        <v>2050</v>
      </c>
      <c r="W69" s="914">
        <f t="shared" ref="W69:AC84" si="18">IF($V69="",0,IF(W$19&gt;=$V69,1,0))</f>
        <v>0</v>
      </c>
      <c r="X69" s="915">
        <f t="shared" si="18"/>
        <v>0</v>
      </c>
      <c r="Y69" s="915">
        <f t="shared" si="18"/>
        <v>0</v>
      </c>
      <c r="Z69" s="915">
        <f t="shared" si="18"/>
        <v>0</v>
      </c>
      <c r="AA69" s="915">
        <f t="shared" si="18"/>
        <v>0</v>
      </c>
      <c r="AB69" s="915">
        <f t="shared" si="18"/>
        <v>0</v>
      </c>
      <c r="AC69" s="916">
        <f t="shared" si="18"/>
        <v>1</v>
      </c>
      <c r="AD69" s="103" cm="1">
        <f t="array" ref="AD69">IF(W69,INDEX('AEA2012 update'!$K$6:$R$104,MATCH($T69&amp;$R69,'AEA2012 update'!$A$6:$A$104&amp;'AEA2012 update'!$B$6:$B$104,0),MATCH(AD$16,'AEA2012 update'!$S$4:$Z$4,0)),INDEX('AEA2012 update'!$K$6:$R$104,MATCH($T69&amp;$U69,'AEA2012 update'!$A$6:$A$104&amp;'AEA2012 update'!$B$6:$B$104,0),MATCH(AD$16,'AEA2012 update'!$S$4:$Z$4,0)))</f>
        <v>4486535.6914122794</v>
      </c>
      <c r="AE69" s="103" cm="1">
        <f t="array" ref="AE69">IF(X69,INDEX('AEA2012 update'!$K$6:$R$104,MATCH($T69&amp;$R69,'AEA2012 update'!$A$6:$A$104&amp;'AEA2012 update'!$B$6:$B$104,0),MATCH(AE$16,'AEA2012 update'!$S$4:$Z$4,0)),INDEX('AEA2012 update'!$K$6:$R$104,MATCH($T69&amp;$U69,'AEA2012 update'!$A$6:$A$104&amp;'AEA2012 update'!$B$6:$B$104,0),MATCH(AE$16,'AEA2012 update'!$S$4:$Z$4,0)))</f>
        <v>1793789.1316594642</v>
      </c>
      <c r="AF69" s="103" cm="1">
        <f t="array" ref="AF69">IF(Y69,INDEX('AEA2012 update'!$K$6:$R$104,MATCH($T69&amp;$R69,'AEA2012 update'!$A$6:$A$104&amp;'AEA2012 update'!$B$6:$B$104,0),MATCH(AF$16,'AEA2012 update'!$S$4:$Z$4,0)),INDEX('AEA2012 update'!$K$6:$R$104,MATCH($T69&amp;$U69,'AEA2012 update'!$A$6:$A$104&amp;'AEA2012 update'!$B$6:$B$104,0),MATCH(AF$16,'AEA2012 update'!$S$4:$Z$4,0)))</f>
        <v>1377038.9964110029</v>
      </c>
      <c r="AG69" s="103" cm="1">
        <f t="array" ref="AG69">IF(Z69,INDEX('AEA2012 update'!$K$6:$R$104,MATCH($T69&amp;$R69,'AEA2012 update'!$A$6:$A$104&amp;'AEA2012 update'!$B$6:$B$104,0),MATCH(AG$16,'AEA2012 update'!$S$4:$Z$4,0)),INDEX('AEA2012 update'!$K$6:$R$104,MATCH($T69&amp;$U69,'AEA2012 update'!$A$6:$A$104&amp;'AEA2012 update'!$B$6:$B$104,0),MATCH(AG$16,'AEA2012 update'!$S$4:$Z$4,0)))</f>
        <v>960288.86116254178</v>
      </c>
      <c r="AH69" s="103" cm="1">
        <f t="array" ref="AH69">IF(AA69,INDEX('AEA2012 update'!$K$6:$R$104,MATCH($T69&amp;$R69,'AEA2012 update'!$A$6:$A$104&amp;'AEA2012 update'!$B$6:$B$104,0),MATCH(AH$16,'AEA2012 update'!$S$4:$Z$4,0)),INDEX('AEA2012 update'!$K$6:$R$104,MATCH($T69&amp;$U69,'AEA2012 update'!$A$6:$A$104&amp;'AEA2012 update'!$B$6:$B$104,0),MATCH(AH$16,'AEA2012 update'!$S$4:$Z$4,0)))</f>
        <v>914456.44042789342</v>
      </c>
      <c r="AI69" s="103" cm="1">
        <f t="array" ref="AI69">IF(AB69,INDEX('AEA2012 update'!$K$6:$R$104,MATCH($T69&amp;$R69,'AEA2012 update'!$A$6:$A$104&amp;'AEA2012 update'!$B$6:$B$104,0),MATCH(AI$16,'AEA2012 update'!$S$4:$Z$4,0)),INDEX('AEA2012 update'!$K$6:$R$104,MATCH($T69&amp;$U69,'AEA2012 update'!$A$6:$A$104&amp;'AEA2012 update'!$B$6:$B$104,0),MATCH(AI$16,'AEA2012 update'!$S$4:$Z$4,0)))</f>
        <v>868624.01969324483</v>
      </c>
      <c r="AJ69" s="103" cm="1">
        <f t="array" ref="AJ69">IF(AC69,INDEX('AEA2012 update'!$K$6:$R$104,MATCH($T69&amp;$R69,'AEA2012 update'!$A$6:$A$104&amp;'AEA2012 update'!$B$6:$B$104,0),MATCH(AJ$16,'AEA2012 update'!$S$4:$Z$4,0)),INDEX('AEA2012 update'!$K$6:$R$104,MATCH($T69&amp;$U69,'AEA2012 update'!$A$6:$A$104&amp;'AEA2012 update'!$B$6:$B$104,0),MATCH(AJ$16,'AEA2012 update'!$S$4:$Z$4,0)))</f>
        <v>387396.22422821133</v>
      </c>
      <c r="AK69" s="103" t="str">
        <f t="shared" si="13"/>
        <v>LCVHGN</v>
      </c>
      <c r="AL69" s="67">
        <f>INDEX('Vehicle data '!$AD$20:$AD$110,MATCH($AK69,'Vehicle data '!$AC$20:$AC$110,0))/INDEX('Vehicle data '!$AD$20:$AD$110,MATCH($AK$64,'Vehicle data '!$AC$20:$AC$110,0))*AL$64</f>
        <v>2.3888839563386695</v>
      </c>
      <c r="AM69" s="67">
        <f t="array" ref="AM69">IF($AE$1,AL69*(1+INDEX(AM$1:AM$2,MATCH($O69,$AI$1:$AI$2,0)))^(AM$16-AL$16),INDEX('AEA2012 update'!$AC$6:$AG$104,MATCH($T69&amp;$U69,'AEA2012 update'!$A$6:$A$104&amp;'AEA2012 update'!$B$6:$B$104,0),MATCH(AM$16,'AEA2012 update'!$AC$4:$AG$4,0)))</f>
        <v>2.3817244687326387</v>
      </c>
      <c r="AN69" s="67">
        <f t="array" ref="AN69">IF($AE$1,AM69*(1+INDEX(AN$1:AN$2,MATCH($O69,$AI$1:$AI$2,0)))^(AN$16-AM$16),INDEX('AEA2012 update'!$AC$6:$AG$104,MATCH($T69&amp;$U69,'AEA2012 update'!$A$6:$A$104&amp;'AEA2012 update'!$B$6:$B$104,0),MATCH(AN$16,'AEA2012 update'!$AC$4:$AG$4,0)))</f>
        <v>2.2539246489291216</v>
      </c>
      <c r="AO69" s="67">
        <f t="array" ref="AO69">IF($AE$1,AN69*(1+INDEX(AO$1:AO$2,MATCH($O69,$AI$1:$AI$2,0)))^(AO$16-AN$16),INDEX('AEA2012 update'!$AC$6:$AG$104,MATCH($T69&amp;$U69,'AEA2012 update'!$A$6:$A$104&amp;'AEA2012 update'!$B$6:$B$104,0),MATCH(AO$16,'AEA2012 update'!$AC$4:$AG$4,0)))</f>
        <v>2.0384090509120099</v>
      </c>
      <c r="AP69" s="67">
        <f t="array" ref="AP69">IF($AE$1,AO69*(1+INDEX(AP$1:AP$2,MATCH($O69,$AI$1:$AI$2,0)))^(AP$16-AO$16),INDEX('AEA2012 update'!$AC$6:$AG$104,MATCH($T69&amp;$U69,'AEA2012 update'!$A$6:$A$104&amp;'AEA2012 update'!$B$6:$B$104,0),MATCH(AP$16,'AEA2012 update'!$AC$4:$AG$4,0)))</f>
        <v>1.8435006071805309</v>
      </c>
      <c r="AQ69" s="67"/>
      <c r="AR69" s="257">
        <f t="shared" si="10"/>
        <v>-9.9900033333331266E-4</v>
      </c>
      <c r="AS69" s="257">
        <f t="shared" si="11"/>
        <v>-7.5326913841620401E-3</v>
      </c>
      <c r="AY69" s="61" t="str">
        <f t="shared" si="12"/>
        <v>LCV-HGN</v>
      </c>
      <c r="AZ69" s="80" t="e" cm="1">
        <f t="array" aca="1" ref="AZ69" ca="1">AL69/INDIRECT("cv."&amp;LEFT($U69,6)&amp;".hhv.MJL") * 100</f>
        <v>#REF!</v>
      </c>
      <c r="BA69" s="80" t="e" cm="1">
        <f t="array" aca="1" ref="BA69" ca="1">AM69/INDIRECT("cv."&amp;LEFT($U69,6)&amp;".hhv.MJL") * 100</f>
        <v>#REF!</v>
      </c>
      <c r="BB69" s="80" t="e" cm="1">
        <f t="array" aca="1" ref="BB69" ca="1">AN69/INDIRECT("cv."&amp;LEFT($U69,6)&amp;".hhv.MJL") * 100</f>
        <v>#REF!</v>
      </c>
      <c r="BC69" s="80" t="e" cm="1">
        <f t="array" aca="1" ref="BC69" ca="1">AO69/INDIRECT("cv."&amp;LEFT($U69,6)&amp;".hhv.MJL") * 100</f>
        <v>#REF!</v>
      </c>
      <c r="BD69" s="80" t="e" cm="1">
        <f t="array" aca="1" ref="BD69" ca="1">AP69/INDIRECT("cv."&amp;LEFT($U69,6)&amp;".hhv.MJL") * 100</f>
        <v>#REF!</v>
      </c>
    </row>
    <row r="70" spans="1:61" ht="15.75" thickBot="1" x14ac:dyDescent="0.3">
      <c r="A70" s="268" t="s">
        <v>259</v>
      </c>
      <c r="B70" s="269">
        <v>12249</v>
      </c>
      <c r="C70" s="266">
        <f t="shared" si="17"/>
        <v>4.7663407390804921E-3</v>
      </c>
      <c r="N70" s="61" t="s">
        <v>509</v>
      </c>
      <c r="O70" s="61" t="s">
        <v>653</v>
      </c>
      <c r="P70" s="61" t="s">
        <v>63</v>
      </c>
      <c r="Q70" s="61" t="str">
        <f t="shared" si="7"/>
        <v>LCV</v>
      </c>
      <c r="R70" s="61" t="s">
        <v>680</v>
      </c>
      <c r="S70" s="65"/>
      <c r="T70" s="256" t="s">
        <v>701</v>
      </c>
      <c r="U70" s="913" t="s">
        <v>700</v>
      </c>
      <c r="V70" s="921"/>
      <c r="W70" s="914">
        <f t="shared" si="18"/>
        <v>0</v>
      </c>
      <c r="X70" s="915">
        <f t="shared" si="18"/>
        <v>0</v>
      </c>
      <c r="Y70" s="915">
        <f t="shared" si="18"/>
        <v>0</v>
      </c>
      <c r="Z70" s="915">
        <f t="shared" si="18"/>
        <v>0</v>
      </c>
      <c r="AA70" s="915">
        <f t="shared" si="18"/>
        <v>0</v>
      </c>
      <c r="AB70" s="915">
        <f t="shared" si="18"/>
        <v>0</v>
      </c>
      <c r="AC70" s="916">
        <f t="shared" si="18"/>
        <v>0</v>
      </c>
      <c r="AD70" s="103" cm="1">
        <f t="array" ref="AD70">IF(W70,INDEX('AEA2012 update'!$K$6:$R$104,MATCH($T70&amp;$R70,'AEA2012 update'!$A$6:$A$104&amp;'AEA2012 update'!$B$6:$B$104,0),MATCH(AD$16,'AEA2012 update'!$S$4:$Z$4,0)),INDEX('AEA2012 update'!$K$6:$R$104,MATCH($T70&amp;$U70,'AEA2012 update'!$A$6:$A$104&amp;'AEA2012 update'!$B$6:$B$104,0),MATCH(AD$16,'AEA2012 update'!$S$4:$Z$4,0)))</f>
        <v>519120.41439989489</v>
      </c>
      <c r="AE70" s="103" cm="1">
        <f t="array" ref="AE70">IF(X70,INDEX('AEA2012 update'!$K$6:$R$104,MATCH($T70&amp;$R70,'AEA2012 update'!$A$6:$A$104&amp;'AEA2012 update'!$B$6:$B$104,0),MATCH(AE$16,'AEA2012 update'!$S$4:$Z$4,0)),INDEX('AEA2012 update'!$K$6:$R$104,MATCH($T70&amp;$U70,'AEA2012 update'!$A$6:$A$104&amp;'AEA2012 update'!$B$6:$B$104,0),MATCH(AE$16,'AEA2012 update'!$S$4:$Z$4,0)))</f>
        <v>545626.74611489451</v>
      </c>
      <c r="AF70" s="103" cm="1">
        <f t="array" ref="AF70">IF(Y70,INDEX('AEA2012 update'!$K$6:$R$104,MATCH($T70&amp;$R70,'AEA2012 update'!$A$6:$A$104&amp;'AEA2012 update'!$B$6:$B$104,0),MATCH(AF$16,'AEA2012 update'!$S$4:$Z$4,0)),INDEX('AEA2012 update'!$K$6:$R$104,MATCH($T70&amp;$U70,'AEA2012 update'!$A$6:$A$104&amp;'AEA2012 update'!$B$6:$B$104,0),MATCH(AF$16,'AEA2012 update'!$S$4:$Z$4,0)))</f>
        <v>551370.12411759188</v>
      </c>
      <c r="AG70" s="103" cm="1">
        <f t="array" ref="AG70">IF(Z70,INDEX('AEA2012 update'!$K$6:$R$104,MATCH($T70&amp;$R70,'AEA2012 update'!$A$6:$A$104&amp;'AEA2012 update'!$B$6:$B$104,0),MATCH(AG$16,'AEA2012 update'!$S$4:$Z$4,0)),INDEX('AEA2012 update'!$K$6:$R$104,MATCH($T70&amp;$U70,'AEA2012 update'!$A$6:$A$104&amp;'AEA2012 update'!$B$6:$B$104,0),MATCH(AG$16,'AEA2012 update'!$S$4:$Z$4,0)))</f>
        <v>557113.50212028937</v>
      </c>
      <c r="AH70" s="103" cm="1">
        <f t="array" ref="AH70">IF(AA70,INDEX('AEA2012 update'!$K$6:$R$104,MATCH($T70&amp;$R70,'AEA2012 update'!$A$6:$A$104&amp;'AEA2012 update'!$B$6:$B$104,0),MATCH(AH$16,'AEA2012 update'!$S$4:$Z$4,0)),INDEX('AEA2012 update'!$K$6:$R$104,MATCH($T70&amp;$U70,'AEA2012 update'!$A$6:$A$104&amp;'AEA2012 update'!$B$6:$B$104,0),MATCH(AH$16,'AEA2012 update'!$S$4:$Z$4,0)))</f>
        <v>565345.03849646868</v>
      </c>
      <c r="AI70" s="103" cm="1">
        <f t="array" ref="AI70">IF(AB70,INDEX('AEA2012 update'!$K$6:$R$104,MATCH($T70&amp;$R70,'AEA2012 update'!$A$6:$A$104&amp;'AEA2012 update'!$B$6:$B$104,0),MATCH(AI$16,'AEA2012 update'!$S$4:$Z$4,0)),INDEX('AEA2012 update'!$K$6:$R$104,MATCH($T70&amp;$U70,'AEA2012 update'!$A$6:$A$104&amp;'AEA2012 update'!$B$6:$B$104,0),MATCH(AI$16,'AEA2012 update'!$S$4:$Z$4,0)))</f>
        <v>573576.57487264799</v>
      </c>
      <c r="AJ70" s="103" cm="1">
        <f t="array" ref="AJ70">IF(AC70,INDEX('AEA2012 update'!$K$6:$R$104,MATCH($T70&amp;$R70,'AEA2012 update'!$A$6:$A$104&amp;'AEA2012 update'!$B$6:$B$104,0),MATCH(AJ$16,'AEA2012 update'!$S$4:$Z$4,0)),INDEX('AEA2012 update'!$K$6:$R$104,MATCH($T70&amp;$U70,'AEA2012 update'!$A$6:$A$104&amp;'AEA2012 update'!$B$6:$B$104,0),MATCH(AJ$16,'AEA2012 update'!$S$4:$Z$4,0)))</f>
        <v>580795.72210982675</v>
      </c>
      <c r="AK70" s="103" t="str">
        <f t="shared" si="13"/>
        <v>LCVGAS</v>
      </c>
      <c r="AL70" s="67">
        <f>INDEX('Vehicle data '!$AD$20:$AD$110,MATCH($AK70,'Vehicle data '!$AC$20:$AC$110,0))/INDEX('Vehicle data '!$AD$20:$AD$110,MATCH($AK$64,'Vehicle data '!$AC$20:$AC$110,0))*AL$64</f>
        <v>5.6887085731586442</v>
      </c>
      <c r="AM70" s="67">
        <f t="array" ref="AM70">IF($AE$1,AL70*(1+INDEX(AM$1:AM$2,MATCH($O70,$AI$1:$AI$2,0)))^(AM$16-AL$16),INDEX('AEA2012 update'!$AC$6:$AG$104,MATCH($T70&amp;$U70,'AEA2012 update'!$A$6:$A$104&amp;'AEA2012 update'!$B$6:$B$104,0),MATCH(AM$16,'AEA2012 update'!$AC$4:$AG$4,0)))</f>
        <v>5.6716595078761793</v>
      </c>
      <c r="AN70" s="67">
        <f t="array" ref="AN70">IF($AE$1,AM70*(1+INDEX(AN$1:AN$2,MATCH($O70,$AI$1:$AI$2,0)))^(AN$16-AM$16),INDEX('AEA2012 update'!$AC$6:$AG$104,MATCH($T70&amp;$U70,'AEA2012 update'!$A$6:$A$104&amp;'AEA2012 update'!$B$6:$B$104,0),MATCH(AN$16,'AEA2012 update'!$AC$4:$AG$4,0)))</f>
        <v>5.3673266294894617</v>
      </c>
      <c r="AO70" s="67">
        <f t="array" ref="AO70">IF($AE$1,AN70*(1+INDEX(AO$1:AO$2,MATCH($O70,$AI$1:$AI$2,0)))^(AO$16-AN$16),INDEX('AEA2012 update'!$AC$6:$AG$104,MATCH($T70&amp;$U70,'AEA2012 update'!$A$6:$A$104&amp;'AEA2012 update'!$B$6:$B$104,0),MATCH(AO$16,'AEA2012 update'!$AC$4:$AG$4,0)))</f>
        <v>4.8541139944276912</v>
      </c>
      <c r="AP70" s="67">
        <f t="array" ref="AP70">IF($AE$1,AO70*(1+INDEX(AP$1:AP$2,MATCH($O70,$AI$1:$AI$2,0)))^(AP$16-AO$16),INDEX('AEA2012 update'!$AC$6:$AG$104,MATCH($T70&amp;$U70,'AEA2012 update'!$A$6:$A$104&amp;'AEA2012 update'!$B$6:$B$104,0),MATCH(AP$16,'AEA2012 update'!$AC$4:$AG$4,0)))</f>
        <v>4.3899736866097907</v>
      </c>
      <c r="AQ70" s="67"/>
      <c r="AR70" s="257">
        <f t="shared" si="10"/>
        <v>-9.9900033333332329E-4</v>
      </c>
      <c r="AS70" s="257">
        <f t="shared" si="11"/>
        <v>-7.5326913841620418E-3</v>
      </c>
      <c r="AY70" s="61" t="str">
        <f t="shared" si="12"/>
        <v>LCV-GAS</v>
      </c>
      <c r="AZ70" s="80" t="e" cm="1">
        <f t="array" aca="1" ref="AZ70" ca="1">AL70/INDIRECT("cv."&amp;LEFT($U70,6)&amp;".hhv.MJL") * 100</f>
        <v>#REF!</v>
      </c>
      <c r="BA70" s="80" t="e" cm="1">
        <f t="array" aca="1" ref="BA70" ca="1">AM70/INDIRECT("cv."&amp;LEFT($U70,6)&amp;".hhv.MJL") * 100</f>
        <v>#REF!</v>
      </c>
      <c r="BB70" s="80" t="e" cm="1">
        <f t="array" aca="1" ref="BB70" ca="1">AN70/INDIRECT("cv."&amp;LEFT($U70,6)&amp;".hhv.MJL") * 100</f>
        <v>#REF!</v>
      </c>
      <c r="BC70" s="80" t="e" cm="1">
        <f t="array" aca="1" ref="BC70" ca="1">AO70/INDIRECT("cv."&amp;LEFT($U70,6)&amp;".hhv.MJL") * 100</f>
        <v>#REF!</v>
      </c>
      <c r="BD70" s="80" t="e" cm="1">
        <f t="array" aca="1" ref="BD70" ca="1">AP70/INDIRECT("cv."&amp;LEFT($U70,6)&amp;".hhv.MJL") * 100</f>
        <v>#REF!</v>
      </c>
    </row>
    <row r="71" spans="1:61" ht="15.75" thickBot="1" x14ac:dyDescent="0.3">
      <c r="A71" s="268" t="s">
        <v>257</v>
      </c>
      <c r="B71" s="269">
        <v>5146</v>
      </c>
      <c r="C71" s="266">
        <f t="shared" si="17"/>
        <v>2.0024156619567485E-3</v>
      </c>
      <c r="O71" s="61" t="s">
        <v>653</v>
      </c>
      <c r="Q71" s="61" t="str">
        <f t="shared" si="7"/>
        <v/>
      </c>
      <c r="S71" s="65"/>
      <c r="T71" s="256"/>
      <c r="U71" s="260"/>
      <c r="V71" s="921"/>
      <c r="W71" s="914">
        <f t="shared" si="18"/>
        <v>0</v>
      </c>
      <c r="X71" s="915">
        <f t="shared" si="18"/>
        <v>0</v>
      </c>
      <c r="Y71" s="915">
        <f t="shared" si="18"/>
        <v>0</v>
      </c>
      <c r="Z71" s="915">
        <f t="shared" si="18"/>
        <v>0</v>
      </c>
      <c r="AA71" s="915">
        <f t="shared" si="18"/>
        <v>0</v>
      </c>
      <c r="AB71" s="915">
        <f t="shared" si="18"/>
        <v>0</v>
      </c>
      <c r="AC71" s="916">
        <f t="shared" si="18"/>
        <v>0</v>
      </c>
      <c r="AD71" s="103" t="e" cm="1">
        <f t="array" ref="AD71">IF(W71,INDEX('AEA2012 update'!$K$6:$R$104,MATCH($T71&amp;$R71,'AEA2012 update'!$A$6:$A$104&amp;'AEA2012 update'!$B$6:$B$104,0),MATCH(AD$16,'AEA2012 update'!$S$4:$Z$4,0)),INDEX('AEA2012 update'!$K$6:$R$104,MATCH($T71&amp;$U71,'AEA2012 update'!$A$6:$A$104&amp;'AEA2012 update'!$B$6:$B$104,0),MATCH(AD$16,'AEA2012 update'!$S$4:$Z$4,0)))</f>
        <v>#N/A</v>
      </c>
      <c r="AE71" s="103" t="e" cm="1">
        <f t="array" ref="AE71">IF(X71,INDEX('AEA2012 update'!$K$6:$R$104,MATCH($T71&amp;$R71,'AEA2012 update'!$A$6:$A$104&amp;'AEA2012 update'!$B$6:$B$104,0),MATCH(AE$16,'AEA2012 update'!$S$4:$Z$4,0)),INDEX('AEA2012 update'!$K$6:$R$104,MATCH($T71&amp;$U71,'AEA2012 update'!$A$6:$A$104&amp;'AEA2012 update'!$B$6:$B$104,0),MATCH(AE$16,'AEA2012 update'!$S$4:$Z$4,0)))</f>
        <v>#N/A</v>
      </c>
      <c r="AF71" s="103" t="e" cm="1">
        <f t="array" ref="AF71">IF(Y71,INDEX('AEA2012 update'!$K$6:$R$104,MATCH($T71&amp;$R71,'AEA2012 update'!$A$6:$A$104&amp;'AEA2012 update'!$B$6:$B$104,0),MATCH(AF$16,'AEA2012 update'!$S$4:$Z$4,0)),INDEX('AEA2012 update'!$K$6:$R$104,MATCH($T71&amp;$U71,'AEA2012 update'!$A$6:$A$104&amp;'AEA2012 update'!$B$6:$B$104,0),MATCH(AF$16,'AEA2012 update'!$S$4:$Z$4,0)))</f>
        <v>#N/A</v>
      </c>
      <c r="AG71" s="103" t="e" cm="1">
        <f t="array" ref="AG71">IF(Z71,INDEX('AEA2012 update'!$K$6:$R$104,MATCH($T71&amp;$R71,'AEA2012 update'!$A$6:$A$104&amp;'AEA2012 update'!$B$6:$B$104,0),MATCH(AG$16,'AEA2012 update'!$S$4:$Z$4,0)),INDEX('AEA2012 update'!$K$6:$R$104,MATCH($T71&amp;$U71,'AEA2012 update'!$A$6:$A$104&amp;'AEA2012 update'!$B$6:$B$104,0),MATCH(AG$16,'AEA2012 update'!$S$4:$Z$4,0)))</f>
        <v>#N/A</v>
      </c>
      <c r="AH71" s="103" t="e" cm="1">
        <f t="array" ref="AH71">IF(AA71,INDEX('AEA2012 update'!$K$6:$R$104,MATCH($T71&amp;$R71,'AEA2012 update'!$A$6:$A$104&amp;'AEA2012 update'!$B$6:$B$104,0),MATCH(AH$16,'AEA2012 update'!$S$4:$Z$4,0)),INDEX('AEA2012 update'!$K$6:$R$104,MATCH($T71&amp;$U71,'AEA2012 update'!$A$6:$A$104&amp;'AEA2012 update'!$B$6:$B$104,0),MATCH(AH$16,'AEA2012 update'!$S$4:$Z$4,0)))</f>
        <v>#N/A</v>
      </c>
      <c r="AI71" s="103" t="e" cm="1">
        <f t="array" ref="AI71">IF(AB71,INDEX('AEA2012 update'!$K$6:$R$104,MATCH($T71&amp;$R71,'AEA2012 update'!$A$6:$A$104&amp;'AEA2012 update'!$B$6:$B$104,0),MATCH(AI$16,'AEA2012 update'!$S$4:$Z$4,0)),INDEX('AEA2012 update'!$K$6:$R$104,MATCH($T71&amp;$U71,'AEA2012 update'!$A$6:$A$104&amp;'AEA2012 update'!$B$6:$B$104,0),MATCH(AI$16,'AEA2012 update'!$S$4:$Z$4,0)))</f>
        <v>#N/A</v>
      </c>
      <c r="AJ71" s="103" t="e" cm="1">
        <f t="array" ref="AJ71">IF(AC71,INDEX('AEA2012 update'!$K$6:$R$104,MATCH($T71&amp;$R71,'AEA2012 update'!$A$6:$A$104&amp;'AEA2012 update'!$B$6:$B$104,0),MATCH(AJ$16,'AEA2012 update'!$S$4:$Z$4,0)),INDEX('AEA2012 update'!$K$6:$R$104,MATCH($T71&amp;$U71,'AEA2012 update'!$A$6:$A$104&amp;'AEA2012 update'!$B$6:$B$104,0),MATCH(AJ$16,'AEA2012 update'!$S$4:$Z$4,0)))</f>
        <v>#N/A</v>
      </c>
      <c r="AK71" s="103" t="str">
        <f t="shared" si="13"/>
        <v/>
      </c>
      <c r="AL71" s="67" t="e">
        <f>1/INDEX(Analytica!$AA$17:$AE$48,MATCH($AK71,Analytica!$A$17:$A$48,0),MATCH(AL$16,Analytica!$AA$16:$AE$16,0))</f>
        <v>#N/A</v>
      </c>
      <c r="AM71" s="67" t="e">
        <f t="array" ref="AM71">IF($AE$1,AL71*(1+INDEX(AM$1:AM$2,MATCH($O71,$AI$1:$AI$2,0)))^(AM$16-AL$16),INDEX('AEA2012 update'!$AC$6:$AG$104,MATCH($T71&amp;$U71,'AEA2012 update'!$A$6:$A$104&amp;'AEA2012 update'!$B$6:$B$104,0),MATCH(AM$16,'AEA2012 update'!$AC$4:$AG$4,0)))</f>
        <v>#N/A</v>
      </c>
      <c r="AN71" s="67" t="e">
        <f t="array" ref="AN71">IF($AE$1,AM71*(1+INDEX(AN$1:AN$2,MATCH($O71,$AI$1:$AI$2,0)))^(AN$16-AM$16),INDEX('AEA2012 update'!$AC$6:$AG$104,MATCH($T71&amp;$U71,'AEA2012 update'!$A$6:$A$104&amp;'AEA2012 update'!$B$6:$B$104,0),MATCH(AN$16,'AEA2012 update'!$AC$4:$AG$4,0)))</f>
        <v>#N/A</v>
      </c>
      <c r="AO71" s="67" t="e">
        <f t="array" ref="AO71">IF($AE$1,AN71*(1+INDEX(AO$1:AO$2,MATCH($O71,$AI$1:$AI$2,0)))^(AO$16-AN$16),INDEX('AEA2012 update'!$AC$6:$AG$104,MATCH($T71&amp;$U71,'AEA2012 update'!$A$6:$A$104&amp;'AEA2012 update'!$B$6:$B$104,0),MATCH(AO$16,'AEA2012 update'!$AC$4:$AG$4,0)))</f>
        <v>#N/A</v>
      </c>
      <c r="AP71" s="67" t="e">
        <f t="array" ref="AP71">IF($AE$1,AO71*(1+INDEX(AP$1:AP$2,MATCH($O71,$AI$1:$AI$2,0)))^(AP$16-AO$16),INDEX('AEA2012 update'!$AC$6:$AG$104,MATCH($T71&amp;$U71,'AEA2012 update'!$A$6:$A$104&amp;'AEA2012 update'!$B$6:$B$104,0),MATCH(AP$16,'AEA2012 update'!$AC$4:$AG$4,0)))</f>
        <v>#N/A</v>
      </c>
      <c r="AQ71" s="67"/>
      <c r="AR71" s="257" t="e">
        <f t="shared" si="10"/>
        <v>#N/A</v>
      </c>
      <c r="AS71" s="257" t="e">
        <f t="shared" si="11"/>
        <v>#N/A</v>
      </c>
      <c r="AY71" s="61" t="str">
        <f t="shared" si="12"/>
        <v>-</v>
      </c>
      <c r="AZ71" s="80" t="e" cm="1">
        <f t="array" aca="1" ref="AZ71" ca="1">AL71/INDIRECT("cv."&amp;LEFT($U71,6)&amp;".hhv.MJL") * 100</f>
        <v>#N/A</v>
      </c>
      <c r="BA71" s="80" t="e" cm="1">
        <f t="array" aca="1" ref="BA71" ca="1">AM71/INDIRECT("cv."&amp;LEFT($U71,6)&amp;".hhv.MJL") * 100</f>
        <v>#N/A</v>
      </c>
      <c r="BB71" s="80" t="e" cm="1">
        <f t="array" aca="1" ref="BB71" ca="1">AN71/INDIRECT("cv."&amp;LEFT($U71,6)&amp;".hhv.MJL") * 100</f>
        <v>#N/A</v>
      </c>
      <c r="BC71" s="80" t="e" cm="1">
        <f t="array" aca="1" ref="BC71" ca="1">AO71/INDIRECT("cv."&amp;LEFT($U71,6)&amp;".hhv.MJL") * 100</f>
        <v>#N/A</v>
      </c>
      <c r="BD71" s="80" t="e" cm="1">
        <f t="array" aca="1" ref="BD71" ca="1">AP71/INDIRECT("cv."&amp;LEFT($U71,6)&amp;".hhv.MJL") * 100</f>
        <v>#N/A</v>
      </c>
    </row>
    <row r="72" spans="1:61" ht="15.75" thickBot="1" x14ac:dyDescent="0.3">
      <c r="A72" s="268" t="s">
        <v>255</v>
      </c>
      <c r="B72" s="269">
        <v>74175</v>
      </c>
      <c r="C72" s="266">
        <f t="shared" si="17"/>
        <v>2.8863035702612089E-2</v>
      </c>
      <c r="N72" s="61" t="s">
        <v>511</v>
      </c>
      <c r="O72" s="61" t="s">
        <v>653</v>
      </c>
      <c r="P72" s="61" t="s">
        <v>724</v>
      </c>
      <c r="Q72" s="61" t="str">
        <f t="shared" si="7"/>
        <v>CV1</v>
      </c>
      <c r="R72" s="61" t="s">
        <v>687</v>
      </c>
      <c r="S72" s="65"/>
      <c r="T72" s="256" t="s">
        <v>725</v>
      </c>
      <c r="U72" s="913" t="s">
        <v>687</v>
      </c>
      <c r="V72" s="921">
        <v>2025</v>
      </c>
      <c r="W72" s="914">
        <f t="shared" si="18"/>
        <v>0</v>
      </c>
      <c r="X72" s="915">
        <f t="shared" si="18"/>
        <v>0</v>
      </c>
      <c r="Y72" s="915">
        <f t="shared" si="18"/>
        <v>1</v>
      </c>
      <c r="Z72" s="915">
        <f t="shared" si="18"/>
        <v>1</v>
      </c>
      <c r="AA72" s="915">
        <f t="shared" si="18"/>
        <v>1</v>
      </c>
      <c r="AB72" s="915">
        <f t="shared" si="18"/>
        <v>1</v>
      </c>
      <c r="AC72" s="916">
        <f t="shared" si="18"/>
        <v>1</v>
      </c>
      <c r="AD72" s="103" cm="1">
        <f t="array" ref="AD72">IF(W72,INDEX('AEA2012 update'!$K$6:$R$104,MATCH($T72&amp;$R72,'AEA2012 update'!$A$6:$A$104&amp;'AEA2012 update'!$B$6:$B$104,0),MATCH(AD$16,'AEA2012 update'!$S$4:$Z$4,0)),INDEX('AEA2012 update'!$K$6:$R$104,MATCH($T72&amp;$U72,'AEA2012 update'!$A$6:$A$104&amp;'AEA2012 update'!$B$6:$B$104,0),MATCH(AD$16,'AEA2012 update'!$S$4:$Z$4,0)))</f>
        <v>396204.1631410002</v>
      </c>
      <c r="AE72" s="923">
        <f>(AD72-AF72)/3*2+AD72</f>
        <v>402001.66891362699</v>
      </c>
      <c r="AF72" s="923">
        <f t="shared" ref="AF72:AJ72" si="19">AF73</f>
        <v>387507.90448206</v>
      </c>
      <c r="AG72" s="923">
        <f t="shared" si="19"/>
        <v>399392.53951289022</v>
      </c>
      <c r="AH72" s="923">
        <f t="shared" si="19"/>
        <v>410035.42818395526</v>
      </c>
      <c r="AI72" s="923">
        <f t="shared" si="19"/>
        <v>420678.31685502018</v>
      </c>
      <c r="AJ72" s="923">
        <f t="shared" si="19"/>
        <v>434654.42291837675</v>
      </c>
      <c r="AK72" s="103" t="str">
        <f t="shared" si="13"/>
        <v>CV1ODS</v>
      </c>
      <c r="AL72" s="67">
        <f>1/INDEX(Analytica!$AA$17:$AE$48,MATCH($AK72,Analytica!$A$17:$A$48,0),MATCH(AL$16,Analytica!$AA$16:$AE$16,0))</f>
        <v>5.8711571257638555</v>
      </c>
      <c r="AM72" s="67">
        <f t="array" ref="AM72">IF($AE$1,AL72*(1+INDEX(AM$1:AM$2,MATCH($O72,$AI$1:$AI$2,0)))^(AM$16-AL$16),INDEX('AEA2012 update'!$AC$6:$AG$104,MATCH($T72&amp;$U72,'AEA2012 update'!$A$6:$A$104&amp;'AEA2012 update'!$B$6:$B$104,0),MATCH(AM$16,'AEA2012 update'!$AC$4:$AG$4,0)))</f>
        <v>5.8535612619867843</v>
      </c>
      <c r="AN72" s="67">
        <f t="array" ref="AN72">IF($AE$1,AM72*(1+INDEX(AN$1:AN$2,MATCH($O72,$AI$1:$AI$2,0)))^(AN$16-AM$16),INDEX('AEA2012 update'!$AC$6:$AG$104,MATCH($T72&amp;$U72,'AEA2012 update'!$A$6:$A$104&amp;'AEA2012 update'!$B$6:$B$104,0),MATCH(AN$16,'AEA2012 update'!$AC$4:$AG$4,0)))</f>
        <v>5.539467803943408</v>
      </c>
      <c r="AO72" s="67">
        <f t="array" ref="AO72">IF($AE$1,AN72*(1+INDEX(AO$1:AO$2,MATCH($O72,$AI$1:$AI$2,0)))^(AO$16-AN$16),INDEX('AEA2012 update'!$AC$6:$AG$104,MATCH($T72&amp;$U72,'AEA2012 update'!$A$6:$A$104&amp;'AEA2012 update'!$B$6:$B$104,0),MATCH(AO$16,'AEA2012 update'!$AC$4:$AG$4,0)))</f>
        <v>5.0097953869748038</v>
      </c>
      <c r="AP72" s="67">
        <f t="array" ref="AP72">IF($AE$1,AO72*(1+INDEX(AP$1:AP$2,MATCH($O72,$AI$1:$AI$2,0)))^(AP$16-AO$16),INDEX('AEA2012 update'!$AC$6:$AG$104,MATCH($T72&amp;$U72,'AEA2012 update'!$A$6:$A$104&amp;'AEA2012 update'!$B$6:$B$104,0),MATCH(AP$16,'AEA2012 update'!$AC$4:$AG$4,0)))</f>
        <v>4.5307691474418084</v>
      </c>
      <c r="AQ72" s="67"/>
      <c r="AR72" s="257">
        <f t="shared" si="10"/>
        <v>-9.9900033333332372E-4</v>
      </c>
      <c r="AS72" s="257">
        <f t="shared" si="11"/>
        <v>-7.5326913841620409E-3</v>
      </c>
      <c r="AY72" s="61" t="str">
        <f t="shared" si="12"/>
        <v>HCV1-ODS</v>
      </c>
      <c r="AZ72" s="80" t="e" cm="1">
        <f t="array" aca="1" ref="AZ72" ca="1">AL72/INDIRECT("cv."&amp;LEFT($U72,6)&amp;".hhv.MJL") * 100</f>
        <v>#REF!</v>
      </c>
      <c r="BA72" s="80" t="e" cm="1">
        <f t="array" aca="1" ref="BA72" ca="1">AM72/INDIRECT("cv."&amp;LEFT($U72,6)&amp;".hhv.MJL") * 100</f>
        <v>#REF!</v>
      </c>
      <c r="BB72" s="80" t="e" cm="1">
        <f t="array" aca="1" ref="BB72" ca="1">AN72/INDIRECT("cv."&amp;LEFT($U72,6)&amp;".hhv.MJL") * 100</f>
        <v>#REF!</v>
      </c>
      <c r="BC72" s="80" t="e" cm="1">
        <f t="array" aca="1" ref="BC72" ca="1">AO72/INDIRECT("cv."&amp;LEFT($U72,6)&amp;".hhv.MJL") * 100</f>
        <v>#REF!</v>
      </c>
      <c r="BD72" s="80" t="e" cm="1">
        <f t="array" aca="1" ref="BD72" ca="1">AP72/INDIRECT("cv."&amp;LEFT($U72,6)&amp;".hhv.MJL") * 100</f>
        <v>#REF!</v>
      </c>
    </row>
    <row r="73" spans="1:61" ht="15.75" thickBot="1" x14ac:dyDescent="0.3">
      <c r="A73" s="268" t="s">
        <v>253</v>
      </c>
      <c r="B73" s="269">
        <v>19406</v>
      </c>
      <c r="C73" s="266">
        <f t="shared" si="17"/>
        <v>7.5512783396682204E-3</v>
      </c>
      <c r="N73" s="61" t="s">
        <v>573</v>
      </c>
      <c r="O73" s="61" t="s">
        <v>653</v>
      </c>
      <c r="P73" s="61" t="s">
        <v>724</v>
      </c>
      <c r="Q73" s="61" t="str">
        <f t="shared" si="7"/>
        <v>CV1</v>
      </c>
      <c r="R73" s="61" t="s">
        <v>687</v>
      </c>
      <c r="S73" s="65"/>
      <c r="T73" s="256" t="s">
        <v>725</v>
      </c>
      <c r="U73" s="913" t="s">
        <v>680</v>
      </c>
      <c r="V73" s="921"/>
      <c r="W73" s="914">
        <f t="shared" si="18"/>
        <v>0</v>
      </c>
      <c r="X73" s="915">
        <f t="shared" si="18"/>
        <v>0</v>
      </c>
      <c r="Y73" s="915">
        <f t="shared" si="18"/>
        <v>0</v>
      </c>
      <c r="Z73" s="915">
        <f t="shared" si="18"/>
        <v>0</v>
      </c>
      <c r="AA73" s="915">
        <f t="shared" si="18"/>
        <v>0</v>
      </c>
      <c r="AB73" s="915">
        <f t="shared" si="18"/>
        <v>0</v>
      </c>
      <c r="AC73" s="916">
        <f t="shared" si="18"/>
        <v>0</v>
      </c>
      <c r="AD73" s="103" cm="1">
        <f t="array" ref="AD73">IF(W73,INDEX('AEA2012 update'!$K$6:$R$104,MATCH($T73&amp;$R73,'AEA2012 update'!$A$6:$A$104&amp;'AEA2012 update'!$B$6:$B$104,0),MATCH(AD$16,'AEA2012 update'!$S$4:$Z$4,0)),INDEX('AEA2012 update'!$K$6:$R$104,MATCH($T73&amp;$U73,'AEA2012 update'!$A$6:$A$104&amp;'AEA2012 update'!$B$6:$B$104,0),MATCH(AD$16,'AEA2012 update'!$S$4:$Z$4,0)))</f>
        <v>312164.0168491315</v>
      </c>
      <c r="AE73" s="103" cm="1">
        <f t="array" ref="AE73">IF(X73,INDEX('AEA2012 update'!$K$6:$R$104,MATCH($T73&amp;$R73,'AEA2012 update'!$A$6:$A$104&amp;'AEA2012 update'!$B$6:$B$104,0),MATCH(AE$16,'AEA2012 update'!$S$4:$Z$4,0)),INDEX('AEA2012 update'!$K$6:$R$104,MATCH($T73&amp;$U73,'AEA2012 update'!$A$6:$A$104&amp;'AEA2012 update'!$B$6:$B$104,0),MATCH(AE$16,'AEA2012 update'!$S$4:$Z$4,0)))</f>
        <v>375623.26945122989</v>
      </c>
      <c r="AF73" s="103" cm="1">
        <f t="array" ref="AF73">IF(Y73,INDEX('AEA2012 update'!$K$6:$R$104,MATCH($T73&amp;$R73,'AEA2012 update'!$A$6:$A$104&amp;'AEA2012 update'!$B$6:$B$104,0),MATCH(AF$16,'AEA2012 update'!$S$4:$Z$4,0)),INDEX('AEA2012 update'!$K$6:$R$104,MATCH($T73&amp;$U73,'AEA2012 update'!$A$6:$A$104&amp;'AEA2012 update'!$B$6:$B$104,0),MATCH(AF$16,'AEA2012 update'!$S$4:$Z$4,0)))</f>
        <v>387507.90448206</v>
      </c>
      <c r="AG73" s="103" cm="1">
        <f t="array" ref="AG73">IF(Z73,INDEX('AEA2012 update'!$K$6:$R$104,MATCH($T73&amp;$R73,'AEA2012 update'!$A$6:$A$104&amp;'AEA2012 update'!$B$6:$B$104,0),MATCH(AG$16,'AEA2012 update'!$S$4:$Z$4,0)),INDEX('AEA2012 update'!$K$6:$R$104,MATCH($T73&amp;$U73,'AEA2012 update'!$A$6:$A$104&amp;'AEA2012 update'!$B$6:$B$104,0),MATCH(AG$16,'AEA2012 update'!$S$4:$Z$4,0)))</f>
        <v>399392.53951289022</v>
      </c>
      <c r="AH73" s="103" cm="1">
        <f t="array" ref="AH73">IF(AA73,INDEX('AEA2012 update'!$K$6:$R$104,MATCH($T73&amp;$R73,'AEA2012 update'!$A$6:$A$104&amp;'AEA2012 update'!$B$6:$B$104,0),MATCH(AH$16,'AEA2012 update'!$S$4:$Z$4,0)),INDEX('AEA2012 update'!$K$6:$R$104,MATCH($T73&amp;$U73,'AEA2012 update'!$A$6:$A$104&amp;'AEA2012 update'!$B$6:$B$104,0),MATCH(AH$16,'AEA2012 update'!$S$4:$Z$4,0)))</f>
        <v>410035.42818395526</v>
      </c>
      <c r="AI73" s="103" cm="1">
        <f t="array" ref="AI73">IF(AB73,INDEX('AEA2012 update'!$K$6:$R$104,MATCH($T73&amp;$R73,'AEA2012 update'!$A$6:$A$104&amp;'AEA2012 update'!$B$6:$B$104,0),MATCH(AI$16,'AEA2012 update'!$S$4:$Z$4,0)),INDEX('AEA2012 update'!$K$6:$R$104,MATCH($T73&amp;$U73,'AEA2012 update'!$A$6:$A$104&amp;'AEA2012 update'!$B$6:$B$104,0),MATCH(AI$16,'AEA2012 update'!$S$4:$Z$4,0)))</f>
        <v>420678.31685502018</v>
      </c>
      <c r="AJ73" s="103" cm="1">
        <f t="array" ref="AJ73">IF(AC73,INDEX('AEA2012 update'!$K$6:$R$104,MATCH($T73&amp;$R73,'AEA2012 update'!$A$6:$A$104&amp;'AEA2012 update'!$B$6:$B$104,0),MATCH(AJ$16,'AEA2012 update'!$S$4:$Z$4,0)),INDEX('AEA2012 update'!$K$6:$R$104,MATCH($T73&amp;$U73,'AEA2012 update'!$A$6:$A$104&amp;'AEA2012 update'!$B$6:$B$104,0),MATCH(AJ$16,'AEA2012 update'!$S$4:$Z$4,0)))</f>
        <v>434654.42291837675</v>
      </c>
      <c r="AK73" s="103" t="str">
        <f t="shared" si="13"/>
        <v>CV1OGS</v>
      </c>
      <c r="AL73" s="67">
        <f>1/INDEX(Analytica!$AA$17:$AE$48,MATCH($AK73,Analytica!$A$17:$A$48,0),MATCH(AL$16,Analytica!$AA$16:$AE$16,0))</f>
        <v>6.7130154689796147</v>
      </c>
      <c r="AM73" s="67">
        <f t="array" ref="AM73">IF($AE$1,AL73*(1+INDEX(AM$1:AM$2,MATCH($O73,$AI$1:$AI$2,0)))^(AM$16-AL$16),INDEX('AEA2012 update'!$AC$6:$AG$104,MATCH($T73&amp;$U73,'AEA2012 update'!$A$6:$A$104&amp;'AEA2012 update'!$B$6:$B$104,0),MATCH(AM$16,'AEA2012 update'!$AC$4:$AG$4,0)))</f>
        <v>6.6928965549060671</v>
      </c>
      <c r="AN73" s="67">
        <f t="array" ref="AN73">IF($AE$1,AM73*(1+INDEX(AN$1:AN$2,MATCH($O73,$AI$1:$AI$2,0)))^(AN$16-AM$16),INDEX('AEA2012 update'!$AC$6:$AG$104,MATCH($T73&amp;$U73,'AEA2012 update'!$A$6:$A$104&amp;'AEA2012 update'!$B$6:$B$104,0),MATCH(AN$16,'AEA2012 update'!$AC$4:$AG$4,0)))</f>
        <v>6.3337656038201411</v>
      </c>
      <c r="AO73" s="67">
        <f t="array" ref="AO73">IF($AE$1,AN73*(1+INDEX(AO$1:AO$2,MATCH($O73,$AI$1:$AI$2,0)))^(AO$16-AN$16),INDEX('AEA2012 update'!$AC$6:$AG$104,MATCH($T73&amp;$U73,'AEA2012 update'!$A$6:$A$104&amp;'AEA2012 update'!$B$6:$B$104,0),MATCH(AO$16,'AEA2012 update'!$AC$4:$AG$4,0)))</f>
        <v>5.7281440794022513</v>
      </c>
      <c r="AP73" s="67">
        <f t="array" ref="AP73">IF($AE$1,AO73*(1+INDEX(AP$1:AP$2,MATCH($O73,$AI$1:$AI$2,0)))^(AP$16-AO$16),INDEX('AEA2012 update'!$AC$6:$AG$104,MATCH($T73&amp;$U73,'AEA2012 update'!$A$6:$A$104&amp;'AEA2012 update'!$B$6:$B$104,0),MATCH(AP$16,'AEA2012 update'!$AC$4:$AG$4,0)))</f>
        <v>5.1804308284792056</v>
      </c>
      <c r="AQ73" s="67"/>
      <c r="AR73" s="257">
        <f t="shared" si="10"/>
        <v>-9.9900033333334454E-4</v>
      </c>
      <c r="AS73" s="257">
        <f t="shared" si="11"/>
        <v>-7.5326913841620375E-3</v>
      </c>
      <c r="AY73" s="61" t="str">
        <f t="shared" si="12"/>
        <v>HCV1-OGS</v>
      </c>
      <c r="AZ73" s="80" t="e" cm="1">
        <f t="array" aca="1" ref="AZ73" ca="1">AL73/INDIRECT("cv."&amp;LEFT($U73,6)&amp;".hhv.MJL") * 100</f>
        <v>#REF!</v>
      </c>
      <c r="BA73" s="80" t="e" cm="1">
        <f t="array" aca="1" ref="BA73" ca="1">AM73/INDIRECT("cv."&amp;LEFT($U73,6)&amp;".hhv.MJL") * 100</f>
        <v>#REF!</v>
      </c>
      <c r="BB73" s="80" t="e" cm="1">
        <f t="array" aca="1" ref="BB73" ca="1">AN73/INDIRECT("cv."&amp;LEFT($U73,6)&amp;".hhv.MJL") * 100</f>
        <v>#REF!</v>
      </c>
      <c r="BC73" s="80" t="e" cm="1">
        <f t="array" aca="1" ref="BC73" ca="1">AO73/INDIRECT("cv."&amp;LEFT($U73,6)&amp;".hhv.MJL") * 100</f>
        <v>#REF!</v>
      </c>
      <c r="BD73" s="80" t="e" cm="1">
        <f t="array" aca="1" ref="BD73" ca="1">AP73/INDIRECT("cv."&amp;LEFT($U73,6)&amp;".hhv.MJL") * 100</f>
        <v>#REF!</v>
      </c>
    </row>
    <row r="74" spans="1:61" ht="15.75" thickBot="1" x14ac:dyDescent="0.3">
      <c r="A74" s="268" t="s">
        <v>251</v>
      </c>
      <c r="B74" s="269">
        <v>434</v>
      </c>
      <c r="C74" s="266">
        <f t="shared" si="17"/>
        <v>1.688784293216535E-4</v>
      </c>
      <c r="N74" s="61" t="s">
        <v>501</v>
      </c>
      <c r="O74" s="61" t="s">
        <v>653</v>
      </c>
      <c r="P74" s="61" t="s">
        <v>724</v>
      </c>
      <c r="Q74" s="61" t="str">
        <f t="shared" si="7"/>
        <v>CV1</v>
      </c>
      <c r="R74" s="61" t="s">
        <v>687</v>
      </c>
      <c r="S74" s="65"/>
      <c r="T74" s="256" t="s">
        <v>725</v>
      </c>
      <c r="U74" s="913" t="s">
        <v>692</v>
      </c>
      <c r="V74" s="921">
        <v>2040</v>
      </c>
      <c r="W74" s="914">
        <f t="shared" si="18"/>
        <v>0</v>
      </c>
      <c r="X74" s="915">
        <f t="shared" si="18"/>
        <v>0</v>
      </c>
      <c r="Y74" s="915">
        <f t="shared" si="18"/>
        <v>0</v>
      </c>
      <c r="Z74" s="915">
        <f t="shared" si="18"/>
        <v>0</v>
      </c>
      <c r="AA74" s="915">
        <f t="shared" si="18"/>
        <v>0</v>
      </c>
      <c r="AB74" s="915">
        <f t="shared" si="18"/>
        <v>1</v>
      </c>
      <c r="AC74" s="916">
        <f t="shared" si="18"/>
        <v>1</v>
      </c>
      <c r="AD74" s="103" cm="1">
        <f t="array" ref="AD74">IF(W74,INDEX('AEA2012 update'!$K$6:$R$104,MATCH($T74&amp;$R74,'AEA2012 update'!$A$6:$A$104&amp;'AEA2012 update'!$B$6:$B$104,0),MATCH(AD$16,'AEA2012 update'!$S$4:$Z$4,0)),INDEX('AEA2012 update'!$K$6:$R$104,MATCH($T74&amp;$U74,'AEA2012 update'!$A$6:$A$104&amp;'AEA2012 update'!$B$6:$B$104,0),MATCH(AD$16,'AEA2012 update'!$S$4:$Z$4,0)))</f>
        <v>1327792.7757726812</v>
      </c>
      <c r="AE74" s="103" cm="1">
        <f t="array" ref="AE74">IF(X74,INDEX('AEA2012 update'!$K$6:$R$104,MATCH($T74&amp;$R74,'AEA2012 update'!$A$6:$A$104&amp;'AEA2012 update'!$B$6:$B$104,0),MATCH(AE$16,'AEA2012 update'!$S$4:$Z$4,0)),INDEX('AEA2012 update'!$K$6:$R$104,MATCH($T74&amp;$U74,'AEA2012 update'!$A$6:$A$104&amp;'AEA2012 update'!$B$6:$B$104,0),MATCH(AE$16,'AEA2012 update'!$S$4:$Z$4,0)))</f>
        <v>871544.47239677189</v>
      </c>
      <c r="AF74" s="103" cm="1">
        <f t="array" ref="AF74">IF(Y74,INDEX('AEA2012 update'!$K$6:$R$104,MATCH($T74&amp;$R74,'AEA2012 update'!$A$6:$A$104&amp;'AEA2012 update'!$B$6:$B$104,0),MATCH(AF$16,'AEA2012 update'!$S$4:$Z$4,0)),INDEX('AEA2012 update'!$K$6:$R$104,MATCH($T74&amp;$U74,'AEA2012 update'!$A$6:$A$104&amp;'AEA2012 update'!$B$6:$B$104,0),MATCH(AF$16,'AEA2012 update'!$S$4:$Z$4,0)))</f>
        <v>791404.01330598292</v>
      </c>
      <c r="AG74" s="103" cm="1">
        <f t="array" ref="AG74">IF(Z74,INDEX('AEA2012 update'!$K$6:$R$104,MATCH($T74&amp;$R74,'AEA2012 update'!$A$6:$A$104&amp;'AEA2012 update'!$B$6:$B$104,0),MATCH(AG$16,'AEA2012 update'!$S$4:$Z$4,0)),INDEX('AEA2012 update'!$K$6:$R$104,MATCH($T74&amp;$U74,'AEA2012 update'!$A$6:$A$104&amp;'AEA2012 update'!$B$6:$B$104,0),MATCH(AG$16,'AEA2012 update'!$S$4:$Z$4,0)))</f>
        <v>711263.55421519373</v>
      </c>
      <c r="AH74" s="103" cm="1">
        <f t="array" ref="AH74">IF(AA74,INDEX('AEA2012 update'!$K$6:$R$104,MATCH($T74&amp;$R74,'AEA2012 update'!$A$6:$A$104&amp;'AEA2012 update'!$B$6:$B$104,0),MATCH(AH$16,'AEA2012 update'!$S$4:$Z$4,0)),INDEX('AEA2012 update'!$K$6:$R$104,MATCH($T74&amp;$U74,'AEA2012 update'!$A$6:$A$104&amp;'AEA2012 update'!$B$6:$B$104,0),MATCH(AH$16,'AEA2012 update'!$S$4:$Z$4,0)))</f>
        <v>716968.75957082282</v>
      </c>
      <c r="AI74" s="103" cm="1">
        <f t="array" ref="AI74">IF(AB74,INDEX('AEA2012 update'!$K$6:$R$104,MATCH($T74&amp;$R74,'AEA2012 update'!$A$6:$A$104&amp;'AEA2012 update'!$B$6:$B$104,0),MATCH(AI$16,'AEA2012 update'!$S$4:$Z$4,0)),INDEX('AEA2012 update'!$K$6:$R$104,MATCH($T74&amp;$U74,'AEA2012 update'!$A$6:$A$104&amp;'AEA2012 update'!$B$6:$B$104,0),MATCH(AI$16,'AEA2012 update'!$S$4:$Z$4,0)))</f>
        <v>533932.45692908112</v>
      </c>
      <c r="AJ74" s="103" cm="1">
        <f t="array" ref="AJ74">IF(AC74,INDEX('AEA2012 update'!$K$6:$R$104,MATCH($T74&amp;$R74,'AEA2012 update'!$A$6:$A$104&amp;'AEA2012 update'!$B$6:$B$104,0),MATCH(AJ$16,'AEA2012 update'!$S$4:$Z$4,0)),INDEX('AEA2012 update'!$K$6:$R$104,MATCH($T74&amp;$U74,'AEA2012 update'!$A$6:$A$104&amp;'AEA2012 update'!$B$6:$B$104,0),MATCH(AJ$16,'AEA2012 update'!$S$4:$Z$4,0)))</f>
        <v>551671.18115070788</v>
      </c>
      <c r="AK74" s="103" t="str">
        <f t="shared" si="13"/>
        <v>CV1ELC</v>
      </c>
      <c r="AL74" s="67">
        <f>INDEX('Vehicle data '!$AD$20:$AD$110,MATCH($AK74,'Vehicle data '!$AC$20:$AC$110,0))/INDEX('Vehicle data '!$AD$20:$AD$110,MATCH($AK$72,'Vehicle data '!$AC$20:$AC$110,0))*AL$72</f>
        <v>1.7931249014758348</v>
      </c>
      <c r="AM74" s="67">
        <f t="array" ref="AM74">IF($AE$1,AL74*(1+INDEX(AM$1:AM$2,MATCH($O74,$AI$1:$AI$2,0)))^(AM$16-AL$16),INDEX('AEA2012 update'!$AC$6:$AG$104,MATCH($T74&amp;$U74,'AEA2012 update'!$A$6:$A$104&amp;'AEA2012 update'!$B$6:$B$104,0),MATCH(AM$16,'AEA2012 update'!$AC$4:$AG$4,0)))</f>
        <v>1.7877509043529869</v>
      </c>
      <c r="AN74" s="67">
        <f t="array" ref="AN74">IF($AE$1,AM74*(1+INDEX(AN$1:AN$2,MATCH($O74,$AI$1:$AI$2,0)))^(AN$16-AM$16),INDEX('AEA2012 update'!$AC$6:$AG$104,MATCH($T74&amp;$U74,'AEA2012 update'!$A$6:$A$104&amp;'AEA2012 update'!$B$6:$B$104,0),MATCH(AN$16,'AEA2012 update'!$AC$4:$AG$4,0)))</f>
        <v>1.6918228293681161</v>
      </c>
      <c r="AO74" s="67">
        <f t="array" ref="AO74">IF($AE$1,AN74*(1+INDEX(AO$1:AO$2,MATCH($O74,$AI$1:$AI$2,0)))^(AO$16-AN$16),INDEX('AEA2012 update'!$AC$6:$AG$104,MATCH($T74&amp;$U74,'AEA2012 update'!$A$6:$A$104&amp;'AEA2012 update'!$B$6:$B$104,0),MATCH(AO$16,'AEA2012 update'!$AC$4:$AG$4,0)))</f>
        <v>1.530054240971203</v>
      </c>
      <c r="AP74" s="67">
        <f t="array" ref="AP74">IF($AE$1,AO74*(1+INDEX(AP$1:AP$2,MATCH($O74,$AI$1:$AI$2,0)))^(AP$16-AO$16),INDEX('AEA2012 update'!$AC$6:$AG$104,MATCH($T74&amp;$U74,'AEA2012 update'!$A$6:$A$104&amp;'AEA2012 update'!$B$6:$B$104,0),MATCH(AP$16,'AEA2012 update'!$AC$4:$AG$4,0)))</f>
        <v>1.3837536293255577</v>
      </c>
      <c r="AQ74" s="67"/>
      <c r="AR74" s="257">
        <f t="shared" si="10"/>
        <v>-9.9900033333332199E-4</v>
      </c>
      <c r="AS74" s="257">
        <f t="shared" si="11"/>
        <v>-7.5326913841620409E-3</v>
      </c>
      <c r="AY74" s="61" t="str">
        <f t="shared" si="12"/>
        <v>HCV1-ELC</v>
      </c>
      <c r="AZ74" s="80" t="e" cm="1">
        <f t="array" aca="1" ref="AZ74" ca="1">AL74/INDIRECT("cv."&amp;LEFT($U74,6)&amp;".hhv.MJL") * 100</f>
        <v>#REF!</v>
      </c>
      <c r="BA74" s="80" t="e" cm="1">
        <f t="array" aca="1" ref="BA74" ca="1">AM74/INDIRECT("cv."&amp;LEFT($U74,6)&amp;".hhv.MJL") * 100</f>
        <v>#REF!</v>
      </c>
      <c r="BB74" s="80" t="e" cm="1">
        <f t="array" aca="1" ref="BB74" ca="1">AN74/INDIRECT("cv."&amp;LEFT($U74,6)&amp;".hhv.MJL") * 100</f>
        <v>#REF!</v>
      </c>
      <c r="BC74" s="80" t="e" cm="1">
        <f t="array" aca="1" ref="BC74" ca="1">AO74/INDIRECT("cv."&amp;LEFT($U74,6)&amp;".hhv.MJL") * 100</f>
        <v>#REF!</v>
      </c>
      <c r="BD74" s="80" t="e" cm="1">
        <f t="array" aca="1" ref="BD74" ca="1">AP74/INDIRECT("cv."&amp;LEFT($U74,6)&amp;".hhv.MJL") * 100</f>
        <v>#REF!</v>
      </c>
    </row>
    <row r="75" spans="1:61" ht="15.75" thickBot="1" x14ac:dyDescent="0.3">
      <c r="A75" s="268" t="s">
        <v>249</v>
      </c>
      <c r="B75" s="269">
        <v>514</v>
      </c>
      <c r="C75" s="266">
        <f t="shared" si="17"/>
        <v>2.000080937127417E-4</v>
      </c>
      <c r="N75" s="61" t="s">
        <v>504</v>
      </c>
      <c r="O75" s="61" t="s">
        <v>653</v>
      </c>
      <c r="P75" s="61" t="s">
        <v>724</v>
      </c>
      <c r="Q75" s="61" t="str">
        <f t="shared" si="7"/>
        <v>CV1</v>
      </c>
      <c r="R75" s="61" t="s">
        <v>687</v>
      </c>
      <c r="S75" s="65"/>
      <c r="T75" s="256" t="s">
        <v>725</v>
      </c>
      <c r="U75" s="913" t="s">
        <v>699</v>
      </c>
      <c r="V75" s="921">
        <v>2040</v>
      </c>
      <c r="W75" s="914">
        <f t="shared" si="18"/>
        <v>0</v>
      </c>
      <c r="X75" s="915">
        <f t="shared" si="18"/>
        <v>0</v>
      </c>
      <c r="Y75" s="915">
        <f t="shared" si="18"/>
        <v>0</v>
      </c>
      <c r="Z75" s="915">
        <f t="shared" si="18"/>
        <v>0</v>
      </c>
      <c r="AA75" s="915">
        <f t="shared" si="18"/>
        <v>0</v>
      </c>
      <c r="AB75" s="915">
        <f t="shared" si="18"/>
        <v>1</v>
      </c>
      <c r="AC75" s="916">
        <f t="shared" si="18"/>
        <v>1</v>
      </c>
      <c r="AD75" s="103" cm="1">
        <f t="array" ref="AD75">IF(W75,INDEX('AEA2012 update'!$K$6:$R$104,MATCH($T75&amp;$R75,'AEA2012 update'!$A$6:$A$104&amp;'AEA2012 update'!$B$6:$B$104,0),MATCH(AD$16,'AEA2012 update'!$S$4:$Z$4,0)),INDEX('AEA2012 update'!$K$6:$R$104,MATCH($T75&amp;$U75,'AEA2012 update'!$A$6:$A$104&amp;'AEA2012 update'!$B$6:$B$104,0),MATCH(AD$16,'AEA2012 update'!$S$4:$Z$4,0)))</f>
        <v>2522990.6381765995</v>
      </c>
      <c r="AE75" s="103" cm="1">
        <f t="array" ref="AE75">IF(X75,INDEX('AEA2012 update'!$K$6:$R$104,MATCH($T75&amp;$R75,'AEA2012 update'!$A$6:$A$104&amp;'AEA2012 update'!$B$6:$B$104,0),MATCH(AE$16,'AEA2012 update'!$S$4:$Z$4,0)),INDEX('AEA2012 update'!$K$6:$R$104,MATCH($T75&amp;$U75,'AEA2012 update'!$A$6:$A$104&amp;'AEA2012 update'!$B$6:$B$104,0),MATCH(AE$16,'AEA2012 update'!$S$4:$Z$4,0)))</f>
        <v>1080982.7502171779</v>
      </c>
      <c r="AF75" s="103" cm="1">
        <f t="array" ref="AF75">IF(Y75,INDEX('AEA2012 update'!$K$6:$R$104,MATCH($T75&amp;$R75,'AEA2012 update'!$A$6:$A$104&amp;'AEA2012 update'!$B$6:$B$104,0),MATCH(AF$16,'AEA2012 update'!$S$4:$Z$4,0)),INDEX('AEA2012 update'!$K$6:$R$104,MATCH($T75&amp;$U75,'AEA2012 update'!$A$6:$A$104&amp;'AEA2012 update'!$B$6:$B$104,0),MATCH(AF$16,'AEA2012 update'!$S$4:$Z$4,0)))</f>
        <v>851672.91194386315</v>
      </c>
      <c r="AG75" s="103" cm="1">
        <f t="array" ref="AG75">IF(Z75,INDEX('AEA2012 update'!$K$6:$R$104,MATCH($T75&amp;$R75,'AEA2012 update'!$A$6:$A$104&amp;'AEA2012 update'!$B$6:$B$104,0),MATCH(AG$16,'AEA2012 update'!$S$4:$Z$4,0)),INDEX('AEA2012 update'!$K$6:$R$104,MATCH($T75&amp;$U75,'AEA2012 update'!$A$6:$A$104&amp;'AEA2012 update'!$B$6:$B$104,0),MATCH(AG$16,'AEA2012 update'!$S$4:$Z$4,0)))</f>
        <v>622363.07367054839</v>
      </c>
      <c r="AH75" s="103" cm="1">
        <f t="array" ref="AH75">IF(AA75,INDEX('AEA2012 update'!$K$6:$R$104,MATCH($T75&amp;$R75,'AEA2012 update'!$A$6:$A$104&amp;'AEA2012 update'!$B$6:$B$104,0),MATCH(AH$16,'AEA2012 update'!$S$4:$Z$4,0)),INDEX('AEA2012 update'!$K$6:$R$104,MATCH($T75&amp;$U75,'AEA2012 update'!$A$6:$A$104&amp;'AEA2012 update'!$B$6:$B$104,0),MATCH(AH$16,'AEA2012 update'!$S$4:$Z$4,0)))</f>
        <v>593958.67654201027</v>
      </c>
      <c r="AI75" s="103" cm="1">
        <f t="array" ref="AI75">IF(AB75,INDEX('AEA2012 update'!$K$6:$R$104,MATCH($T75&amp;$R75,'AEA2012 update'!$A$6:$A$104&amp;'AEA2012 update'!$B$6:$B$104,0),MATCH(AI$16,'AEA2012 update'!$S$4:$Z$4,0)),INDEX('AEA2012 update'!$K$6:$R$104,MATCH($T75&amp;$U75,'AEA2012 update'!$A$6:$A$104&amp;'AEA2012 update'!$B$6:$B$104,0),MATCH(AI$16,'AEA2012 update'!$S$4:$Z$4,0)))</f>
        <v>533932.45692908112</v>
      </c>
      <c r="AJ75" s="103" cm="1">
        <f t="array" ref="AJ75">IF(AC75,INDEX('AEA2012 update'!$K$6:$R$104,MATCH($T75&amp;$R75,'AEA2012 update'!$A$6:$A$104&amp;'AEA2012 update'!$B$6:$B$104,0),MATCH(AJ$16,'AEA2012 update'!$S$4:$Z$4,0)),INDEX('AEA2012 update'!$K$6:$R$104,MATCH($T75&amp;$U75,'AEA2012 update'!$A$6:$A$104&amp;'AEA2012 update'!$B$6:$B$104,0),MATCH(AJ$16,'AEA2012 update'!$S$4:$Z$4,0)))</f>
        <v>551671.18115070788</v>
      </c>
      <c r="AK75" s="103" t="str">
        <f t="shared" si="13"/>
        <v>CV1HGN</v>
      </c>
      <c r="AL75" s="67">
        <f>INDEX('Vehicle data '!$AD$20:$AD$110,MATCH($AK75,'Vehicle data '!$AC$20:$AC$110,0))/INDEX('Vehicle data '!$AD$20:$AD$110,MATCH($AK$72,'Vehicle data '!$AC$20:$AC$110,0))*AL$72</f>
        <v>2.7683331812258496</v>
      </c>
      <c r="AM75" s="67">
        <f t="array" ref="AM75">IF($AE$1,AL75*(1+INDEX(AM$1:AM$2,MATCH($O75,$AI$1:$AI$2,0)))^(AM$16-AL$16),INDEX('AEA2012 update'!$AC$6:$AG$104,MATCH($T75&amp;$U75,'AEA2012 update'!$A$6:$A$104&amp;'AEA2012 update'!$B$6:$B$104,0),MATCH(AM$16,'AEA2012 update'!$AC$4:$AG$4,0)))</f>
        <v>2.7600364839133826</v>
      </c>
      <c r="AN75" s="67">
        <f t="array" ref="AN75">IF($AE$1,AM75*(1+INDEX(AN$1:AN$2,MATCH($O75,$AI$1:$AI$2,0)))^(AN$16-AM$16),INDEX('AEA2012 update'!$AC$6:$AG$104,MATCH($T75&amp;$U75,'AEA2012 update'!$A$6:$A$104&amp;'AEA2012 update'!$B$6:$B$104,0),MATCH(AN$16,'AEA2012 update'!$AC$4:$AG$4,0)))</f>
        <v>2.6119369997262138</v>
      </c>
      <c r="AO75" s="67">
        <f t="array" ref="AO75">IF($AE$1,AN75*(1+INDEX(AO$1:AO$2,MATCH($O75,$AI$1:$AI$2,0)))^(AO$16-AN$16),INDEX('AEA2012 update'!$AC$6:$AG$104,MATCH($T75&amp;$U75,'AEA2012 update'!$A$6:$A$104&amp;'AEA2012 update'!$B$6:$B$104,0),MATCH(AO$16,'AEA2012 update'!$AC$4:$AG$4,0)))</f>
        <v>2.362189003604664</v>
      </c>
      <c r="AP75" s="67">
        <f t="array" ref="AP75">IF($AE$1,AO75*(1+INDEX(AP$1:AP$2,MATCH($O75,$AI$1:$AI$2,0)))^(AP$16-AO$16),INDEX('AEA2012 update'!$AC$6:$AG$104,MATCH($T75&amp;$U75,'AEA2012 update'!$A$6:$A$104&amp;'AEA2012 update'!$B$6:$B$104,0),MATCH(AP$16,'AEA2012 update'!$AC$4:$AG$4,0)))</f>
        <v>2.1363213926429658</v>
      </c>
      <c r="AQ75" s="67"/>
      <c r="AR75" s="257">
        <f t="shared" si="10"/>
        <v>-9.990003333333222E-4</v>
      </c>
      <c r="AS75" s="257">
        <f t="shared" si="11"/>
        <v>-7.5326913841620401E-3</v>
      </c>
      <c r="AY75" s="61" t="str">
        <f t="shared" si="12"/>
        <v>HCV1-HGN</v>
      </c>
      <c r="AZ75" s="80" t="e" cm="1">
        <f t="array" aca="1" ref="AZ75" ca="1">AL75/INDIRECT("cv."&amp;LEFT($U75,6)&amp;".hhv.MJL") * 100</f>
        <v>#REF!</v>
      </c>
      <c r="BA75" s="80" t="e" cm="1">
        <f t="array" aca="1" ref="BA75" ca="1">AM75/INDIRECT("cv."&amp;LEFT($U75,6)&amp;".hhv.MJL") * 100</f>
        <v>#REF!</v>
      </c>
      <c r="BB75" s="80" t="e" cm="1">
        <f t="array" aca="1" ref="BB75" ca="1">AN75/INDIRECT("cv."&amp;LEFT($U75,6)&amp;".hhv.MJL") * 100</f>
        <v>#REF!</v>
      </c>
      <c r="BC75" s="80" t="e" cm="1">
        <f t="array" aca="1" ref="BC75" ca="1">AO75/INDIRECT("cv."&amp;LEFT($U75,6)&amp;".hhv.MJL") * 100</f>
        <v>#REF!</v>
      </c>
      <c r="BD75" s="80" t="e" cm="1">
        <f t="array" aca="1" ref="BD75" ca="1">AP75/INDIRECT("cv."&amp;LEFT($U75,6)&amp;".hhv.MJL") * 100</f>
        <v>#REF!</v>
      </c>
    </row>
    <row r="76" spans="1:61" ht="15.75" thickBot="1" x14ac:dyDescent="0.3">
      <c r="A76" s="270" t="s">
        <v>726</v>
      </c>
      <c r="B76" s="271">
        <f>SUM(B64:B75)</f>
        <v>2569896</v>
      </c>
      <c r="C76" s="272">
        <f>SUM(C64:C75)</f>
        <v>1</v>
      </c>
      <c r="N76" s="61" t="s">
        <v>509</v>
      </c>
      <c r="O76" s="61" t="s">
        <v>653</v>
      </c>
      <c r="P76" s="61" t="s">
        <v>724</v>
      </c>
      <c r="Q76" s="61" t="str">
        <f t="shared" si="7"/>
        <v>CV1</v>
      </c>
      <c r="R76" s="61" t="s">
        <v>687</v>
      </c>
      <c r="S76" s="65"/>
      <c r="T76" s="256" t="s">
        <v>725</v>
      </c>
      <c r="U76" s="913" t="s">
        <v>700</v>
      </c>
      <c r="V76" s="921"/>
      <c r="W76" s="914">
        <f t="shared" si="18"/>
        <v>0</v>
      </c>
      <c r="X76" s="915">
        <f t="shared" si="18"/>
        <v>0</v>
      </c>
      <c r="Y76" s="915">
        <f t="shared" si="18"/>
        <v>0</v>
      </c>
      <c r="Z76" s="915">
        <f t="shared" si="18"/>
        <v>0</v>
      </c>
      <c r="AA76" s="915">
        <f t="shared" si="18"/>
        <v>0</v>
      </c>
      <c r="AB76" s="915">
        <f t="shared" si="18"/>
        <v>0</v>
      </c>
      <c r="AC76" s="916">
        <f t="shared" si="18"/>
        <v>0</v>
      </c>
      <c r="AD76" s="103" cm="1">
        <f t="array" ref="AD76">IF(W76,INDEX('AEA2012 update'!$K$6:$R$104,MATCH($T76&amp;$R76,'AEA2012 update'!$A$6:$A$104&amp;'AEA2012 update'!$B$6:$B$104,0),MATCH(AD$16,'AEA2012 update'!$S$4:$Z$4,0)),INDEX('AEA2012 update'!$K$6:$R$104,MATCH($T76&amp;$U76,'AEA2012 update'!$A$6:$A$104&amp;'AEA2012 update'!$B$6:$B$104,0),MATCH(AD$16,'AEA2012 update'!$S$4:$Z$4,0)))</f>
        <v>598309.30679972272</v>
      </c>
      <c r="AE76" s="103" cm="1">
        <f t="array" ref="AE76">IF(X76,INDEX('AEA2012 update'!$K$6:$R$104,MATCH($T76&amp;$R76,'AEA2012 update'!$A$6:$A$104&amp;'AEA2012 update'!$B$6:$B$104,0),MATCH(AE$16,'AEA2012 update'!$S$4:$Z$4,0)),INDEX('AEA2012 update'!$K$6:$R$104,MATCH($T76&amp;$U76,'AEA2012 update'!$A$6:$A$104&amp;'AEA2012 update'!$B$6:$B$104,0),MATCH(AE$16,'AEA2012 update'!$S$4:$Z$4,0)))</f>
        <v>588990.88834881992</v>
      </c>
      <c r="AF76" s="103" cm="1">
        <f t="array" ref="AF76">IF(Y76,INDEX('AEA2012 update'!$K$6:$R$104,MATCH($T76&amp;$R76,'AEA2012 update'!$A$6:$A$104&amp;'AEA2012 update'!$B$6:$B$104,0),MATCH(AF$16,'AEA2012 update'!$S$4:$Z$4,0)),INDEX('AEA2012 update'!$K$6:$R$104,MATCH($T76&amp;$U76,'AEA2012 update'!$A$6:$A$104&amp;'AEA2012 update'!$B$6:$B$104,0),MATCH(AF$16,'AEA2012 update'!$S$4:$Z$4,0)))</f>
        <v>591035.13773094804</v>
      </c>
      <c r="AG76" s="103" cm="1">
        <f t="array" ref="AG76">IF(Z76,INDEX('AEA2012 update'!$K$6:$R$104,MATCH($T76&amp;$R76,'AEA2012 update'!$A$6:$A$104&amp;'AEA2012 update'!$B$6:$B$104,0),MATCH(AG$16,'AEA2012 update'!$S$4:$Z$4,0)),INDEX('AEA2012 update'!$K$6:$R$104,MATCH($T76&amp;$U76,'AEA2012 update'!$A$6:$A$104&amp;'AEA2012 update'!$B$6:$B$104,0),MATCH(AG$16,'AEA2012 update'!$S$4:$Z$4,0)))</f>
        <v>593079.38711307617</v>
      </c>
      <c r="AH76" s="103" cm="1">
        <f t="array" ref="AH76">IF(AA76,INDEX('AEA2012 update'!$K$6:$R$104,MATCH($T76&amp;$R76,'AEA2012 update'!$A$6:$A$104&amp;'AEA2012 update'!$B$6:$B$104,0),MATCH(AH$16,'AEA2012 update'!$S$4:$Z$4,0)),INDEX('AEA2012 update'!$K$6:$R$104,MATCH($T76&amp;$U76,'AEA2012 update'!$A$6:$A$104&amp;'AEA2012 update'!$B$6:$B$104,0),MATCH(AH$16,'AEA2012 update'!$S$4:$Z$4,0)))</f>
        <v>599603.08321858256</v>
      </c>
      <c r="AI76" s="103" cm="1">
        <f t="array" ref="AI76">IF(AB76,INDEX('AEA2012 update'!$K$6:$R$104,MATCH($T76&amp;$R76,'AEA2012 update'!$A$6:$A$104&amp;'AEA2012 update'!$B$6:$B$104,0),MATCH(AI$16,'AEA2012 update'!$S$4:$Z$4,0)),INDEX('AEA2012 update'!$K$6:$R$104,MATCH($T76&amp;$U76,'AEA2012 update'!$A$6:$A$104&amp;'AEA2012 update'!$B$6:$B$104,0),MATCH(AI$16,'AEA2012 update'!$S$4:$Z$4,0)))</f>
        <v>606126.77932408883</v>
      </c>
      <c r="AJ76" s="103" cm="1">
        <f t="array" ref="AJ76">IF(AC76,INDEX('AEA2012 update'!$K$6:$R$104,MATCH($T76&amp;$R76,'AEA2012 update'!$A$6:$A$104&amp;'AEA2012 update'!$B$6:$B$104,0),MATCH(AJ$16,'AEA2012 update'!$S$4:$Z$4,0)),INDEX('AEA2012 update'!$K$6:$R$104,MATCH($T76&amp;$U76,'AEA2012 update'!$A$6:$A$104&amp;'AEA2012 update'!$B$6:$B$104,0),MATCH(AJ$16,'AEA2012 update'!$S$4:$Z$4,0)))</f>
        <v>615221.77787460363</v>
      </c>
      <c r="AK76" s="103" t="str">
        <f t="shared" si="13"/>
        <v>CV1GAS</v>
      </c>
      <c r="AL76" s="67">
        <f>INDEX('Vehicle data '!$AD$20:$AD$110,MATCH($AK76,'Vehicle data '!$AC$20:$AC$110,0))/INDEX('Vehicle data '!$AD$20:$AD$110,MATCH($AK$72,'Vehicle data '!$AC$20:$AC$110,0))*AL$72</f>
        <v>6.751830694628433</v>
      </c>
      <c r="AM76" s="67">
        <f t="array" ref="AM76">IF($AE$1,AL76*(1+INDEX(AM$1:AM$2,MATCH($O76,$AI$1:$AI$2,0)))^(AM$16-AL$16),INDEX('AEA2012 update'!$AC$6:$AG$104,MATCH($T76&amp;$U76,'AEA2012 update'!$A$6:$A$104&amp;'AEA2012 update'!$B$6:$B$104,0),MATCH(AM$16,'AEA2012 update'!$AC$4:$AG$4,0)))</f>
        <v>6.7315954512848011</v>
      </c>
      <c r="AN76" s="67">
        <f t="array" ref="AN76">IF($AE$1,AM76*(1+INDEX(AN$1:AN$2,MATCH($O76,$AI$1:$AI$2,0)))^(AN$16-AM$16),INDEX('AEA2012 update'!$AC$6:$AG$104,MATCH($T76&amp;$U76,'AEA2012 update'!$A$6:$A$104&amp;'AEA2012 update'!$B$6:$B$104,0),MATCH(AN$16,'AEA2012 update'!$AC$4:$AG$4,0)))</f>
        <v>6.3703879745349177</v>
      </c>
      <c r="AO76" s="67">
        <f t="array" ref="AO76">IF($AE$1,AN76*(1+INDEX(AO$1:AO$2,MATCH($O76,$AI$1:$AI$2,0)))^(AO$16-AN$16),INDEX('AEA2012 update'!$AC$6:$AG$104,MATCH($T76&amp;$U76,'AEA2012 update'!$A$6:$A$104&amp;'AEA2012 update'!$B$6:$B$104,0),MATCH(AO$16,'AEA2012 update'!$AC$4:$AG$4,0)))</f>
        <v>5.7612646950210227</v>
      </c>
      <c r="AP76" s="67">
        <f t="array" ref="AP76">IF($AE$1,AO76*(1+INDEX(AP$1:AP$2,MATCH($O76,$AI$1:$AI$2,0)))^(AP$16-AO$16),INDEX('AEA2012 update'!$AC$6:$AG$104,MATCH($T76&amp;$U76,'AEA2012 update'!$A$6:$A$104&amp;'AEA2012 update'!$B$6:$B$104,0),MATCH(AP$16,'AEA2012 update'!$AC$4:$AG$4,0)))</f>
        <v>5.2103845195580787</v>
      </c>
      <c r="AQ76" s="67"/>
      <c r="AR76" s="257">
        <f t="shared" si="10"/>
        <v>-9.9900033333332372E-4</v>
      </c>
      <c r="AS76" s="257">
        <f t="shared" si="11"/>
        <v>-7.5326913841620418E-3</v>
      </c>
      <c r="AY76" s="61" t="str">
        <f t="shared" si="12"/>
        <v>HCV1-GAS</v>
      </c>
      <c r="AZ76" s="80" t="e" cm="1">
        <f t="array" aca="1" ref="AZ76" ca="1">AL76/INDIRECT("cv."&amp;LEFT($U76,6)&amp;".hhv.MJL") * 100</f>
        <v>#REF!</v>
      </c>
      <c r="BA76" s="80" t="e" cm="1">
        <f t="array" aca="1" ref="BA76" ca="1">AM76/INDIRECT("cv."&amp;LEFT($U76,6)&amp;".hhv.MJL") * 100</f>
        <v>#REF!</v>
      </c>
      <c r="BB76" s="80" t="e" cm="1">
        <f t="array" aca="1" ref="BB76" ca="1">AN76/INDIRECT("cv."&amp;LEFT($U76,6)&amp;".hhv.MJL") * 100</f>
        <v>#REF!</v>
      </c>
      <c r="BC76" s="80" t="e" cm="1">
        <f t="array" aca="1" ref="BC76" ca="1">AO76/INDIRECT("cv."&amp;LEFT($U76,6)&amp;".hhv.MJL") * 100</f>
        <v>#REF!</v>
      </c>
      <c r="BD76" s="80" t="e" cm="1">
        <f t="array" aca="1" ref="BD76" ca="1">AP76/INDIRECT("cv."&amp;LEFT($U76,6)&amp;".hhv.MJL") * 100</f>
        <v>#REF!</v>
      </c>
    </row>
    <row r="77" spans="1:61" ht="77.25" thickBot="1" x14ac:dyDescent="0.3">
      <c r="A77" s="273" t="s">
        <v>727</v>
      </c>
      <c r="B77" s="274"/>
      <c r="C77" s="275"/>
      <c r="O77" s="61" t="s">
        <v>653</v>
      </c>
      <c r="Q77" s="61" t="str">
        <f t="shared" si="7"/>
        <v/>
      </c>
      <c r="S77" s="65"/>
      <c r="T77" s="256"/>
      <c r="U77" s="260"/>
      <c r="V77" s="921"/>
      <c r="W77" s="914">
        <f t="shared" si="18"/>
        <v>0</v>
      </c>
      <c r="X77" s="915">
        <f t="shared" si="18"/>
        <v>0</v>
      </c>
      <c r="Y77" s="915">
        <f t="shared" si="18"/>
        <v>0</v>
      </c>
      <c r="Z77" s="915">
        <f t="shared" si="18"/>
        <v>0</v>
      </c>
      <c r="AA77" s="915">
        <f t="shared" si="18"/>
        <v>0</v>
      </c>
      <c r="AB77" s="915">
        <f t="shared" si="18"/>
        <v>0</v>
      </c>
      <c r="AC77" s="916">
        <f t="shared" si="18"/>
        <v>0</v>
      </c>
      <c r="AD77" s="103" t="e" cm="1">
        <f t="array" ref="AD77">IF(W77,INDEX('AEA2012 update'!$K$6:$R$104,MATCH($T77&amp;$R77,'AEA2012 update'!$A$6:$A$104&amp;'AEA2012 update'!$B$6:$B$104,0),MATCH(AD$16,'AEA2012 update'!$S$4:$Z$4,0)),INDEX('AEA2012 update'!$K$6:$R$104,MATCH($T77&amp;$U77,'AEA2012 update'!$A$6:$A$104&amp;'AEA2012 update'!$B$6:$B$104,0),MATCH(AD$16,'AEA2012 update'!$S$4:$Z$4,0)))</f>
        <v>#N/A</v>
      </c>
      <c r="AE77" s="103" t="e" cm="1">
        <f t="array" ref="AE77">IF(X77,INDEX('AEA2012 update'!$K$6:$R$104,MATCH($T77&amp;$R77,'AEA2012 update'!$A$6:$A$104&amp;'AEA2012 update'!$B$6:$B$104,0),MATCH(AE$16,'AEA2012 update'!$S$4:$Z$4,0)),INDEX('AEA2012 update'!$K$6:$R$104,MATCH($T77&amp;$U77,'AEA2012 update'!$A$6:$A$104&amp;'AEA2012 update'!$B$6:$B$104,0),MATCH(AE$16,'AEA2012 update'!$S$4:$Z$4,0)))</f>
        <v>#N/A</v>
      </c>
      <c r="AF77" s="103" t="e" cm="1">
        <f t="array" ref="AF77">IF(Y77,INDEX('AEA2012 update'!$K$6:$R$104,MATCH($T77&amp;$R77,'AEA2012 update'!$A$6:$A$104&amp;'AEA2012 update'!$B$6:$B$104,0),MATCH(AF$16,'AEA2012 update'!$S$4:$Z$4,0)),INDEX('AEA2012 update'!$K$6:$R$104,MATCH($T77&amp;$U77,'AEA2012 update'!$A$6:$A$104&amp;'AEA2012 update'!$B$6:$B$104,0),MATCH(AF$16,'AEA2012 update'!$S$4:$Z$4,0)))</f>
        <v>#N/A</v>
      </c>
      <c r="AG77" s="103" t="e" cm="1">
        <f t="array" ref="AG77">IF(Z77,INDEX('AEA2012 update'!$K$6:$R$104,MATCH($T77&amp;$R77,'AEA2012 update'!$A$6:$A$104&amp;'AEA2012 update'!$B$6:$B$104,0),MATCH(AG$16,'AEA2012 update'!$S$4:$Z$4,0)),INDEX('AEA2012 update'!$K$6:$R$104,MATCH($T77&amp;$U77,'AEA2012 update'!$A$6:$A$104&amp;'AEA2012 update'!$B$6:$B$104,0),MATCH(AG$16,'AEA2012 update'!$S$4:$Z$4,0)))</f>
        <v>#N/A</v>
      </c>
      <c r="AH77" s="103" t="e" cm="1">
        <f t="array" ref="AH77">IF(AA77,INDEX('AEA2012 update'!$K$6:$R$104,MATCH($T77&amp;$R77,'AEA2012 update'!$A$6:$A$104&amp;'AEA2012 update'!$B$6:$B$104,0),MATCH(AH$16,'AEA2012 update'!$S$4:$Z$4,0)),INDEX('AEA2012 update'!$K$6:$R$104,MATCH($T77&amp;$U77,'AEA2012 update'!$A$6:$A$104&amp;'AEA2012 update'!$B$6:$B$104,0),MATCH(AH$16,'AEA2012 update'!$S$4:$Z$4,0)))</f>
        <v>#N/A</v>
      </c>
      <c r="AI77" s="103" t="e" cm="1">
        <f t="array" ref="AI77">IF(AB77,INDEX('AEA2012 update'!$K$6:$R$104,MATCH($T77&amp;$R77,'AEA2012 update'!$A$6:$A$104&amp;'AEA2012 update'!$B$6:$B$104,0),MATCH(AI$16,'AEA2012 update'!$S$4:$Z$4,0)),INDEX('AEA2012 update'!$K$6:$R$104,MATCH($T77&amp;$U77,'AEA2012 update'!$A$6:$A$104&amp;'AEA2012 update'!$B$6:$B$104,0),MATCH(AI$16,'AEA2012 update'!$S$4:$Z$4,0)))</f>
        <v>#N/A</v>
      </c>
      <c r="AJ77" s="103" t="e" cm="1">
        <f t="array" ref="AJ77">IF(AC77,INDEX('AEA2012 update'!$K$6:$R$104,MATCH($T77&amp;$R77,'AEA2012 update'!$A$6:$A$104&amp;'AEA2012 update'!$B$6:$B$104,0),MATCH(AJ$16,'AEA2012 update'!$S$4:$Z$4,0)),INDEX('AEA2012 update'!$K$6:$R$104,MATCH($T77&amp;$U77,'AEA2012 update'!$A$6:$A$104&amp;'AEA2012 update'!$B$6:$B$104,0),MATCH(AJ$16,'AEA2012 update'!$S$4:$Z$4,0)))</f>
        <v>#N/A</v>
      </c>
      <c r="AK77" s="103" t="str">
        <f t="shared" si="13"/>
        <v/>
      </c>
      <c r="AL77" s="67" t="e">
        <f>1/INDEX(Analytica!$AA$17:$AE$48,MATCH($AK77,Analytica!$A$17:$A$48,0),MATCH(AL$16,Analytica!$AA$16:$AE$16,0))</f>
        <v>#N/A</v>
      </c>
      <c r="AM77" s="67" t="e">
        <f t="array" ref="AM77">IF($AE$1,AL77*(1+INDEX(AM$1:AM$2,MATCH($O77,$AI$1:$AI$2,0)))^(AM$16-AL$16),INDEX('AEA2012 update'!$AC$6:$AG$104,MATCH($T77&amp;$U77,'AEA2012 update'!$A$6:$A$104&amp;'AEA2012 update'!$B$6:$B$104,0),MATCH(AM$16,'AEA2012 update'!$AC$4:$AG$4,0)))</f>
        <v>#N/A</v>
      </c>
      <c r="AN77" s="67" t="e">
        <f t="array" ref="AN77">IF($AE$1,AM77*(1+INDEX(AN$1:AN$2,MATCH($O77,$AI$1:$AI$2,0)))^(AN$16-AM$16),INDEX('AEA2012 update'!$AC$6:$AG$104,MATCH($T77&amp;$U77,'AEA2012 update'!$A$6:$A$104&amp;'AEA2012 update'!$B$6:$B$104,0),MATCH(AN$16,'AEA2012 update'!$AC$4:$AG$4,0)))</f>
        <v>#N/A</v>
      </c>
      <c r="AO77" s="67" t="e">
        <f t="array" ref="AO77">IF($AE$1,AN77*(1+INDEX(AO$1:AO$2,MATCH($O77,$AI$1:$AI$2,0)))^(AO$16-AN$16),INDEX('AEA2012 update'!$AC$6:$AG$104,MATCH($T77&amp;$U77,'AEA2012 update'!$A$6:$A$104&amp;'AEA2012 update'!$B$6:$B$104,0),MATCH(AO$16,'AEA2012 update'!$AC$4:$AG$4,0)))</f>
        <v>#N/A</v>
      </c>
      <c r="AP77" s="67" t="e">
        <f t="array" ref="AP77">IF($AE$1,AO77*(1+INDEX(AP$1:AP$2,MATCH($O77,$AI$1:$AI$2,0)))^(AP$16-AO$16),INDEX('AEA2012 update'!$AC$6:$AG$104,MATCH($T77&amp;$U77,'AEA2012 update'!$A$6:$A$104&amp;'AEA2012 update'!$B$6:$B$104,0),MATCH(AP$16,'AEA2012 update'!$AC$4:$AG$4,0)))</f>
        <v>#N/A</v>
      </c>
      <c r="AQ77" s="67"/>
      <c r="AR77" s="257" t="e">
        <f t="shared" si="10"/>
        <v>#N/A</v>
      </c>
      <c r="AS77" s="257" t="e">
        <f t="shared" si="11"/>
        <v>#N/A</v>
      </c>
      <c r="AY77" s="61" t="str">
        <f t="shared" si="12"/>
        <v>-</v>
      </c>
      <c r="AZ77" s="80" t="e" cm="1">
        <f t="array" aca="1" ref="AZ77" ca="1">AL77/INDIRECT("cv."&amp;LEFT($U77,6)&amp;".hhv.MJL") * 100</f>
        <v>#N/A</v>
      </c>
      <c r="BA77" s="80" t="e" cm="1">
        <f t="array" aca="1" ref="BA77" ca="1">AM77/INDIRECT("cv."&amp;LEFT($U77,6)&amp;".hhv.MJL") * 100</f>
        <v>#N/A</v>
      </c>
      <c r="BB77" s="80" t="e" cm="1">
        <f t="array" aca="1" ref="BB77" ca="1">AN77/INDIRECT("cv."&amp;LEFT($U77,6)&amp;".hhv.MJL") * 100</f>
        <v>#N/A</v>
      </c>
      <c r="BC77" s="80" t="e" cm="1">
        <f t="array" aca="1" ref="BC77" ca="1">AO77/INDIRECT("cv."&amp;LEFT($U77,6)&amp;".hhv.MJL") * 100</f>
        <v>#N/A</v>
      </c>
      <c r="BD77" s="80" t="e" cm="1">
        <f t="array" aca="1" ref="BD77" ca="1">AP77/INDIRECT("cv."&amp;LEFT($U77,6)&amp;".hhv.MJL") * 100</f>
        <v>#N/A</v>
      </c>
    </row>
    <row r="78" spans="1:61" x14ac:dyDescent="0.25">
      <c r="N78" s="61" t="s">
        <v>511</v>
      </c>
      <c r="O78" s="61" t="s">
        <v>653</v>
      </c>
      <c r="P78" s="61" t="s">
        <v>728</v>
      </c>
      <c r="Q78" s="61" t="str">
        <f t="shared" si="7"/>
        <v>CV2</v>
      </c>
      <c r="R78" s="61" t="s">
        <v>687</v>
      </c>
      <c r="S78" s="65"/>
      <c r="T78" s="256" t="s">
        <v>725</v>
      </c>
      <c r="U78" s="913" t="s">
        <v>687</v>
      </c>
      <c r="V78" s="921"/>
      <c r="W78" s="914">
        <f t="shared" si="18"/>
        <v>0</v>
      </c>
      <c r="X78" s="915">
        <f t="shared" si="18"/>
        <v>0</v>
      </c>
      <c r="Y78" s="915">
        <f t="shared" si="18"/>
        <v>0</v>
      </c>
      <c r="Z78" s="915">
        <f t="shared" si="18"/>
        <v>0</v>
      </c>
      <c r="AA78" s="915">
        <f t="shared" si="18"/>
        <v>0</v>
      </c>
      <c r="AB78" s="915">
        <f t="shared" si="18"/>
        <v>0</v>
      </c>
      <c r="AC78" s="916">
        <f t="shared" si="18"/>
        <v>0</v>
      </c>
      <c r="AD78" s="103" cm="1">
        <f t="array" ref="AD78">IF(W78,INDEX('AEA2012 update'!$K$6:$R$104,MATCH($T78&amp;$R78,'AEA2012 update'!$A$6:$A$104&amp;'AEA2012 update'!$B$6:$B$104,0),MATCH(AD$16,'AEA2012 update'!$S$4:$Z$4,0)),INDEX('AEA2012 update'!$K$6:$R$104,MATCH($T78&amp;$U78,'AEA2012 update'!$A$6:$A$104&amp;'AEA2012 update'!$B$6:$B$104,0),MATCH(AD$16,'AEA2012 update'!$S$4:$Z$4,0)))</f>
        <v>396204.1631410002</v>
      </c>
      <c r="AE78" s="103" cm="1">
        <f t="array" ref="AE78">IF(X78,INDEX('AEA2012 update'!$K$6:$R$104,MATCH($T78&amp;$R78,'AEA2012 update'!$A$6:$A$104&amp;'AEA2012 update'!$B$6:$B$104,0),MATCH(AE$16,'AEA2012 update'!$S$4:$Z$4,0)),INDEX('AEA2012 update'!$K$6:$R$104,MATCH($T78&amp;$U78,'AEA2012 update'!$A$6:$A$104&amp;'AEA2012 update'!$B$6:$B$104,0),MATCH(AE$16,'AEA2012 update'!$S$4:$Z$4,0)))</f>
        <v>476747.78352540621</v>
      </c>
      <c r="AF78" s="103" cm="1">
        <f t="array" ref="AF78">IF(Y78,INDEX('AEA2012 update'!$K$6:$R$104,MATCH($T78&amp;$R78,'AEA2012 update'!$A$6:$A$104&amp;'AEA2012 update'!$B$6:$B$104,0),MATCH(AF$16,'AEA2012 update'!$S$4:$Z$4,0)),INDEX('AEA2012 update'!$K$6:$R$104,MATCH($T78&amp;$U78,'AEA2012 update'!$A$6:$A$104&amp;'AEA2012 update'!$B$6:$B$104,0),MATCH(AF$16,'AEA2012 update'!$S$4:$Z$4,0)))</f>
        <v>491831.97524024436</v>
      </c>
      <c r="AG78" s="103" cm="1">
        <f t="array" ref="AG78">IF(Z78,INDEX('AEA2012 update'!$K$6:$R$104,MATCH($T78&amp;$R78,'AEA2012 update'!$A$6:$A$104&amp;'AEA2012 update'!$B$6:$B$104,0),MATCH(AG$16,'AEA2012 update'!$S$4:$Z$4,0)),INDEX('AEA2012 update'!$K$6:$R$104,MATCH($T78&amp;$U78,'AEA2012 update'!$A$6:$A$104&amp;'AEA2012 update'!$B$6:$B$104,0),MATCH(AG$16,'AEA2012 update'!$S$4:$Z$4,0)))</f>
        <v>506916.16695508256</v>
      </c>
      <c r="AH78" s="103" cm="1">
        <f t="array" ref="AH78">IF(AA78,INDEX('AEA2012 update'!$K$6:$R$104,MATCH($T78&amp;$R78,'AEA2012 update'!$A$6:$A$104&amp;'AEA2012 update'!$B$6:$B$104,0),MATCH(AH$16,'AEA2012 update'!$S$4:$Z$4,0)),INDEX('AEA2012 update'!$K$6:$R$104,MATCH($T78&amp;$U78,'AEA2012 update'!$A$6:$A$104&amp;'AEA2012 update'!$B$6:$B$104,0),MATCH(AH$16,'AEA2012 update'!$S$4:$Z$4,0)))</f>
        <v>520424.31194208184</v>
      </c>
      <c r="AI78" s="103" cm="1">
        <f t="array" ref="AI78">IF(AB78,INDEX('AEA2012 update'!$K$6:$R$104,MATCH($T78&amp;$R78,'AEA2012 update'!$A$6:$A$104&amp;'AEA2012 update'!$B$6:$B$104,0),MATCH(AI$16,'AEA2012 update'!$S$4:$Z$4,0)),INDEX('AEA2012 update'!$K$6:$R$104,MATCH($T78&amp;$U78,'AEA2012 update'!$A$6:$A$104&amp;'AEA2012 update'!$B$6:$B$104,0),MATCH(AI$16,'AEA2012 update'!$S$4:$Z$4,0)))</f>
        <v>533932.45692908112</v>
      </c>
      <c r="AJ78" s="103" cm="1">
        <f t="array" ref="AJ78">IF(AC78,INDEX('AEA2012 update'!$K$6:$R$104,MATCH($T78&amp;$R78,'AEA2012 update'!$A$6:$A$104&amp;'AEA2012 update'!$B$6:$B$104,0),MATCH(AJ$16,'AEA2012 update'!$S$4:$Z$4,0)),INDEX('AEA2012 update'!$K$6:$R$104,MATCH($T78&amp;$U78,'AEA2012 update'!$A$6:$A$104&amp;'AEA2012 update'!$B$6:$B$104,0),MATCH(AJ$16,'AEA2012 update'!$S$4:$Z$4,0)))</f>
        <v>551671.18115070788</v>
      </c>
      <c r="AK78" s="103" t="str">
        <f t="shared" si="13"/>
        <v>CV2ODS</v>
      </c>
      <c r="AL78" s="67">
        <f>1/INDEX(Analytica!$AA$17:$AE$48,MATCH($AK78,Analytica!$A$17:$A$48,0),MATCH(AL$16,Analytica!$AA$16:$AE$16,0))</f>
        <v>7.3296679530566031</v>
      </c>
      <c r="AM78" s="67">
        <f t="array" ref="AM78">IF($AE$1,AL78*(1+INDEX(AM$1:AM$2,MATCH($O78,$AI$1:$AI$2,0)))^(AM$16-AL$16),INDEX('AEA2012 update'!$AC$6:$AG$104,MATCH($T78&amp;$U78,'AEA2012 update'!$A$6:$A$104&amp;'AEA2012 update'!$B$6:$B$104,0),MATCH(AM$16,'AEA2012 update'!$AC$4:$AG$4,0)))</f>
        <v>7.3077009308716248</v>
      </c>
      <c r="AN78" s="67">
        <f t="array" ref="AN78">IF($AE$1,AM78*(1+INDEX(AN$1:AN$2,MATCH($O78,$AI$1:$AI$2,0)))^(AN$16-AM$16),INDEX('AEA2012 update'!$AC$6:$AG$104,MATCH($T78&amp;$U78,'AEA2012 update'!$A$6:$A$104&amp;'AEA2012 update'!$B$6:$B$104,0),MATCH(AN$16,'AEA2012 update'!$AC$4:$AG$4,0)))</f>
        <v>6.9155804843615609</v>
      </c>
      <c r="AO78" s="67">
        <f t="array" ref="AO78">IF($AE$1,AN78*(1+INDEX(AO$1:AO$2,MATCH($O78,$AI$1:$AI$2,0)))^(AO$16-AN$16),INDEX('AEA2012 update'!$AC$6:$AG$104,MATCH($T78&amp;$U78,'AEA2012 update'!$A$6:$A$104&amp;'AEA2012 update'!$B$6:$B$104,0),MATCH(AO$16,'AEA2012 update'!$AC$4:$AG$4,0)))</f>
        <v>6.2543270283373005</v>
      </c>
      <c r="AP78" s="67">
        <f t="array" ref="AP78">IF($AE$1,AO78*(1+INDEX(AP$1:AP$2,MATCH($O78,$AI$1:$AI$2,0)))^(AP$16-AO$16),INDEX('AEA2012 update'!$AC$6:$AG$104,MATCH($T78&amp;$U78,'AEA2012 update'!$A$6:$A$104&amp;'AEA2012 update'!$B$6:$B$104,0),MATCH(AP$16,'AEA2012 update'!$AC$4:$AG$4,0)))</f>
        <v>5.6563012556713366</v>
      </c>
      <c r="AQ78" s="67"/>
      <c r="AR78" s="257">
        <f t="shared" si="10"/>
        <v>-9.9900033333332307E-4</v>
      </c>
      <c r="AS78" s="257">
        <f t="shared" si="11"/>
        <v>-7.5326913841620392E-3</v>
      </c>
      <c r="AY78" s="61" t="str">
        <f t="shared" si="12"/>
        <v>HCV2-ODS</v>
      </c>
      <c r="AZ78" s="80" t="e" cm="1">
        <f t="array" aca="1" ref="AZ78" ca="1">AL78/INDIRECT("cv."&amp;LEFT($U78,6)&amp;".hhv.MJL") * 100</f>
        <v>#REF!</v>
      </c>
      <c r="BA78" s="80" t="e" cm="1">
        <f t="array" aca="1" ref="BA78" ca="1">AM78/INDIRECT("cv."&amp;LEFT($U78,6)&amp;".hhv.MJL") * 100</f>
        <v>#REF!</v>
      </c>
      <c r="BB78" s="80" t="e" cm="1">
        <f t="array" aca="1" ref="BB78" ca="1">AN78/INDIRECT("cv."&amp;LEFT($U78,6)&amp;".hhv.MJL") * 100</f>
        <v>#REF!</v>
      </c>
      <c r="BC78" s="80" t="e" cm="1">
        <f t="array" aca="1" ref="BC78" ca="1">AO78/INDIRECT("cv."&amp;LEFT($U78,6)&amp;".hhv.MJL") * 100</f>
        <v>#REF!</v>
      </c>
      <c r="BD78" s="80" t="e" cm="1">
        <f t="array" aca="1" ref="BD78" ca="1">AP78/INDIRECT("cv."&amp;LEFT($U78,6)&amp;".hhv.MJL") * 100</f>
        <v>#REF!</v>
      </c>
    </row>
    <row r="79" spans="1:61" x14ac:dyDescent="0.25">
      <c r="N79" s="61" t="s">
        <v>501</v>
      </c>
      <c r="O79" s="61" t="s">
        <v>653</v>
      </c>
      <c r="P79" s="61" t="s">
        <v>728</v>
      </c>
      <c r="Q79" s="61" t="str">
        <f t="shared" si="7"/>
        <v>CV2</v>
      </c>
      <c r="R79" s="61" t="s">
        <v>687</v>
      </c>
      <c r="S79" s="65"/>
      <c r="T79" s="256" t="s">
        <v>725</v>
      </c>
      <c r="U79" s="913" t="s">
        <v>692</v>
      </c>
      <c r="V79" s="921">
        <v>2040</v>
      </c>
      <c r="W79" s="914">
        <f t="shared" si="18"/>
        <v>0</v>
      </c>
      <c r="X79" s="915">
        <f t="shared" si="18"/>
        <v>0</v>
      </c>
      <c r="Y79" s="915">
        <f t="shared" si="18"/>
        <v>0</v>
      </c>
      <c r="Z79" s="915">
        <f t="shared" si="18"/>
        <v>0</v>
      </c>
      <c r="AA79" s="915">
        <f t="shared" si="18"/>
        <v>0</v>
      </c>
      <c r="AB79" s="915">
        <f t="shared" si="18"/>
        <v>1</v>
      </c>
      <c r="AC79" s="916">
        <f t="shared" si="18"/>
        <v>1</v>
      </c>
      <c r="AD79" s="103" cm="1">
        <f t="array" ref="AD79">IF(W79,INDEX('AEA2012 update'!$K$6:$R$104,MATCH($T79&amp;$R79,'AEA2012 update'!$A$6:$A$104&amp;'AEA2012 update'!$B$6:$B$104,0),MATCH(AD$16,'AEA2012 update'!$S$4:$Z$4,0)),INDEX('AEA2012 update'!$K$6:$R$104,MATCH($T79&amp;$U79,'AEA2012 update'!$A$6:$A$104&amp;'AEA2012 update'!$B$6:$B$104,0),MATCH(AD$16,'AEA2012 update'!$S$4:$Z$4,0)))</f>
        <v>1327792.7757726812</v>
      </c>
      <c r="AE79" s="103" cm="1">
        <f t="array" ref="AE79">IF(X79,INDEX('AEA2012 update'!$K$6:$R$104,MATCH($T79&amp;$R79,'AEA2012 update'!$A$6:$A$104&amp;'AEA2012 update'!$B$6:$B$104,0),MATCH(AE$16,'AEA2012 update'!$S$4:$Z$4,0)),INDEX('AEA2012 update'!$K$6:$R$104,MATCH($T79&amp;$U79,'AEA2012 update'!$A$6:$A$104&amp;'AEA2012 update'!$B$6:$B$104,0),MATCH(AE$16,'AEA2012 update'!$S$4:$Z$4,0)))</f>
        <v>871544.47239677189</v>
      </c>
      <c r="AF79" s="103" cm="1">
        <f t="array" ref="AF79">IF(Y79,INDEX('AEA2012 update'!$K$6:$R$104,MATCH($T79&amp;$R79,'AEA2012 update'!$A$6:$A$104&amp;'AEA2012 update'!$B$6:$B$104,0),MATCH(AF$16,'AEA2012 update'!$S$4:$Z$4,0)),INDEX('AEA2012 update'!$K$6:$R$104,MATCH($T79&amp;$U79,'AEA2012 update'!$A$6:$A$104&amp;'AEA2012 update'!$B$6:$B$104,0),MATCH(AF$16,'AEA2012 update'!$S$4:$Z$4,0)))</f>
        <v>791404.01330598292</v>
      </c>
      <c r="AG79" s="103" cm="1">
        <f t="array" ref="AG79">IF(Z79,INDEX('AEA2012 update'!$K$6:$R$104,MATCH($T79&amp;$R79,'AEA2012 update'!$A$6:$A$104&amp;'AEA2012 update'!$B$6:$B$104,0),MATCH(AG$16,'AEA2012 update'!$S$4:$Z$4,0)),INDEX('AEA2012 update'!$K$6:$R$104,MATCH($T79&amp;$U79,'AEA2012 update'!$A$6:$A$104&amp;'AEA2012 update'!$B$6:$B$104,0),MATCH(AG$16,'AEA2012 update'!$S$4:$Z$4,0)))</f>
        <v>711263.55421519373</v>
      </c>
      <c r="AH79" s="103" cm="1">
        <f t="array" ref="AH79">IF(AA79,INDEX('AEA2012 update'!$K$6:$R$104,MATCH($T79&amp;$R79,'AEA2012 update'!$A$6:$A$104&amp;'AEA2012 update'!$B$6:$B$104,0),MATCH(AH$16,'AEA2012 update'!$S$4:$Z$4,0)),INDEX('AEA2012 update'!$K$6:$R$104,MATCH($T79&amp;$U79,'AEA2012 update'!$A$6:$A$104&amp;'AEA2012 update'!$B$6:$B$104,0),MATCH(AH$16,'AEA2012 update'!$S$4:$Z$4,0)))</f>
        <v>716968.75957082282</v>
      </c>
      <c r="AI79" s="103" cm="1">
        <f t="array" ref="AI79">IF(AB79,INDEX('AEA2012 update'!$K$6:$R$104,MATCH($T79&amp;$R79,'AEA2012 update'!$A$6:$A$104&amp;'AEA2012 update'!$B$6:$B$104,0),MATCH(AI$16,'AEA2012 update'!$S$4:$Z$4,0)),INDEX('AEA2012 update'!$K$6:$R$104,MATCH($T79&amp;$U79,'AEA2012 update'!$A$6:$A$104&amp;'AEA2012 update'!$B$6:$B$104,0),MATCH(AI$16,'AEA2012 update'!$S$4:$Z$4,0)))</f>
        <v>533932.45692908112</v>
      </c>
      <c r="AJ79" s="103" cm="1">
        <f t="array" ref="AJ79">IF(AC79,INDEX('AEA2012 update'!$K$6:$R$104,MATCH($T79&amp;$R79,'AEA2012 update'!$A$6:$A$104&amp;'AEA2012 update'!$B$6:$B$104,0),MATCH(AJ$16,'AEA2012 update'!$S$4:$Z$4,0)),INDEX('AEA2012 update'!$K$6:$R$104,MATCH($T79&amp;$U79,'AEA2012 update'!$A$6:$A$104&amp;'AEA2012 update'!$B$6:$B$104,0),MATCH(AJ$16,'AEA2012 update'!$S$4:$Z$4,0)))</f>
        <v>551671.18115070788</v>
      </c>
      <c r="AK79" s="103" t="str">
        <f t="shared" si="13"/>
        <v>CV2ELC</v>
      </c>
      <c r="AL79" s="67">
        <f>INDEX('Vehicle data '!$AD$20:$AD$110,MATCH($AK79,'Vehicle data '!$AC$20:$AC$110,0))/INDEX('Vehicle data '!$AD$20:$AD$110,MATCH($AK$78,'Vehicle data '!$AC$20:$AC$110,0))*AL$78</f>
        <v>2.2385723707684386</v>
      </c>
      <c r="AM79" s="67">
        <f t="array" ref="AM79">IF($AE$1,AL79*(1+INDEX(AM$1:AM$2,MATCH($O79,$AI$1:$AI$2,0)))^(AM$16-AL$16),INDEX('AEA2012 update'!$AC$6:$AG$104,MATCH($T79&amp;$U79,'AEA2012 update'!$A$6:$A$104&amp;'AEA2012 update'!$B$6:$B$104,0),MATCH(AM$16,'AEA2012 update'!$AC$4:$AG$4,0)))</f>
        <v>2.231863367134673</v>
      </c>
      <c r="AN79" s="67">
        <f t="array" ref="AN79">IF($AE$1,AM79*(1+INDEX(AN$1:AN$2,MATCH($O79,$AI$1:$AI$2,0)))^(AN$16-AM$16),INDEX('AEA2012 update'!$AC$6:$AG$104,MATCH($T79&amp;$U79,'AEA2012 update'!$A$6:$A$104&amp;'AEA2012 update'!$B$6:$B$104,0),MATCH(AN$16,'AEA2012 update'!$AC$4:$AG$4,0)))</f>
        <v>2.1121048728628065</v>
      </c>
      <c r="AO79" s="67">
        <f t="array" ref="AO79">IF($AE$1,AN79*(1+INDEX(AO$1:AO$2,MATCH($O79,$AI$1:$AI$2,0)))^(AO$16-AN$16),INDEX('AEA2012 update'!$AC$6:$AG$104,MATCH($T79&amp;$U79,'AEA2012 update'!$A$6:$A$104&amp;'AEA2012 update'!$B$6:$B$104,0),MATCH(AO$16,'AEA2012 update'!$AC$4:$AG$4,0)))</f>
        <v>1.9101497875558717</v>
      </c>
      <c r="AP79" s="67">
        <f t="array" ref="AP79">IF($AE$1,AO79*(1+INDEX(AP$1:AP$2,MATCH($O79,$AI$1:$AI$2,0)))^(AP$16-AO$16),INDEX('AEA2012 update'!$AC$6:$AG$104,MATCH($T79&amp;$U79,'AEA2012 update'!$A$6:$A$104&amp;'AEA2012 update'!$B$6:$B$104,0),MATCH(AP$16,'AEA2012 update'!$AC$4:$AG$4,0)))</f>
        <v>1.7275052284474059</v>
      </c>
      <c r="AQ79" s="67"/>
      <c r="AR79" s="257">
        <f t="shared" si="10"/>
        <v>-9.9900033333336384E-4</v>
      </c>
      <c r="AS79" s="257">
        <f t="shared" si="11"/>
        <v>-7.5326913841620427E-3</v>
      </c>
      <c r="AY79" s="61" t="str">
        <f t="shared" si="12"/>
        <v>HCV2-ELC</v>
      </c>
      <c r="AZ79" s="80" t="e" cm="1">
        <f t="array" aca="1" ref="AZ79" ca="1">AL79/INDIRECT("cv."&amp;LEFT($U79,6)&amp;".hhv.MJL") * 100</f>
        <v>#REF!</v>
      </c>
      <c r="BA79" s="80" t="e" cm="1">
        <f t="array" aca="1" ref="BA79" ca="1">AM79/INDIRECT("cv."&amp;LEFT($U79,6)&amp;".hhv.MJL") * 100</f>
        <v>#REF!</v>
      </c>
      <c r="BB79" s="80" t="e" cm="1">
        <f t="array" aca="1" ref="BB79" ca="1">AN79/INDIRECT("cv."&amp;LEFT($U79,6)&amp;".hhv.MJL") * 100</f>
        <v>#REF!</v>
      </c>
      <c r="BC79" s="80" t="e" cm="1">
        <f t="array" aca="1" ref="BC79" ca="1">AO79/INDIRECT("cv."&amp;LEFT($U79,6)&amp;".hhv.MJL") * 100</f>
        <v>#REF!</v>
      </c>
      <c r="BD79" s="80" t="e" cm="1">
        <f t="array" aca="1" ref="BD79" ca="1">AP79/INDIRECT("cv."&amp;LEFT($U79,6)&amp;".hhv.MJL") * 100</f>
        <v>#REF!</v>
      </c>
    </row>
    <row r="80" spans="1:61" x14ac:dyDescent="0.25">
      <c r="A80" s="61" t="s">
        <v>729</v>
      </c>
      <c r="N80" s="61" t="s">
        <v>504</v>
      </c>
      <c r="O80" s="61" t="s">
        <v>653</v>
      </c>
      <c r="P80" s="61" t="s">
        <v>728</v>
      </c>
      <c r="Q80" s="61" t="str">
        <f t="shared" si="7"/>
        <v>CV2</v>
      </c>
      <c r="R80" s="61" t="s">
        <v>687</v>
      </c>
      <c r="S80" s="65"/>
      <c r="T80" s="256" t="s">
        <v>725</v>
      </c>
      <c r="U80" s="913" t="s">
        <v>699</v>
      </c>
      <c r="V80" s="921">
        <v>2050</v>
      </c>
      <c r="W80" s="914">
        <f t="shared" si="18"/>
        <v>0</v>
      </c>
      <c r="X80" s="915">
        <f t="shared" si="18"/>
        <v>0</v>
      </c>
      <c r="Y80" s="915">
        <f t="shared" si="18"/>
        <v>0</v>
      </c>
      <c r="Z80" s="915">
        <f t="shared" si="18"/>
        <v>0</v>
      </c>
      <c r="AA80" s="915">
        <f t="shared" si="18"/>
        <v>0</v>
      </c>
      <c r="AB80" s="915">
        <f t="shared" si="18"/>
        <v>0</v>
      </c>
      <c r="AC80" s="916">
        <f t="shared" si="18"/>
        <v>1</v>
      </c>
      <c r="AD80" s="103" cm="1">
        <f t="array" ref="AD80">IF(W80,INDEX('AEA2012 update'!$K$6:$R$104,MATCH($T80&amp;$R80,'AEA2012 update'!$A$6:$A$104&amp;'AEA2012 update'!$B$6:$B$104,0),MATCH(AD$16,'AEA2012 update'!$S$4:$Z$4,0)),INDEX('AEA2012 update'!$K$6:$R$104,MATCH($T80&amp;$U80,'AEA2012 update'!$A$6:$A$104&amp;'AEA2012 update'!$B$6:$B$104,0),MATCH(AD$16,'AEA2012 update'!$S$4:$Z$4,0)))</f>
        <v>2522990.6381765995</v>
      </c>
      <c r="AE80" s="103" cm="1">
        <f t="array" ref="AE80">IF(X80,INDEX('AEA2012 update'!$K$6:$R$104,MATCH($T80&amp;$R80,'AEA2012 update'!$A$6:$A$104&amp;'AEA2012 update'!$B$6:$B$104,0),MATCH(AE$16,'AEA2012 update'!$S$4:$Z$4,0)),INDEX('AEA2012 update'!$K$6:$R$104,MATCH($T80&amp;$U80,'AEA2012 update'!$A$6:$A$104&amp;'AEA2012 update'!$B$6:$B$104,0),MATCH(AE$16,'AEA2012 update'!$S$4:$Z$4,0)))</f>
        <v>1080982.7502171779</v>
      </c>
      <c r="AF80" s="103" cm="1">
        <f t="array" ref="AF80">IF(Y80,INDEX('AEA2012 update'!$K$6:$R$104,MATCH($T80&amp;$R80,'AEA2012 update'!$A$6:$A$104&amp;'AEA2012 update'!$B$6:$B$104,0),MATCH(AF$16,'AEA2012 update'!$S$4:$Z$4,0)),INDEX('AEA2012 update'!$K$6:$R$104,MATCH($T80&amp;$U80,'AEA2012 update'!$A$6:$A$104&amp;'AEA2012 update'!$B$6:$B$104,0),MATCH(AF$16,'AEA2012 update'!$S$4:$Z$4,0)))</f>
        <v>851672.91194386315</v>
      </c>
      <c r="AG80" s="103" cm="1">
        <f t="array" ref="AG80">IF(Z80,INDEX('AEA2012 update'!$K$6:$R$104,MATCH($T80&amp;$R80,'AEA2012 update'!$A$6:$A$104&amp;'AEA2012 update'!$B$6:$B$104,0),MATCH(AG$16,'AEA2012 update'!$S$4:$Z$4,0)),INDEX('AEA2012 update'!$K$6:$R$104,MATCH($T80&amp;$U80,'AEA2012 update'!$A$6:$A$104&amp;'AEA2012 update'!$B$6:$B$104,0),MATCH(AG$16,'AEA2012 update'!$S$4:$Z$4,0)))</f>
        <v>622363.07367054839</v>
      </c>
      <c r="AH80" s="103" cm="1">
        <f t="array" ref="AH80">IF(AA80,INDEX('AEA2012 update'!$K$6:$R$104,MATCH($T80&amp;$R80,'AEA2012 update'!$A$6:$A$104&amp;'AEA2012 update'!$B$6:$B$104,0),MATCH(AH$16,'AEA2012 update'!$S$4:$Z$4,0)),INDEX('AEA2012 update'!$K$6:$R$104,MATCH($T80&amp;$U80,'AEA2012 update'!$A$6:$A$104&amp;'AEA2012 update'!$B$6:$B$104,0),MATCH(AH$16,'AEA2012 update'!$S$4:$Z$4,0)))</f>
        <v>593958.67654201027</v>
      </c>
      <c r="AI80" s="103" cm="1">
        <f t="array" ref="AI80">IF(AB80,INDEX('AEA2012 update'!$K$6:$R$104,MATCH($T80&amp;$R80,'AEA2012 update'!$A$6:$A$104&amp;'AEA2012 update'!$B$6:$B$104,0),MATCH(AI$16,'AEA2012 update'!$S$4:$Z$4,0)),INDEX('AEA2012 update'!$K$6:$R$104,MATCH($T80&amp;$U80,'AEA2012 update'!$A$6:$A$104&amp;'AEA2012 update'!$B$6:$B$104,0),MATCH(AI$16,'AEA2012 update'!$S$4:$Z$4,0)))</f>
        <v>565554.27941347216</v>
      </c>
      <c r="AJ80" s="103" cm="1">
        <f t="array" ref="AJ80">IF(AC80,INDEX('AEA2012 update'!$K$6:$R$104,MATCH($T80&amp;$R80,'AEA2012 update'!$A$6:$A$104&amp;'AEA2012 update'!$B$6:$B$104,0),MATCH(AJ$16,'AEA2012 update'!$S$4:$Z$4,0)),INDEX('AEA2012 update'!$K$6:$R$104,MATCH($T80&amp;$U80,'AEA2012 update'!$A$6:$A$104&amp;'AEA2012 update'!$B$6:$B$104,0),MATCH(AJ$16,'AEA2012 update'!$S$4:$Z$4,0)))</f>
        <v>551671.18115070788</v>
      </c>
      <c r="AK80" s="103" t="str">
        <f t="shared" si="13"/>
        <v>CV2HGN</v>
      </c>
      <c r="AL80" s="67">
        <f>INDEX('Vehicle data '!$AD$20:$AD$110,MATCH($AK80,'Vehicle data '!$AC$20:$AC$110,0))/INDEX('Vehicle data '!$AD$20:$AD$110,MATCH($AK$78,'Vehicle data '!$AC$20:$AC$110,0))*AL$78</f>
        <v>3.4560415548705712</v>
      </c>
      <c r="AM80" s="67">
        <f t="array" ref="AM80">IF($AE$1,AL80*(1+INDEX(AM$1:AM$2,MATCH($O80,$AI$1:$AI$2,0)))^(AM$16-AL$16),INDEX('AEA2012 update'!$AC$6:$AG$104,MATCH($T80&amp;$U80,'AEA2012 update'!$A$6:$A$104&amp;'AEA2012 update'!$B$6:$B$104,0),MATCH(AM$16,'AEA2012 update'!$AC$4:$AG$4,0)))</f>
        <v>3.4456837948745824</v>
      </c>
      <c r="AN80" s="67">
        <f t="array" ref="AN80">IF($AE$1,AM80*(1+INDEX(AN$1:AN$2,MATCH($O80,$AI$1:$AI$2,0)))^(AN$16-AM$16),INDEX('AEA2012 update'!$AC$6:$AG$104,MATCH($T80&amp;$U80,'AEA2012 update'!$A$6:$A$104&amp;'AEA2012 update'!$B$6:$B$104,0),MATCH(AN$16,'AEA2012 update'!$AC$4:$AG$4,0)))</f>
        <v>3.260793487928543</v>
      </c>
      <c r="AO80" s="67">
        <f t="array" ref="AO80">IF($AE$1,AN80*(1+INDEX(AO$1:AO$2,MATCH($O80,$AI$1:$AI$2,0)))^(AO$16-AN$16),INDEX('AEA2012 update'!$AC$6:$AG$104,MATCH($T80&amp;$U80,'AEA2012 update'!$A$6:$A$104&amp;'AEA2012 update'!$B$6:$B$104,0),MATCH(AO$16,'AEA2012 update'!$AC$4:$AG$4,0)))</f>
        <v>2.9490031807880119</v>
      </c>
      <c r="AP80" s="67">
        <f t="array" ref="AP80">IF($AE$1,AO80*(1+INDEX(AP$1:AP$2,MATCH($O80,$AI$1:$AI$2,0)))^(AP$16-AO$16),INDEX('AEA2012 update'!$AC$6:$AG$104,MATCH($T80&amp;$U80,'AEA2012 update'!$A$6:$A$104&amp;'AEA2012 update'!$B$6:$B$104,0),MATCH(AP$16,'AEA2012 update'!$AC$4:$AG$4,0)))</f>
        <v>2.6670256158486261</v>
      </c>
      <c r="AQ80" s="67"/>
      <c r="AR80" s="257">
        <f t="shared" si="10"/>
        <v>-9.9900033333334302E-4</v>
      </c>
      <c r="AS80" s="257">
        <f t="shared" si="11"/>
        <v>-7.5326913841620453E-3</v>
      </c>
      <c r="AY80" s="61" t="str">
        <f t="shared" si="12"/>
        <v>HCV2-HGN</v>
      </c>
      <c r="AZ80" s="80" t="e" cm="1">
        <f t="array" aca="1" ref="AZ80" ca="1">AL80/INDIRECT("cv."&amp;LEFT($U80,6)&amp;".hhv.MJL") * 100</f>
        <v>#REF!</v>
      </c>
      <c r="BA80" s="80" t="e" cm="1">
        <f t="array" aca="1" ref="BA80" ca="1">AM80/INDIRECT("cv."&amp;LEFT($U80,6)&amp;".hhv.MJL") * 100</f>
        <v>#REF!</v>
      </c>
      <c r="BB80" s="80" t="e" cm="1">
        <f t="array" aca="1" ref="BB80" ca="1">AN80/INDIRECT("cv."&amp;LEFT($U80,6)&amp;".hhv.MJL") * 100</f>
        <v>#REF!</v>
      </c>
      <c r="BC80" s="80" t="e" cm="1">
        <f t="array" aca="1" ref="BC80" ca="1">AO80/INDIRECT("cv."&amp;LEFT($U80,6)&amp;".hhv.MJL") * 100</f>
        <v>#REF!</v>
      </c>
      <c r="BD80" s="80" t="e" cm="1">
        <f t="array" aca="1" ref="BD80" ca="1">AP80/INDIRECT("cv."&amp;LEFT($U80,6)&amp;".hhv.MJL") * 100</f>
        <v>#REF!</v>
      </c>
    </row>
    <row r="81" spans="1:56" x14ac:dyDescent="0.25">
      <c r="D81" s="61">
        <v>2012</v>
      </c>
      <c r="N81" s="61" t="s">
        <v>509</v>
      </c>
      <c r="O81" s="61" t="s">
        <v>653</v>
      </c>
      <c r="P81" s="61" t="s">
        <v>728</v>
      </c>
      <c r="Q81" s="61" t="str">
        <f t="shared" si="7"/>
        <v>CV2</v>
      </c>
      <c r="R81" s="61" t="s">
        <v>687</v>
      </c>
      <c r="S81" s="65"/>
      <c r="T81" s="256" t="s">
        <v>725</v>
      </c>
      <c r="U81" s="913" t="s">
        <v>700</v>
      </c>
      <c r="V81" s="921"/>
      <c r="W81" s="914">
        <f t="shared" si="18"/>
        <v>0</v>
      </c>
      <c r="X81" s="915">
        <f t="shared" si="18"/>
        <v>0</v>
      </c>
      <c r="Y81" s="915">
        <f t="shared" si="18"/>
        <v>0</v>
      </c>
      <c r="Z81" s="915">
        <f t="shared" si="18"/>
        <v>0</v>
      </c>
      <c r="AA81" s="915">
        <f t="shared" si="18"/>
        <v>0</v>
      </c>
      <c r="AB81" s="915">
        <f t="shared" si="18"/>
        <v>0</v>
      </c>
      <c r="AC81" s="916">
        <f t="shared" si="18"/>
        <v>0</v>
      </c>
      <c r="AD81" s="103" cm="1">
        <f t="array" ref="AD81">IF(W81,INDEX('AEA2012 update'!$K$6:$R$104,MATCH($T81&amp;$R81,'AEA2012 update'!$A$6:$A$104&amp;'AEA2012 update'!$B$6:$B$104,0),MATCH(AD$16,'AEA2012 update'!$S$4:$Z$4,0)),INDEX('AEA2012 update'!$K$6:$R$104,MATCH($T81&amp;$U81,'AEA2012 update'!$A$6:$A$104&amp;'AEA2012 update'!$B$6:$B$104,0),MATCH(AD$16,'AEA2012 update'!$S$4:$Z$4,0)))</f>
        <v>598309.30679972272</v>
      </c>
      <c r="AE81" s="103" cm="1">
        <f t="array" ref="AE81">IF(X81,INDEX('AEA2012 update'!$K$6:$R$104,MATCH($T81&amp;$R81,'AEA2012 update'!$A$6:$A$104&amp;'AEA2012 update'!$B$6:$B$104,0),MATCH(AE$16,'AEA2012 update'!$S$4:$Z$4,0)),INDEX('AEA2012 update'!$K$6:$R$104,MATCH($T81&amp;$U81,'AEA2012 update'!$A$6:$A$104&amp;'AEA2012 update'!$B$6:$B$104,0),MATCH(AE$16,'AEA2012 update'!$S$4:$Z$4,0)))</f>
        <v>588990.88834881992</v>
      </c>
      <c r="AF81" s="103" cm="1">
        <f t="array" ref="AF81">IF(Y81,INDEX('AEA2012 update'!$K$6:$R$104,MATCH($T81&amp;$R81,'AEA2012 update'!$A$6:$A$104&amp;'AEA2012 update'!$B$6:$B$104,0),MATCH(AF$16,'AEA2012 update'!$S$4:$Z$4,0)),INDEX('AEA2012 update'!$K$6:$R$104,MATCH($T81&amp;$U81,'AEA2012 update'!$A$6:$A$104&amp;'AEA2012 update'!$B$6:$B$104,0),MATCH(AF$16,'AEA2012 update'!$S$4:$Z$4,0)))</f>
        <v>591035.13773094804</v>
      </c>
      <c r="AG81" s="103" cm="1">
        <f t="array" ref="AG81">IF(Z81,INDEX('AEA2012 update'!$K$6:$R$104,MATCH($T81&amp;$R81,'AEA2012 update'!$A$6:$A$104&amp;'AEA2012 update'!$B$6:$B$104,0),MATCH(AG$16,'AEA2012 update'!$S$4:$Z$4,0)),INDEX('AEA2012 update'!$K$6:$R$104,MATCH($T81&amp;$U81,'AEA2012 update'!$A$6:$A$104&amp;'AEA2012 update'!$B$6:$B$104,0),MATCH(AG$16,'AEA2012 update'!$S$4:$Z$4,0)))</f>
        <v>593079.38711307617</v>
      </c>
      <c r="AH81" s="103" cm="1">
        <f t="array" ref="AH81">IF(AA81,INDEX('AEA2012 update'!$K$6:$R$104,MATCH($T81&amp;$R81,'AEA2012 update'!$A$6:$A$104&amp;'AEA2012 update'!$B$6:$B$104,0),MATCH(AH$16,'AEA2012 update'!$S$4:$Z$4,0)),INDEX('AEA2012 update'!$K$6:$R$104,MATCH($T81&amp;$U81,'AEA2012 update'!$A$6:$A$104&amp;'AEA2012 update'!$B$6:$B$104,0),MATCH(AH$16,'AEA2012 update'!$S$4:$Z$4,0)))</f>
        <v>599603.08321858256</v>
      </c>
      <c r="AI81" s="103" cm="1">
        <f t="array" ref="AI81">IF(AB81,INDEX('AEA2012 update'!$K$6:$R$104,MATCH($T81&amp;$R81,'AEA2012 update'!$A$6:$A$104&amp;'AEA2012 update'!$B$6:$B$104,0),MATCH(AI$16,'AEA2012 update'!$S$4:$Z$4,0)),INDEX('AEA2012 update'!$K$6:$R$104,MATCH($T81&amp;$U81,'AEA2012 update'!$A$6:$A$104&amp;'AEA2012 update'!$B$6:$B$104,0),MATCH(AI$16,'AEA2012 update'!$S$4:$Z$4,0)))</f>
        <v>606126.77932408883</v>
      </c>
      <c r="AJ81" s="103" cm="1">
        <f t="array" ref="AJ81">IF(AC81,INDEX('AEA2012 update'!$K$6:$R$104,MATCH($T81&amp;$R81,'AEA2012 update'!$A$6:$A$104&amp;'AEA2012 update'!$B$6:$B$104,0),MATCH(AJ$16,'AEA2012 update'!$S$4:$Z$4,0)),INDEX('AEA2012 update'!$K$6:$R$104,MATCH($T81&amp;$U81,'AEA2012 update'!$A$6:$A$104&amp;'AEA2012 update'!$B$6:$B$104,0),MATCH(AJ$16,'AEA2012 update'!$S$4:$Z$4,0)))</f>
        <v>615221.77787460363</v>
      </c>
      <c r="AK81" s="103" t="str">
        <f t="shared" si="13"/>
        <v>CV2GAS</v>
      </c>
      <c r="AL81" s="67">
        <f>INDEX('Vehicle data '!$AD$20:$AD$110,MATCH($AK81,'Vehicle data '!$AC$20:$AC$110,0))/INDEX('Vehicle data '!$AD$20:$AD$110,MATCH($AK$78,'Vehicle data '!$AC$20:$AC$110,0))*AL$78</f>
        <v>8.4291181460150923</v>
      </c>
      <c r="AM81" s="67">
        <f t="array" ref="AM81">IF($AE$1,AL81*(1+INDEX(AM$1:AM$2,MATCH($O81,$AI$1:$AI$2,0)))^(AM$16-AL$16),INDEX('AEA2012 update'!$AC$6:$AG$104,MATCH($T81&amp;$U81,'AEA2012 update'!$A$6:$A$104&amp;'AEA2012 update'!$B$6:$B$104,0),MATCH(AM$16,'AEA2012 update'!$AC$4:$AG$4,0)))</f>
        <v>8.4038560705023677</v>
      </c>
      <c r="AN81" s="67">
        <f t="array" ref="AN81">IF($AE$1,AM81*(1+INDEX(AN$1:AN$2,MATCH($O81,$AI$1:$AI$2,0)))^(AN$16-AM$16),INDEX('AEA2012 update'!$AC$6:$AG$104,MATCH($T81&amp;$U81,'AEA2012 update'!$A$6:$A$104&amp;'AEA2012 update'!$B$6:$B$104,0),MATCH(AN$16,'AEA2012 update'!$AC$4:$AG$4,0)))</f>
        <v>7.9529175570157946</v>
      </c>
      <c r="AO81" s="67">
        <f t="array" ref="AO81">IF($AE$1,AN81*(1+INDEX(AO$1:AO$2,MATCH($O81,$AI$1:$AI$2,0)))^(AO$16-AN$16),INDEX('AEA2012 update'!$AC$6:$AG$104,MATCH($T81&amp;$U81,'AEA2012 update'!$A$6:$A$104&amp;'AEA2012 update'!$B$6:$B$104,0),MATCH(AO$16,'AEA2012 update'!$AC$4:$AG$4,0)))</f>
        <v>7.1924760825878948</v>
      </c>
      <c r="AP81" s="67">
        <f t="array" ref="AP81">IF($AE$1,AO81*(1+INDEX(AP$1:AP$2,MATCH($O81,$AI$1:$AI$2,0)))^(AP$16-AO$16),INDEX('AEA2012 update'!$AC$6:$AG$104,MATCH($T81&amp;$U81,'AEA2012 update'!$A$6:$A$104&amp;'AEA2012 update'!$B$6:$B$104,0),MATCH(AP$16,'AEA2012 update'!$AC$4:$AG$4,0)))</f>
        <v>6.5047464440220368</v>
      </c>
      <c r="AQ81" s="67"/>
      <c r="AR81" s="257">
        <f t="shared" si="10"/>
        <v>-9.9900033333330399E-4</v>
      </c>
      <c r="AS81" s="257">
        <f t="shared" si="11"/>
        <v>-7.5326913841620383E-3</v>
      </c>
      <c r="AY81" s="61" t="str">
        <f t="shared" si="12"/>
        <v>HCV2-GAS</v>
      </c>
      <c r="AZ81" s="80" t="e" cm="1">
        <f t="array" aca="1" ref="AZ81" ca="1">AL81/INDIRECT("cv."&amp;LEFT($U81,6)&amp;".hhv.MJL") * 100</f>
        <v>#REF!</v>
      </c>
      <c r="BA81" s="80" t="e" cm="1">
        <f t="array" aca="1" ref="BA81" ca="1">AM81/INDIRECT("cv."&amp;LEFT($U81,6)&amp;".hhv.MJL") * 100</f>
        <v>#REF!</v>
      </c>
      <c r="BB81" s="80" t="e" cm="1">
        <f t="array" aca="1" ref="BB81" ca="1">AN81/INDIRECT("cv."&amp;LEFT($U81,6)&amp;".hhv.MJL") * 100</f>
        <v>#REF!</v>
      </c>
      <c r="BC81" s="80" t="e" cm="1">
        <f t="array" aca="1" ref="BC81" ca="1">AO81/INDIRECT("cv."&amp;LEFT($U81,6)&amp;".hhv.MJL") * 100</f>
        <v>#REF!</v>
      </c>
      <c r="BD81" s="80" t="e" cm="1">
        <f t="array" aca="1" ref="BD81" ca="1">AP81/INDIRECT("cv."&amp;LEFT($U81,6)&amp;".hhv.MJL") * 100</f>
        <v>#REF!</v>
      </c>
    </row>
    <row r="82" spans="1:56" x14ac:dyDescent="0.25">
      <c r="A82" s="61" t="s">
        <v>730</v>
      </c>
      <c r="C82" s="276">
        <f>SUM(C68:C75)</f>
        <v>7.6563798690686316E-2</v>
      </c>
      <c r="D82" s="277">
        <f>D58-D92</f>
        <v>-1541.4455811873268</v>
      </c>
      <c r="O82" s="61" t="s">
        <v>653</v>
      </c>
      <c r="Q82" s="61" t="str">
        <f t="shared" si="7"/>
        <v/>
      </c>
      <c r="S82" s="65"/>
      <c r="T82" s="256"/>
      <c r="V82" s="921"/>
      <c r="W82" s="917">
        <f t="shared" si="18"/>
        <v>0</v>
      </c>
      <c r="X82" s="918">
        <f t="shared" si="18"/>
        <v>0</v>
      </c>
      <c r="Y82" s="918">
        <f t="shared" si="18"/>
        <v>0</v>
      </c>
      <c r="Z82" s="918">
        <f t="shared" si="18"/>
        <v>0</v>
      </c>
      <c r="AA82" s="918">
        <f t="shared" si="18"/>
        <v>0</v>
      </c>
      <c r="AB82" s="918">
        <f t="shared" si="18"/>
        <v>0</v>
      </c>
      <c r="AC82" s="919">
        <f t="shared" si="18"/>
        <v>0</v>
      </c>
      <c r="AD82" s="103" t="e" cm="1">
        <f t="array" ref="AD82">IF(W82,INDEX('AEA2012 update'!$K$6:$R$104,MATCH($T82&amp;$R82,'AEA2012 update'!$A$6:$A$104&amp;'AEA2012 update'!$B$6:$B$104,0),MATCH(AD$16,'AEA2012 update'!$S$4:$Z$4,0)),INDEX('AEA2012 update'!$K$6:$R$104,MATCH($T82&amp;$U82,'AEA2012 update'!$A$6:$A$104&amp;'AEA2012 update'!$B$6:$B$104,0),MATCH(AD$16,'AEA2012 update'!$S$4:$Z$4,0)))</f>
        <v>#N/A</v>
      </c>
      <c r="AE82" s="103" t="e" cm="1">
        <f t="array" ref="AE82">IF(X82,INDEX('AEA2012 update'!$K$6:$R$104,MATCH($T82&amp;$R82,'AEA2012 update'!$A$6:$A$104&amp;'AEA2012 update'!$B$6:$B$104,0),MATCH(AE$16,'AEA2012 update'!$S$4:$Z$4,0)),INDEX('AEA2012 update'!$K$6:$R$104,MATCH($T82&amp;$U82,'AEA2012 update'!$A$6:$A$104&amp;'AEA2012 update'!$B$6:$B$104,0),MATCH(AE$16,'AEA2012 update'!$S$4:$Z$4,0)))</f>
        <v>#N/A</v>
      </c>
      <c r="AF82" s="103" t="e" cm="1">
        <f t="array" ref="AF82">IF(Y82,INDEX('AEA2012 update'!$K$6:$R$104,MATCH($T82&amp;$R82,'AEA2012 update'!$A$6:$A$104&amp;'AEA2012 update'!$B$6:$B$104,0),MATCH(AF$16,'AEA2012 update'!$S$4:$Z$4,0)),INDEX('AEA2012 update'!$K$6:$R$104,MATCH($T82&amp;$U82,'AEA2012 update'!$A$6:$A$104&amp;'AEA2012 update'!$B$6:$B$104,0),MATCH(AF$16,'AEA2012 update'!$S$4:$Z$4,0)))</f>
        <v>#N/A</v>
      </c>
      <c r="AG82" s="103" t="e" cm="1">
        <f t="array" ref="AG82">IF(Z82,INDEX('AEA2012 update'!$K$6:$R$104,MATCH($T82&amp;$R82,'AEA2012 update'!$A$6:$A$104&amp;'AEA2012 update'!$B$6:$B$104,0),MATCH(AG$16,'AEA2012 update'!$S$4:$Z$4,0)),INDEX('AEA2012 update'!$K$6:$R$104,MATCH($T82&amp;$U82,'AEA2012 update'!$A$6:$A$104&amp;'AEA2012 update'!$B$6:$B$104,0),MATCH(AG$16,'AEA2012 update'!$S$4:$Z$4,0)))</f>
        <v>#N/A</v>
      </c>
      <c r="AH82" s="103" t="e" cm="1">
        <f t="array" ref="AH82">IF(AA82,INDEX('AEA2012 update'!$K$6:$R$104,MATCH($T82&amp;$R82,'AEA2012 update'!$A$6:$A$104&amp;'AEA2012 update'!$B$6:$B$104,0),MATCH(AH$16,'AEA2012 update'!$S$4:$Z$4,0)),INDEX('AEA2012 update'!$K$6:$R$104,MATCH($T82&amp;$U82,'AEA2012 update'!$A$6:$A$104&amp;'AEA2012 update'!$B$6:$B$104,0),MATCH(AH$16,'AEA2012 update'!$S$4:$Z$4,0)))</f>
        <v>#N/A</v>
      </c>
      <c r="AI82" s="103" t="e" cm="1">
        <f t="array" ref="AI82">IF(AB82,INDEX('AEA2012 update'!$K$6:$R$104,MATCH($T82&amp;$R82,'AEA2012 update'!$A$6:$A$104&amp;'AEA2012 update'!$B$6:$B$104,0),MATCH(AI$16,'AEA2012 update'!$S$4:$Z$4,0)),INDEX('AEA2012 update'!$K$6:$R$104,MATCH($T82&amp;$U82,'AEA2012 update'!$A$6:$A$104&amp;'AEA2012 update'!$B$6:$B$104,0),MATCH(AI$16,'AEA2012 update'!$S$4:$Z$4,0)))</f>
        <v>#N/A</v>
      </c>
      <c r="AJ82" s="103" t="e" cm="1">
        <f t="array" ref="AJ82">IF(AC82,INDEX('AEA2012 update'!$K$6:$R$104,MATCH($T82&amp;$R82,'AEA2012 update'!$A$6:$A$104&amp;'AEA2012 update'!$B$6:$B$104,0),MATCH(AJ$16,'AEA2012 update'!$S$4:$Z$4,0)),INDEX('AEA2012 update'!$K$6:$R$104,MATCH($T82&amp;$U82,'AEA2012 update'!$A$6:$A$104&amp;'AEA2012 update'!$B$6:$B$104,0),MATCH(AJ$16,'AEA2012 update'!$S$4:$Z$4,0)))</f>
        <v>#N/A</v>
      </c>
      <c r="AK82" s="103" t="str">
        <f t="shared" si="13"/>
        <v/>
      </c>
      <c r="AL82" s="67" t="e">
        <f>1/INDEX(Analytica!$AA$17:$AE$48,MATCH($AK82,Analytica!$A$17:$A$48,0),MATCH(AL$16,Analytica!$AA$16:$AE$16,0))</f>
        <v>#N/A</v>
      </c>
      <c r="AM82" s="67" t="e">
        <f t="array" ref="AM82">IF($AE$1,AL82*(1+INDEX(AM$1:AM$2,MATCH($O82,$AI$1:$AI$2,0)))^(AM$16-AL$16),INDEX('AEA2012 update'!$AC$6:$AG$104,MATCH($T82&amp;$U82,'AEA2012 update'!$A$6:$A$104&amp;'AEA2012 update'!$B$6:$B$104,0),MATCH(AM$16,'AEA2012 update'!$AC$4:$AG$4,0)))</f>
        <v>#N/A</v>
      </c>
      <c r="AN82" s="67" t="e">
        <f t="array" ref="AN82">IF($AE$1,AM82*(1+INDEX(AN$1:AN$2,MATCH($O82,$AI$1:$AI$2,0)))^(AN$16-AM$16),INDEX('AEA2012 update'!$AC$6:$AG$104,MATCH($T82&amp;$U82,'AEA2012 update'!$A$6:$A$104&amp;'AEA2012 update'!$B$6:$B$104,0),MATCH(AN$16,'AEA2012 update'!$AC$4:$AG$4,0)))</f>
        <v>#N/A</v>
      </c>
      <c r="AO82" s="67" t="e">
        <f t="array" ref="AO82">IF($AE$1,AN82*(1+INDEX(AO$1:AO$2,MATCH($O82,$AI$1:$AI$2,0)))^(AO$16-AN$16),INDEX('AEA2012 update'!$AC$6:$AG$104,MATCH($T82&amp;$U82,'AEA2012 update'!$A$6:$A$104&amp;'AEA2012 update'!$B$6:$B$104,0),MATCH(AO$16,'AEA2012 update'!$AC$4:$AG$4,0)))</f>
        <v>#N/A</v>
      </c>
      <c r="AP82" s="67" t="e">
        <f t="array" ref="AP82">IF($AE$1,AO82*(1+INDEX(AP$1:AP$2,MATCH($O82,$AI$1:$AI$2,0)))^(AP$16-AO$16),INDEX('AEA2012 update'!$AC$6:$AG$104,MATCH($T82&amp;$U82,'AEA2012 update'!$A$6:$A$104&amp;'AEA2012 update'!$B$6:$B$104,0),MATCH(AP$16,'AEA2012 update'!$AC$4:$AG$4,0)))</f>
        <v>#N/A</v>
      </c>
      <c r="AQ82" s="67"/>
      <c r="AR82" s="257" t="e">
        <f t="shared" si="10"/>
        <v>#N/A</v>
      </c>
      <c r="AS82" s="257" t="e">
        <f t="shared" si="11"/>
        <v>#N/A</v>
      </c>
      <c r="AY82" s="61" t="str">
        <f t="shared" si="12"/>
        <v>-</v>
      </c>
      <c r="AZ82" s="80" t="e" cm="1">
        <f t="array" aca="1" ref="AZ82" ca="1">AL82/INDIRECT("cv."&amp;LEFT($U82,6)&amp;".hhv.MJL") * 100</f>
        <v>#N/A</v>
      </c>
      <c r="BA82" s="80" t="e" cm="1">
        <f t="array" aca="1" ref="BA82" ca="1">AM82/INDIRECT("cv."&amp;LEFT($U82,6)&amp;".hhv.MJL") * 100</f>
        <v>#N/A</v>
      </c>
      <c r="BB82" s="80" t="e" cm="1">
        <f t="array" aca="1" ref="BB82" ca="1">AN82/INDIRECT("cv."&amp;LEFT($U82,6)&amp;".hhv.MJL") * 100</f>
        <v>#N/A</v>
      </c>
      <c r="BC82" s="80" t="e" cm="1">
        <f t="array" aca="1" ref="BC82" ca="1">AO82/INDIRECT("cv."&amp;LEFT($U82,6)&amp;".hhv.MJL") * 100</f>
        <v>#N/A</v>
      </c>
      <c r="BD82" s="80" t="e" cm="1">
        <f t="array" aca="1" ref="BD82" ca="1">AP82/INDIRECT("cv."&amp;LEFT($U82,6)&amp;".hhv.MJL") * 100</f>
        <v>#N/A</v>
      </c>
    </row>
    <row r="83" spans="1:56" x14ac:dyDescent="0.25">
      <c r="A83" s="61" t="s">
        <v>263</v>
      </c>
      <c r="C83" s="100">
        <f t="shared" ref="C83:C88" si="20">C68/$C$82</f>
        <v>0.15792763809901353</v>
      </c>
      <c r="D83" s="7">
        <f t="shared" ref="D83:D91" si="21">C83*$D$58</f>
        <v>2468.2510558494823</v>
      </c>
      <c r="N83" s="61" t="s">
        <v>511</v>
      </c>
      <c r="O83" s="61" t="s">
        <v>653</v>
      </c>
      <c r="P83" s="61" t="s">
        <v>731</v>
      </c>
      <c r="Q83" s="61" t="str">
        <f t="shared" si="7"/>
        <v>CV3</v>
      </c>
      <c r="R83" s="61" t="s">
        <v>687</v>
      </c>
      <c r="S83" s="65"/>
      <c r="T83" s="256" t="s">
        <v>725</v>
      </c>
      <c r="U83" s="913" t="s">
        <v>687</v>
      </c>
      <c r="V83" s="921"/>
      <c r="W83" s="914">
        <f t="shared" si="18"/>
        <v>0</v>
      </c>
      <c r="X83" s="915">
        <f t="shared" si="18"/>
        <v>0</v>
      </c>
      <c r="Y83" s="915">
        <f t="shared" si="18"/>
        <v>0</v>
      </c>
      <c r="Z83" s="915">
        <f t="shared" si="18"/>
        <v>0</v>
      </c>
      <c r="AA83" s="915">
        <f t="shared" si="18"/>
        <v>0</v>
      </c>
      <c r="AB83" s="915">
        <f t="shared" si="18"/>
        <v>0</v>
      </c>
      <c r="AC83" s="916">
        <f t="shared" si="18"/>
        <v>0</v>
      </c>
      <c r="AD83" s="103" cm="1">
        <f t="array" ref="AD83">IF(W83,INDEX('AEA2012 update'!$K$6:$R$104,MATCH($T83&amp;$R83,'AEA2012 update'!$A$6:$A$104&amp;'AEA2012 update'!$B$6:$B$104,0),MATCH(AD$16,'AEA2012 update'!$S$4:$Z$4,0)),INDEX('AEA2012 update'!$K$6:$R$104,MATCH($T83&amp;$U83,'AEA2012 update'!$A$6:$A$104&amp;'AEA2012 update'!$B$6:$B$104,0),MATCH(AD$16,'AEA2012 update'!$S$4:$Z$4,0)))</f>
        <v>396204.1631410002</v>
      </c>
      <c r="AE83" s="103" cm="1">
        <f t="array" ref="AE83">IF(X83,INDEX('AEA2012 update'!$K$6:$R$104,MATCH($T83&amp;$R83,'AEA2012 update'!$A$6:$A$104&amp;'AEA2012 update'!$B$6:$B$104,0),MATCH(AE$16,'AEA2012 update'!$S$4:$Z$4,0)),INDEX('AEA2012 update'!$K$6:$R$104,MATCH($T83&amp;$U83,'AEA2012 update'!$A$6:$A$104&amp;'AEA2012 update'!$B$6:$B$104,0),MATCH(AE$16,'AEA2012 update'!$S$4:$Z$4,0)))</f>
        <v>476747.78352540621</v>
      </c>
      <c r="AF83" s="103" cm="1">
        <f t="array" ref="AF83">IF(Y83,INDEX('AEA2012 update'!$K$6:$R$104,MATCH($T83&amp;$R83,'AEA2012 update'!$A$6:$A$104&amp;'AEA2012 update'!$B$6:$B$104,0),MATCH(AF$16,'AEA2012 update'!$S$4:$Z$4,0)),INDEX('AEA2012 update'!$K$6:$R$104,MATCH($T83&amp;$U83,'AEA2012 update'!$A$6:$A$104&amp;'AEA2012 update'!$B$6:$B$104,0),MATCH(AF$16,'AEA2012 update'!$S$4:$Z$4,0)))</f>
        <v>491831.97524024436</v>
      </c>
      <c r="AG83" s="103" cm="1">
        <f t="array" ref="AG83">IF(Z83,INDEX('AEA2012 update'!$K$6:$R$104,MATCH($T83&amp;$R83,'AEA2012 update'!$A$6:$A$104&amp;'AEA2012 update'!$B$6:$B$104,0),MATCH(AG$16,'AEA2012 update'!$S$4:$Z$4,0)),INDEX('AEA2012 update'!$K$6:$R$104,MATCH($T83&amp;$U83,'AEA2012 update'!$A$6:$A$104&amp;'AEA2012 update'!$B$6:$B$104,0),MATCH(AG$16,'AEA2012 update'!$S$4:$Z$4,0)))</f>
        <v>506916.16695508256</v>
      </c>
      <c r="AH83" s="103" cm="1">
        <f t="array" ref="AH83">IF(AA83,INDEX('AEA2012 update'!$K$6:$R$104,MATCH($T83&amp;$R83,'AEA2012 update'!$A$6:$A$104&amp;'AEA2012 update'!$B$6:$B$104,0),MATCH(AH$16,'AEA2012 update'!$S$4:$Z$4,0)),INDEX('AEA2012 update'!$K$6:$R$104,MATCH($T83&amp;$U83,'AEA2012 update'!$A$6:$A$104&amp;'AEA2012 update'!$B$6:$B$104,0),MATCH(AH$16,'AEA2012 update'!$S$4:$Z$4,0)))</f>
        <v>520424.31194208184</v>
      </c>
      <c r="AI83" s="103" cm="1">
        <f t="array" ref="AI83">IF(AB83,INDEX('AEA2012 update'!$K$6:$R$104,MATCH($T83&amp;$R83,'AEA2012 update'!$A$6:$A$104&amp;'AEA2012 update'!$B$6:$B$104,0),MATCH(AI$16,'AEA2012 update'!$S$4:$Z$4,0)),INDEX('AEA2012 update'!$K$6:$R$104,MATCH($T83&amp;$U83,'AEA2012 update'!$A$6:$A$104&amp;'AEA2012 update'!$B$6:$B$104,0),MATCH(AI$16,'AEA2012 update'!$S$4:$Z$4,0)))</f>
        <v>533932.45692908112</v>
      </c>
      <c r="AJ83" s="103" cm="1">
        <f t="array" ref="AJ83">IF(AC83,INDEX('AEA2012 update'!$K$6:$R$104,MATCH($T83&amp;$R83,'AEA2012 update'!$A$6:$A$104&amp;'AEA2012 update'!$B$6:$B$104,0),MATCH(AJ$16,'AEA2012 update'!$S$4:$Z$4,0)),INDEX('AEA2012 update'!$K$6:$R$104,MATCH($T83&amp;$U83,'AEA2012 update'!$A$6:$A$104&amp;'AEA2012 update'!$B$6:$B$104,0),MATCH(AJ$16,'AEA2012 update'!$S$4:$Z$4,0)))</f>
        <v>551671.18115070788</v>
      </c>
      <c r="AK83" s="103" t="str">
        <f t="shared" si="13"/>
        <v>CV3ODS</v>
      </c>
      <c r="AL83" s="67">
        <f>1/INDEX(Analytica!$AA$17:$AE$48,MATCH($AK83,Analytica!$A$17:$A$48,0),MATCH(AL$16,Analytica!$AA$16:$AE$16,0))</f>
        <v>8.3835108522496302</v>
      </c>
      <c r="AM83" s="67">
        <f t="array" ref="AM83">IF($AE$1,AL83*(1+INDEX(AM$1:AM$2,MATCH($O83,$AI$1:$AI$2,0)))^(AM$16-AL$16),INDEX('AEA2012 update'!$AC$6:$AG$104,MATCH($T83&amp;$U83,'AEA2012 update'!$A$6:$A$104&amp;'AEA2012 update'!$B$6:$B$104,0),MATCH(AM$16,'AEA2012 update'!$AC$4:$AG$4,0)))</f>
        <v>8.3583854618419267</v>
      </c>
      <c r="AN83" s="67">
        <f t="array" ref="AN83">IF($AE$1,AM83*(1+INDEX(AN$1:AN$2,MATCH($O83,$AI$1:$AI$2,0)))^(AN$16-AM$16),INDEX('AEA2012 update'!$AC$6:$AG$104,MATCH($T83&amp;$U83,'AEA2012 update'!$A$6:$A$104&amp;'AEA2012 update'!$B$6:$B$104,0),MATCH(AN$16,'AEA2012 update'!$AC$4:$AG$4,0)))</f>
        <v>7.909886834105972</v>
      </c>
      <c r="AO83" s="67">
        <f t="array" ref="AO83">IF($AE$1,AN83*(1+INDEX(AO$1:AO$2,MATCH($O83,$AI$1:$AI$2,0)))^(AO$16-AN$16),INDEX('AEA2012 update'!$AC$6:$AG$104,MATCH($T83&amp;$U83,'AEA2012 update'!$A$6:$A$104&amp;'AEA2012 update'!$B$6:$B$104,0),MATCH(AO$16,'AEA2012 update'!$AC$4:$AG$4,0)))</f>
        <v>7.1535598681135806</v>
      </c>
      <c r="AP83" s="67">
        <f t="array" ref="AP83">IF($AE$1,AO83*(1+INDEX(AP$1:AP$2,MATCH($O83,$AI$1:$AI$2,0)))^(AP$16-AO$16),INDEX('AEA2012 update'!$AC$6:$AG$104,MATCH($T83&amp;$U83,'AEA2012 update'!$A$6:$A$104&amp;'AEA2012 update'!$B$6:$B$104,0),MATCH(AP$16,'AEA2012 update'!$AC$4:$AG$4,0)))</f>
        <v>6.4695513172242682</v>
      </c>
      <c r="AQ83" s="67"/>
      <c r="AR83" s="257">
        <f t="shared" si="10"/>
        <v>-9.9900033333335603E-4</v>
      </c>
      <c r="AS83" s="257">
        <f t="shared" si="11"/>
        <v>-7.5326913841620409E-3</v>
      </c>
      <c r="AY83" s="61" t="str">
        <f t="shared" si="12"/>
        <v>HCV3-ODS</v>
      </c>
      <c r="AZ83" s="80" t="e" cm="1">
        <f t="array" aca="1" ref="AZ83" ca="1">AL83/INDIRECT("cv."&amp;LEFT($U83,6)&amp;".hhv.MJL") * 100</f>
        <v>#REF!</v>
      </c>
      <c r="BA83" s="80" t="e" cm="1">
        <f t="array" aca="1" ref="BA83" ca="1">AM83/INDIRECT("cv."&amp;LEFT($U83,6)&amp;".hhv.MJL") * 100</f>
        <v>#REF!</v>
      </c>
      <c r="BB83" s="80" t="e" cm="1">
        <f t="array" aca="1" ref="BB83" ca="1">AN83/INDIRECT("cv."&amp;LEFT($U83,6)&amp;".hhv.MJL") * 100</f>
        <v>#REF!</v>
      </c>
      <c r="BC83" s="80" t="e" cm="1">
        <f t="array" aca="1" ref="BC83" ca="1">AO83/INDIRECT("cv."&amp;LEFT($U83,6)&amp;".hhv.MJL") * 100</f>
        <v>#REF!</v>
      </c>
      <c r="BD83" s="80" t="e" cm="1">
        <f t="array" aca="1" ref="BD83" ca="1">AP83/INDIRECT("cv."&amp;LEFT($U83,6)&amp;".hhv.MJL") * 100</f>
        <v>#REF!</v>
      </c>
    </row>
    <row r="84" spans="1:56" x14ac:dyDescent="0.25">
      <c r="A84" s="61" t="s">
        <v>261</v>
      </c>
      <c r="C84" s="100">
        <f t="shared" si="20"/>
        <v>0.27324012380502233</v>
      </c>
      <c r="D84" s="7">
        <f t="shared" si="21"/>
        <v>4270.4698949486938</v>
      </c>
      <c r="N84" s="61" t="s">
        <v>501</v>
      </c>
      <c r="O84" s="61" t="s">
        <v>653</v>
      </c>
      <c r="P84" s="61" t="s">
        <v>731</v>
      </c>
      <c r="Q84" s="61" t="str">
        <f t="shared" si="7"/>
        <v>CV3</v>
      </c>
      <c r="R84" s="61" t="s">
        <v>687</v>
      </c>
      <c r="S84" s="65"/>
      <c r="T84" s="256" t="s">
        <v>725</v>
      </c>
      <c r="U84" s="913" t="s">
        <v>692</v>
      </c>
      <c r="V84" s="921">
        <v>2040</v>
      </c>
      <c r="W84" s="914">
        <f t="shared" si="18"/>
        <v>0</v>
      </c>
      <c r="X84" s="915">
        <f t="shared" si="18"/>
        <v>0</v>
      </c>
      <c r="Y84" s="915">
        <f t="shared" si="18"/>
        <v>0</v>
      </c>
      <c r="Z84" s="915">
        <f t="shared" si="18"/>
        <v>0</v>
      </c>
      <c r="AA84" s="915">
        <f t="shared" si="18"/>
        <v>0</v>
      </c>
      <c r="AB84" s="915">
        <f t="shared" si="18"/>
        <v>1</v>
      </c>
      <c r="AC84" s="916">
        <f t="shared" si="18"/>
        <v>1</v>
      </c>
      <c r="AD84" s="103" cm="1">
        <f t="array" ref="AD84">IF(W84,INDEX('AEA2012 update'!$K$6:$R$104,MATCH($T84&amp;$R84,'AEA2012 update'!$A$6:$A$104&amp;'AEA2012 update'!$B$6:$B$104,0),MATCH(AD$16,'AEA2012 update'!$S$4:$Z$4,0)),INDEX('AEA2012 update'!$K$6:$R$104,MATCH($T84&amp;$U84,'AEA2012 update'!$A$6:$A$104&amp;'AEA2012 update'!$B$6:$B$104,0),MATCH(AD$16,'AEA2012 update'!$S$4:$Z$4,0)))</f>
        <v>1327792.7757726812</v>
      </c>
      <c r="AE84" s="103" cm="1">
        <f t="array" ref="AE84">IF(X84,INDEX('AEA2012 update'!$K$6:$R$104,MATCH($T84&amp;$R84,'AEA2012 update'!$A$6:$A$104&amp;'AEA2012 update'!$B$6:$B$104,0),MATCH(AE$16,'AEA2012 update'!$S$4:$Z$4,0)),INDEX('AEA2012 update'!$K$6:$R$104,MATCH($T84&amp;$U84,'AEA2012 update'!$A$6:$A$104&amp;'AEA2012 update'!$B$6:$B$104,0),MATCH(AE$16,'AEA2012 update'!$S$4:$Z$4,0)))</f>
        <v>871544.47239677189</v>
      </c>
      <c r="AF84" s="103" cm="1">
        <f t="array" ref="AF84">IF(Y84,INDEX('AEA2012 update'!$K$6:$R$104,MATCH($T84&amp;$R84,'AEA2012 update'!$A$6:$A$104&amp;'AEA2012 update'!$B$6:$B$104,0),MATCH(AF$16,'AEA2012 update'!$S$4:$Z$4,0)),INDEX('AEA2012 update'!$K$6:$R$104,MATCH($T84&amp;$U84,'AEA2012 update'!$A$6:$A$104&amp;'AEA2012 update'!$B$6:$B$104,0),MATCH(AF$16,'AEA2012 update'!$S$4:$Z$4,0)))</f>
        <v>791404.01330598292</v>
      </c>
      <c r="AG84" s="103" cm="1">
        <f t="array" ref="AG84">IF(Z84,INDEX('AEA2012 update'!$K$6:$R$104,MATCH($T84&amp;$R84,'AEA2012 update'!$A$6:$A$104&amp;'AEA2012 update'!$B$6:$B$104,0),MATCH(AG$16,'AEA2012 update'!$S$4:$Z$4,0)),INDEX('AEA2012 update'!$K$6:$R$104,MATCH($T84&amp;$U84,'AEA2012 update'!$A$6:$A$104&amp;'AEA2012 update'!$B$6:$B$104,0),MATCH(AG$16,'AEA2012 update'!$S$4:$Z$4,0)))</f>
        <v>711263.55421519373</v>
      </c>
      <c r="AH84" s="103" cm="1">
        <f t="array" ref="AH84">IF(AA84,INDEX('AEA2012 update'!$K$6:$R$104,MATCH($T84&amp;$R84,'AEA2012 update'!$A$6:$A$104&amp;'AEA2012 update'!$B$6:$B$104,0),MATCH(AH$16,'AEA2012 update'!$S$4:$Z$4,0)),INDEX('AEA2012 update'!$K$6:$R$104,MATCH($T84&amp;$U84,'AEA2012 update'!$A$6:$A$104&amp;'AEA2012 update'!$B$6:$B$104,0),MATCH(AH$16,'AEA2012 update'!$S$4:$Z$4,0)))</f>
        <v>716968.75957082282</v>
      </c>
      <c r="AI84" s="103" cm="1">
        <f t="array" ref="AI84">IF(AB84,INDEX('AEA2012 update'!$K$6:$R$104,MATCH($T84&amp;$R84,'AEA2012 update'!$A$6:$A$104&amp;'AEA2012 update'!$B$6:$B$104,0),MATCH(AI$16,'AEA2012 update'!$S$4:$Z$4,0)),INDEX('AEA2012 update'!$K$6:$R$104,MATCH($T84&amp;$U84,'AEA2012 update'!$A$6:$A$104&amp;'AEA2012 update'!$B$6:$B$104,0),MATCH(AI$16,'AEA2012 update'!$S$4:$Z$4,0)))</f>
        <v>533932.45692908112</v>
      </c>
      <c r="AJ84" s="103" cm="1">
        <f t="array" ref="AJ84">IF(AC84,INDEX('AEA2012 update'!$K$6:$R$104,MATCH($T84&amp;$R84,'AEA2012 update'!$A$6:$A$104&amp;'AEA2012 update'!$B$6:$B$104,0),MATCH(AJ$16,'AEA2012 update'!$S$4:$Z$4,0)),INDEX('AEA2012 update'!$K$6:$R$104,MATCH($T84&amp;$U84,'AEA2012 update'!$A$6:$A$104&amp;'AEA2012 update'!$B$6:$B$104,0),MATCH(AJ$16,'AEA2012 update'!$S$4:$Z$4,0)))</f>
        <v>551671.18115070788</v>
      </c>
      <c r="AK84" s="103" t="str">
        <f t="shared" si="13"/>
        <v>CV3ELC</v>
      </c>
      <c r="AL84" s="67">
        <f>INDEX('Vehicle data '!$AD$20:$AD$110,MATCH($AK84,'Vehicle data '!$AC$20:$AC$110,0))/INDEX('Vehicle data '!$AD$20:$AD$110,MATCH($AK$83,'Vehicle data '!$AC$20:$AC$110,0))*AL$83</f>
        <v>2.5604291877993153</v>
      </c>
      <c r="AM84" s="67">
        <f t="array" ref="AM84">IF($AE$1,AL84*(1+INDEX(AM$1:AM$2,MATCH($O84,$AI$1:$AI$2,0)))^(AM$16-AL$16),INDEX('AEA2012 update'!$AC$6:$AG$104,MATCH($T84&amp;$U84,'AEA2012 update'!$A$6:$A$104&amp;'AEA2012 update'!$B$6:$B$104,0),MATCH(AM$16,'AEA2012 update'!$AC$4:$AG$4,0)))</f>
        <v>2.5527555789630516</v>
      </c>
      <c r="AN84" s="67">
        <f t="array" ref="AN84">IF($AE$1,AM84*(1+INDEX(AN$1:AN$2,MATCH($O84,$AI$1:$AI$2,0)))^(AN$16-AM$16),INDEX('AEA2012 update'!$AC$6:$AG$104,MATCH($T84&amp;$U84,'AEA2012 update'!$A$6:$A$104&amp;'AEA2012 update'!$B$6:$B$104,0),MATCH(AN$16,'AEA2012 update'!$AC$4:$AG$4,0)))</f>
        <v>2.4157784822094963</v>
      </c>
      <c r="AO84" s="67">
        <f t="array" ref="AO84">IF($AE$1,AN84*(1+INDEX(AO$1:AO$2,MATCH($O84,$AI$1:$AI$2,0)))^(AO$16-AN$16),INDEX('AEA2012 update'!$AC$6:$AG$104,MATCH($T84&amp;$U84,'AEA2012 update'!$A$6:$A$104&amp;'AEA2012 update'!$B$6:$B$104,0),MATCH(AO$16,'AEA2012 update'!$AC$4:$AG$4,0)))</f>
        <v>2.1847867565022443</v>
      </c>
      <c r="AP84" s="67">
        <f t="array" ref="AP84">IF($AE$1,AO84*(1+INDEX(AP$1:AP$2,MATCH($O84,$AI$1:$AI$2,0)))^(AP$16-AO$16),INDEX('AEA2012 update'!$AC$6:$AG$104,MATCH($T84&amp;$U84,'AEA2012 update'!$A$6:$A$104&amp;'AEA2012 update'!$B$6:$B$104,0),MATCH(AP$16,'AEA2012 update'!$AC$4:$AG$4,0)))</f>
        <v>1.9758819802972549</v>
      </c>
      <c r="AQ84" s="67"/>
      <c r="AR84" s="257">
        <f t="shared" si="10"/>
        <v>-9.9900033333332459E-4</v>
      </c>
      <c r="AS84" s="257">
        <f t="shared" si="11"/>
        <v>-7.5326913841620392E-3</v>
      </c>
      <c r="AY84" s="61" t="str">
        <f t="shared" si="12"/>
        <v>HCV3-ELC</v>
      </c>
      <c r="AZ84" s="80" t="e" cm="1">
        <f t="array" aca="1" ref="AZ84" ca="1">AL84/INDIRECT("cv."&amp;LEFT($U84,6)&amp;".hhv.MJL") * 100</f>
        <v>#REF!</v>
      </c>
      <c r="BA84" s="80" t="e" cm="1">
        <f t="array" aca="1" ref="BA84" ca="1">AM84/INDIRECT("cv."&amp;LEFT($U84,6)&amp;".hhv.MJL") * 100</f>
        <v>#REF!</v>
      </c>
      <c r="BB84" s="80" t="e" cm="1">
        <f t="array" aca="1" ref="BB84" ca="1">AN84/INDIRECT("cv."&amp;LEFT($U84,6)&amp;".hhv.MJL") * 100</f>
        <v>#REF!</v>
      </c>
      <c r="BC84" s="80" t="e" cm="1">
        <f t="array" aca="1" ref="BC84" ca="1">AO84/INDIRECT("cv."&amp;LEFT($U84,6)&amp;".hhv.MJL") * 100</f>
        <v>#REF!</v>
      </c>
      <c r="BD84" s="80" t="e" cm="1">
        <f t="array" aca="1" ref="BD84" ca="1">AP84/INDIRECT("cv."&amp;LEFT($U84,6)&amp;".hhv.MJL") * 100</f>
        <v>#REF!</v>
      </c>
    </row>
    <row r="85" spans="1:56" x14ac:dyDescent="0.25">
      <c r="A85" s="61" t="s">
        <v>259</v>
      </c>
      <c r="C85" s="100">
        <f t="shared" si="20"/>
        <v>6.2253190418833003E-2</v>
      </c>
      <c r="D85" s="7">
        <f t="shared" si="21"/>
        <v>972.95511305594096</v>
      </c>
      <c r="N85" s="61" t="s">
        <v>504</v>
      </c>
      <c r="O85" s="61" t="s">
        <v>653</v>
      </c>
      <c r="P85" s="61" t="s">
        <v>731</v>
      </c>
      <c r="Q85" s="61" t="str">
        <f t="shared" si="7"/>
        <v>CV3</v>
      </c>
      <c r="R85" s="61" t="s">
        <v>687</v>
      </c>
      <c r="S85" s="65"/>
      <c r="T85" s="256" t="s">
        <v>725</v>
      </c>
      <c r="U85" s="913" t="s">
        <v>699</v>
      </c>
      <c r="V85" s="921">
        <v>2050</v>
      </c>
      <c r="W85" s="914">
        <f t="shared" ref="W85:AC104" si="22">IF($V85="",0,IF(W$19&gt;=$V85,1,0))</f>
        <v>0</v>
      </c>
      <c r="X85" s="915">
        <f t="shared" si="22"/>
        <v>0</v>
      </c>
      <c r="Y85" s="915">
        <f t="shared" si="22"/>
        <v>0</v>
      </c>
      <c r="Z85" s="915">
        <f t="shared" si="22"/>
        <v>0</v>
      </c>
      <c r="AA85" s="915">
        <f t="shared" si="22"/>
        <v>0</v>
      </c>
      <c r="AB85" s="915">
        <f t="shared" si="22"/>
        <v>0</v>
      </c>
      <c r="AC85" s="916">
        <f t="shared" si="22"/>
        <v>1</v>
      </c>
      <c r="AD85" s="103" cm="1">
        <f t="array" ref="AD85">IF(W85,INDEX('AEA2012 update'!$K$6:$R$104,MATCH($T85&amp;$R85,'AEA2012 update'!$A$6:$A$104&amp;'AEA2012 update'!$B$6:$B$104,0),MATCH(AD$16,'AEA2012 update'!$S$4:$Z$4,0)),INDEX('AEA2012 update'!$K$6:$R$104,MATCH($T85&amp;$U85,'AEA2012 update'!$A$6:$A$104&amp;'AEA2012 update'!$B$6:$B$104,0),MATCH(AD$16,'AEA2012 update'!$S$4:$Z$4,0)))</f>
        <v>2522990.6381765995</v>
      </c>
      <c r="AE85" s="103" cm="1">
        <f t="array" ref="AE85">IF(X85,INDEX('AEA2012 update'!$K$6:$R$104,MATCH($T85&amp;$R85,'AEA2012 update'!$A$6:$A$104&amp;'AEA2012 update'!$B$6:$B$104,0),MATCH(AE$16,'AEA2012 update'!$S$4:$Z$4,0)),INDEX('AEA2012 update'!$K$6:$R$104,MATCH($T85&amp;$U85,'AEA2012 update'!$A$6:$A$104&amp;'AEA2012 update'!$B$6:$B$104,0),MATCH(AE$16,'AEA2012 update'!$S$4:$Z$4,0)))</f>
        <v>1080982.7502171779</v>
      </c>
      <c r="AF85" s="103" cm="1">
        <f t="array" ref="AF85">IF(Y85,INDEX('AEA2012 update'!$K$6:$R$104,MATCH($T85&amp;$R85,'AEA2012 update'!$A$6:$A$104&amp;'AEA2012 update'!$B$6:$B$104,0),MATCH(AF$16,'AEA2012 update'!$S$4:$Z$4,0)),INDEX('AEA2012 update'!$K$6:$R$104,MATCH($T85&amp;$U85,'AEA2012 update'!$A$6:$A$104&amp;'AEA2012 update'!$B$6:$B$104,0),MATCH(AF$16,'AEA2012 update'!$S$4:$Z$4,0)))</f>
        <v>851672.91194386315</v>
      </c>
      <c r="AG85" s="103" cm="1">
        <f t="array" ref="AG85">IF(Z85,INDEX('AEA2012 update'!$K$6:$R$104,MATCH($T85&amp;$R85,'AEA2012 update'!$A$6:$A$104&amp;'AEA2012 update'!$B$6:$B$104,0),MATCH(AG$16,'AEA2012 update'!$S$4:$Z$4,0)),INDEX('AEA2012 update'!$K$6:$R$104,MATCH($T85&amp;$U85,'AEA2012 update'!$A$6:$A$104&amp;'AEA2012 update'!$B$6:$B$104,0),MATCH(AG$16,'AEA2012 update'!$S$4:$Z$4,0)))</f>
        <v>622363.07367054839</v>
      </c>
      <c r="AH85" s="103" cm="1">
        <f t="array" ref="AH85">IF(AA85,INDEX('AEA2012 update'!$K$6:$R$104,MATCH($T85&amp;$R85,'AEA2012 update'!$A$6:$A$104&amp;'AEA2012 update'!$B$6:$B$104,0),MATCH(AH$16,'AEA2012 update'!$S$4:$Z$4,0)),INDEX('AEA2012 update'!$K$6:$R$104,MATCH($T85&amp;$U85,'AEA2012 update'!$A$6:$A$104&amp;'AEA2012 update'!$B$6:$B$104,0),MATCH(AH$16,'AEA2012 update'!$S$4:$Z$4,0)))</f>
        <v>593958.67654201027</v>
      </c>
      <c r="AI85" s="103" cm="1">
        <f t="array" ref="AI85">IF(AB85,INDEX('AEA2012 update'!$K$6:$R$104,MATCH($T85&amp;$R85,'AEA2012 update'!$A$6:$A$104&amp;'AEA2012 update'!$B$6:$B$104,0),MATCH(AI$16,'AEA2012 update'!$S$4:$Z$4,0)),INDEX('AEA2012 update'!$K$6:$R$104,MATCH($T85&amp;$U85,'AEA2012 update'!$A$6:$A$104&amp;'AEA2012 update'!$B$6:$B$104,0),MATCH(AI$16,'AEA2012 update'!$S$4:$Z$4,0)))</f>
        <v>565554.27941347216</v>
      </c>
      <c r="AJ85" s="103" cm="1">
        <f t="array" ref="AJ85">IF(AC85,INDEX('AEA2012 update'!$K$6:$R$104,MATCH($T85&amp;$R85,'AEA2012 update'!$A$6:$A$104&amp;'AEA2012 update'!$B$6:$B$104,0),MATCH(AJ$16,'AEA2012 update'!$S$4:$Z$4,0)),INDEX('AEA2012 update'!$K$6:$R$104,MATCH($T85&amp;$U85,'AEA2012 update'!$A$6:$A$104&amp;'AEA2012 update'!$B$6:$B$104,0),MATCH(AJ$16,'AEA2012 update'!$S$4:$Z$4,0)))</f>
        <v>551671.18115070788</v>
      </c>
      <c r="AK85" s="103" t="str">
        <f t="shared" si="13"/>
        <v>CV3HGN</v>
      </c>
      <c r="AL85" s="67">
        <f>INDEX('Vehicle data '!$AD$20:$AD$110,MATCH($AK85,'Vehicle data '!$AC$20:$AC$110,0))/INDEX('Vehicle data '!$AD$20:$AD$110,MATCH($AK$83,'Vehicle data '!$AC$20:$AC$110,0))*AL$83</f>
        <v>3.9529433074796438</v>
      </c>
      <c r="AM85" s="67">
        <f t="array" ref="AM85">IF($AE$1,AL85*(1+INDEX(AM$1:AM$2,MATCH($O85,$AI$1:$AI$2,0)))^(AM$16-AL$16),INDEX('AEA2012 update'!$AC$6:$AG$104,MATCH($T85&amp;$U85,'AEA2012 update'!$A$6:$A$104&amp;'AEA2012 update'!$B$6:$B$104,0),MATCH(AM$16,'AEA2012 update'!$AC$4:$AG$4,0)))</f>
        <v>3.9410963324341841</v>
      </c>
      <c r="AN85" s="67">
        <f t="array" ref="AN85">IF($AE$1,AM85*(1+INDEX(AN$1:AN$2,MATCH($O85,$AI$1:$AI$2,0)))^(AN$16-AM$16),INDEX('AEA2012 update'!$AC$6:$AG$104,MATCH($T85&amp;$U85,'AEA2012 update'!$A$6:$A$104&amp;'AEA2012 update'!$B$6:$B$104,0),MATCH(AN$16,'AEA2012 update'!$AC$4:$AG$4,0)))</f>
        <v>3.7296229199023796</v>
      </c>
      <c r="AO85" s="67">
        <f t="array" ref="AO85">IF($AE$1,AN85*(1+INDEX(AO$1:AO$2,MATCH($O85,$AI$1:$AI$2,0)))^(AO$16-AN$16),INDEX('AEA2012 update'!$AC$6:$AG$104,MATCH($T85&amp;$U85,'AEA2012 update'!$A$6:$A$104&amp;'AEA2012 update'!$B$6:$B$104,0),MATCH(AO$16,'AEA2012 update'!$AC$4:$AG$4,0)))</f>
        <v>3.3730041153017094</v>
      </c>
      <c r="AP85" s="67">
        <f t="array" ref="AP85">IF($AE$1,AO85*(1+INDEX(AP$1:AP$2,MATCH($O85,$AI$1:$AI$2,0)))^(AP$16-AO$16),INDEX('AEA2012 update'!$AC$6:$AG$104,MATCH($T85&amp;$U85,'AEA2012 update'!$A$6:$A$104&amp;'AEA2012 update'!$B$6:$B$104,0),MATCH(AP$16,'AEA2012 update'!$AC$4:$AG$4,0)))</f>
        <v>3.0504844608097961</v>
      </c>
      <c r="AQ85" s="67"/>
      <c r="AR85" s="257">
        <f t="shared" si="10"/>
        <v>-9.9900033333332719E-4</v>
      </c>
      <c r="AS85" s="257">
        <f t="shared" si="11"/>
        <v>-7.5326913841620418E-3</v>
      </c>
      <c r="AY85" s="61" t="str">
        <f t="shared" ref="AY85:AY116" si="23">P85&amp;"-"&amp;N85</f>
        <v>HCV3-HGN</v>
      </c>
      <c r="AZ85" s="80" t="e" cm="1">
        <f t="array" aca="1" ref="AZ85" ca="1">AL85/INDIRECT("cv."&amp;LEFT($U85,6)&amp;".hhv.MJL") * 100</f>
        <v>#REF!</v>
      </c>
      <c r="BA85" s="80" t="e" cm="1">
        <f t="array" aca="1" ref="BA85" ca="1">AM85/INDIRECT("cv."&amp;LEFT($U85,6)&amp;".hhv.MJL") * 100</f>
        <v>#REF!</v>
      </c>
      <c r="BB85" s="80" t="e" cm="1">
        <f t="array" aca="1" ref="BB85" ca="1">AN85/INDIRECT("cv."&amp;LEFT($U85,6)&amp;".hhv.MJL") * 100</f>
        <v>#REF!</v>
      </c>
      <c r="BC85" s="80" t="e" cm="1">
        <f t="array" aca="1" ref="BC85" ca="1">AO85/INDIRECT("cv."&amp;LEFT($U85,6)&amp;".hhv.MJL") * 100</f>
        <v>#REF!</v>
      </c>
      <c r="BD85" s="80" t="e" cm="1">
        <f t="array" aca="1" ref="BD85" ca="1">AP85/INDIRECT("cv."&amp;LEFT($U85,6)&amp;".hhv.MJL") * 100</f>
        <v>#REF!</v>
      </c>
    </row>
    <row r="86" spans="1:56" x14ac:dyDescent="0.25">
      <c r="A86" s="61" t="s">
        <v>257</v>
      </c>
      <c r="C86" s="100">
        <f t="shared" si="20"/>
        <v>2.6153556853238193E-2</v>
      </c>
      <c r="D86" s="7">
        <f t="shared" si="21"/>
        <v>408.75394005925972</v>
      </c>
      <c r="N86" s="61" t="s">
        <v>509</v>
      </c>
      <c r="O86" s="61" t="s">
        <v>653</v>
      </c>
      <c r="P86" s="61" t="s">
        <v>731</v>
      </c>
      <c r="Q86" s="61" t="str">
        <f t="shared" si="7"/>
        <v>CV3</v>
      </c>
      <c r="R86" s="61" t="s">
        <v>687</v>
      </c>
      <c r="S86" s="65"/>
      <c r="T86" s="256" t="s">
        <v>725</v>
      </c>
      <c r="U86" s="913" t="s">
        <v>700</v>
      </c>
      <c r="V86" s="921"/>
      <c r="W86" s="914">
        <f t="shared" si="22"/>
        <v>0</v>
      </c>
      <c r="X86" s="915">
        <f t="shared" si="22"/>
        <v>0</v>
      </c>
      <c r="Y86" s="915">
        <f t="shared" si="22"/>
        <v>0</v>
      </c>
      <c r="Z86" s="915">
        <f t="shared" si="22"/>
        <v>0</v>
      </c>
      <c r="AA86" s="915">
        <f t="shared" si="22"/>
        <v>0</v>
      </c>
      <c r="AB86" s="915">
        <f t="shared" si="22"/>
        <v>0</v>
      </c>
      <c r="AC86" s="916">
        <f t="shared" si="22"/>
        <v>0</v>
      </c>
      <c r="AD86" s="103" cm="1">
        <f t="array" ref="AD86">IF(W86,INDEX('AEA2012 update'!$K$6:$R$104,MATCH($T86&amp;$R86,'AEA2012 update'!$A$6:$A$104&amp;'AEA2012 update'!$B$6:$B$104,0),MATCH(AD$16,'AEA2012 update'!$S$4:$Z$4,0)),INDEX('AEA2012 update'!$K$6:$R$104,MATCH($T86&amp;$U86,'AEA2012 update'!$A$6:$A$104&amp;'AEA2012 update'!$B$6:$B$104,0),MATCH(AD$16,'AEA2012 update'!$S$4:$Z$4,0)))</f>
        <v>598309.30679972272</v>
      </c>
      <c r="AE86" s="103" cm="1">
        <f t="array" ref="AE86">IF(X86,INDEX('AEA2012 update'!$K$6:$R$104,MATCH($T86&amp;$R86,'AEA2012 update'!$A$6:$A$104&amp;'AEA2012 update'!$B$6:$B$104,0),MATCH(AE$16,'AEA2012 update'!$S$4:$Z$4,0)),INDEX('AEA2012 update'!$K$6:$R$104,MATCH($T86&amp;$U86,'AEA2012 update'!$A$6:$A$104&amp;'AEA2012 update'!$B$6:$B$104,0),MATCH(AE$16,'AEA2012 update'!$S$4:$Z$4,0)))</f>
        <v>588990.88834881992</v>
      </c>
      <c r="AF86" s="103" cm="1">
        <f t="array" ref="AF86">IF(Y86,INDEX('AEA2012 update'!$K$6:$R$104,MATCH($T86&amp;$R86,'AEA2012 update'!$A$6:$A$104&amp;'AEA2012 update'!$B$6:$B$104,0),MATCH(AF$16,'AEA2012 update'!$S$4:$Z$4,0)),INDEX('AEA2012 update'!$K$6:$R$104,MATCH($T86&amp;$U86,'AEA2012 update'!$A$6:$A$104&amp;'AEA2012 update'!$B$6:$B$104,0),MATCH(AF$16,'AEA2012 update'!$S$4:$Z$4,0)))</f>
        <v>591035.13773094804</v>
      </c>
      <c r="AG86" s="103" cm="1">
        <f t="array" ref="AG86">IF(Z86,INDEX('AEA2012 update'!$K$6:$R$104,MATCH($T86&amp;$R86,'AEA2012 update'!$A$6:$A$104&amp;'AEA2012 update'!$B$6:$B$104,0),MATCH(AG$16,'AEA2012 update'!$S$4:$Z$4,0)),INDEX('AEA2012 update'!$K$6:$R$104,MATCH($T86&amp;$U86,'AEA2012 update'!$A$6:$A$104&amp;'AEA2012 update'!$B$6:$B$104,0),MATCH(AG$16,'AEA2012 update'!$S$4:$Z$4,0)))</f>
        <v>593079.38711307617</v>
      </c>
      <c r="AH86" s="103" cm="1">
        <f t="array" ref="AH86">IF(AA86,INDEX('AEA2012 update'!$K$6:$R$104,MATCH($T86&amp;$R86,'AEA2012 update'!$A$6:$A$104&amp;'AEA2012 update'!$B$6:$B$104,0),MATCH(AH$16,'AEA2012 update'!$S$4:$Z$4,0)),INDEX('AEA2012 update'!$K$6:$R$104,MATCH($T86&amp;$U86,'AEA2012 update'!$A$6:$A$104&amp;'AEA2012 update'!$B$6:$B$104,0),MATCH(AH$16,'AEA2012 update'!$S$4:$Z$4,0)))</f>
        <v>599603.08321858256</v>
      </c>
      <c r="AI86" s="103" cm="1">
        <f t="array" ref="AI86">IF(AB86,INDEX('AEA2012 update'!$K$6:$R$104,MATCH($T86&amp;$R86,'AEA2012 update'!$A$6:$A$104&amp;'AEA2012 update'!$B$6:$B$104,0),MATCH(AI$16,'AEA2012 update'!$S$4:$Z$4,0)),INDEX('AEA2012 update'!$K$6:$R$104,MATCH($T86&amp;$U86,'AEA2012 update'!$A$6:$A$104&amp;'AEA2012 update'!$B$6:$B$104,0),MATCH(AI$16,'AEA2012 update'!$S$4:$Z$4,0)))</f>
        <v>606126.77932408883</v>
      </c>
      <c r="AJ86" s="103" cm="1">
        <f t="array" ref="AJ86">IF(AC86,INDEX('AEA2012 update'!$K$6:$R$104,MATCH($T86&amp;$R86,'AEA2012 update'!$A$6:$A$104&amp;'AEA2012 update'!$B$6:$B$104,0),MATCH(AJ$16,'AEA2012 update'!$S$4:$Z$4,0)),INDEX('AEA2012 update'!$K$6:$R$104,MATCH($T86&amp;$U86,'AEA2012 update'!$A$6:$A$104&amp;'AEA2012 update'!$B$6:$B$104,0),MATCH(AJ$16,'AEA2012 update'!$S$4:$Z$4,0)))</f>
        <v>615221.77787460363</v>
      </c>
      <c r="AK86" s="103" t="str">
        <f t="shared" si="13"/>
        <v>CV3GAS</v>
      </c>
      <c r="AL86" s="67">
        <f>INDEX('Vehicle data '!$AD$20:$AD$110,MATCH($AK86,'Vehicle data '!$AC$20:$AC$110,0))/INDEX('Vehicle data '!$AD$20:$AD$110,MATCH($AK$83,'Vehicle data '!$AC$20:$AC$110,0))*AL$83</f>
        <v>9.6410374800870748</v>
      </c>
      <c r="AM86" s="67">
        <f t="array" ref="AM86">IF($AE$1,AL86*(1+INDEX(AM$1:AM$2,MATCH($O86,$AI$1:$AI$2,0)))^(AM$16-AL$16),INDEX('AEA2012 update'!$AC$6:$AG$104,MATCH($T86&amp;$U86,'AEA2012 update'!$A$6:$A$104&amp;'AEA2012 update'!$B$6:$B$104,0),MATCH(AM$16,'AEA2012 update'!$AC$4:$AG$4,0)))</f>
        <v>9.6121432811182164</v>
      </c>
      <c r="AN86" s="67">
        <f t="array" ref="AN86">IF($AE$1,AM86*(1+INDEX(AN$1:AN$2,MATCH($O86,$AI$1:$AI$2,0)))^(AN$16-AM$16),INDEX('AEA2012 update'!$AC$6:$AG$104,MATCH($T86&amp;$U86,'AEA2012 update'!$A$6:$A$104&amp;'AEA2012 update'!$B$6:$B$104,0),MATCH(AN$16,'AEA2012 update'!$AC$4:$AG$4,0)))</f>
        <v>9.096369859221868</v>
      </c>
      <c r="AO86" s="67">
        <f t="array" ref="AO86">IF($AE$1,AN86*(1+INDEX(AO$1:AO$2,MATCH($O86,$AI$1:$AI$2,0)))^(AO$16-AN$16),INDEX('AEA2012 update'!$AC$6:$AG$104,MATCH($T86&amp;$U86,'AEA2012 update'!$A$6:$A$104&amp;'AEA2012 update'!$B$6:$B$104,0),MATCH(AO$16,'AEA2012 update'!$AC$4:$AG$4,0)))</f>
        <v>8.2265938483306176</v>
      </c>
      <c r="AP86" s="67">
        <f t="array" ref="AP86">IF($AE$1,AO86*(1+INDEX(AP$1:AP$2,MATCH($O86,$AI$1:$AI$2,0)))^(AP$16-AO$16),INDEX('AEA2012 update'!$AC$6:$AG$104,MATCH($T86&amp;$U86,'AEA2012 update'!$A$6:$A$104&amp;'AEA2012 update'!$B$6:$B$104,0),MATCH(AP$16,'AEA2012 update'!$AC$4:$AG$4,0)))</f>
        <v>7.4399840148079086</v>
      </c>
      <c r="AQ86" s="67"/>
      <c r="AR86" s="257">
        <f t="shared" si="10"/>
        <v>-9.9900033333333435E-4</v>
      </c>
      <c r="AS86" s="257">
        <f t="shared" si="11"/>
        <v>-7.5326913841620427E-3</v>
      </c>
      <c r="AY86" s="61" t="str">
        <f t="shared" si="23"/>
        <v>HCV3-GAS</v>
      </c>
      <c r="AZ86" s="80" t="e" cm="1">
        <f t="array" aca="1" ref="AZ86" ca="1">AL86/INDIRECT("cv."&amp;LEFT($U86,6)&amp;".hhv.MJL") * 100</f>
        <v>#REF!</v>
      </c>
      <c r="BA86" s="80" t="e" cm="1">
        <f t="array" aca="1" ref="BA86" ca="1">AM86/INDIRECT("cv."&amp;LEFT($U86,6)&amp;".hhv.MJL") * 100</f>
        <v>#REF!</v>
      </c>
      <c r="BB86" s="80" t="e" cm="1">
        <f t="array" aca="1" ref="BB86" ca="1">AN86/INDIRECT("cv."&amp;LEFT($U86,6)&amp;".hhv.MJL") * 100</f>
        <v>#REF!</v>
      </c>
      <c r="BC86" s="80" t="e" cm="1">
        <f t="array" aca="1" ref="BC86" ca="1">AO86/INDIRECT("cv."&amp;LEFT($U86,6)&amp;".hhv.MJL") * 100</f>
        <v>#REF!</v>
      </c>
      <c r="BD86" s="80" t="e" cm="1">
        <f t="array" aca="1" ref="BD86" ca="1">AP86/INDIRECT("cv."&amp;LEFT($U86,6)&amp;".hhv.MJL") * 100</f>
        <v>#REF!</v>
      </c>
    </row>
    <row r="87" spans="1:56" x14ac:dyDescent="0.25">
      <c r="A87" s="61" t="s">
        <v>255</v>
      </c>
      <c r="C87" s="100">
        <f t="shared" si="20"/>
        <v>0.37698019424581086</v>
      </c>
      <c r="D87" s="7">
        <f t="shared" si="21"/>
        <v>5891.8234558677777</v>
      </c>
      <c r="O87" s="61" t="s">
        <v>653</v>
      </c>
      <c r="Q87" s="61" t="str">
        <f t="shared" si="7"/>
        <v/>
      </c>
      <c r="S87" s="65"/>
      <c r="T87" s="256"/>
      <c r="U87" s="260"/>
      <c r="V87" s="921"/>
      <c r="W87" s="914">
        <f t="shared" si="22"/>
        <v>0</v>
      </c>
      <c r="X87" s="915">
        <f t="shared" si="22"/>
        <v>0</v>
      </c>
      <c r="Y87" s="915">
        <f t="shared" si="22"/>
        <v>0</v>
      </c>
      <c r="Z87" s="915">
        <f t="shared" si="22"/>
        <v>0</v>
      </c>
      <c r="AA87" s="915">
        <f t="shared" si="22"/>
        <v>0</v>
      </c>
      <c r="AB87" s="915">
        <f t="shared" si="22"/>
        <v>0</v>
      </c>
      <c r="AC87" s="916">
        <f t="shared" si="22"/>
        <v>0</v>
      </c>
      <c r="AD87" s="103" t="e" cm="1">
        <f t="array" ref="AD87">IF(W87,INDEX('AEA2012 update'!$K$6:$R$104,MATCH($T87&amp;$R87,'AEA2012 update'!$A$6:$A$104&amp;'AEA2012 update'!$B$6:$B$104,0),MATCH(AD$16,'AEA2012 update'!$S$4:$Z$4,0)),INDEX('AEA2012 update'!$K$6:$R$104,MATCH($T87&amp;$U87,'AEA2012 update'!$A$6:$A$104&amp;'AEA2012 update'!$B$6:$B$104,0),MATCH(AD$16,'AEA2012 update'!$S$4:$Z$4,0)))</f>
        <v>#N/A</v>
      </c>
      <c r="AE87" s="103" t="e" cm="1">
        <f t="array" ref="AE87">IF(X87,INDEX('AEA2012 update'!$K$6:$R$104,MATCH($T87&amp;$R87,'AEA2012 update'!$A$6:$A$104&amp;'AEA2012 update'!$B$6:$B$104,0),MATCH(AE$16,'AEA2012 update'!$S$4:$Z$4,0)),INDEX('AEA2012 update'!$K$6:$R$104,MATCH($T87&amp;$U87,'AEA2012 update'!$A$6:$A$104&amp;'AEA2012 update'!$B$6:$B$104,0),MATCH(AE$16,'AEA2012 update'!$S$4:$Z$4,0)))</f>
        <v>#N/A</v>
      </c>
      <c r="AF87" s="103" t="e" cm="1">
        <f t="array" ref="AF87">IF(Y87,INDEX('AEA2012 update'!$K$6:$R$104,MATCH($T87&amp;$R87,'AEA2012 update'!$A$6:$A$104&amp;'AEA2012 update'!$B$6:$B$104,0),MATCH(AF$16,'AEA2012 update'!$S$4:$Z$4,0)),INDEX('AEA2012 update'!$K$6:$R$104,MATCH($T87&amp;$U87,'AEA2012 update'!$A$6:$A$104&amp;'AEA2012 update'!$B$6:$B$104,0),MATCH(AF$16,'AEA2012 update'!$S$4:$Z$4,0)))</f>
        <v>#N/A</v>
      </c>
      <c r="AG87" s="103" t="e" cm="1">
        <f t="array" ref="AG87">IF(Z87,INDEX('AEA2012 update'!$K$6:$R$104,MATCH($T87&amp;$R87,'AEA2012 update'!$A$6:$A$104&amp;'AEA2012 update'!$B$6:$B$104,0),MATCH(AG$16,'AEA2012 update'!$S$4:$Z$4,0)),INDEX('AEA2012 update'!$K$6:$R$104,MATCH($T87&amp;$U87,'AEA2012 update'!$A$6:$A$104&amp;'AEA2012 update'!$B$6:$B$104,0),MATCH(AG$16,'AEA2012 update'!$S$4:$Z$4,0)))</f>
        <v>#N/A</v>
      </c>
      <c r="AH87" s="103" t="e" cm="1">
        <f t="array" ref="AH87">IF(AA87,INDEX('AEA2012 update'!$K$6:$R$104,MATCH($T87&amp;$R87,'AEA2012 update'!$A$6:$A$104&amp;'AEA2012 update'!$B$6:$B$104,0),MATCH(AH$16,'AEA2012 update'!$S$4:$Z$4,0)),INDEX('AEA2012 update'!$K$6:$R$104,MATCH($T87&amp;$U87,'AEA2012 update'!$A$6:$A$104&amp;'AEA2012 update'!$B$6:$B$104,0),MATCH(AH$16,'AEA2012 update'!$S$4:$Z$4,0)))</f>
        <v>#N/A</v>
      </c>
      <c r="AI87" s="103" t="e" cm="1">
        <f t="array" ref="AI87">IF(AB87,INDEX('AEA2012 update'!$K$6:$R$104,MATCH($T87&amp;$R87,'AEA2012 update'!$A$6:$A$104&amp;'AEA2012 update'!$B$6:$B$104,0),MATCH(AI$16,'AEA2012 update'!$S$4:$Z$4,0)),INDEX('AEA2012 update'!$K$6:$R$104,MATCH($T87&amp;$U87,'AEA2012 update'!$A$6:$A$104&amp;'AEA2012 update'!$B$6:$B$104,0),MATCH(AI$16,'AEA2012 update'!$S$4:$Z$4,0)))</f>
        <v>#N/A</v>
      </c>
      <c r="AJ87" s="103" t="e" cm="1">
        <f t="array" ref="AJ87">IF(AC87,INDEX('AEA2012 update'!$K$6:$R$104,MATCH($T87&amp;$R87,'AEA2012 update'!$A$6:$A$104&amp;'AEA2012 update'!$B$6:$B$104,0),MATCH(AJ$16,'AEA2012 update'!$S$4:$Z$4,0)),INDEX('AEA2012 update'!$K$6:$R$104,MATCH($T87&amp;$U87,'AEA2012 update'!$A$6:$A$104&amp;'AEA2012 update'!$B$6:$B$104,0),MATCH(AJ$16,'AEA2012 update'!$S$4:$Z$4,0)))</f>
        <v>#N/A</v>
      </c>
      <c r="AK87" s="103" t="str">
        <f t="shared" si="13"/>
        <v/>
      </c>
      <c r="AL87" s="67" t="e">
        <f>1/INDEX(Analytica!$AA$17:$AE$48,MATCH($AK87,Analytica!$A$17:$A$48,0),MATCH(AL$16,Analytica!$AA$16:$AE$16,0))</f>
        <v>#N/A</v>
      </c>
      <c r="AM87" s="67" t="e">
        <f t="array" ref="AM87">IF($AE$1,AL87*(1+INDEX(AM$1:AM$2,MATCH($O87,$AI$1:$AI$2,0)))^(AM$16-AL$16),INDEX('AEA2012 update'!$AC$6:$AG$104,MATCH($T87&amp;$U87,'AEA2012 update'!$A$6:$A$104&amp;'AEA2012 update'!$B$6:$B$104,0),MATCH(AM$16,'AEA2012 update'!$AC$4:$AG$4,0)))</f>
        <v>#N/A</v>
      </c>
      <c r="AN87" s="67" t="e">
        <f t="array" ref="AN87">IF($AE$1,AM87*(1+INDEX(AN$1:AN$2,MATCH($O87,$AI$1:$AI$2,0)))^(AN$16-AM$16),INDEX('AEA2012 update'!$AC$6:$AG$104,MATCH($T87&amp;$U87,'AEA2012 update'!$A$6:$A$104&amp;'AEA2012 update'!$B$6:$B$104,0),MATCH(AN$16,'AEA2012 update'!$AC$4:$AG$4,0)))</f>
        <v>#N/A</v>
      </c>
      <c r="AO87" s="67" t="e">
        <f t="array" ref="AO87">IF($AE$1,AN87*(1+INDEX(AO$1:AO$2,MATCH($O87,$AI$1:$AI$2,0)))^(AO$16-AN$16),INDEX('AEA2012 update'!$AC$6:$AG$104,MATCH($T87&amp;$U87,'AEA2012 update'!$A$6:$A$104&amp;'AEA2012 update'!$B$6:$B$104,0),MATCH(AO$16,'AEA2012 update'!$AC$4:$AG$4,0)))</f>
        <v>#N/A</v>
      </c>
      <c r="AP87" s="67" t="e">
        <f t="array" ref="AP87">IF($AE$1,AO87*(1+INDEX(AP$1:AP$2,MATCH($O87,$AI$1:$AI$2,0)))^(AP$16-AO$16),INDEX('AEA2012 update'!$AC$6:$AG$104,MATCH($T87&amp;$U87,'AEA2012 update'!$A$6:$A$104&amp;'AEA2012 update'!$B$6:$B$104,0),MATCH(AP$16,'AEA2012 update'!$AC$4:$AG$4,0)))</f>
        <v>#N/A</v>
      </c>
      <c r="AQ87" s="67"/>
      <c r="AR87" s="257" t="e">
        <f t="shared" si="10"/>
        <v>#N/A</v>
      </c>
      <c r="AS87" s="257" t="e">
        <f t="shared" si="11"/>
        <v>#N/A</v>
      </c>
      <c r="AY87" s="61" t="str">
        <f t="shared" si="23"/>
        <v>-</v>
      </c>
      <c r="AZ87" s="80" t="e" cm="1">
        <f t="array" aca="1" ref="AZ87" ca="1">AL87/INDIRECT("cv."&amp;LEFT($U87,6)&amp;".hhv.MJL") * 100</f>
        <v>#N/A</v>
      </c>
      <c r="BA87" s="80" t="e" cm="1">
        <f t="array" aca="1" ref="BA87" ca="1">AM87/INDIRECT("cv."&amp;LEFT($U87,6)&amp;".hhv.MJL") * 100</f>
        <v>#N/A</v>
      </c>
      <c r="BB87" s="80" t="e" cm="1">
        <f t="array" aca="1" ref="BB87" ca="1">AN87/INDIRECT("cv."&amp;LEFT($U87,6)&amp;".hhv.MJL") * 100</f>
        <v>#N/A</v>
      </c>
      <c r="BC87" s="80" t="e" cm="1">
        <f t="array" aca="1" ref="BC87" ca="1">AO87/INDIRECT("cv."&amp;LEFT($U87,6)&amp;".hhv.MJL") * 100</f>
        <v>#N/A</v>
      </c>
      <c r="BD87" s="80" t="e" cm="1">
        <f t="array" aca="1" ref="BD87" ca="1">AP87/INDIRECT("cv."&amp;LEFT($U87,6)&amp;".hhv.MJL") * 100</f>
        <v>#N/A</v>
      </c>
    </row>
    <row r="88" spans="1:56" x14ac:dyDescent="0.25">
      <c r="A88" s="61" t="s">
        <v>253</v>
      </c>
      <c r="C88" s="100">
        <f t="shared" si="20"/>
        <v>9.8627268615223557E-2</v>
      </c>
      <c r="D88" s="7">
        <f t="shared" si="21"/>
        <v>1541.445581187329</v>
      </c>
      <c r="N88" s="61" t="s">
        <v>511</v>
      </c>
      <c r="O88" s="61" t="s">
        <v>653</v>
      </c>
      <c r="P88" s="61" t="s">
        <v>732</v>
      </c>
      <c r="Q88" s="61" t="str">
        <f t="shared" si="7"/>
        <v>CV4</v>
      </c>
      <c r="R88" s="61" t="s">
        <v>687</v>
      </c>
      <c r="S88" s="65"/>
      <c r="T88" s="256" t="s">
        <v>733</v>
      </c>
      <c r="U88" s="913" t="s">
        <v>687</v>
      </c>
      <c r="V88" s="921"/>
      <c r="W88" s="914">
        <f t="shared" si="22"/>
        <v>0</v>
      </c>
      <c r="X88" s="915">
        <f t="shared" si="22"/>
        <v>0</v>
      </c>
      <c r="Y88" s="915">
        <f t="shared" si="22"/>
        <v>0</v>
      </c>
      <c r="Z88" s="915">
        <f t="shared" si="22"/>
        <v>0</v>
      </c>
      <c r="AA88" s="915">
        <f t="shared" si="22"/>
        <v>0</v>
      </c>
      <c r="AB88" s="915">
        <f t="shared" si="22"/>
        <v>0</v>
      </c>
      <c r="AC88" s="916">
        <f t="shared" si="22"/>
        <v>0</v>
      </c>
      <c r="AD88" s="103" cm="1">
        <f t="array" ref="AD88">IF(W88,INDEX('AEA2012 update'!$K$6:$R$104,MATCH($T88&amp;$R88,'AEA2012 update'!$A$6:$A$104&amp;'AEA2012 update'!$B$6:$B$104,0),MATCH(AD$16,'AEA2012 update'!$S$4:$Z$4,0)),INDEX('AEA2012 update'!$K$6:$R$104,MATCH($T88&amp;$U88,'AEA2012 update'!$A$6:$A$104&amp;'AEA2012 update'!$B$6:$B$104,0),MATCH(AD$16,'AEA2012 update'!$S$4:$Z$4,0)))</f>
        <v>715690.83454664785</v>
      </c>
      <c r="AE88" s="103" cm="1">
        <f t="array" ref="AE88">IF(X88,INDEX('AEA2012 update'!$K$6:$R$104,MATCH($T88&amp;$R88,'AEA2012 update'!$A$6:$A$104&amp;'AEA2012 update'!$B$6:$B$104,0),MATCH(AE$16,'AEA2012 update'!$S$4:$Z$4,0)),INDEX('AEA2012 update'!$K$6:$R$104,MATCH($T88&amp;$U88,'AEA2012 update'!$A$6:$A$104&amp;'AEA2012 update'!$B$6:$B$104,0),MATCH(AE$16,'AEA2012 update'!$S$4:$Z$4,0)))</f>
        <v>870657.84692986368</v>
      </c>
      <c r="AF88" s="103" cm="1">
        <f t="array" ref="AF88">IF(Y88,INDEX('AEA2012 update'!$K$6:$R$104,MATCH($T88&amp;$R88,'AEA2012 update'!$A$6:$A$104&amp;'AEA2012 update'!$B$6:$B$104,0),MATCH(AF$16,'AEA2012 update'!$S$4:$Z$4,0)),INDEX('AEA2012 update'!$K$6:$R$104,MATCH($T88&amp;$U88,'AEA2012 update'!$A$6:$A$104&amp;'AEA2012 update'!$B$6:$B$104,0),MATCH(AF$16,'AEA2012 update'!$S$4:$Z$4,0)))</f>
        <v>894652.34635689482</v>
      </c>
      <c r="AG88" s="103" cm="1">
        <f t="array" ref="AG88">IF(Z88,INDEX('AEA2012 update'!$K$6:$R$104,MATCH($T88&amp;$R88,'AEA2012 update'!$A$6:$A$104&amp;'AEA2012 update'!$B$6:$B$104,0),MATCH(AG$16,'AEA2012 update'!$S$4:$Z$4,0)),INDEX('AEA2012 update'!$K$6:$R$104,MATCH($T88&amp;$U88,'AEA2012 update'!$A$6:$A$104&amp;'AEA2012 update'!$B$6:$B$104,0),MATCH(AG$16,'AEA2012 update'!$S$4:$Z$4,0)))</f>
        <v>918646.84578392608</v>
      </c>
      <c r="AH88" s="103" cm="1">
        <f t="array" ref="AH88">IF(AA88,INDEX('AEA2012 update'!$K$6:$R$104,MATCH($T88&amp;$R88,'AEA2012 update'!$A$6:$A$104&amp;'AEA2012 update'!$B$6:$B$104,0),MATCH(AH$16,'AEA2012 update'!$S$4:$Z$4,0)),INDEX('AEA2012 update'!$K$6:$R$104,MATCH($T88&amp;$U88,'AEA2012 update'!$A$6:$A$104&amp;'AEA2012 update'!$B$6:$B$104,0),MATCH(AH$16,'AEA2012 update'!$S$4:$Z$4,0)))</f>
        <v>938124.95950684301</v>
      </c>
      <c r="AI88" s="103" cm="1">
        <f t="array" ref="AI88">IF(AB88,INDEX('AEA2012 update'!$K$6:$R$104,MATCH($T88&amp;$R88,'AEA2012 update'!$A$6:$A$104&amp;'AEA2012 update'!$B$6:$B$104,0),MATCH(AI$16,'AEA2012 update'!$S$4:$Z$4,0)),INDEX('AEA2012 update'!$K$6:$R$104,MATCH($T88&amp;$U88,'AEA2012 update'!$A$6:$A$104&amp;'AEA2012 update'!$B$6:$B$104,0),MATCH(AI$16,'AEA2012 update'!$S$4:$Z$4,0)))</f>
        <v>957603.07322975982</v>
      </c>
      <c r="AJ88" s="103" cm="1">
        <f t="array" ref="AJ88">IF(AC88,INDEX('AEA2012 update'!$K$6:$R$104,MATCH($T88&amp;$R88,'AEA2012 update'!$A$6:$A$104&amp;'AEA2012 update'!$B$6:$B$104,0),MATCH(AJ$16,'AEA2012 update'!$S$4:$Z$4,0)),INDEX('AEA2012 update'!$K$6:$R$104,MATCH($T88&amp;$U88,'AEA2012 update'!$A$6:$A$104&amp;'AEA2012 update'!$B$6:$B$104,0),MATCH(AJ$16,'AEA2012 update'!$S$4:$Z$4,0)))</f>
        <v>993485.23967858823</v>
      </c>
      <c r="AK88" s="103" t="str">
        <f t="shared" si="13"/>
        <v>CV4ODS</v>
      </c>
      <c r="AL88" s="67">
        <f>1/INDEX(Analytica!$AA$17:$AE$48,MATCH($AK88,Analytica!$A$17:$A$48,0),MATCH(AL$16,Analytica!$AA$16:$AE$16,0))</f>
        <v>9.7550044464299983</v>
      </c>
      <c r="AM88" s="67">
        <f t="array" ref="AM88">IF($AE$1,AL88*(1+INDEX(AM$1:AM$2,MATCH($O88,$AI$1:$AI$2,0)))^(AM$16-AL$16),INDEX('AEA2012 update'!$AC$6:$AG$104,MATCH($T88&amp;$U88,'AEA2012 update'!$A$6:$A$104&amp;'AEA2012 update'!$B$6:$B$104,0),MATCH(AM$16,'AEA2012 update'!$AC$4:$AG$4,0)))</f>
        <v>9.725768688349044</v>
      </c>
      <c r="AN88" s="67">
        <f t="array" ref="AN88">IF($AE$1,AM88*(1+INDEX(AN$1:AN$2,MATCH($O88,$AI$1:$AI$2,0)))^(AN$16-AM$16),INDEX('AEA2012 update'!$AC$6:$AG$104,MATCH($T88&amp;$U88,'AEA2012 update'!$A$6:$A$104&amp;'AEA2012 update'!$B$6:$B$104,0),MATCH(AN$16,'AEA2012 update'!$AC$4:$AG$4,0)))</f>
        <v>9.203898294800501</v>
      </c>
      <c r="AO88" s="67">
        <f t="array" ref="AO88">IF($AE$1,AN88*(1+INDEX(AO$1:AO$2,MATCH($O88,$AI$1:$AI$2,0)))^(AO$16-AN$16),INDEX('AEA2012 update'!$AC$6:$AG$104,MATCH($T88&amp;$U88,'AEA2012 update'!$A$6:$A$104&amp;'AEA2012 update'!$B$6:$B$104,0),MATCH(AO$16,'AEA2012 update'!$AC$4:$AG$4,0)))</f>
        <v>8.3238406380216734</v>
      </c>
      <c r="AP88" s="67">
        <f t="array" ref="AP88">IF($AE$1,AO88*(1+INDEX(AP$1:AP$2,MATCH($O88,$AI$1:$AI$2,0)))^(AP$16-AO$16),INDEX('AEA2012 update'!$AC$6:$AG$104,MATCH($T88&amp;$U88,'AEA2012 update'!$A$6:$A$104&amp;'AEA2012 update'!$B$6:$B$104,0),MATCH(AP$16,'AEA2012 update'!$AC$4:$AG$4,0)))</f>
        <v>7.5279322682566505</v>
      </c>
      <c r="AQ88" s="67"/>
      <c r="AR88" s="257">
        <f t="shared" si="10"/>
        <v>-9.9900033333330616E-4</v>
      </c>
      <c r="AS88" s="257">
        <f t="shared" si="11"/>
        <v>-7.5326913841620392E-3</v>
      </c>
      <c r="AY88" s="61" t="str">
        <f t="shared" si="23"/>
        <v>HCV4-ODS</v>
      </c>
      <c r="AZ88" s="80" t="e" cm="1">
        <f t="array" aca="1" ref="AZ88" ca="1">AL88/INDIRECT("cv."&amp;LEFT($U88,6)&amp;".hhv.MJL") * 100</f>
        <v>#REF!</v>
      </c>
      <c r="BA88" s="80" t="e" cm="1">
        <f t="array" aca="1" ref="BA88" ca="1">AM88/INDIRECT("cv."&amp;LEFT($U88,6)&amp;".hhv.MJL") * 100</f>
        <v>#REF!</v>
      </c>
      <c r="BB88" s="80" t="e" cm="1">
        <f t="array" aca="1" ref="BB88" ca="1">AN88/INDIRECT("cv."&amp;LEFT($U88,6)&amp;".hhv.MJL") * 100</f>
        <v>#REF!</v>
      </c>
      <c r="BC88" s="80" t="e" cm="1">
        <f t="array" aca="1" ref="BC88" ca="1">AO88/INDIRECT("cv."&amp;LEFT($U88,6)&amp;".hhv.MJL") * 100</f>
        <v>#REF!</v>
      </c>
      <c r="BD88" s="80" t="e" cm="1">
        <f t="array" aca="1" ref="BD88" ca="1">AP88/INDIRECT("cv."&amp;LEFT($U88,6)&amp;".hhv.MJL") * 100</f>
        <v>#REF!</v>
      </c>
    </row>
    <row r="89" spans="1:56" s="924" customFormat="1" x14ac:dyDescent="0.25">
      <c r="A89" s="924" t="s">
        <v>251</v>
      </c>
      <c r="C89" s="925">
        <f>C73/$C$82</f>
        <v>9.8627268615223557E-2</v>
      </c>
      <c r="D89" s="926">
        <f t="shared" ref="D89" si="24">C89*$D$58</f>
        <v>1541.445581187329</v>
      </c>
      <c r="N89" s="924" t="s">
        <v>501</v>
      </c>
      <c r="O89" s="924" t="s">
        <v>653</v>
      </c>
      <c r="P89" s="924" t="s">
        <v>732</v>
      </c>
      <c r="Q89" s="924" t="str">
        <f t="shared" ref="Q89" si="25">RIGHT(P89,3)</f>
        <v>CV4</v>
      </c>
      <c r="R89" s="924" t="s">
        <v>687</v>
      </c>
      <c r="S89" s="927"/>
      <c r="T89" s="928" t="s">
        <v>733</v>
      </c>
      <c r="U89" s="929" t="s">
        <v>692</v>
      </c>
      <c r="V89" s="921">
        <v>2050</v>
      </c>
      <c r="W89" s="930">
        <f t="shared" si="22"/>
        <v>0</v>
      </c>
      <c r="X89" s="931">
        <f t="shared" si="22"/>
        <v>0</v>
      </c>
      <c r="Y89" s="931">
        <f t="shared" si="22"/>
        <v>0</v>
      </c>
      <c r="Z89" s="931">
        <f t="shared" si="22"/>
        <v>0</v>
      </c>
      <c r="AA89" s="931">
        <f t="shared" si="22"/>
        <v>0</v>
      </c>
      <c r="AB89" s="931">
        <f t="shared" si="22"/>
        <v>0</v>
      </c>
      <c r="AC89" s="932">
        <f t="shared" si="22"/>
        <v>1</v>
      </c>
      <c r="AD89" s="933" cm="1">
        <f t="array" ref="AD89">IF(W89,INDEX('AEA2012 update'!$K$6:$R$104,MATCH($T89&amp;$R89,'AEA2012 update'!$A$6:$A$104&amp;'AEA2012 update'!$B$6:$B$104,0),MATCH(AD$16,'AEA2012 update'!$S$4:$Z$4,0)),INDEX('AEA2012 update'!$K$6:$R$104,MATCH($T89&amp;$U89,'AEA2012 update'!$A$6:$A$104&amp;'AEA2012 update'!$B$6:$B$104,0),MATCH(AD$16,'AEA2012 update'!$S$4:$Z$4,0)))</f>
        <v>4672524.4059478566</v>
      </c>
      <c r="AE89" s="933" cm="1">
        <f t="array" ref="AE89">IF(X89,INDEX('AEA2012 update'!$K$6:$R$104,MATCH($T89&amp;$R89,'AEA2012 update'!$A$6:$A$104&amp;'AEA2012 update'!$B$6:$B$104,0),MATCH(AE$16,'AEA2012 update'!$S$4:$Z$4,0)),INDEX('AEA2012 update'!$K$6:$R$104,MATCH($T89&amp;$U89,'AEA2012 update'!$A$6:$A$104&amp;'AEA2012 update'!$B$6:$B$104,0),MATCH(AE$16,'AEA2012 update'!$S$4:$Z$4,0)))</f>
        <v>3562747.4369449359</v>
      </c>
      <c r="AF89" s="933" cm="1">
        <f t="array" ref="AF89">IF(Y89,INDEX('AEA2012 update'!$K$6:$R$104,MATCH($T89&amp;$R89,'AEA2012 update'!$A$6:$A$104&amp;'AEA2012 update'!$B$6:$B$104,0),MATCH(AF$16,'AEA2012 update'!$S$4:$Z$4,0)),INDEX('AEA2012 update'!$K$6:$R$104,MATCH($T89&amp;$U89,'AEA2012 update'!$A$6:$A$104&amp;'AEA2012 update'!$B$6:$B$104,0),MATCH(AF$16,'AEA2012 update'!$S$4:$Z$4,0)))</f>
        <v>2493923.2058614548</v>
      </c>
      <c r="AG89" s="933" cm="1">
        <f t="array" ref="AG89">IF(Z89,INDEX('AEA2012 update'!$K$6:$R$104,MATCH($T89&amp;$R89,'AEA2012 update'!$A$6:$A$104&amp;'AEA2012 update'!$B$6:$B$104,0),MATCH(AG$16,'AEA2012 update'!$S$4:$Z$4,0)),INDEX('AEA2012 update'!$K$6:$R$104,MATCH($T89&amp;$U89,'AEA2012 update'!$A$6:$A$104&amp;'AEA2012 update'!$B$6:$B$104,0),MATCH(AG$16,'AEA2012 update'!$S$4:$Z$4,0)))</f>
        <v>2137648.4621669613</v>
      </c>
      <c r="AH89" s="933" cm="1">
        <f t="array" ref="AH89">IF(AA89,INDEX('AEA2012 update'!$K$6:$R$104,MATCH($T89&amp;$R89,'AEA2012 update'!$A$6:$A$104&amp;'AEA2012 update'!$B$6:$B$104,0),MATCH(AH$16,'AEA2012 update'!$S$4:$Z$4,0)),INDEX('AEA2012 update'!$K$6:$R$104,MATCH($T89&amp;$U89,'AEA2012 update'!$A$6:$A$104&amp;'AEA2012 update'!$B$6:$B$104,0),MATCH(AH$16,'AEA2012 update'!$S$4:$Z$4,0)))</f>
        <v>1781373.718472468</v>
      </c>
      <c r="AI89" s="933" cm="1">
        <f t="array" ref="AI89">IF(AB89,INDEX('AEA2012 update'!$K$6:$R$104,MATCH($T89&amp;$R89,'AEA2012 update'!$A$6:$A$104&amp;'AEA2012 update'!$B$6:$B$104,0),MATCH(AI$16,'AEA2012 update'!$S$4:$Z$4,0)),INDEX('AEA2012 update'!$K$6:$R$104,MATCH($T89&amp;$U89,'AEA2012 update'!$A$6:$A$104&amp;'AEA2012 update'!$B$6:$B$104,0),MATCH(AI$16,'AEA2012 update'!$S$4:$Z$4,0)))</f>
        <v>1662615.4705743035</v>
      </c>
      <c r="AJ89" s="933" cm="1">
        <f t="array" ref="AJ89">IF(AC89,INDEX('AEA2012 update'!$K$6:$R$104,MATCH($T89&amp;$R89,'AEA2012 update'!$A$6:$A$104&amp;'AEA2012 update'!$B$6:$B$104,0),MATCH(AJ$16,'AEA2012 update'!$S$4:$Z$4,0)),INDEX('AEA2012 update'!$K$6:$R$104,MATCH($T89&amp;$U89,'AEA2012 update'!$A$6:$A$104&amp;'AEA2012 update'!$B$6:$B$104,0),MATCH(AJ$16,'AEA2012 update'!$S$4:$Z$4,0)))</f>
        <v>993485.23967858823</v>
      </c>
      <c r="AK89" s="933" t="str">
        <f t="shared" ref="AK89" si="26">Q89&amp;N89</f>
        <v>CV4ELC</v>
      </c>
      <c r="AL89" s="986">
        <f>$AL$84/$AL$83*AL88</f>
        <v>2.9793005045194332</v>
      </c>
      <c r="AM89" s="986">
        <f t="array" ref="AM89">IF($AE$1,AL89*(1+INDEX(AM$1:AM$2,MATCH($O89,$AI$1:$AI$2,0)))^(AM$16-AL$16),INDEX('AEA2012 update'!$AC$6:$AG$104,MATCH($T89&amp;$U89,'AEA2012 update'!$A$6:$A$104&amp;'AEA2012 update'!$B$6:$B$104,0),MATCH(AM$16,'AEA2012 update'!$AC$4:$AG$4,0)))</f>
        <v>2.9703715379280879</v>
      </c>
      <c r="AN89" s="986">
        <f t="array" ref="AN89">IF($AE$1,AM89*(1+INDEX(AN$1:AN$2,MATCH($O89,$AI$1:$AI$2,0)))^(AN$16-AM$16),INDEX('AEA2012 update'!$AC$6:$AG$104,MATCH($T89&amp;$U89,'AEA2012 update'!$A$6:$A$104&amp;'AEA2012 update'!$B$6:$B$104,0),MATCH(AN$16,'AEA2012 update'!$AC$4:$AG$4,0)))</f>
        <v>2.8109857851761313</v>
      </c>
      <c r="AO89" s="986">
        <f t="array" ref="AO89">IF($AE$1,AN89*(1+INDEX(AO$1:AO$2,MATCH($O89,$AI$1:$AI$2,0)))^(AO$16-AN$16),INDEX('AEA2012 update'!$AC$6:$AG$104,MATCH($T89&amp;$U89,'AEA2012 update'!$A$6:$A$104&amp;'AEA2012 update'!$B$6:$B$104,0),MATCH(AO$16,'AEA2012 update'!$AC$4:$AG$4,0)))</f>
        <v>2.5422051572178428</v>
      </c>
      <c r="AP89" s="986">
        <f t="array" ref="AP89">IF($AE$1,AO89*(1+INDEX(AP$1:AP$2,MATCH($O89,$AI$1:$AI$2,0)))^(AP$16-AO$16),INDEX('AEA2012 update'!$AC$6:$AG$104,MATCH($T89&amp;$U89,'AEA2012 update'!$A$6:$A$104&amp;'AEA2012 update'!$B$6:$B$104,0),MATCH(AP$16,'AEA2012 update'!$AC$4:$AG$4,0)))</f>
        <v>2.2991247751827562</v>
      </c>
      <c r="AQ89" s="934"/>
      <c r="AR89" s="935">
        <f t="shared" ref="AR89" si="27">-((AL89-AM89)/($AM$16-$AL$16))/AL89</f>
        <v>-9.9900033333333196E-4</v>
      </c>
      <c r="AS89" s="935">
        <f t="shared" ref="AS89" si="28">-((AM89-AP89)/($AP$16-$AM$16))/AM89</f>
        <v>-7.5326913841620409E-3</v>
      </c>
      <c r="AY89" s="924" t="str">
        <f t="shared" ref="AY89" si="29">P89&amp;"-"&amp;N89</f>
        <v>HCV4-ELC</v>
      </c>
      <c r="AZ89" s="936" t="e" cm="1">
        <f t="array" aca="1" ref="AZ89" ca="1">AL89/INDIRECT("cv."&amp;LEFT($U89,6)&amp;".hhv.MJL") * 100</f>
        <v>#REF!</v>
      </c>
      <c r="BA89" s="936" t="e" cm="1">
        <f t="array" aca="1" ref="BA89" ca="1">AM89/INDIRECT("cv."&amp;LEFT($U89,6)&amp;".hhv.MJL") * 100</f>
        <v>#REF!</v>
      </c>
      <c r="BB89" s="936" t="e" cm="1">
        <f t="array" aca="1" ref="BB89" ca="1">AN89/INDIRECT("cv."&amp;LEFT($U89,6)&amp;".hhv.MJL") * 100</f>
        <v>#REF!</v>
      </c>
      <c r="BC89" s="936" t="e" cm="1">
        <f t="array" aca="1" ref="BC89" ca="1">AO89/INDIRECT("cv."&amp;LEFT($U89,6)&amp;".hhv.MJL") * 100</f>
        <v>#REF!</v>
      </c>
      <c r="BD89" s="936" t="e" cm="1">
        <f t="array" aca="1" ref="BD89" ca="1">AP89/INDIRECT("cv."&amp;LEFT($U89,6)&amp;".hhv.MJL") * 100</f>
        <v>#REF!</v>
      </c>
    </row>
    <row r="90" spans="1:56" x14ac:dyDescent="0.25">
      <c r="A90" s="61" t="s">
        <v>251</v>
      </c>
      <c r="C90" s="100">
        <f>C74/$C$82</f>
        <v>2.2057216623212936E-3</v>
      </c>
      <c r="D90" s="7">
        <f t="shared" si="21"/>
        <v>34.473223860419495</v>
      </c>
      <c r="N90" s="61" t="s">
        <v>504</v>
      </c>
      <c r="O90" s="61" t="s">
        <v>653</v>
      </c>
      <c r="P90" s="61" t="s">
        <v>732</v>
      </c>
      <c r="Q90" s="61" t="str">
        <f t="shared" si="7"/>
        <v>CV4</v>
      </c>
      <c r="R90" s="61" t="s">
        <v>687</v>
      </c>
      <c r="S90" s="65"/>
      <c r="T90" s="256" t="s">
        <v>733</v>
      </c>
      <c r="U90" s="913" t="s">
        <v>699</v>
      </c>
      <c r="V90" s="921">
        <v>2050</v>
      </c>
      <c r="W90" s="914">
        <f t="shared" si="22"/>
        <v>0</v>
      </c>
      <c r="X90" s="915">
        <f t="shared" si="22"/>
        <v>0</v>
      </c>
      <c r="Y90" s="915">
        <f t="shared" si="22"/>
        <v>0</v>
      </c>
      <c r="Z90" s="915">
        <f t="shared" si="22"/>
        <v>0</v>
      </c>
      <c r="AA90" s="915">
        <f t="shared" si="22"/>
        <v>0</v>
      </c>
      <c r="AB90" s="915">
        <f t="shared" si="22"/>
        <v>0</v>
      </c>
      <c r="AC90" s="916">
        <f t="shared" si="22"/>
        <v>1</v>
      </c>
      <c r="AD90" s="103" cm="1">
        <f t="array" ref="AD90">IF(W90,INDEX('AEA2012 update'!$K$6:$R$104,MATCH($T90&amp;$R90,'AEA2012 update'!$A$6:$A$104&amp;'AEA2012 update'!$B$6:$B$104,0),MATCH(AD$16,'AEA2012 update'!$S$4:$Z$4,0)),INDEX('AEA2012 update'!$K$6:$R$104,MATCH($T90&amp;$U90,'AEA2012 update'!$A$6:$A$104&amp;'AEA2012 update'!$B$6:$B$104,0),MATCH(AD$16,'AEA2012 update'!$S$4:$Z$4,0)))</f>
        <v>4002189.5351525573</v>
      </c>
      <c r="AE90" s="103" cm="1">
        <f t="array" ref="AE90">IF(X90,INDEX('AEA2012 update'!$K$6:$R$104,MATCH($T90&amp;$R90,'AEA2012 update'!$A$6:$A$104&amp;'AEA2012 update'!$B$6:$B$104,0),MATCH(AE$16,'AEA2012 update'!$S$4:$Z$4,0)),INDEX('AEA2012 update'!$K$6:$R$104,MATCH($T90&amp;$U90,'AEA2012 update'!$A$6:$A$104&amp;'AEA2012 update'!$B$6:$B$104,0),MATCH(AE$16,'AEA2012 update'!$S$4:$Z$4,0)))</f>
        <v>1781373.718472468</v>
      </c>
      <c r="AF90" s="103" cm="1">
        <f t="array" ref="AF90">IF(Y90,INDEX('AEA2012 update'!$K$6:$R$104,MATCH($T90&amp;$R90,'AEA2012 update'!$A$6:$A$104&amp;'AEA2012 update'!$B$6:$B$104,0),MATCH(AF$16,'AEA2012 update'!$S$4:$Z$4,0)),INDEX('AEA2012 update'!$K$6:$R$104,MATCH($T90&amp;$U90,'AEA2012 update'!$A$6:$A$104&amp;'AEA2012 update'!$B$6:$B$104,0),MATCH(AF$16,'AEA2012 update'!$S$4:$Z$4,0)))</f>
        <v>1429905.8145549258</v>
      </c>
      <c r="AG90" s="103" cm="1">
        <f t="array" ref="AG90">IF(Z90,INDEX('AEA2012 update'!$K$6:$R$104,MATCH($T90&amp;$R90,'AEA2012 update'!$A$6:$A$104&amp;'AEA2012 update'!$B$6:$B$104,0),MATCH(AG$16,'AEA2012 update'!$S$4:$Z$4,0)),INDEX('AEA2012 update'!$K$6:$R$104,MATCH($T90&amp;$U90,'AEA2012 update'!$A$6:$A$104&amp;'AEA2012 update'!$B$6:$B$104,0),MATCH(AG$16,'AEA2012 update'!$S$4:$Z$4,0)))</f>
        <v>1078437.9106373833</v>
      </c>
      <c r="AH90" s="103" cm="1">
        <f t="array" ref="AH90">IF(AA90,INDEX('AEA2012 update'!$K$6:$R$104,MATCH($T90&amp;$R90,'AEA2012 update'!$A$6:$A$104&amp;'AEA2012 update'!$B$6:$B$104,0),MATCH(AH$16,'AEA2012 update'!$S$4:$Z$4,0)),INDEX('AEA2012 update'!$K$6:$R$104,MATCH($T90&amp;$U90,'AEA2012 update'!$A$6:$A$104&amp;'AEA2012 update'!$B$6:$B$104,0),MATCH(AH$16,'AEA2012 update'!$S$4:$Z$4,0)))</f>
        <v>1048924.0193517257</v>
      </c>
      <c r="AI90" s="103" cm="1">
        <f t="array" ref="AI90">IF(AB90,INDEX('AEA2012 update'!$K$6:$R$104,MATCH($T90&amp;$R90,'AEA2012 update'!$A$6:$A$104&amp;'AEA2012 update'!$B$6:$B$104,0),MATCH(AI$16,'AEA2012 update'!$S$4:$Z$4,0)),INDEX('AEA2012 update'!$K$6:$R$104,MATCH($T90&amp;$U90,'AEA2012 update'!$A$6:$A$104&amp;'AEA2012 update'!$B$6:$B$104,0),MATCH(AI$16,'AEA2012 update'!$S$4:$Z$4,0)))</f>
        <v>1019410.128066068</v>
      </c>
      <c r="AJ90" s="103" cm="1">
        <f t="array" ref="AJ90">IF(AC90,INDEX('AEA2012 update'!$K$6:$R$104,MATCH($T90&amp;$R90,'AEA2012 update'!$A$6:$A$104&amp;'AEA2012 update'!$B$6:$B$104,0),MATCH(AJ$16,'AEA2012 update'!$S$4:$Z$4,0)),INDEX('AEA2012 update'!$K$6:$R$104,MATCH($T90&amp;$U90,'AEA2012 update'!$A$6:$A$104&amp;'AEA2012 update'!$B$6:$B$104,0),MATCH(AJ$16,'AEA2012 update'!$S$4:$Z$4,0)))</f>
        <v>993485.23967858823</v>
      </c>
      <c r="AK90" s="103" t="str">
        <f t="shared" si="13"/>
        <v>CV4HGN</v>
      </c>
      <c r="AL90" s="67">
        <f>INDEX('Vehicle data '!$AD$20:$AD$110,MATCH($AK90,'Vehicle data '!$AC$20:$AC$110,0))/INDEX('Vehicle data '!$AD$20:$AD$110,MATCH($AK$88,'Vehicle data '!$AC$20:$AC$110,0))*AL$88</f>
        <v>4.6238205653232871</v>
      </c>
      <c r="AM90" s="67">
        <f t="array" ref="AM90">IF($AE$1,AL90*(1+INDEX(AM$1:AM$2,MATCH($O90,$AI$1:$AI$2,0)))^(AM$16-AL$16),INDEX('AEA2012 update'!$AC$6:$AG$104,MATCH($T90&amp;$U90,'AEA2012 update'!$A$6:$A$104&amp;'AEA2012 update'!$B$6:$B$104,0),MATCH(AM$16,'AEA2012 update'!$AC$4:$AG$4,0)))</f>
        <v>4.609962970465193</v>
      </c>
      <c r="AN90" s="67">
        <f t="array" ref="AN90">IF($AE$1,AM90*(1+INDEX(AN$1:AN$2,MATCH($O90,$AI$1:$AI$2,0)))^(AN$16-AM$16),INDEX('AEA2012 update'!$AC$6:$AG$104,MATCH($T90&amp;$U90,'AEA2012 update'!$A$6:$A$104&amp;'AEA2012 update'!$B$6:$B$104,0),MATCH(AN$16,'AEA2012 update'!$AC$4:$AG$4,0)))</f>
        <v>4.3625991613173465</v>
      </c>
      <c r="AO90" s="67">
        <f t="array" ref="AO90">IF($AE$1,AN90*(1+INDEX(AO$1:AO$2,MATCH($O90,$AI$1:$AI$2,0)))^(AO$16-AN$16),INDEX('AEA2012 update'!$AC$6:$AG$104,MATCH($T90&amp;$U90,'AEA2012 update'!$A$6:$A$104&amp;'AEA2012 update'!$B$6:$B$104,0),MATCH(AO$16,'AEA2012 update'!$AC$4:$AG$4,0)))</f>
        <v>3.9454564819438511</v>
      </c>
      <c r="AP90" s="67">
        <f t="array" ref="AP90">IF($AE$1,AO90*(1+INDEX(AP$1:AP$2,MATCH($O90,$AI$1:$AI$2,0)))^(AP$16-AO$16),INDEX('AEA2012 update'!$AC$6:$AG$104,MATCH($T90&amp;$U90,'AEA2012 update'!$A$6:$A$104&amp;'AEA2012 update'!$B$6:$B$104,0),MATCH(AP$16,'AEA2012 update'!$AC$4:$AG$4,0)))</f>
        <v>3.568200119997317</v>
      </c>
      <c r="AQ90" s="67"/>
      <c r="AR90" s="257">
        <f t="shared" si="10"/>
        <v>-9.9900033333330941E-4</v>
      </c>
      <c r="AS90" s="257">
        <f t="shared" si="11"/>
        <v>-7.5326913841620392E-3</v>
      </c>
      <c r="AY90" s="61" t="str">
        <f t="shared" si="23"/>
        <v>HCV4-HGN</v>
      </c>
      <c r="AZ90" s="80" t="e" cm="1">
        <f t="array" aca="1" ref="AZ90" ca="1">AL90/INDIRECT("cv."&amp;LEFT($U90,6)&amp;".hhv.MJL") * 100</f>
        <v>#REF!</v>
      </c>
      <c r="BA90" s="80" t="e" cm="1">
        <f t="array" aca="1" ref="BA90" ca="1">AM90/INDIRECT("cv."&amp;LEFT($U90,6)&amp;".hhv.MJL") * 100</f>
        <v>#REF!</v>
      </c>
      <c r="BB90" s="80" t="e" cm="1">
        <f t="array" aca="1" ref="BB90" ca="1">AN90/INDIRECT("cv."&amp;LEFT($U90,6)&amp;".hhv.MJL") * 100</f>
        <v>#REF!</v>
      </c>
      <c r="BC90" s="80" t="e" cm="1">
        <f t="array" aca="1" ref="BC90" ca="1">AO90/INDIRECT("cv."&amp;LEFT($U90,6)&amp;".hhv.MJL") * 100</f>
        <v>#REF!</v>
      </c>
      <c r="BD90" s="80" t="e" cm="1">
        <f t="array" aca="1" ref="BD90" ca="1">AP90/INDIRECT("cv."&amp;LEFT($U90,6)&amp;".hhv.MJL") * 100</f>
        <v>#REF!</v>
      </c>
    </row>
    <row r="91" spans="1:56" x14ac:dyDescent="0.25">
      <c r="A91" s="61" t="s">
        <v>249</v>
      </c>
      <c r="C91" s="100">
        <f>C75/$C$82</f>
        <v>2.6123063005372002E-3</v>
      </c>
      <c r="D91" s="7">
        <f t="shared" si="21"/>
        <v>40.827735171095902</v>
      </c>
      <c r="N91" s="61" t="s">
        <v>509</v>
      </c>
      <c r="O91" s="61" t="s">
        <v>653</v>
      </c>
      <c r="P91" s="61" t="s">
        <v>732</v>
      </c>
      <c r="Q91" s="61" t="str">
        <f t="shared" ref="Q91:Q116" si="30">RIGHT(P91,3)</f>
        <v>CV4</v>
      </c>
      <c r="R91" s="61" t="s">
        <v>687</v>
      </c>
      <c r="S91" s="65"/>
      <c r="T91" s="256" t="s">
        <v>733</v>
      </c>
      <c r="U91" s="913" t="s">
        <v>700</v>
      </c>
      <c r="V91" s="921"/>
      <c r="W91" s="914">
        <f t="shared" si="22"/>
        <v>0</v>
      </c>
      <c r="X91" s="915">
        <f t="shared" si="22"/>
        <v>0</v>
      </c>
      <c r="Y91" s="915">
        <f t="shared" si="22"/>
        <v>0</v>
      </c>
      <c r="Z91" s="915">
        <f t="shared" si="22"/>
        <v>0</v>
      </c>
      <c r="AA91" s="915">
        <f t="shared" si="22"/>
        <v>0</v>
      </c>
      <c r="AB91" s="915">
        <f t="shared" si="22"/>
        <v>0</v>
      </c>
      <c r="AC91" s="916">
        <f t="shared" si="22"/>
        <v>0</v>
      </c>
      <c r="AD91" s="103" cm="1">
        <f t="array" ref="AD91">IF(W91,INDEX('AEA2012 update'!$K$6:$R$104,MATCH($T91&amp;$R91,'AEA2012 update'!$A$6:$A$104&amp;'AEA2012 update'!$B$6:$B$104,0),MATCH(AD$16,'AEA2012 update'!$S$4:$Z$4,0)),INDEX('AEA2012 update'!$K$6:$R$104,MATCH($T91&amp;$U91,'AEA2012 update'!$A$6:$A$104&amp;'AEA2012 update'!$B$6:$B$104,0),MATCH(AD$16,'AEA2012 update'!$S$4:$Z$4,0)))</f>
        <v>1022416.0439057859</v>
      </c>
      <c r="AE91" s="103" cm="1">
        <f t="array" ref="AE91">IF(X91,INDEX('AEA2012 update'!$K$6:$R$104,MATCH($T91&amp;$R91,'AEA2012 update'!$A$6:$A$104&amp;'AEA2012 update'!$B$6:$B$104,0),MATCH(AE$16,'AEA2012 update'!$S$4:$Z$4,0)),INDEX('AEA2012 update'!$K$6:$R$104,MATCH($T91&amp;$U91,'AEA2012 update'!$A$6:$A$104&amp;'AEA2012 update'!$B$6:$B$104,0),MATCH(AE$16,'AEA2012 update'!$S$4:$Z$4,0)))</f>
        <v>1047637.8756772528</v>
      </c>
      <c r="AF91" s="103" cm="1">
        <f t="array" ref="AF91">IF(Y91,INDEX('AEA2012 update'!$K$6:$R$104,MATCH($T91&amp;$R91,'AEA2012 update'!$A$6:$A$104&amp;'AEA2012 update'!$B$6:$B$104,0),MATCH(AF$16,'AEA2012 update'!$S$4:$Z$4,0)),INDEX('AEA2012 update'!$K$6:$R$104,MATCH($T91&amp;$U91,'AEA2012 update'!$A$6:$A$104&amp;'AEA2012 update'!$B$6:$B$104,0),MATCH(AF$16,'AEA2012 update'!$S$4:$Z$4,0)))</f>
        <v>1050009.7772323459</v>
      </c>
      <c r="AG91" s="103" cm="1">
        <f t="array" ref="AG91">IF(Z91,INDEX('AEA2012 update'!$K$6:$R$104,MATCH($T91&amp;$R91,'AEA2012 update'!$A$6:$A$104&amp;'AEA2012 update'!$B$6:$B$104,0),MATCH(AG$16,'AEA2012 update'!$S$4:$Z$4,0)),INDEX('AEA2012 update'!$K$6:$R$104,MATCH($T91&amp;$U91,'AEA2012 update'!$A$6:$A$104&amp;'AEA2012 update'!$B$6:$B$104,0),MATCH(AG$16,'AEA2012 update'!$S$4:$Z$4,0)))</f>
        <v>1052381.6787874387</v>
      </c>
      <c r="AH91" s="103" cm="1">
        <f t="array" ref="AH91">IF(AA91,INDEX('AEA2012 update'!$K$6:$R$104,MATCH($T91&amp;$R91,'AEA2012 update'!$A$6:$A$104&amp;'AEA2012 update'!$B$6:$B$104,0),MATCH(AH$16,'AEA2012 update'!$S$4:$Z$4,0)),INDEX('AEA2012 update'!$K$6:$R$104,MATCH($T91&amp;$U91,'AEA2012 update'!$A$6:$A$104&amp;'AEA2012 update'!$B$6:$B$104,0),MATCH(AH$16,'AEA2012 update'!$S$4:$Z$4,0)))</f>
        <v>1060472.056587996</v>
      </c>
      <c r="AI91" s="103" cm="1">
        <f t="array" ref="AI91">IF(AB91,INDEX('AEA2012 update'!$K$6:$R$104,MATCH($T91&amp;$R91,'AEA2012 update'!$A$6:$A$104&amp;'AEA2012 update'!$B$6:$B$104,0),MATCH(AI$16,'AEA2012 update'!$S$4:$Z$4,0)),INDEX('AEA2012 update'!$K$6:$R$104,MATCH($T91&amp;$U91,'AEA2012 update'!$A$6:$A$104&amp;'AEA2012 update'!$B$6:$B$104,0),MATCH(AI$16,'AEA2012 update'!$S$4:$Z$4,0)))</f>
        <v>1068562.4343885533</v>
      </c>
      <c r="AJ91" s="103" cm="1">
        <f t="array" ref="AJ91">IF(AC91,INDEX('AEA2012 update'!$K$6:$R$104,MATCH($T91&amp;$R91,'AEA2012 update'!$A$6:$A$104&amp;'AEA2012 update'!$B$6:$B$104,0),MATCH(AJ$16,'AEA2012 update'!$S$4:$Z$4,0)),INDEX('AEA2012 update'!$K$6:$R$104,MATCH($T91&amp;$U91,'AEA2012 update'!$A$6:$A$104&amp;'AEA2012 update'!$B$6:$B$104,0),MATCH(AJ$16,'AEA2012 update'!$S$4:$Z$4,0)))</f>
        <v>1089442.0268777397</v>
      </c>
      <c r="AK91" s="103" t="str">
        <f t="shared" si="13"/>
        <v>CV4GAS</v>
      </c>
      <c r="AL91" s="67">
        <f>INDEX('Vehicle data '!$AD$20:$AD$110,MATCH($AK91,'Vehicle data '!$AC$20:$AC$110,0))/INDEX('Vehicle data '!$AD$20:$AD$110,MATCH($AK$88,'Vehicle data '!$AC$20:$AC$110,0))*AL$88</f>
        <v>11.218255113394497</v>
      </c>
      <c r="AM91" s="67">
        <f t="array" ref="AM91">IF($AE$1,AL91*(1+INDEX(AM$1:AM$2,MATCH($O91,$AI$1:$AI$2,0)))^(AM$16-AL$16),INDEX('AEA2012 update'!$AC$6:$AG$104,MATCH($T91&amp;$U91,'AEA2012 update'!$A$6:$A$104&amp;'AEA2012 update'!$B$6:$B$104,0),MATCH(AM$16,'AEA2012 update'!$AC$4:$AG$4,0)))</f>
        <v>11.184633991601398</v>
      </c>
      <c r="AN91" s="67">
        <f t="array" ref="AN91">IF($AE$1,AM91*(1+INDEX(AN$1:AN$2,MATCH($O91,$AI$1:$AI$2,0)))^(AN$16-AM$16),INDEX('AEA2012 update'!$AC$6:$AG$104,MATCH($T91&amp;$U91,'AEA2012 update'!$A$6:$A$104&amp;'AEA2012 update'!$B$6:$B$104,0),MATCH(AN$16,'AEA2012 update'!$AC$4:$AG$4,0)))</f>
        <v>10.584483039020574</v>
      </c>
      <c r="AO91" s="67">
        <f t="array" ref="AO91">IF($AE$1,AN91*(1+INDEX(AO$1:AO$2,MATCH($O91,$AI$1:$AI$2,0)))^(AO$16-AN$16),INDEX('AEA2012 update'!$AC$6:$AG$104,MATCH($T91&amp;$U91,'AEA2012 update'!$A$6:$A$104&amp;'AEA2012 update'!$B$6:$B$104,0),MATCH(AO$16,'AEA2012 update'!$AC$4:$AG$4,0)))</f>
        <v>9.5724167337249213</v>
      </c>
      <c r="AP91" s="67">
        <f t="array" ref="AP91">IF($AE$1,AO91*(1+INDEX(AP$1:AP$2,MATCH($O91,$AI$1:$AI$2,0)))^(AP$16-AO$16),INDEX('AEA2012 update'!$AC$6:$AG$104,MATCH($T91&amp;$U91,'AEA2012 update'!$A$6:$A$104&amp;'AEA2012 update'!$B$6:$B$104,0),MATCH(AP$16,'AEA2012 update'!$AC$4:$AG$4,0)))</f>
        <v>8.6571221084951446</v>
      </c>
      <c r="AQ91" s="67"/>
      <c r="AR91" s="257">
        <f t="shared" ref="AR91:AR117" si="31">-((AL91-AM91)/($AM$16-$AL$16))/AL91</f>
        <v>-9.9900033333333261E-4</v>
      </c>
      <c r="AS91" s="257">
        <f t="shared" ref="AS91:AS116" si="32">-((AM91-AP91)/($AP$16-$AM$16))/AM91</f>
        <v>-7.5326913841620435E-3</v>
      </c>
      <c r="AY91" s="61" t="str">
        <f t="shared" si="23"/>
        <v>HCV4-GAS</v>
      </c>
      <c r="AZ91" s="80" t="e" cm="1">
        <f t="array" aca="1" ref="AZ91" ca="1">AL91/INDIRECT("cv."&amp;LEFT($U91,6)&amp;".hhv.MJL") * 100</f>
        <v>#REF!</v>
      </c>
      <c r="BA91" s="80" t="e" cm="1">
        <f t="array" aca="1" ref="BA91" ca="1">AM91/INDIRECT("cv."&amp;LEFT($U91,6)&amp;".hhv.MJL") * 100</f>
        <v>#REF!</v>
      </c>
      <c r="BB91" s="80" t="e" cm="1">
        <f t="array" aca="1" ref="BB91" ca="1">AN91/INDIRECT("cv."&amp;LEFT($U91,6)&amp;".hhv.MJL") * 100</f>
        <v>#REF!</v>
      </c>
      <c r="BC91" s="80" t="e" cm="1">
        <f t="array" aca="1" ref="BC91" ca="1">AO91/INDIRECT("cv."&amp;LEFT($U91,6)&amp;".hhv.MJL") * 100</f>
        <v>#REF!</v>
      </c>
      <c r="BD91" s="80" t="e" cm="1">
        <f t="array" aca="1" ref="BD91" ca="1">AP91/INDIRECT("cv."&amp;LEFT($U91,6)&amp;".hhv.MJL") * 100</f>
        <v>#REF!</v>
      </c>
    </row>
    <row r="92" spans="1:56" x14ac:dyDescent="0.25">
      <c r="C92" s="76">
        <f>SUM(C83:C91)</f>
        <v>1.0986272686152234</v>
      </c>
      <c r="D92" s="7">
        <f>SUM(D83:D91)</f>
        <v>17170.445581187327</v>
      </c>
      <c r="O92" s="61" t="s">
        <v>653</v>
      </c>
      <c r="Q92" s="61" t="str">
        <f t="shared" si="30"/>
        <v/>
      </c>
      <c r="S92" s="65"/>
      <c r="T92" s="256"/>
      <c r="U92" s="260"/>
      <c r="V92" s="921"/>
      <c r="W92" s="914">
        <f t="shared" si="22"/>
        <v>0</v>
      </c>
      <c r="X92" s="915">
        <f t="shared" si="22"/>
        <v>0</v>
      </c>
      <c r="Y92" s="915">
        <f t="shared" si="22"/>
        <v>0</v>
      </c>
      <c r="Z92" s="915">
        <f t="shared" si="22"/>
        <v>0</v>
      </c>
      <c r="AA92" s="915">
        <f t="shared" si="22"/>
        <v>0</v>
      </c>
      <c r="AB92" s="915">
        <f t="shared" si="22"/>
        <v>0</v>
      </c>
      <c r="AC92" s="916">
        <f t="shared" si="22"/>
        <v>0</v>
      </c>
      <c r="AD92" s="103" t="e" cm="1">
        <f t="array" ref="AD92">IF(W92,INDEX('AEA2012 update'!$K$6:$R$104,MATCH($T92&amp;$R92,'AEA2012 update'!$A$6:$A$104&amp;'AEA2012 update'!$B$6:$B$104,0),MATCH(AD$16,'AEA2012 update'!$S$4:$Z$4,0)),INDEX('AEA2012 update'!$K$6:$R$104,MATCH($T92&amp;$U92,'AEA2012 update'!$A$6:$A$104&amp;'AEA2012 update'!$B$6:$B$104,0),MATCH(AD$16,'AEA2012 update'!$S$4:$Z$4,0)))</f>
        <v>#N/A</v>
      </c>
      <c r="AE92" s="103" t="e" cm="1">
        <f t="array" ref="AE92">IF(X92,INDEX('AEA2012 update'!$K$6:$R$104,MATCH($T92&amp;$R92,'AEA2012 update'!$A$6:$A$104&amp;'AEA2012 update'!$B$6:$B$104,0),MATCH(AE$16,'AEA2012 update'!$S$4:$Z$4,0)),INDEX('AEA2012 update'!$K$6:$R$104,MATCH($T92&amp;$U92,'AEA2012 update'!$A$6:$A$104&amp;'AEA2012 update'!$B$6:$B$104,0),MATCH(AE$16,'AEA2012 update'!$S$4:$Z$4,0)))</f>
        <v>#N/A</v>
      </c>
      <c r="AF92" s="103" t="e" cm="1">
        <f t="array" ref="AF92">IF(Y92,INDEX('AEA2012 update'!$K$6:$R$104,MATCH($T92&amp;$R92,'AEA2012 update'!$A$6:$A$104&amp;'AEA2012 update'!$B$6:$B$104,0),MATCH(AF$16,'AEA2012 update'!$S$4:$Z$4,0)),INDEX('AEA2012 update'!$K$6:$R$104,MATCH($T92&amp;$U92,'AEA2012 update'!$A$6:$A$104&amp;'AEA2012 update'!$B$6:$B$104,0),MATCH(AF$16,'AEA2012 update'!$S$4:$Z$4,0)))</f>
        <v>#N/A</v>
      </c>
      <c r="AG92" s="103" t="e" cm="1">
        <f t="array" ref="AG92">IF(Z92,INDEX('AEA2012 update'!$K$6:$R$104,MATCH($T92&amp;$R92,'AEA2012 update'!$A$6:$A$104&amp;'AEA2012 update'!$B$6:$B$104,0),MATCH(AG$16,'AEA2012 update'!$S$4:$Z$4,0)),INDEX('AEA2012 update'!$K$6:$R$104,MATCH($T92&amp;$U92,'AEA2012 update'!$A$6:$A$104&amp;'AEA2012 update'!$B$6:$B$104,0),MATCH(AG$16,'AEA2012 update'!$S$4:$Z$4,0)))</f>
        <v>#N/A</v>
      </c>
      <c r="AH92" s="103" t="e" cm="1">
        <f t="array" ref="AH92">IF(AA92,INDEX('AEA2012 update'!$K$6:$R$104,MATCH($T92&amp;$R92,'AEA2012 update'!$A$6:$A$104&amp;'AEA2012 update'!$B$6:$B$104,0),MATCH(AH$16,'AEA2012 update'!$S$4:$Z$4,0)),INDEX('AEA2012 update'!$K$6:$R$104,MATCH($T92&amp;$U92,'AEA2012 update'!$A$6:$A$104&amp;'AEA2012 update'!$B$6:$B$104,0),MATCH(AH$16,'AEA2012 update'!$S$4:$Z$4,0)))</f>
        <v>#N/A</v>
      </c>
      <c r="AI92" s="103" t="e" cm="1">
        <f t="array" ref="AI92">IF(AB92,INDEX('AEA2012 update'!$K$6:$R$104,MATCH($T92&amp;$R92,'AEA2012 update'!$A$6:$A$104&amp;'AEA2012 update'!$B$6:$B$104,0),MATCH(AI$16,'AEA2012 update'!$S$4:$Z$4,0)),INDEX('AEA2012 update'!$K$6:$R$104,MATCH($T92&amp;$U92,'AEA2012 update'!$A$6:$A$104&amp;'AEA2012 update'!$B$6:$B$104,0),MATCH(AI$16,'AEA2012 update'!$S$4:$Z$4,0)))</f>
        <v>#N/A</v>
      </c>
      <c r="AJ92" s="103" t="e" cm="1">
        <f t="array" ref="AJ92">IF(AC92,INDEX('AEA2012 update'!$K$6:$R$104,MATCH($T92&amp;$R92,'AEA2012 update'!$A$6:$A$104&amp;'AEA2012 update'!$B$6:$B$104,0),MATCH(AJ$16,'AEA2012 update'!$S$4:$Z$4,0)),INDEX('AEA2012 update'!$K$6:$R$104,MATCH($T92&amp;$U92,'AEA2012 update'!$A$6:$A$104&amp;'AEA2012 update'!$B$6:$B$104,0),MATCH(AJ$16,'AEA2012 update'!$S$4:$Z$4,0)))</f>
        <v>#N/A</v>
      </c>
      <c r="AK92" s="103" t="str">
        <f t="shared" si="13"/>
        <v/>
      </c>
      <c r="AL92" s="67" t="e">
        <f>1/INDEX(Analytica!$AA$17:$AE$48,MATCH($AK92,Analytica!$A$17:$A$48,0),MATCH(AL$16,Analytica!$AA$16:$AE$16,0))</f>
        <v>#N/A</v>
      </c>
      <c r="AM92" s="67" t="e">
        <f t="array" ref="AM92">IF($AE$1,AL92*(1+INDEX(AM$1:AM$2,MATCH($O92,$AI$1:$AI$2,0)))^(AM$16-AL$16),INDEX('AEA2012 update'!$AC$6:$AG$104,MATCH($T92&amp;$U92,'AEA2012 update'!$A$6:$A$104&amp;'AEA2012 update'!$B$6:$B$104,0),MATCH(AM$16,'AEA2012 update'!$AC$4:$AG$4,0)))</f>
        <v>#N/A</v>
      </c>
      <c r="AN92" s="67" t="e">
        <f t="array" ref="AN92">IF($AE$1,AM92*(1+INDEX(AN$1:AN$2,MATCH($O92,$AI$1:$AI$2,0)))^(AN$16-AM$16),INDEX('AEA2012 update'!$AC$6:$AG$104,MATCH($T92&amp;$U92,'AEA2012 update'!$A$6:$A$104&amp;'AEA2012 update'!$B$6:$B$104,0),MATCH(AN$16,'AEA2012 update'!$AC$4:$AG$4,0)))</f>
        <v>#N/A</v>
      </c>
      <c r="AO92" s="67" t="e">
        <f t="array" ref="AO92">IF($AE$1,AN92*(1+INDEX(AO$1:AO$2,MATCH($O92,$AI$1:$AI$2,0)))^(AO$16-AN$16),INDEX('AEA2012 update'!$AC$6:$AG$104,MATCH($T92&amp;$U92,'AEA2012 update'!$A$6:$A$104&amp;'AEA2012 update'!$B$6:$B$104,0),MATCH(AO$16,'AEA2012 update'!$AC$4:$AG$4,0)))</f>
        <v>#N/A</v>
      </c>
      <c r="AP92" s="67" t="e">
        <f t="array" ref="AP92">IF($AE$1,AO92*(1+INDEX(AP$1:AP$2,MATCH($O92,$AI$1:$AI$2,0)))^(AP$16-AO$16),INDEX('AEA2012 update'!$AC$6:$AG$104,MATCH($T92&amp;$U92,'AEA2012 update'!$A$6:$A$104&amp;'AEA2012 update'!$B$6:$B$104,0),MATCH(AP$16,'AEA2012 update'!$AC$4:$AG$4,0)))</f>
        <v>#N/A</v>
      </c>
      <c r="AQ92" s="67"/>
      <c r="AR92" s="257" t="e">
        <f t="shared" si="31"/>
        <v>#N/A</v>
      </c>
      <c r="AS92" s="257" t="e">
        <f t="shared" si="32"/>
        <v>#N/A</v>
      </c>
      <c r="AY92" s="61" t="str">
        <f t="shared" si="23"/>
        <v>-</v>
      </c>
      <c r="AZ92" s="80" t="e" cm="1">
        <f t="array" aca="1" ref="AZ92" ca="1">AL92/INDIRECT("cv."&amp;LEFT($U92,6)&amp;".hhv.MJL") * 100</f>
        <v>#N/A</v>
      </c>
      <c r="BA92" s="80" t="e" cm="1">
        <f t="array" aca="1" ref="BA92" ca="1">AM92/INDIRECT("cv."&amp;LEFT($U92,6)&amp;".hhv.MJL") * 100</f>
        <v>#N/A</v>
      </c>
      <c r="BB92" s="80" t="e" cm="1">
        <f t="array" aca="1" ref="BB92" ca="1">AN92/INDIRECT("cv."&amp;LEFT($U92,6)&amp;".hhv.MJL") * 100</f>
        <v>#N/A</v>
      </c>
      <c r="BC92" s="80" t="e" cm="1">
        <f t="array" aca="1" ref="BC92" ca="1">AO92/INDIRECT("cv."&amp;LEFT($U92,6)&amp;".hhv.MJL") * 100</f>
        <v>#N/A</v>
      </c>
      <c r="BD92" s="80" t="e" cm="1">
        <f t="array" aca="1" ref="BD92" ca="1">AP92/INDIRECT("cv."&amp;LEFT($U92,6)&amp;".hhv.MJL") * 100</f>
        <v>#N/A</v>
      </c>
    </row>
    <row r="93" spans="1:56" x14ac:dyDescent="0.25">
      <c r="N93" s="61" t="s">
        <v>511</v>
      </c>
      <c r="O93" s="61" t="s">
        <v>653</v>
      </c>
      <c r="P93" s="61" t="s">
        <v>734</v>
      </c>
      <c r="Q93" s="61" t="str">
        <f t="shared" si="30"/>
        <v>CV5</v>
      </c>
      <c r="R93" s="61" t="s">
        <v>687</v>
      </c>
      <c r="S93" s="65"/>
      <c r="T93" s="256" t="s">
        <v>735</v>
      </c>
      <c r="U93" s="913" t="s">
        <v>687</v>
      </c>
      <c r="V93" s="921"/>
      <c r="W93" s="914">
        <f t="shared" si="22"/>
        <v>0</v>
      </c>
      <c r="X93" s="915">
        <f t="shared" si="22"/>
        <v>0</v>
      </c>
      <c r="Y93" s="915">
        <f t="shared" si="22"/>
        <v>0</v>
      </c>
      <c r="Z93" s="915">
        <f t="shared" si="22"/>
        <v>0</v>
      </c>
      <c r="AA93" s="915">
        <f t="shared" si="22"/>
        <v>0</v>
      </c>
      <c r="AB93" s="915">
        <f t="shared" si="22"/>
        <v>0</v>
      </c>
      <c r="AC93" s="916">
        <f t="shared" si="22"/>
        <v>0</v>
      </c>
      <c r="AD93" s="103" cm="1">
        <f t="array" ref="AD93">IF(W93,INDEX('AEA2012 update'!$K$6:$R$104,MATCH($T93&amp;$R93,'AEA2012 update'!$A$6:$A$104&amp;'AEA2012 update'!$B$6:$B$104,0),MATCH(AD$16,'AEA2012 update'!$S$4:$Z$4,0)),INDEX('AEA2012 update'!$K$6:$R$104,MATCH($T93&amp;$U93,'AEA2012 update'!$A$6:$A$104&amp;'AEA2012 update'!$B$6:$B$104,0),MATCH(AD$16,'AEA2012 update'!$S$4:$Z$4,0)))</f>
        <v>685854.55456102896</v>
      </c>
      <c r="AE93" s="103" cm="1">
        <f t="array" ref="AE93">IF(X93,INDEX('AEA2012 update'!$K$6:$R$104,MATCH($T93&amp;$R93,'AEA2012 update'!$A$6:$A$104&amp;'AEA2012 update'!$B$6:$B$104,0),MATCH(AE$16,'AEA2012 update'!$S$4:$Z$4,0)),INDEX('AEA2012 update'!$K$6:$R$104,MATCH($T93&amp;$U93,'AEA2012 update'!$A$6:$A$104&amp;'AEA2012 update'!$B$6:$B$104,0),MATCH(AE$16,'AEA2012 update'!$S$4:$Z$4,0)))</f>
        <v>827727.74685699318</v>
      </c>
      <c r="AF93" s="103" cm="1">
        <f t="array" ref="AF93">IF(Y93,INDEX('AEA2012 update'!$K$6:$R$104,MATCH($T93&amp;$R93,'AEA2012 update'!$A$6:$A$104&amp;'AEA2012 update'!$B$6:$B$104,0),MATCH(AF$16,'AEA2012 update'!$S$4:$Z$4,0)),INDEX('AEA2012 update'!$K$6:$R$104,MATCH($T93&amp;$U93,'AEA2012 update'!$A$6:$A$104&amp;'AEA2012 update'!$B$6:$B$104,0),MATCH(AF$16,'AEA2012 update'!$S$4:$Z$4,0)))</f>
        <v>854497.09320833592</v>
      </c>
      <c r="AG93" s="103" cm="1">
        <f t="array" ref="AG93">IF(Z93,INDEX('AEA2012 update'!$K$6:$R$104,MATCH($T93&amp;$R93,'AEA2012 update'!$A$6:$A$104&amp;'AEA2012 update'!$B$6:$B$104,0),MATCH(AG$16,'AEA2012 update'!$S$4:$Z$4,0)),INDEX('AEA2012 update'!$K$6:$R$104,MATCH($T93&amp;$U93,'AEA2012 update'!$A$6:$A$104&amp;'AEA2012 update'!$B$6:$B$104,0),MATCH(AG$16,'AEA2012 update'!$S$4:$Z$4,0)))</f>
        <v>881266.43955967901</v>
      </c>
      <c r="AH93" s="103" cm="1">
        <f t="array" ref="AH93">IF(AA93,INDEX('AEA2012 update'!$K$6:$R$104,MATCH($T93&amp;$R93,'AEA2012 update'!$A$6:$A$104&amp;'AEA2012 update'!$B$6:$B$104,0),MATCH(AH$16,'AEA2012 update'!$S$4:$Z$4,0)),INDEX('AEA2012 update'!$K$6:$R$104,MATCH($T93&amp;$U93,'AEA2012 update'!$A$6:$A$104&amp;'AEA2012 update'!$B$6:$B$104,0),MATCH(AH$16,'AEA2012 update'!$S$4:$Z$4,0)))</f>
        <v>898447.87511458865</v>
      </c>
      <c r="AI93" s="103" cm="1">
        <f t="array" ref="AI93">IF(AB93,INDEX('AEA2012 update'!$K$6:$R$104,MATCH($T93&amp;$R93,'AEA2012 update'!$A$6:$A$104&amp;'AEA2012 update'!$B$6:$B$104,0),MATCH(AI$16,'AEA2012 update'!$S$4:$Z$4,0)),INDEX('AEA2012 update'!$K$6:$R$104,MATCH($T93&amp;$U93,'AEA2012 update'!$A$6:$A$104&amp;'AEA2012 update'!$B$6:$B$104,0),MATCH(AI$16,'AEA2012 update'!$S$4:$Z$4,0)))</f>
        <v>915629.31066949805</v>
      </c>
      <c r="AJ93" s="103" cm="1">
        <f t="array" ref="AJ93">IF(AC93,INDEX('AEA2012 update'!$K$6:$R$104,MATCH($T93&amp;$R93,'AEA2012 update'!$A$6:$A$104&amp;'AEA2012 update'!$B$6:$B$104,0),MATCH(AJ$16,'AEA2012 update'!$S$4:$Z$4,0)),INDEX('AEA2012 update'!$K$6:$R$104,MATCH($T93&amp;$U93,'AEA2012 update'!$A$6:$A$104&amp;'AEA2012 update'!$B$6:$B$104,0),MATCH(AJ$16,'AEA2012 update'!$S$4:$Z$4,0)))</f>
        <v>945215.87798179325</v>
      </c>
      <c r="AK93" s="103" t="str">
        <f t="shared" ref="AK93:AK116" si="33">Q93&amp;N93</f>
        <v>CV5ODS</v>
      </c>
      <c r="AL93" s="67">
        <f>1/INDEX(Analytica!$AA$17:$AE$48,MATCH($AK93,Analytica!$A$17:$A$48,0),MATCH(AL$16,Analytica!$AA$16:$AE$16,0))</f>
        <v>10.588781032925946</v>
      </c>
      <c r="AM93" s="67">
        <f t="array" ref="AM93">IF($AE$1,AL93*(1+INDEX(AM$1:AM$2,MATCH($O93,$AI$1:$AI$2,0)))^(AM$16-AL$16),INDEX('AEA2012 update'!$AC$6:$AG$104,MATCH($T93&amp;$U93,'AEA2012 update'!$A$6:$A$104&amp;'AEA2012 update'!$B$6:$B$104,0),MATCH(AM$16,'AEA2012 update'!$AC$4:$AG$4,0)))</f>
        <v>10.557046445581486</v>
      </c>
      <c r="AN93" s="67">
        <f t="array" ref="AN93">IF($AE$1,AM93*(1+INDEX(AN$1:AN$2,MATCH($O93,$AI$1:$AI$2,0)))^(AN$16-AM$16),INDEX('AEA2012 update'!$AC$6:$AG$104,MATCH($T93&amp;$U93,'AEA2012 update'!$A$6:$A$104&amp;'AEA2012 update'!$B$6:$B$104,0),MATCH(AN$16,'AEA2012 update'!$AC$4:$AG$4,0)))</f>
        <v>9.9905709144632269</v>
      </c>
      <c r="AO93" s="67">
        <f t="array" ref="AO93">IF($AE$1,AN93*(1+INDEX(AO$1:AO$2,MATCH($O93,$AI$1:$AI$2,0)))^(AO$16-AN$16),INDEX('AEA2012 update'!$AC$6:$AG$104,MATCH($T93&amp;$U93,'AEA2012 update'!$A$6:$A$104&amp;'AEA2012 update'!$B$6:$B$104,0),MATCH(AO$16,'AEA2012 update'!$AC$4:$AG$4,0)))</f>
        <v>9.035293254144861</v>
      </c>
      <c r="AP93" s="67">
        <f t="array" ref="AP93">IF($AE$1,AO93*(1+INDEX(AP$1:AP$2,MATCH($O93,$AI$1:$AI$2,0)))^(AP$16-AO$16),INDEX('AEA2012 update'!$AC$6:$AG$104,MATCH($T93&amp;$U93,'AEA2012 update'!$A$6:$A$104&amp;'AEA2012 update'!$B$6:$B$104,0),MATCH(AP$16,'AEA2012 update'!$AC$4:$AG$4,0)))</f>
        <v>8.1713572614965813</v>
      </c>
      <c r="AQ93" s="67"/>
      <c r="AR93" s="257">
        <f t="shared" si="31"/>
        <v>-9.9900033333331288E-4</v>
      </c>
      <c r="AS93" s="257">
        <f t="shared" si="32"/>
        <v>-7.5326913841620409E-3</v>
      </c>
      <c r="AY93" s="61" t="str">
        <f t="shared" si="23"/>
        <v>HCV5-ODS</v>
      </c>
      <c r="AZ93" s="80" t="e" cm="1">
        <f t="array" aca="1" ref="AZ93" ca="1">AL93/INDIRECT("cv."&amp;LEFT($U93,6)&amp;".hhv.MJL") * 100</f>
        <v>#REF!</v>
      </c>
      <c r="BA93" s="80" t="e" cm="1">
        <f t="array" aca="1" ref="BA93" ca="1">AM93/INDIRECT("cv."&amp;LEFT($U93,6)&amp;".hhv.MJL") * 100</f>
        <v>#REF!</v>
      </c>
      <c r="BB93" s="80" t="e" cm="1">
        <f t="array" aca="1" ref="BB93" ca="1">AN93/INDIRECT("cv."&amp;LEFT($U93,6)&amp;".hhv.MJL") * 100</f>
        <v>#REF!</v>
      </c>
      <c r="BC93" s="80" t="e" cm="1">
        <f t="array" aca="1" ref="BC93" ca="1">AO93/INDIRECT("cv."&amp;LEFT($U93,6)&amp;".hhv.MJL") * 100</f>
        <v>#REF!</v>
      </c>
      <c r="BD93" s="80" t="e" cm="1">
        <f t="array" aca="1" ref="BD93" ca="1">AP93/INDIRECT("cv."&amp;LEFT($U93,6)&amp;".hhv.MJL") * 100</f>
        <v>#REF!</v>
      </c>
    </row>
    <row r="94" spans="1:56" s="924" customFormat="1" x14ac:dyDescent="0.25">
      <c r="A94" s="924" t="s">
        <v>251</v>
      </c>
      <c r="C94" s="925">
        <f>C78/$C$82</f>
        <v>0</v>
      </c>
      <c r="D94" s="926">
        <f t="shared" ref="D94" si="34">C94*$D$58</f>
        <v>0</v>
      </c>
      <c r="N94" s="924" t="s">
        <v>501</v>
      </c>
      <c r="O94" s="924" t="s">
        <v>653</v>
      </c>
      <c r="P94" s="924" t="s">
        <v>734</v>
      </c>
      <c r="Q94" s="924" t="str">
        <f t="shared" si="30"/>
        <v>CV5</v>
      </c>
      <c r="R94" s="924" t="s">
        <v>687</v>
      </c>
      <c r="S94" s="927"/>
      <c r="T94" s="928" t="s">
        <v>735</v>
      </c>
      <c r="U94" s="929" t="s">
        <v>692</v>
      </c>
      <c r="V94" s="921">
        <v>2050</v>
      </c>
      <c r="W94" s="930">
        <f t="shared" si="22"/>
        <v>0</v>
      </c>
      <c r="X94" s="931">
        <f t="shared" si="22"/>
        <v>0</v>
      </c>
      <c r="Y94" s="931">
        <f t="shared" si="22"/>
        <v>0</v>
      </c>
      <c r="Z94" s="931">
        <f t="shared" si="22"/>
        <v>0</v>
      </c>
      <c r="AA94" s="931">
        <f t="shared" si="22"/>
        <v>0</v>
      </c>
      <c r="AB94" s="931">
        <f t="shared" si="22"/>
        <v>0</v>
      </c>
      <c r="AC94" s="932">
        <f t="shared" si="22"/>
        <v>1</v>
      </c>
      <c r="AD94" s="933" cm="1">
        <f t="array" ref="AD94">IF(W94,INDEX('AEA2012 update'!$K$6:$R$104,MATCH($T94&amp;$R94,'AEA2012 update'!$A$6:$A$104&amp;'AEA2012 update'!$B$6:$B$104,0),MATCH(AD$16,'AEA2012 update'!$S$4:$Z$4,0)),INDEX('AEA2012 update'!$K$6:$R$104,MATCH($T94&amp;$U94,'AEA2012 update'!$A$6:$A$104&amp;'AEA2012 update'!$B$6:$B$104,0),MATCH(AD$16,'AEA2012 update'!$S$4:$Z$4,0)))</f>
        <v>3566821.7975551309</v>
      </c>
      <c r="AE94" s="933" cm="1">
        <f t="array" ref="AE94">IF(X94,INDEX('AEA2012 update'!$K$6:$R$104,MATCH($T94&amp;$R94,'AEA2012 update'!$A$6:$A$104&amp;'AEA2012 update'!$B$6:$B$104,0),MATCH(AE$16,'AEA2012 update'!$S$4:$Z$4,0)),INDEX('AEA2012 update'!$K$6:$R$104,MATCH($T94&amp;$U94,'AEA2012 update'!$A$6:$A$104&amp;'AEA2012 update'!$B$6:$B$104,0),MATCH(AE$16,'AEA2012 update'!$S$4:$Z$4,0)))</f>
        <v>2719661.6032872326</v>
      </c>
      <c r="AF94" s="933" cm="1">
        <f t="array" ref="AF94">IF(Y94,INDEX('AEA2012 update'!$K$6:$R$104,MATCH($T94&amp;$R94,'AEA2012 update'!$A$6:$A$104&amp;'AEA2012 update'!$B$6:$B$104,0),MATCH(AF$16,'AEA2012 update'!$S$4:$Z$4,0)),INDEX('AEA2012 update'!$K$6:$R$104,MATCH($T94&amp;$U94,'AEA2012 update'!$A$6:$A$104&amp;'AEA2012 update'!$B$6:$B$104,0),MATCH(AF$16,'AEA2012 update'!$S$4:$Z$4,0)))</f>
        <v>1903763.1223010626</v>
      </c>
      <c r="AG94" s="933" cm="1">
        <f t="array" ref="AG94">IF(Z94,INDEX('AEA2012 update'!$K$6:$R$104,MATCH($T94&amp;$R94,'AEA2012 update'!$A$6:$A$104&amp;'AEA2012 update'!$B$6:$B$104,0),MATCH(AG$16,'AEA2012 update'!$S$4:$Z$4,0)),INDEX('AEA2012 update'!$K$6:$R$104,MATCH($T94&amp;$U94,'AEA2012 update'!$A$6:$A$104&amp;'AEA2012 update'!$B$6:$B$104,0),MATCH(AG$16,'AEA2012 update'!$S$4:$Z$4,0)))</f>
        <v>1631796.9619723395</v>
      </c>
      <c r="AH94" s="933" cm="1">
        <f t="array" ref="AH94">IF(AA94,INDEX('AEA2012 update'!$K$6:$R$104,MATCH($T94&amp;$R94,'AEA2012 update'!$A$6:$A$104&amp;'AEA2012 update'!$B$6:$B$104,0),MATCH(AH$16,'AEA2012 update'!$S$4:$Z$4,0)),INDEX('AEA2012 update'!$K$6:$R$104,MATCH($T94&amp;$U94,'AEA2012 update'!$A$6:$A$104&amp;'AEA2012 update'!$B$6:$B$104,0),MATCH(AH$16,'AEA2012 update'!$S$4:$Z$4,0)))</f>
        <v>1359830.8016436163</v>
      </c>
      <c r="AI94" s="933" cm="1">
        <f t="array" ref="AI94">IF(AB94,INDEX('AEA2012 update'!$K$6:$R$104,MATCH($T94&amp;$R94,'AEA2012 update'!$A$6:$A$104&amp;'AEA2012 update'!$B$6:$B$104,0),MATCH(AI$16,'AEA2012 update'!$S$4:$Z$4,0)),INDEX('AEA2012 update'!$K$6:$R$104,MATCH($T94&amp;$U94,'AEA2012 update'!$A$6:$A$104&amp;'AEA2012 update'!$B$6:$B$104,0),MATCH(AI$16,'AEA2012 update'!$S$4:$Z$4,0)))</f>
        <v>1269175.4148673753</v>
      </c>
      <c r="AJ94" s="933" cm="1">
        <f t="array" ref="AJ94">IF(AC94,INDEX('AEA2012 update'!$K$6:$R$104,MATCH($T94&amp;$R94,'AEA2012 update'!$A$6:$A$104&amp;'AEA2012 update'!$B$6:$B$104,0),MATCH(AJ$16,'AEA2012 update'!$S$4:$Z$4,0)),INDEX('AEA2012 update'!$K$6:$R$104,MATCH($T94&amp;$U94,'AEA2012 update'!$A$6:$A$104&amp;'AEA2012 update'!$B$6:$B$104,0),MATCH(AJ$16,'AEA2012 update'!$S$4:$Z$4,0)))</f>
        <v>945215.87798179325</v>
      </c>
      <c r="AK94" s="933" t="str">
        <f t="shared" si="33"/>
        <v>CV5ELC</v>
      </c>
      <c r="AL94" s="986">
        <f>$AL$84/$AL$83*AL93</f>
        <v>3.23394631410827</v>
      </c>
      <c r="AM94" s="986">
        <f t="array" ref="AM94">IF($AE$1,AL94*(1+INDEX(AM$1:AM$2,MATCH($O94,$AI$1:$AI$2,0)))^(AM$16-AL$16),INDEX('AEA2012 update'!$AC$6:$AG$104,MATCH($T94&amp;$U94,'AEA2012 update'!$A$6:$A$104&amp;'AEA2012 update'!$B$6:$B$104,0),MATCH(AM$16,'AEA2012 update'!$AC$4:$AG$4,0)))</f>
        <v>3.2242541737709414</v>
      </c>
      <c r="AN94" s="986">
        <f t="array" ref="AN94">IF($AE$1,AM94*(1+INDEX(AN$1:AN$2,MATCH($O94,$AI$1:$AI$2,0)))^(AN$16-AM$16),INDEX('AEA2012 update'!$AC$6:$AG$104,MATCH($T94&amp;$U94,'AEA2012 update'!$A$6:$A$104&amp;'AEA2012 update'!$B$6:$B$104,0),MATCH(AN$16,'AEA2012 update'!$AC$4:$AG$4,0)))</f>
        <v>3.0512454534852029</v>
      </c>
      <c r="AO94" s="986">
        <f t="array" ref="AO94">IF($AE$1,AN94*(1+INDEX(AO$1:AO$2,MATCH($O94,$AI$1:$AI$2,0)))^(AO$16-AN$16),INDEX('AEA2012 update'!$AC$6:$AG$104,MATCH($T94&amp;$U94,'AEA2012 update'!$A$6:$A$104&amp;'AEA2012 update'!$B$6:$B$104,0),MATCH(AO$16,'AEA2012 update'!$AC$4:$AG$4,0)))</f>
        <v>2.7594916945841277</v>
      </c>
      <c r="AP94" s="986">
        <f t="array" ref="AP94">IF($AE$1,AO94*(1+INDEX(AP$1:AP$2,MATCH($O94,$AI$1:$AI$2,0)))^(AP$16-AO$16),INDEX('AEA2012 update'!$AC$6:$AG$104,MATCH($T94&amp;$U94,'AEA2012 update'!$A$6:$A$104&amp;'AEA2012 update'!$B$6:$B$104,0),MATCH(AP$16,'AEA2012 update'!$AC$4:$AG$4,0)))</f>
        <v>2.495634824717555</v>
      </c>
      <c r="AQ94" s="934"/>
      <c r="AR94" s="935">
        <f t="shared" si="31"/>
        <v>-9.9900033333332112E-4</v>
      </c>
      <c r="AS94" s="935">
        <f t="shared" si="32"/>
        <v>-7.5326913841620435E-3</v>
      </c>
      <c r="AY94" s="924" t="str">
        <f t="shared" ref="AY94" si="35">P94&amp;"-"&amp;N94</f>
        <v>HCV5-ELC</v>
      </c>
      <c r="AZ94" s="936" t="e" cm="1">
        <f t="array" aca="1" ref="AZ94" ca="1">AL94/INDIRECT("cv."&amp;LEFT($U94,6)&amp;".hhv.MJL") * 100</f>
        <v>#REF!</v>
      </c>
      <c r="BA94" s="936" t="e" cm="1">
        <f t="array" aca="1" ref="BA94" ca="1">AM94/INDIRECT("cv."&amp;LEFT($U94,6)&amp;".hhv.MJL") * 100</f>
        <v>#REF!</v>
      </c>
      <c r="BB94" s="936" t="e" cm="1">
        <f t="array" aca="1" ref="BB94" ca="1">AN94/INDIRECT("cv."&amp;LEFT($U94,6)&amp;".hhv.MJL") * 100</f>
        <v>#REF!</v>
      </c>
      <c r="BC94" s="936" t="e" cm="1">
        <f t="array" aca="1" ref="BC94" ca="1">AO94/INDIRECT("cv."&amp;LEFT($U94,6)&amp;".hhv.MJL") * 100</f>
        <v>#REF!</v>
      </c>
      <c r="BD94" s="936" t="e" cm="1">
        <f t="array" aca="1" ref="BD94" ca="1">AP94/INDIRECT("cv."&amp;LEFT($U94,6)&amp;".hhv.MJL") * 100</f>
        <v>#REF!</v>
      </c>
    </row>
    <row r="95" spans="1:56" x14ac:dyDescent="0.25">
      <c r="N95" s="61" t="s">
        <v>504</v>
      </c>
      <c r="O95" s="61" t="s">
        <v>653</v>
      </c>
      <c r="P95" s="61" t="s">
        <v>734</v>
      </c>
      <c r="Q95" s="61" t="str">
        <f t="shared" si="30"/>
        <v>CV5</v>
      </c>
      <c r="R95" s="61" t="s">
        <v>687</v>
      </c>
      <c r="S95" s="65"/>
      <c r="T95" s="256" t="s">
        <v>735</v>
      </c>
      <c r="U95" s="913" t="s">
        <v>699</v>
      </c>
      <c r="V95" s="921">
        <v>2050</v>
      </c>
      <c r="W95" s="914">
        <f t="shared" si="22"/>
        <v>0</v>
      </c>
      <c r="X95" s="915">
        <f t="shared" si="22"/>
        <v>0</v>
      </c>
      <c r="Y95" s="915">
        <f t="shared" si="22"/>
        <v>0</v>
      </c>
      <c r="Z95" s="915">
        <f t="shared" si="22"/>
        <v>0</v>
      </c>
      <c r="AA95" s="915">
        <f t="shared" si="22"/>
        <v>0</v>
      </c>
      <c r="AB95" s="915">
        <f t="shared" si="22"/>
        <v>0</v>
      </c>
      <c r="AC95" s="916">
        <f t="shared" si="22"/>
        <v>1</v>
      </c>
      <c r="AD95" s="103" cm="1">
        <f t="array" ref="AD95">IF(W95,INDEX('AEA2012 update'!$K$6:$R$104,MATCH($T95&amp;$R95,'AEA2012 update'!$A$6:$A$104&amp;'AEA2012 update'!$B$6:$B$104,0),MATCH(AD$16,'AEA2012 update'!$S$4:$Z$4,0)),INDEX('AEA2012 update'!$K$6:$R$104,MATCH($T95&amp;$U95,'AEA2012 update'!$A$6:$A$104&amp;'AEA2012 update'!$B$6:$B$104,0),MATCH(AD$16,'AEA2012 update'!$S$4:$Z$4,0)))</f>
        <v>4181375.5668412126</v>
      </c>
      <c r="AE95" s="103" cm="1">
        <f t="array" ref="AE95">IF(X95,INDEX('AEA2012 update'!$K$6:$R$104,MATCH($T95&amp;$R95,'AEA2012 update'!$A$6:$A$104&amp;'AEA2012 update'!$B$6:$B$104,0),MATCH(AE$16,'AEA2012 update'!$S$4:$Z$4,0)),INDEX('AEA2012 update'!$K$6:$R$104,MATCH($T95&amp;$U95,'AEA2012 update'!$A$6:$A$104&amp;'AEA2012 update'!$B$6:$B$104,0),MATCH(AE$16,'AEA2012 update'!$S$4:$Z$4,0)))</f>
        <v>1813107.7355248218</v>
      </c>
      <c r="AF95" s="103" cm="1">
        <f t="array" ref="AF95">IF(Y95,INDEX('AEA2012 update'!$K$6:$R$104,MATCH($T95&amp;$R95,'AEA2012 update'!$A$6:$A$104&amp;'AEA2012 update'!$B$6:$B$104,0),MATCH(AF$16,'AEA2012 update'!$S$4:$Z$4,0)),INDEX('AEA2012 update'!$K$6:$R$104,MATCH($T95&amp;$U95,'AEA2012 update'!$A$6:$A$104&amp;'AEA2012 update'!$B$6:$B$104,0),MATCH(AF$16,'AEA2012 update'!$S$4:$Z$4,0)))</f>
        <v>1437160.6416999607</v>
      </c>
      <c r="AG95" s="103" cm="1">
        <f t="array" ref="AG95">IF(Z95,INDEX('AEA2012 update'!$K$6:$R$104,MATCH($T95&amp;$R95,'AEA2012 update'!$A$6:$A$104&amp;'AEA2012 update'!$B$6:$B$104,0),MATCH(AG$16,'AEA2012 update'!$S$4:$Z$4,0)),INDEX('AEA2012 update'!$K$6:$R$104,MATCH($T95&amp;$U95,'AEA2012 update'!$A$6:$A$104&amp;'AEA2012 update'!$B$6:$B$104,0),MATCH(AG$16,'AEA2012 update'!$S$4:$Z$4,0)))</f>
        <v>1061213.5478750996</v>
      </c>
      <c r="AH95" s="103" cm="1">
        <f t="array" ref="AH95">IF(AA95,INDEX('AEA2012 update'!$K$6:$R$104,MATCH($T95&amp;$R95,'AEA2012 update'!$A$6:$A$104&amp;'AEA2012 update'!$B$6:$B$104,0),MATCH(AH$16,'AEA2012 update'!$S$4:$Z$4,0)),INDEX('AEA2012 update'!$K$6:$R$104,MATCH($T95&amp;$U95,'AEA2012 update'!$A$6:$A$104&amp;'AEA2012 update'!$B$6:$B$104,0),MATCH(AH$16,'AEA2012 update'!$S$4:$Z$4,0)))</f>
        <v>1011982.5087271776</v>
      </c>
      <c r="AI95" s="103" cm="1">
        <f t="array" ref="AI95">IF(AB95,INDEX('AEA2012 update'!$K$6:$R$104,MATCH($T95&amp;$R95,'AEA2012 update'!$A$6:$A$104&amp;'AEA2012 update'!$B$6:$B$104,0),MATCH(AI$16,'AEA2012 update'!$S$4:$Z$4,0)),INDEX('AEA2012 update'!$K$6:$R$104,MATCH($T95&amp;$U95,'AEA2012 update'!$A$6:$A$104&amp;'AEA2012 update'!$B$6:$B$104,0),MATCH(AI$16,'AEA2012 update'!$S$4:$Z$4,0)))</f>
        <v>962751.46957925544</v>
      </c>
      <c r="AJ95" s="103" cm="1">
        <f t="array" ref="AJ95">IF(AC95,INDEX('AEA2012 update'!$K$6:$R$104,MATCH($T95&amp;$R95,'AEA2012 update'!$A$6:$A$104&amp;'AEA2012 update'!$B$6:$B$104,0),MATCH(AJ$16,'AEA2012 update'!$S$4:$Z$4,0)),INDEX('AEA2012 update'!$K$6:$R$104,MATCH($T95&amp;$U95,'AEA2012 update'!$A$6:$A$104&amp;'AEA2012 update'!$B$6:$B$104,0),MATCH(AJ$16,'AEA2012 update'!$S$4:$Z$4,0)))</f>
        <v>945215.87798179325</v>
      </c>
      <c r="AK95" s="103" t="str">
        <f t="shared" si="33"/>
        <v>CV5HGN</v>
      </c>
      <c r="AL95" s="67">
        <f>INDEX('Vehicle data '!$AD$20:$AD$110,MATCH($AK95,'Vehicle data '!$AC$20:$AC$110,0))/INDEX('Vehicle data '!$AD$20:$AD$110,MATCH($AK$93,'Vehicle data '!$AC$20:$AC$110,0))*AL$93</f>
        <v>5.0190262619168848</v>
      </c>
      <c r="AM95" s="67">
        <f t="array" ref="AM95">IF($AE$1,AL95*(1+INDEX(AM$1:AM$2,MATCH($O95,$AI$1:$AI$2,0)))^(AM$16-AL$16),INDEX('AEA2012 update'!$AC$6:$AG$104,MATCH($T95&amp;$U95,'AEA2012 update'!$A$6:$A$104&amp;'AEA2012 update'!$B$6:$B$104,0),MATCH(AM$16,'AEA2012 update'!$AC$4:$AG$4,0)))</f>
        <v>5.0039842351908934</v>
      </c>
      <c r="AN95" s="67">
        <f t="array" ref="AN95">IF($AE$1,AM95*(1+INDEX(AN$1:AN$2,MATCH($O95,$AI$1:$AI$2,0)))^(AN$16-AM$16),INDEX('AEA2012 update'!$AC$6:$AG$104,MATCH($T95&amp;$U95,'AEA2012 update'!$A$6:$A$104&amp;'AEA2012 update'!$B$6:$B$104,0),MATCH(AN$16,'AEA2012 update'!$AC$4:$AG$4,0)))</f>
        <v>4.7354778265141038</v>
      </c>
      <c r="AO95" s="67">
        <f t="array" ref="AO95">IF($AE$1,AN95*(1+INDEX(AO$1:AO$2,MATCH($O95,$AI$1:$AI$2,0)))^(AO$16-AN$16),INDEX('AEA2012 update'!$AC$6:$AG$104,MATCH($T95&amp;$U95,'AEA2012 update'!$A$6:$A$104&amp;'AEA2012 update'!$B$6:$B$104,0),MATCH(AO$16,'AEA2012 update'!$AC$4:$AG$4,0)))</f>
        <v>4.2826812629010078</v>
      </c>
      <c r="AP95" s="67">
        <f t="array" ref="AP95">IF($AE$1,AO95*(1+INDEX(AP$1:AP$2,MATCH($O95,$AI$1:$AI$2,0)))^(AP$16-AO$16),INDEX('AEA2012 update'!$AC$6:$AG$104,MATCH($T95&amp;$U95,'AEA2012 update'!$A$6:$A$104&amp;'AEA2012 update'!$B$6:$B$104,0),MATCH(AP$16,'AEA2012 update'!$AC$4:$AG$4,0)))</f>
        <v>3.8731801671437398</v>
      </c>
      <c r="AQ95" s="67"/>
      <c r="AR95" s="257">
        <f t="shared" si="31"/>
        <v>-9.9900033333335018E-4</v>
      </c>
      <c r="AS95" s="257">
        <f t="shared" si="32"/>
        <v>-7.5326913841620401E-3</v>
      </c>
      <c r="AY95" s="61" t="str">
        <f t="shared" si="23"/>
        <v>HCV5-HGN</v>
      </c>
      <c r="AZ95" s="80" t="e" cm="1">
        <f t="array" aca="1" ref="AZ95" ca="1">AL95/INDIRECT("cv."&amp;LEFT($U95,6)&amp;".hhv.MJL") * 100</f>
        <v>#REF!</v>
      </c>
      <c r="BA95" s="80" t="e" cm="1">
        <f t="array" aca="1" ref="BA95" ca="1">AM95/INDIRECT("cv."&amp;LEFT($U95,6)&amp;".hhv.MJL") * 100</f>
        <v>#REF!</v>
      </c>
      <c r="BB95" s="80" t="e" cm="1">
        <f t="array" aca="1" ref="BB95" ca="1">AN95/INDIRECT("cv."&amp;LEFT($U95,6)&amp;".hhv.MJL") * 100</f>
        <v>#REF!</v>
      </c>
      <c r="BC95" s="80" t="e" cm="1">
        <f t="array" aca="1" ref="BC95" ca="1">AO95/INDIRECT("cv."&amp;LEFT($U95,6)&amp;".hhv.MJL") * 100</f>
        <v>#REF!</v>
      </c>
      <c r="BD95" s="80" t="e" cm="1">
        <f t="array" aca="1" ref="BD95" ca="1">AP95/INDIRECT("cv."&amp;LEFT($U95,6)&amp;".hhv.MJL") * 100</f>
        <v>#REF!</v>
      </c>
    </row>
    <row r="96" spans="1:56" x14ac:dyDescent="0.25">
      <c r="N96" s="61" t="s">
        <v>509</v>
      </c>
      <c r="O96" s="61" t="s">
        <v>653</v>
      </c>
      <c r="P96" s="61" t="s">
        <v>734</v>
      </c>
      <c r="Q96" s="61" t="str">
        <f t="shared" si="30"/>
        <v>CV5</v>
      </c>
      <c r="R96" s="61" t="s">
        <v>687</v>
      </c>
      <c r="S96" s="65"/>
      <c r="T96" s="256" t="s">
        <v>735</v>
      </c>
      <c r="U96" s="913" t="s">
        <v>700</v>
      </c>
      <c r="V96" s="921"/>
      <c r="W96" s="914">
        <f t="shared" si="22"/>
        <v>0</v>
      </c>
      <c r="X96" s="915">
        <f t="shared" si="22"/>
        <v>0</v>
      </c>
      <c r="Y96" s="915">
        <f t="shared" si="22"/>
        <v>0</v>
      </c>
      <c r="Z96" s="915">
        <f t="shared" si="22"/>
        <v>0</v>
      </c>
      <c r="AA96" s="915">
        <f t="shared" si="22"/>
        <v>0</v>
      </c>
      <c r="AB96" s="915">
        <f t="shared" si="22"/>
        <v>0</v>
      </c>
      <c r="AC96" s="916">
        <f t="shared" si="22"/>
        <v>0</v>
      </c>
      <c r="AD96" s="103" cm="1">
        <f t="array" ref="AD96">IF(W96,INDEX('AEA2012 update'!$K$6:$R$104,MATCH($T96&amp;$R96,'AEA2012 update'!$A$6:$A$104&amp;'AEA2012 update'!$B$6:$B$104,0),MATCH(AD$16,'AEA2012 update'!$S$4:$Z$4,0)),INDEX('AEA2012 update'!$K$6:$R$104,MATCH($T96&amp;$U96,'AEA2012 update'!$A$6:$A$104&amp;'AEA2012 update'!$B$6:$B$104,0),MATCH(AD$16,'AEA2012 update'!$S$4:$Z$4,0)))</f>
        <v>935580.03017164103</v>
      </c>
      <c r="AE96" s="103" cm="1">
        <f t="array" ref="AE96">IF(X96,INDEX('AEA2012 update'!$K$6:$R$104,MATCH($T96&amp;$R96,'AEA2012 update'!$A$6:$A$104&amp;'AEA2012 update'!$B$6:$B$104,0),MATCH(AE$16,'AEA2012 update'!$S$4:$Z$4,0)),INDEX('AEA2012 update'!$K$6:$R$104,MATCH($T96&amp;$U96,'AEA2012 update'!$A$6:$A$104&amp;'AEA2012 update'!$B$6:$B$104,0),MATCH(AE$16,'AEA2012 update'!$S$4:$Z$4,0)))</f>
        <v>955910.20610261254</v>
      </c>
      <c r="AF96" s="103" cm="1">
        <f t="array" ref="AF96">IF(Y96,INDEX('AEA2012 update'!$K$6:$R$104,MATCH($T96&amp;$R96,'AEA2012 update'!$A$6:$A$104&amp;'AEA2012 update'!$B$6:$B$104,0),MATCH(AF$16,'AEA2012 update'!$S$4:$Z$4,0)),INDEX('AEA2012 update'!$K$6:$R$104,MATCH($T96&amp;$U96,'AEA2012 update'!$A$6:$A$104&amp;'AEA2012 update'!$B$6:$B$104,0),MATCH(AF$16,'AEA2012 update'!$S$4:$Z$4,0)))</f>
        <v>961413.7558443757</v>
      </c>
      <c r="AG96" s="103" cm="1">
        <f t="array" ref="AG96">IF(Z96,INDEX('AEA2012 update'!$K$6:$R$104,MATCH($T96&amp;$R96,'AEA2012 update'!$A$6:$A$104&amp;'AEA2012 update'!$B$6:$B$104,0),MATCH(AG$16,'AEA2012 update'!$S$4:$Z$4,0)),INDEX('AEA2012 update'!$K$6:$R$104,MATCH($T96&amp;$U96,'AEA2012 update'!$A$6:$A$104&amp;'AEA2012 update'!$B$6:$B$104,0),MATCH(AG$16,'AEA2012 update'!$S$4:$Z$4,0)))</f>
        <v>966917.30558613921</v>
      </c>
      <c r="AH96" s="103" cm="1">
        <f t="array" ref="AH96">IF(AA96,INDEX('AEA2012 update'!$K$6:$R$104,MATCH($T96&amp;$R96,'AEA2012 update'!$A$6:$A$104&amp;'AEA2012 update'!$B$6:$B$104,0),MATCH(AH$16,'AEA2012 update'!$S$4:$Z$4,0)),INDEX('AEA2012 update'!$K$6:$R$104,MATCH($T96&amp;$U96,'AEA2012 update'!$A$6:$A$104&amp;'AEA2012 update'!$B$6:$B$104,0),MATCH(AH$16,'AEA2012 update'!$S$4:$Z$4,0)))</f>
        <v>974635.68364717788</v>
      </c>
      <c r="AI96" s="103" cm="1">
        <f t="array" ref="AI96">IF(AB96,INDEX('AEA2012 update'!$K$6:$R$104,MATCH($T96&amp;$R96,'AEA2012 update'!$A$6:$A$104&amp;'AEA2012 update'!$B$6:$B$104,0),MATCH(AI$16,'AEA2012 update'!$S$4:$Z$4,0)),INDEX('AEA2012 update'!$K$6:$R$104,MATCH($T96&amp;$U96,'AEA2012 update'!$A$6:$A$104&amp;'AEA2012 update'!$B$6:$B$104,0),MATCH(AI$16,'AEA2012 update'!$S$4:$Z$4,0)))</f>
        <v>982354.06170821632</v>
      </c>
      <c r="AJ96" s="103" cm="1">
        <f t="array" ref="AJ96">IF(AC96,INDEX('AEA2012 update'!$K$6:$R$104,MATCH($T96&amp;$R96,'AEA2012 update'!$A$6:$A$104&amp;'AEA2012 update'!$B$6:$B$104,0),MATCH(AJ$16,'AEA2012 update'!$S$4:$Z$4,0)),INDEX('AEA2012 update'!$K$6:$R$104,MATCH($T96&amp;$U96,'AEA2012 update'!$A$6:$A$104&amp;'AEA2012 update'!$B$6:$B$104,0),MATCH(AJ$16,'AEA2012 update'!$S$4:$Z$4,0)))</f>
        <v>999536.2229329109</v>
      </c>
      <c r="AK96" s="103" t="str">
        <f t="shared" si="33"/>
        <v>CV5GAS</v>
      </c>
      <c r="AL96" s="67">
        <f>INDEX('Vehicle data '!$AD$20:$AD$110,MATCH($AK96,'Vehicle data '!$AC$20:$AC$110,0))/INDEX('Vehicle data '!$AD$20:$AD$110,MATCH($AK$93,'Vehicle data '!$AC$20:$AC$110,0))*AL$93</f>
        <v>12.177098187864836</v>
      </c>
      <c r="AM96" s="67">
        <f t="array" ref="AM96">IF($AE$1,AL96*(1+INDEX(AM$1:AM$2,MATCH($O96,$AI$1:$AI$2,0)))^(AM$16-AL$16),INDEX('AEA2012 update'!$AC$6:$AG$104,MATCH($T96&amp;$U96,'AEA2012 update'!$A$6:$A$104&amp;'AEA2012 update'!$B$6:$B$104,0),MATCH(AM$16,'AEA2012 update'!$AC$4:$AG$4,0)))</f>
        <v>12.140603412418706</v>
      </c>
      <c r="AN96" s="67">
        <f t="array" ref="AN96">IF($AE$1,AM96*(1+INDEX(AN$1:AN$2,MATCH($O96,$AI$1:$AI$2,0)))^(AN$16-AM$16),INDEX('AEA2012 update'!$AC$6:$AG$104,MATCH($T96&amp;$U96,'AEA2012 update'!$A$6:$A$104&amp;'AEA2012 update'!$B$6:$B$104,0),MATCH(AN$16,'AEA2012 update'!$AC$4:$AG$4,0)))</f>
        <v>11.489156551632709</v>
      </c>
      <c r="AO96" s="67">
        <f t="array" ref="AO96">IF($AE$1,AN96*(1+INDEX(AO$1:AO$2,MATCH($O96,$AI$1:$AI$2,0)))^(AO$16-AN$16),INDEX('AEA2012 update'!$AC$6:$AG$104,MATCH($T96&amp;$U96,'AEA2012 update'!$A$6:$A$104&amp;'AEA2012 update'!$B$6:$B$104,0),MATCH(AO$16,'AEA2012 update'!$AC$4:$AG$4,0)))</f>
        <v>10.390587242266587</v>
      </c>
      <c r="AP96" s="67">
        <f t="array" ref="AP96">IF($AE$1,AO96*(1+INDEX(AP$1:AP$2,MATCH($O96,$AI$1:$AI$2,0)))^(AP$16-AO$16),INDEX('AEA2012 update'!$AC$6:$AG$104,MATCH($T96&amp;$U96,'AEA2012 update'!$A$6:$A$104&amp;'AEA2012 update'!$B$6:$B$104,0),MATCH(AP$16,'AEA2012 update'!$AC$4:$AG$4,0)))</f>
        <v>9.3970608507210649</v>
      </c>
      <c r="AQ96" s="67"/>
      <c r="AR96" s="257">
        <f t="shared" si="31"/>
        <v>-9.9900033333335191E-4</v>
      </c>
      <c r="AS96" s="257">
        <f t="shared" si="32"/>
        <v>-7.5326913841620444E-3</v>
      </c>
      <c r="AY96" s="61" t="str">
        <f t="shared" si="23"/>
        <v>HCV5-GAS</v>
      </c>
      <c r="AZ96" s="80" t="e" cm="1">
        <f t="array" aca="1" ref="AZ96" ca="1">AL96/INDIRECT("cv."&amp;LEFT($U96,6)&amp;".hhv.MJL") * 100</f>
        <v>#REF!</v>
      </c>
      <c r="BA96" s="80" t="e" cm="1">
        <f t="array" aca="1" ref="BA96" ca="1">AM96/INDIRECT("cv."&amp;LEFT($U96,6)&amp;".hhv.MJL") * 100</f>
        <v>#REF!</v>
      </c>
      <c r="BB96" s="80" t="e" cm="1">
        <f t="array" aca="1" ref="BB96" ca="1">AN96/INDIRECT("cv."&amp;LEFT($U96,6)&amp;".hhv.MJL") * 100</f>
        <v>#REF!</v>
      </c>
      <c r="BC96" s="80" t="e" cm="1">
        <f t="array" aca="1" ref="BC96" ca="1">AO96/INDIRECT("cv."&amp;LEFT($U96,6)&amp;".hhv.MJL") * 100</f>
        <v>#REF!</v>
      </c>
      <c r="BD96" s="80" t="e" cm="1">
        <f t="array" aca="1" ref="BD96" ca="1">AP96/INDIRECT("cv."&amp;LEFT($U96,6)&amp;".hhv.MJL") * 100</f>
        <v>#REF!</v>
      </c>
    </row>
    <row r="97" spans="1:59" x14ac:dyDescent="0.25">
      <c r="B97"/>
      <c r="C97"/>
      <c r="D97"/>
      <c r="E97"/>
      <c r="F97"/>
      <c r="G97"/>
      <c r="H97"/>
      <c r="I97"/>
      <c r="J97"/>
      <c r="O97" s="61" t="s">
        <v>653</v>
      </c>
      <c r="Q97" s="61" t="str">
        <f t="shared" si="30"/>
        <v/>
      </c>
      <c r="S97" s="65"/>
      <c r="T97" s="256"/>
      <c r="V97" s="921"/>
      <c r="W97" s="917">
        <f t="shared" si="22"/>
        <v>0</v>
      </c>
      <c r="X97" s="918">
        <f t="shared" si="22"/>
        <v>0</v>
      </c>
      <c r="Y97" s="918">
        <f t="shared" si="22"/>
        <v>0</v>
      </c>
      <c r="Z97" s="918">
        <f t="shared" si="22"/>
        <v>0</v>
      </c>
      <c r="AA97" s="918">
        <f t="shared" si="22"/>
        <v>0</v>
      </c>
      <c r="AB97" s="918">
        <f t="shared" si="22"/>
        <v>0</v>
      </c>
      <c r="AC97" s="919">
        <f t="shared" si="22"/>
        <v>0</v>
      </c>
      <c r="AD97" s="103" t="e" cm="1">
        <f t="array" ref="AD97">IF(W97,INDEX('AEA2012 update'!$K$6:$R$104,MATCH($T97&amp;$R97,'AEA2012 update'!$A$6:$A$104&amp;'AEA2012 update'!$B$6:$B$104,0),MATCH(AD$16,'AEA2012 update'!$S$4:$Z$4,0)),INDEX('AEA2012 update'!$K$6:$R$104,MATCH($T97&amp;$U97,'AEA2012 update'!$A$6:$A$104&amp;'AEA2012 update'!$B$6:$B$104,0),MATCH(AD$16,'AEA2012 update'!$S$4:$Z$4,0)))</f>
        <v>#N/A</v>
      </c>
      <c r="AE97" s="103" t="e" cm="1">
        <f t="array" ref="AE97">IF(X97,INDEX('AEA2012 update'!$K$6:$R$104,MATCH($T97&amp;$R97,'AEA2012 update'!$A$6:$A$104&amp;'AEA2012 update'!$B$6:$B$104,0),MATCH(AE$16,'AEA2012 update'!$S$4:$Z$4,0)),INDEX('AEA2012 update'!$K$6:$R$104,MATCH($T97&amp;$U97,'AEA2012 update'!$A$6:$A$104&amp;'AEA2012 update'!$B$6:$B$104,0),MATCH(AE$16,'AEA2012 update'!$S$4:$Z$4,0)))</f>
        <v>#N/A</v>
      </c>
      <c r="AF97" s="103" t="e" cm="1">
        <f t="array" ref="AF97">IF(Y97,INDEX('AEA2012 update'!$K$6:$R$104,MATCH($T97&amp;$R97,'AEA2012 update'!$A$6:$A$104&amp;'AEA2012 update'!$B$6:$B$104,0),MATCH(AF$16,'AEA2012 update'!$S$4:$Z$4,0)),INDEX('AEA2012 update'!$K$6:$R$104,MATCH($T97&amp;$U97,'AEA2012 update'!$A$6:$A$104&amp;'AEA2012 update'!$B$6:$B$104,0),MATCH(AF$16,'AEA2012 update'!$S$4:$Z$4,0)))</f>
        <v>#N/A</v>
      </c>
      <c r="AG97" s="103" t="e" cm="1">
        <f t="array" ref="AG97">IF(Z97,INDEX('AEA2012 update'!$K$6:$R$104,MATCH($T97&amp;$R97,'AEA2012 update'!$A$6:$A$104&amp;'AEA2012 update'!$B$6:$B$104,0),MATCH(AG$16,'AEA2012 update'!$S$4:$Z$4,0)),INDEX('AEA2012 update'!$K$6:$R$104,MATCH($T97&amp;$U97,'AEA2012 update'!$A$6:$A$104&amp;'AEA2012 update'!$B$6:$B$104,0),MATCH(AG$16,'AEA2012 update'!$S$4:$Z$4,0)))</f>
        <v>#N/A</v>
      </c>
      <c r="AH97" s="103" t="e" cm="1">
        <f t="array" ref="AH97">IF(AA97,INDEX('AEA2012 update'!$K$6:$R$104,MATCH($T97&amp;$R97,'AEA2012 update'!$A$6:$A$104&amp;'AEA2012 update'!$B$6:$B$104,0),MATCH(AH$16,'AEA2012 update'!$S$4:$Z$4,0)),INDEX('AEA2012 update'!$K$6:$R$104,MATCH($T97&amp;$U97,'AEA2012 update'!$A$6:$A$104&amp;'AEA2012 update'!$B$6:$B$104,0),MATCH(AH$16,'AEA2012 update'!$S$4:$Z$4,0)))</f>
        <v>#N/A</v>
      </c>
      <c r="AI97" s="103" t="e" cm="1">
        <f t="array" ref="AI97">IF(AB97,INDEX('AEA2012 update'!$K$6:$R$104,MATCH($T97&amp;$R97,'AEA2012 update'!$A$6:$A$104&amp;'AEA2012 update'!$B$6:$B$104,0),MATCH(AI$16,'AEA2012 update'!$S$4:$Z$4,0)),INDEX('AEA2012 update'!$K$6:$R$104,MATCH($T97&amp;$U97,'AEA2012 update'!$A$6:$A$104&amp;'AEA2012 update'!$B$6:$B$104,0),MATCH(AI$16,'AEA2012 update'!$S$4:$Z$4,0)))</f>
        <v>#N/A</v>
      </c>
      <c r="AJ97" s="103" t="e" cm="1">
        <f t="array" ref="AJ97">IF(AC97,INDEX('AEA2012 update'!$K$6:$R$104,MATCH($T97&amp;$R97,'AEA2012 update'!$A$6:$A$104&amp;'AEA2012 update'!$B$6:$B$104,0),MATCH(AJ$16,'AEA2012 update'!$S$4:$Z$4,0)),INDEX('AEA2012 update'!$K$6:$R$104,MATCH($T97&amp;$U97,'AEA2012 update'!$A$6:$A$104&amp;'AEA2012 update'!$B$6:$B$104,0),MATCH(AJ$16,'AEA2012 update'!$S$4:$Z$4,0)))</f>
        <v>#N/A</v>
      </c>
      <c r="AK97" s="103" t="str">
        <f t="shared" si="33"/>
        <v/>
      </c>
      <c r="AL97" s="67" t="e">
        <f>1/INDEX(Analytica!$AA$17:$AE$48,MATCH($AK97,Analytica!$A$17:$A$48,0),MATCH(AL$16,Analytica!$AA$16:$AE$16,0))</f>
        <v>#N/A</v>
      </c>
      <c r="AM97" s="67" t="e">
        <f t="array" ref="AM97">IF($AE$1,AL97*(1+INDEX(AM$1:AM$2,MATCH($O97,$AI$1:$AI$2,0)))^(AM$16-AL$16),INDEX('AEA2012 update'!$AC$6:$AG$104,MATCH($T97&amp;$U97,'AEA2012 update'!$A$6:$A$104&amp;'AEA2012 update'!$B$6:$B$104,0),MATCH(AM$16,'AEA2012 update'!$AC$4:$AG$4,0)))</f>
        <v>#N/A</v>
      </c>
      <c r="AN97" s="67" t="e">
        <f t="array" ref="AN97">IF($AE$1,AM97*(1+INDEX(AN$1:AN$2,MATCH($O97,$AI$1:$AI$2,0)))^(AN$16-AM$16),INDEX('AEA2012 update'!$AC$6:$AG$104,MATCH($T97&amp;$U97,'AEA2012 update'!$A$6:$A$104&amp;'AEA2012 update'!$B$6:$B$104,0),MATCH(AN$16,'AEA2012 update'!$AC$4:$AG$4,0)))</f>
        <v>#N/A</v>
      </c>
      <c r="AO97" s="67" t="e">
        <f t="array" ref="AO97">IF($AE$1,AN97*(1+INDEX(AO$1:AO$2,MATCH($O97,$AI$1:$AI$2,0)))^(AO$16-AN$16),INDEX('AEA2012 update'!$AC$6:$AG$104,MATCH($T97&amp;$U97,'AEA2012 update'!$A$6:$A$104&amp;'AEA2012 update'!$B$6:$B$104,0),MATCH(AO$16,'AEA2012 update'!$AC$4:$AG$4,0)))</f>
        <v>#N/A</v>
      </c>
      <c r="AP97" s="67" t="e">
        <f t="array" ref="AP97">IF($AE$1,AO97*(1+INDEX(AP$1:AP$2,MATCH($O97,$AI$1:$AI$2,0)))^(AP$16-AO$16),INDEX('AEA2012 update'!$AC$6:$AG$104,MATCH($T97&amp;$U97,'AEA2012 update'!$A$6:$A$104&amp;'AEA2012 update'!$B$6:$B$104,0),MATCH(AP$16,'AEA2012 update'!$AC$4:$AG$4,0)))</f>
        <v>#N/A</v>
      </c>
      <c r="AQ97" s="67"/>
      <c r="AR97" s="257" t="e">
        <f t="shared" si="31"/>
        <v>#N/A</v>
      </c>
      <c r="AS97" s="257" t="e">
        <f t="shared" si="32"/>
        <v>#N/A</v>
      </c>
      <c r="AY97" s="61" t="str">
        <f t="shared" si="23"/>
        <v>-</v>
      </c>
      <c r="AZ97" s="80" t="e" cm="1">
        <f t="array" aca="1" ref="AZ97" ca="1">AL97/INDIRECT("cv."&amp;LEFT($U97,6)&amp;".hhv.MJL") * 100</f>
        <v>#N/A</v>
      </c>
      <c r="BA97" s="80" t="e" cm="1">
        <f t="array" aca="1" ref="BA97" ca="1">AM97/INDIRECT("cv."&amp;LEFT($U97,6)&amp;".hhv.MJL") * 100</f>
        <v>#N/A</v>
      </c>
      <c r="BB97" s="80" t="e" cm="1">
        <f t="array" aca="1" ref="BB97" ca="1">AN97/INDIRECT("cv."&amp;LEFT($U97,6)&amp;".hhv.MJL") * 100</f>
        <v>#N/A</v>
      </c>
      <c r="BC97" s="80" t="e" cm="1">
        <f t="array" aca="1" ref="BC97" ca="1">AO97/INDIRECT("cv."&amp;LEFT($U97,6)&amp;".hhv.MJL") * 100</f>
        <v>#N/A</v>
      </c>
      <c r="BD97" s="80" t="e" cm="1">
        <f t="array" aca="1" ref="BD97" ca="1">AP97/INDIRECT("cv."&amp;LEFT($U97,6)&amp;".hhv.MJL") * 100</f>
        <v>#N/A</v>
      </c>
    </row>
    <row r="98" spans="1:59" x14ac:dyDescent="0.25">
      <c r="A98" t="s">
        <v>736</v>
      </c>
      <c r="B98" t="s">
        <v>737</v>
      </c>
      <c r="C98" t="s">
        <v>738</v>
      </c>
      <c r="D98"/>
      <c r="E98"/>
      <c r="F98"/>
      <c r="G98" t="s">
        <v>737</v>
      </c>
      <c r="H98" t="s">
        <v>739</v>
      </c>
      <c r="I98"/>
      <c r="J98" t="s">
        <v>740</v>
      </c>
      <c r="N98" s="61" t="s">
        <v>511</v>
      </c>
      <c r="O98" s="61" t="s">
        <v>653</v>
      </c>
      <c r="P98" s="61" t="s">
        <v>741</v>
      </c>
      <c r="Q98" s="61" t="str">
        <f t="shared" si="30"/>
        <v>CV6</v>
      </c>
      <c r="R98" s="61" t="s">
        <v>687</v>
      </c>
      <c r="S98" s="65"/>
      <c r="T98" s="997" t="s">
        <v>735</v>
      </c>
      <c r="U98" s="998" t="s">
        <v>687</v>
      </c>
      <c r="V98" s="999"/>
      <c r="W98" s="1000">
        <f t="shared" si="22"/>
        <v>0</v>
      </c>
      <c r="X98" s="1001">
        <f t="shared" si="22"/>
        <v>0</v>
      </c>
      <c r="Y98" s="1001">
        <f t="shared" si="22"/>
        <v>0</v>
      </c>
      <c r="Z98" s="1001">
        <f t="shared" si="22"/>
        <v>0</v>
      </c>
      <c r="AA98" s="1001">
        <f t="shared" si="22"/>
        <v>0</v>
      </c>
      <c r="AB98" s="1001">
        <f t="shared" si="22"/>
        <v>0</v>
      </c>
      <c r="AC98" s="1002">
        <f t="shared" si="22"/>
        <v>0</v>
      </c>
      <c r="AD98" s="1003" cm="1">
        <f t="array" ref="AD98">IF(W98,INDEX('AEA2012 update'!$K$6:$R$104,MATCH($T98&amp;$R98,'AEA2012 update'!$A$6:$A$104&amp;'AEA2012 update'!$B$6:$B$104,0),MATCH(AD$16,'AEA2012 update'!$S$4:$Z$4,0)),INDEX('AEA2012 update'!$K$6:$R$104,MATCH($T98&amp;$U98,'AEA2012 update'!$A$6:$A$104&amp;'AEA2012 update'!$B$6:$B$104,0),MATCH(AD$16,'AEA2012 update'!$S$4:$Z$4,0)))</f>
        <v>685854.55456102896</v>
      </c>
      <c r="AE98" s="1003" cm="1">
        <f t="array" ref="AE98">IF(X98,INDEX('AEA2012 update'!$K$6:$R$104,MATCH($T98&amp;$R98,'AEA2012 update'!$A$6:$A$104&amp;'AEA2012 update'!$B$6:$B$104,0),MATCH(AE$16,'AEA2012 update'!$S$4:$Z$4,0)),INDEX('AEA2012 update'!$K$6:$R$104,MATCH($T98&amp;$U98,'AEA2012 update'!$A$6:$A$104&amp;'AEA2012 update'!$B$6:$B$104,0),MATCH(AE$16,'AEA2012 update'!$S$4:$Z$4,0)))</f>
        <v>827727.74685699318</v>
      </c>
      <c r="AF98" s="1003" cm="1">
        <f t="array" ref="AF98">IF(Y98,INDEX('AEA2012 update'!$K$6:$R$104,MATCH($T98&amp;$R98,'AEA2012 update'!$A$6:$A$104&amp;'AEA2012 update'!$B$6:$B$104,0),MATCH(AF$16,'AEA2012 update'!$S$4:$Z$4,0)),INDEX('AEA2012 update'!$K$6:$R$104,MATCH($T98&amp;$U98,'AEA2012 update'!$A$6:$A$104&amp;'AEA2012 update'!$B$6:$B$104,0),MATCH(AF$16,'AEA2012 update'!$S$4:$Z$4,0)))</f>
        <v>854497.09320833592</v>
      </c>
      <c r="AG98" s="1003" cm="1">
        <f t="array" ref="AG98">IF(Z98,INDEX('AEA2012 update'!$K$6:$R$104,MATCH($T98&amp;$R98,'AEA2012 update'!$A$6:$A$104&amp;'AEA2012 update'!$B$6:$B$104,0),MATCH(AG$16,'AEA2012 update'!$S$4:$Z$4,0)),INDEX('AEA2012 update'!$K$6:$R$104,MATCH($T98&amp;$U98,'AEA2012 update'!$A$6:$A$104&amp;'AEA2012 update'!$B$6:$B$104,0),MATCH(AG$16,'AEA2012 update'!$S$4:$Z$4,0)))</f>
        <v>881266.43955967901</v>
      </c>
      <c r="AH98" s="1003" cm="1">
        <f t="array" ref="AH98">IF(AA98,INDEX('AEA2012 update'!$K$6:$R$104,MATCH($T98&amp;$R98,'AEA2012 update'!$A$6:$A$104&amp;'AEA2012 update'!$B$6:$B$104,0),MATCH(AH$16,'AEA2012 update'!$S$4:$Z$4,0)),INDEX('AEA2012 update'!$K$6:$R$104,MATCH($T98&amp;$U98,'AEA2012 update'!$A$6:$A$104&amp;'AEA2012 update'!$B$6:$B$104,0),MATCH(AH$16,'AEA2012 update'!$S$4:$Z$4,0)))</f>
        <v>898447.87511458865</v>
      </c>
      <c r="AI98" s="1003" cm="1">
        <f t="array" ref="AI98">IF(AB98,INDEX('AEA2012 update'!$K$6:$R$104,MATCH($T98&amp;$R98,'AEA2012 update'!$A$6:$A$104&amp;'AEA2012 update'!$B$6:$B$104,0),MATCH(AI$16,'AEA2012 update'!$S$4:$Z$4,0)),INDEX('AEA2012 update'!$K$6:$R$104,MATCH($T98&amp;$U98,'AEA2012 update'!$A$6:$A$104&amp;'AEA2012 update'!$B$6:$B$104,0),MATCH(AI$16,'AEA2012 update'!$S$4:$Z$4,0)))</f>
        <v>915629.31066949805</v>
      </c>
      <c r="AJ98" s="1003" cm="1">
        <f t="array" ref="AJ98">IF(AC98,INDEX('AEA2012 update'!$K$6:$R$104,MATCH($T98&amp;$R98,'AEA2012 update'!$A$6:$A$104&amp;'AEA2012 update'!$B$6:$B$104,0),MATCH(AJ$16,'AEA2012 update'!$S$4:$Z$4,0)),INDEX('AEA2012 update'!$K$6:$R$104,MATCH($T98&amp;$U98,'AEA2012 update'!$A$6:$A$104&amp;'AEA2012 update'!$B$6:$B$104,0),MATCH(AJ$16,'AEA2012 update'!$S$4:$Z$4,0)))</f>
        <v>945215.87798179325</v>
      </c>
      <c r="AK98" s="1003" t="str">
        <f t="shared" si="33"/>
        <v>CV6ODS</v>
      </c>
      <c r="AL98" s="1004">
        <f>1/INDEX(Analytica!$AA$17:$AE$48,MATCH($AK98,Analytica!$A$17:$A$48,0),MATCH(AL$16,Analytica!$AA$16:$AE$16,0))</f>
        <v>15.351533031153163</v>
      </c>
      <c r="AM98" s="1004">
        <f t="array" ref="AM98">IF($AE$1,AL98*(1+INDEX(AM$1:AM$2,MATCH($O98,$AI$1:$AI$2,0)))^(AM$16-AL$16),INDEX('AEA2012 update'!$AC$6:$AG$104,MATCH($T98&amp;$U98,'AEA2012 update'!$A$6:$A$104&amp;'AEA2012 update'!$B$6:$B$104,0),MATCH(AM$16,'AEA2012 update'!$AC$4:$AG$4,0)))</f>
        <v>15.305524471307264</v>
      </c>
      <c r="AN98" s="1004">
        <f t="array" ref="AN98">IF($AE$1,AM98*(1+INDEX(AN$1:AN$2,MATCH($O98,$AI$1:$AI$2,0)))^(AN$16-AM$16),INDEX('AEA2012 update'!$AC$6:$AG$104,MATCH($T98&amp;$U98,'AEA2012 update'!$A$6:$A$104&amp;'AEA2012 update'!$B$6:$B$104,0),MATCH(AN$16,'AEA2012 update'!$AC$4:$AG$4,0)))</f>
        <v>14.484252617610334</v>
      </c>
      <c r="AO98" s="1004">
        <f t="array" ref="AO98">IF($AE$1,AN98*(1+INDEX(AO$1:AO$2,MATCH($O98,$AI$1:$AI$2,0)))^(AO$16-AN$16),INDEX('AEA2012 update'!$AC$6:$AG$104,MATCH($T98&amp;$U98,'AEA2012 update'!$A$6:$A$104&amp;'AEA2012 update'!$B$6:$B$104,0),MATCH(AO$16,'AEA2012 update'!$AC$4:$AG$4,0)))</f>
        <v>13.099298437266139</v>
      </c>
      <c r="AP98" s="1004">
        <f t="array" ref="AP98">IF($AE$1,AO98*(1+INDEX(AP$1:AP$2,MATCH($O98,$AI$1:$AI$2,0)))^(AP$16-AO$16),INDEX('AEA2012 update'!$AC$6:$AG$104,MATCH($T98&amp;$U98,'AEA2012 update'!$A$6:$A$104&amp;'AEA2012 update'!$B$6:$B$104,0),MATCH(AP$16,'AEA2012 update'!$AC$4:$AG$4,0)))</f>
        <v>11.846770701854338</v>
      </c>
      <c r="AQ98" s="67"/>
      <c r="AR98" s="257">
        <f t="shared" si="31"/>
        <v>-9.9900033333335169E-4</v>
      </c>
      <c r="AS98" s="257">
        <f t="shared" si="32"/>
        <v>-7.5326913841620435E-3</v>
      </c>
      <c r="AY98" s="61" t="str">
        <f t="shared" si="23"/>
        <v>HCV6-ODS</v>
      </c>
      <c r="AZ98" s="80" t="e" cm="1">
        <f t="array" aca="1" ref="AZ98" ca="1">AL98/INDIRECT("cv."&amp;LEFT($U98,6)&amp;".hhv.MJL") * 100</f>
        <v>#REF!</v>
      </c>
      <c r="BA98" s="80" t="e" cm="1">
        <f t="array" aca="1" ref="BA98" ca="1">AM98/INDIRECT("cv."&amp;LEFT($U98,6)&amp;".hhv.MJL") * 100</f>
        <v>#REF!</v>
      </c>
      <c r="BB98" s="80" t="e" cm="1">
        <f t="array" aca="1" ref="BB98" ca="1">AN98/INDIRECT("cv."&amp;LEFT($U98,6)&amp;".hhv.MJL") * 100</f>
        <v>#REF!</v>
      </c>
      <c r="BC98" s="80" t="e" cm="1">
        <f t="array" aca="1" ref="BC98" ca="1">AO98/INDIRECT("cv."&amp;LEFT($U98,6)&amp;".hhv.MJL") * 100</f>
        <v>#REF!</v>
      </c>
      <c r="BD98" s="80" t="e" cm="1">
        <f t="array" aca="1" ref="BD98" ca="1">AP98/INDIRECT("cv."&amp;LEFT($U98,6)&amp;".hhv.MJL") * 100</f>
        <v>#REF!</v>
      </c>
    </row>
    <row r="99" spans="1:59" s="924" customFormat="1" x14ac:dyDescent="0.25">
      <c r="A99" s="924" t="s">
        <v>251</v>
      </c>
      <c r="C99" s="925">
        <f>C83/$C$82</f>
        <v>2.0626933459379777</v>
      </c>
      <c r="D99" s="926">
        <f t="shared" ref="D99" si="36">C99*$D$58</f>
        <v>32237.834303664655</v>
      </c>
      <c r="N99" s="924" t="s">
        <v>501</v>
      </c>
      <c r="O99" s="924" t="s">
        <v>653</v>
      </c>
      <c r="P99" s="924" t="s">
        <v>741</v>
      </c>
      <c r="Q99" s="924" t="str">
        <f t="shared" ref="Q99" si="37">RIGHT(P99,3)</f>
        <v>CV6</v>
      </c>
      <c r="R99" s="924" t="s">
        <v>687</v>
      </c>
      <c r="S99" s="927"/>
      <c r="T99" s="997" t="s">
        <v>735</v>
      </c>
      <c r="U99" s="998" t="s">
        <v>692</v>
      </c>
      <c r="V99" s="999">
        <v>2050</v>
      </c>
      <c r="W99" s="1000">
        <f t="shared" si="22"/>
        <v>0</v>
      </c>
      <c r="X99" s="1001">
        <f t="shared" si="22"/>
        <v>0</v>
      </c>
      <c r="Y99" s="1001">
        <f t="shared" si="22"/>
        <v>0</v>
      </c>
      <c r="Z99" s="1001">
        <f t="shared" si="22"/>
        <v>0</v>
      </c>
      <c r="AA99" s="1001">
        <f t="shared" si="22"/>
        <v>0</v>
      </c>
      <c r="AB99" s="1001">
        <f t="shared" si="22"/>
        <v>0</v>
      </c>
      <c r="AC99" s="1002">
        <f t="shared" si="22"/>
        <v>1</v>
      </c>
      <c r="AD99" s="1003" cm="1">
        <f t="array" ref="AD99">IF(W99,INDEX('AEA2012 update'!$K$6:$R$104,MATCH($T99&amp;$R99,'AEA2012 update'!$A$6:$A$104&amp;'AEA2012 update'!$B$6:$B$104,0),MATCH(AD$16,'AEA2012 update'!$S$4:$Z$4,0)),INDEX('AEA2012 update'!$K$6:$R$104,MATCH($T99&amp;$U99,'AEA2012 update'!$A$6:$A$104&amp;'AEA2012 update'!$B$6:$B$104,0),MATCH(AD$16,'AEA2012 update'!$S$4:$Z$4,0)))</f>
        <v>3566821.7975551309</v>
      </c>
      <c r="AE99" s="1003" cm="1">
        <f t="array" ref="AE99">IF(X99,INDEX('AEA2012 update'!$K$6:$R$104,MATCH($T99&amp;$R99,'AEA2012 update'!$A$6:$A$104&amp;'AEA2012 update'!$B$6:$B$104,0),MATCH(AE$16,'AEA2012 update'!$S$4:$Z$4,0)),INDEX('AEA2012 update'!$K$6:$R$104,MATCH($T99&amp;$U99,'AEA2012 update'!$A$6:$A$104&amp;'AEA2012 update'!$B$6:$B$104,0),MATCH(AE$16,'AEA2012 update'!$S$4:$Z$4,0)))</f>
        <v>2719661.6032872326</v>
      </c>
      <c r="AF99" s="1003" cm="1">
        <f t="array" ref="AF99">IF(Y99,INDEX('AEA2012 update'!$K$6:$R$104,MATCH($T99&amp;$R99,'AEA2012 update'!$A$6:$A$104&amp;'AEA2012 update'!$B$6:$B$104,0),MATCH(AF$16,'AEA2012 update'!$S$4:$Z$4,0)),INDEX('AEA2012 update'!$K$6:$R$104,MATCH($T99&amp;$U99,'AEA2012 update'!$A$6:$A$104&amp;'AEA2012 update'!$B$6:$B$104,0),MATCH(AF$16,'AEA2012 update'!$S$4:$Z$4,0)))</f>
        <v>1903763.1223010626</v>
      </c>
      <c r="AG99" s="1003" cm="1">
        <f t="array" ref="AG99">IF(Z99,INDEX('AEA2012 update'!$K$6:$R$104,MATCH($T99&amp;$R99,'AEA2012 update'!$A$6:$A$104&amp;'AEA2012 update'!$B$6:$B$104,0),MATCH(AG$16,'AEA2012 update'!$S$4:$Z$4,0)),INDEX('AEA2012 update'!$K$6:$R$104,MATCH($T99&amp;$U99,'AEA2012 update'!$A$6:$A$104&amp;'AEA2012 update'!$B$6:$B$104,0),MATCH(AG$16,'AEA2012 update'!$S$4:$Z$4,0)))</f>
        <v>1631796.9619723395</v>
      </c>
      <c r="AH99" s="1003" cm="1">
        <f t="array" ref="AH99">IF(AA99,INDEX('AEA2012 update'!$K$6:$R$104,MATCH($T99&amp;$R99,'AEA2012 update'!$A$6:$A$104&amp;'AEA2012 update'!$B$6:$B$104,0),MATCH(AH$16,'AEA2012 update'!$S$4:$Z$4,0)),INDEX('AEA2012 update'!$K$6:$R$104,MATCH($T99&amp;$U99,'AEA2012 update'!$A$6:$A$104&amp;'AEA2012 update'!$B$6:$B$104,0),MATCH(AH$16,'AEA2012 update'!$S$4:$Z$4,0)))</f>
        <v>1359830.8016436163</v>
      </c>
      <c r="AI99" s="1003" cm="1">
        <f t="array" ref="AI99">IF(AB99,INDEX('AEA2012 update'!$K$6:$R$104,MATCH($T99&amp;$R99,'AEA2012 update'!$A$6:$A$104&amp;'AEA2012 update'!$B$6:$B$104,0),MATCH(AI$16,'AEA2012 update'!$S$4:$Z$4,0)),INDEX('AEA2012 update'!$K$6:$R$104,MATCH($T99&amp;$U99,'AEA2012 update'!$A$6:$A$104&amp;'AEA2012 update'!$B$6:$B$104,0),MATCH(AI$16,'AEA2012 update'!$S$4:$Z$4,0)))</f>
        <v>1269175.4148673753</v>
      </c>
      <c r="AJ99" s="1003" cm="1">
        <f t="array" ref="AJ99">IF(AC99,INDEX('AEA2012 update'!$K$6:$R$104,MATCH($T99&amp;$R99,'AEA2012 update'!$A$6:$A$104&amp;'AEA2012 update'!$B$6:$B$104,0),MATCH(AJ$16,'AEA2012 update'!$S$4:$Z$4,0)),INDEX('AEA2012 update'!$K$6:$R$104,MATCH($T99&amp;$U99,'AEA2012 update'!$A$6:$A$104&amp;'AEA2012 update'!$B$6:$B$104,0),MATCH(AJ$16,'AEA2012 update'!$S$4:$Z$4,0)))</f>
        <v>945215.87798179325</v>
      </c>
      <c r="AK99" s="1003" t="str">
        <f t="shared" ref="AK99" si="38">Q99&amp;N99</f>
        <v>CV6ELC</v>
      </c>
      <c r="AL99" s="1005">
        <f>$AL$84/$AL$83*AL98</f>
        <v>4.6885504108201097</v>
      </c>
      <c r="AM99" s="1005">
        <f t="array" ref="AM99">IF($AE$1,AL99*(1+INDEX(AM$1:AM$2,MATCH($O99,$AI$1:$AI$2,0)))^(AM$16-AL$16),INDEX('AEA2012 update'!$AC$6:$AG$104,MATCH($T99&amp;$U99,'AEA2012 update'!$A$6:$A$104&amp;'AEA2012 update'!$B$6:$B$104,0),MATCH(AM$16,'AEA2012 update'!$AC$4:$AG$4,0)))</f>
        <v>4.6744988205503315</v>
      </c>
      <c r="AN99" s="1005">
        <f t="array" ref="AN99">IF($AE$1,AM99*(1+INDEX(AN$1:AN$2,MATCH($O99,$AI$1:$AI$2,0)))^(AN$16-AM$16),INDEX('AEA2012 update'!$AC$6:$AG$104,MATCH($T99&amp;$U99,'AEA2012 update'!$A$6:$A$104&amp;'AEA2012 update'!$B$6:$B$104,0),MATCH(AN$16,'AEA2012 update'!$AC$4:$AG$4,0)))</f>
        <v>4.4236721129354191</v>
      </c>
      <c r="AO99" s="1005">
        <f t="array" ref="AO99">IF($AE$1,AN99*(1+INDEX(AO$1:AO$2,MATCH($O99,$AI$1:$AI$2,0)))^(AO$16-AN$16),INDEX('AEA2012 update'!$AC$6:$AG$104,MATCH($T99&amp;$U99,'AEA2012 update'!$A$6:$A$104&amp;'AEA2012 update'!$B$6:$B$104,0),MATCH(AO$16,'AEA2012 update'!$AC$4:$AG$4,0)))</f>
        <v>4.0006897646551156</v>
      </c>
      <c r="AP99" s="1005">
        <f t="array" ref="AP99">IF($AE$1,AO99*(1+INDEX(AP$1:AP$2,MATCH($O99,$AI$1:$AI$2,0)))^(AP$16-AO$16),INDEX('AEA2012 update'!$AC$6:$AG$104,MATCH($T99&amp;$U99,'AEA2012 update'!$A$6:$A$104&amp;'AEA2012 update'!$B$6:$B$104,0),MATCH(AP$16,'AEA2012 update'!$AC$4:$AG$4,0)))</f>
        <v>3.6181521108252785</v>
      </c>
      <c r="AQ99" s="934"/>
      <c r="AR99" s="935">
        <f t="shared" ref="AR99" si="39">-((AL99-AM99)/($AM$16-$AL$16))/AL99</f>
        <v>-9.9900033333332784E-4</v>
      </c>
      <c r="AS99" s="935">
        <f t="shared" ref="AS99" si="40">-((AM99-AP99)/($AP$16-$AM$16))/AM99</f>
        <v>-7.5326913841620401E-3</v>
      </c>
      <c r="AY99" s="924" t="str">
        <f t="shared" si="23"/>
        <v>HCV6-ELC</v>
      </c>
      <c r="AZ99" s="936" t="e" cm="1">
        <f t="array" aca="1" ref="AZ99" ca="1">AL99/INDIRECT("cv."&amp;LEFT($U99,6)&amp;".hhv.MJL") * 100</f>
        <v>#REF!</v>
      </c>
      <c r="BA99" s="936" t="e" cm="1">
        <f t="array" aca="1" ref="BA99" ca="1">AM99/INDIRECT("cv."&amp;LEFT($U99,6)&amp;".hhv.MJL") * 100</f>
        <v>#REF!</v>
      </c>
      <c r="BB99" s="936" t="e" cm="1">
        <f t="array" aca="1" ref="BB99" ca="1">AN99/INDIRECT("cv."&amp;LEFT($U99,6)&amp;".hhv.MJL") * 100</f>
        <v>#REF!</v>
      </c>
      <c r="BC99" s="936" t="e" cm="1">
        <f t="array" aca="1" ref="BC99" ca="1">AO99/INDIRECT("cv."&amp;LEFT($U99,6)&amp;".hhv.MJL") * 100</f>
        <v>#REF!</v>
      </c>
      <c r="BD99" s="936" t="e" cm="1">
        <f t="array" aca="1" ref="BD99" ca="1">AP99/INDIRECT("cv."&amp;LEFT($U99,6)&amp;".hhv.MJL") * 100</f>
        <v>#REF!</v>
      </c>
    </row>
    <row r="100" spans="1:59" x14ac:dyDescent="0.25">
      <c r="A100"/>
      <c r="B100" t="s">
        <v>742</v>
      </c>
      <c r="C100" t="s">
        <v>742</v>
      </c>
      <c r="D100" t="s">
        <v>743</v>
      </c>
      <c r="E100" t="s">
        <v>743</v>
      </c>
      <c r="F100"/>
      <c r="G100" t="s">
        <v>744</v>
      </c>
      <c r="H100" t="s">
        <v>744</v>
      </c>
      <c r="I100"/>
      <c r="J100" t="s">
        <v>744</v>
      </c>
      <c r="N100" s="61" t="s">
        <v>504</v>
      </c>
      <c r="O100" s="61" t="s">
        <v>653</v>
      </c>
      <c r="P100" s="61" t="s">
        <v>741</v>
      </c>
      <c r="Q100" s="61" t="str">
        <f t="shared" si="30"/>
        <v>CV6</v>
      </c>
      <c r="R100" s="61" t="s">
        <v>687</v>
      </c>
      <c r="S100" s="65"/>
      <c r="T100" s="256" t="s">
        <v>735</v>
      </c>
      <c r="U100" s="913" t="s">
        <v>699</v>
      </c>
      <c r="V100" s="921">
        <v>2050</v>
      </c>
      <c r="W100" s="914">
        <f t="shared" si="22"/>
        <v>0</v>
      </c>
      <c r="X100" s="915">
        <f t="shared" si="22"/>
        <v>0</v>
      </c>
      <c r="Y100" s="915">
        <f t="shared" si="22"/>
        <v>0</v>
      </c>
      <c r="Z100" s="915">
        <f t="shared" si="22"/>
        <v>0</v>
      </c>
      <c r="AA100" s="915">
        <f t="shared" si="22"/>
        <v>0</v>
      </c>
      <c r="AB100" s="915">
        <f t="shared" si="22"/>
        <v>0</v>
      </c>
      <c r="AC100" s="916">
        <f t="shared" si="22"/>
        <v>1</v>
      </c>
      <c r="AD100" s="103" cm="1">
        <f t="array" ref="AD100">IF(W100,INDEX('AEA2012 update'!$K$6:$R$104,MATCH($T100&amp;$R100,'AEA2012 update'!$A$6:$A$104&amp;'AEA2012 update'!$B$6:$B$104,0),MATCH(AD$16,'AEA2012 update'!$S$4:$Z$4,0)),INDEX('AEA2012 update'!$K$6:$R$104,MATCH($T100&amp;$U100,'AEA2012 update'!$A$6:$A$104&amp;'AEA2012 update'!$B$6:$B$104,0),MATCH(AD$16,'AEA2012 update'!$S$4:$Z$4,0)))</f>
        <v>4181375.5668412126</v>
      </c>
      <c r="AE100" s="103" cm="1">
        <f t="array" ref="AE100">IF(X100,INDEX('AEA2012 update'!$K$6:$R$104,MATCH($T100&amp;$R100,'AEA2012 update'!$A$6:$A$104&amp;'AEA2012 update'!$B$6:$B$104,0),MATCH(AE$16,'AEA2012 update'!$S$4:$Z$4,0)),INDEX('AEA2012 update'!$K$6:$R$104,MATCH($T100&amp;$U100,'AEA2012 update'!$A$6:$A$104&amp;'AEA2012 update'!$B$6:$B$104,0),MATCH(AE$16,'AEA2012 update'!$S$4:$Z$4,0)))</f>
        <v>1813107.7355248218</v>
      </c>
      <c r="AF100" s="103" cm="1">
        <f t="array" ref="AF100">IF(Y100,INDEX('AEA2012 update'!$K$6:$R$104,MATCH($T100&amp;$R100,'AEA2012 update'!$A$6:$A$104&amp;'AEA2012 update'!$B$6:$B$104,0),MATCH(AF$16,'AEA2012 update'!$S$4:$Z$4,0)),INDEX('AEA2012 update'!$K$6:$R$104,MATCH($T100&amp;$U100,'AEA2012 update'!$A$6:$A$104&amp;'AEA2012 update'!$B$6:$B$104,0),MATCH(AF$16,'AEA2012 update'!$S$4:$Z$4,0)))</f>
        <v>1437160.6416999607</v>
      </c>
      <c r="AG100" s="103" cm="1">
        <f t="array" ref="AG100">IF(Z100,INDEX('AEA2012 update'!$K$6:$R$104,MATCH($T100&amp;$R100,'AEA2012 update'!$A$6:$A$104&amp;'AEA2012 update'!$B$6:$B$104,0),MATCH(AG$16,'AEA2012 update'!$S$4:$Z$4,0)),INDEX('AEA2012 update'!$K$6:$R$104,MATCH($T100&amp;$U100,'AEA2012 update'!$A$6:$A$104&amp;'AEA2012 update'!$B$6:$B$104,0),MATCH(AG$16,'AEA2012 update'!$S$4:$Z$4,0)))</f>
        <v>1061213.5478750996</v>
      </c>
      <c r="AH100" s="103" cm="1">
        <f t="array" ref="AH100">IF(AA100,INDEX('AEA2012 update'!$K$6:$R$104,MATCH($T100&amp;$R100,'AEA2012 update'!$A$6:$A$104&amp;'AEA2012 update'!$B$6:$B$104,0),MATCH(AH$16,'AEA2012 update'!$S$4:$Z$4,0)),INDEX('AEA2012 update'!$K$6:$R$104,MATCH($T100&amp;$U100,'AEA2012 update'!$A$6:$A$104&amp;'AEA2012 update'!$B$6:$B$104,0),MATCH(AH$16,'AEA2012 update'!$S$4:$Z$4,0)))</f>
        <v>1011982.5087271776</v>
      </c>
      <c r="AI100" s="103" cm="1">
        <f t="array" ref="AI100">IF(AB100,INDEX('AEA2012 update'!$K$6:$R$104,MATCH($T100&amp;$R100,'AEA2012 update'!$A$6:$A$104&amp;'AEA2012 update'!$B$6:$B$104,0),MATCH(AI$16,'AEA2012 update'!$S$4:$Z$4,0)),INDEX('AEA2012 update'!$K$6:$R$104,MATCH($T100&amp;$U100,'AEA2012 update'!$A$6:$A$104&amp;'AEA2012 update'!$B$6:$B$104,0),MATCH(AI$16,'AEA2012 update'!$S$4:$Z$4,0)))</f>
        <v>962751.46957925544</v>
      </c>
      <c r="AJ100" s="103" cm="1">
        <f t="array" ref="AJ100">IF(AC100,INDEX('AEA2012 update'!$K$6:$R$104,MATCH($T100&amp;$R100,'AEA2012 update'!$A$6:$A$104&amp;'AEA2012 update'!$B$6:$B$104,0),MATCH(AJ$16,'AEA2012 update'!$S$4:$Z$4,0)),INDEX('AEA2012 update'!$K$6:$R$104,MATCH($T100&amp;$U100,'AEA2012 update'!$A$6:$A$104&amp;'AEA2012 update'!$B$6:$B$104,0),MATCH(AJ$16,'AEA2012 update'!$S$4:$Z$4,0)))</f>
        <v>945215.87798179325</v>
      </c>
      <c r="AK100" s="103" t="str">
        <f t="shared" si="33"/>
        <v>CV6HGN</v>
      </c>
      <c r="AL100" s="67">
        <f>INDEX('Vehicle data '!$AD$20:$AD$110,MATCH($AK100,'Vehicle data '!$AC$20:$AC$110,0))/INDEX('Vehicle data '!$AD$20:$AD$110,MATCH($AK$98,'Vehicle data '!$AC$20:$AC$110,0))*AL$98</f>
        <v>7.2765455442373499</v>
      </c>
      <c r="AM100" s="67">
        <f t="array" ref="AM100">IF($AE$1,AL100*(1+INDEX(AM$1:AM$2,MATCH($O100,$AI$1:$AI$2,0)))^(AM$16-AL$16),INDEX('AEA2012 update'!$AC$6:$AG$104,MATCH($T100&amp;$U100,'AEA2012 update'!$A$6:$A$104&amp;'AEA2012 update'!$B$6:$B$104,0),MATCH(AM$16,'AEA2012 update'!$AC$4:$AG$4,0)))</f>
        <v>7.2547377299647247</v>
      </c>
      <c r="AN100" s="67">
        <f t="array" ref="AN100">IF($AE$1,AM100*(1+INDEX(AN$1:AN$2,MATCH($O100,$AI$1:$AI$2,0)))^(AN$16-AM$16),INDEX('AEA2012 update'!$AC$6:$AG$104,MATCH($T100&amp;$U100,'AEA2012 update'!$A$6:$A$104&amp;'AEA2012 update'!$B$6:$B$104,0),MATCH(AN$16,'AEA2012 update'!$AC$4:$AG$4,0)))</f>
        <v>6.865459210646903</v>
      </c>
      <c r="AO100" s="67">
        <f t="array" ref="AO100">IF($AE$1,AN100*(1+INDEX(AO$1:AO$2,MATCH($O100,$AI$1:$AI$2,0)))^(AO$16-AN$16),INDEX('AEA2012 update'!$AC$6:$AG$104,MATCH($T100&amp;$U100,'AEA2012 update'!$A$6:$A$104&amp;'AEA2012 update'!$B$6:$B$104,0),MATCH(AO$16,'AEA2012 update'!$AC$4:$AG$4,0)))</f>
        <v>6.2089982468131542</v>
      </c>
      <c r="AP100" s="67">
        <f t="array" ref="AP100">IF($AE$1,AO100*(1+INDEX(AP$1:AP$2,MATCH($O100,$AI$1:$AI$2,0)))^(AP$16-AO$16),INDEX('AEA2012 update'!$AC$6:$AG$104,MATCH($T100&amp;$U100,'AEA2012 update'!$A$6:$A$104&amp;'AEA2012 update'!$B$6:$B$104,0),MATCH(AP$16,'AEA2012 update'!$AC$4:$AG$4,0)))</f>
        <v>5.6153067181789087</v>
      </c>
      <c r="AQ100" s="67"/>
      <c r="AR100" s="257">
        <f t="shared" si="31"/>
        <v>-9.9900033333334953E-4</v>
      </c>
      <c r="AS100" s="257">
        <f t="shared" si="32"/>
        <v>-7.5326913841620357E-3</v>
      </c>
      <c r="AY100" s="61" t="str">
        <f t="shared" si="23"/>
        <v>HCV6-HGN</v>
      </c>
      <c r="AZ100" s="80" t="e" cm="1">
        <f t="array" aca="1" ref="AZ100" ca="1">AL100/INDIRECT("cv."&amp;LEFT($U100,6)&amp;".hhv.MJL") * 100</f>
        <v>#REF!</v>
      </c>
      <c r="BA100" s="80" t="e" cm="1">
        <f t="array" aca="1" ref="BA100" ca="1">AM100/INDIRECT("cv."&amp;LEFT($U100,6)&amp;".hhv.MJL") * 100</f>
        <v>#REF!</v>
      </c>
      <c r="BB100" s="80" t="e" cm="1">
        <f t="array" aca="1" ref="BB100" ca="1">AN100/INDIRECT("cv."&amp;LEFT($U100,6)&amp;".hhv.MJL") * 100</f>
        <v>#REF!</v>
      </c>
      <c r="BC100" s="80" t="e" cm="1">
        <f t="array" aca="1" ref="BC100" ca="1">AO100/INDIRECT("cv."&amp;LEFT($U100,6)&amp;".hhv.MJL") * 100</f>
        <v>#REF!</v>
      </c>
      <c r="BD100" s="80" t="e" cm="1">
        <f t="array" aca="1" ref="BD100" ca="1">AP100/INDIRECT("cv."&amp;LEFT($U100,6)&amp;".hhv.MJL") * 100</f>
        <v>#REF!</v>
      </c>
    </row>
    <row r="101" spans="1:59" x14ac:dyDescent="0.25">
      <c r="A101" t="s">
        <v>745</v>
      </c>
      <c r="B101" s="67">
        <v>13</v>
      </c>
      <c r="C101">
        <v>34278</v>
      </c>
      <c r="D101" s="67">
        <v>15</v>
      </c>
      <c r="E101">
        <v>43323</v>
      </c>
      <c r="F101"/>
      <c r="G101" s="67">
        <f>B101/D101</f>
        <v>0.8666666666666667</v>
      </c>
      <c r="H101" s="67">
        <f>C101/E101</f>
        <v>0.79121944463679805</v>
      </c>
      <c r="I101"/>
      <c r="J101" s="63">
        <v>-0.12</v>
      </c>
      <c r="N101" s="61" t="s">
        <v>509</v>
      </c>
      <c r="O101" s="61" t="s">
        <v>653</v>
      </c>
      <c r="P101" s="61" t="s">
        <v>741</v>
      </c>
      <c r="Q101" s="61" t="str">
        <f t="shared" si="30"/>
        <v>CV6</v>
      </c>
      <c r="R101" s="61" t="s">
        <v>687</v>
      </c>
      <c r="S101" s="65"/>
      <c r="T101" s="256" t="s">
        <v>735</v>
      </c>
      <c r="U101" s="913" t="s">
        <v>700</v>
      </c>
      <c r="V101" s="921"/>
      <c r="W101" s="914">
        <f t="shared" si="22"/>
        <v>0</v>
      </c>
      <c r="X101" s="915">
        <f t="shared" si="22"/>
        <v>0</v>
      </c>
      <c r="Y101" s="915">
        <f t="shared" si="22"/>
        <v>0</v>
      </c>
      <c r="Z101" s="915">
        <f t="shared" si="22"/>
        <v>0</v>
      </c>
      <c r="AA101" s="915">
        <f t="shared" si="22"/>
        <v>0</v>
      </c>
      <c r="AB101" s="915">
        <f t="shared" si="22"/>
        <v>0</v>
      </c>
      <c r="AC101" s="916">
        <f t="shared" si="22"/>
        <v>0</v>
      </c>
      <c r="AD101" s="103" cm="1">
        <f t="array" ref="AD101">IF(W101,INDEX('AEA2012 update'!$K$6:$R$104,MATCH($T101&amp;$R101,'AEA2012 update'!$A$6:$A$104&amp;'AEA2012 update'!$B$6:$B$104,0),MATCH(AD$16,'AEA2012 update'!$S$4:$Z$4,0)),INDEX('AEA2012 update'!$K$6:$R$104,MATCH($T101&amp;$U101,'AEA2012 update'!$A$6:$A$104&amp;'AEA2012 update'!$B$6:$B$104,0),MATCH(AD$16,'AEA2012 update'!$S$4:$Z$4,0)))</f>
        <v>935580.03017164103</v>
      </c>
      <c r="AE101" s="103" cm="1">
        <f t="array" ref="AE101">IF(X101,INDEX('AEA2012 update'!$K$6:$R$104,MATCH($T101&amp;$R101,'AEA2012 update'!$A$6:$A$104&amp;'AEA2012 update'!$B$6:$B$104,0),MATCH(AE$16,'AEA2012 update'!$S$4:$Z$4,0)),INDEX('AEA2012 update'!$K$6:$R$104,MATCH($T101&amp;$U101,'AEA2012 update'!$A$6:$A$104&amp;'AEA2012 update'!$B$6:$B$104,0),MATCH(AE$16,'AEA2012 update'!$S$4:$Z$4,0)))</f>
        <v>955910.20610261254</v>
      </c>
      <c r="AF101" s="103" cm="1">
        <f t="array" ref="AF101">IF(Y101,INDEX('AEA2012 update'!$K$6:$R$104,MATCH($T101&amp;$R101,'AEA2012 update'!$A$6:$A$104&amp;'AEA2012 update'!$B$6:$B$104,0),MATCH(AF$16,'AEA2012 update'!$S$4:$Z$4,0)),INDEX('AEA2012 update'!$K$6:$R$104,MATCH($T101&amp;$U101,'AEA2012 update'!$A$6:$A$104&amp;'AEA2012 update'!$B$6:$B$104,0),MATCH(AF$16,'AEA2012 update'!$S$4:$Z$4,0)))</f>
        <v>961413.7558443757</v>
      </c>
      <c r="AG101" s="103" cm="1">
        <f t="array" ref="AG101">IF(Z101,INDEX('AEA2012 update'!$K$6:$R$104,MATCH($T101&amp;$R101,'AEA2012 update'!$A$6:$A$104&amp;'AEA2012 update'!$B$6:$B$104,0),MATCH(AG$16,'AEA2012 update'!$S$4:$Z$4,0)),INDEX('AEA2012 update'!$K$6:$R$104,MATCH($T101&amp;$U101,'AEA2012 update'!$A$6:$A$104&amp;'AEA2012 update'!$B$6:$B$104,0),MATCH(AG$16,'AEA2012 update'!$S$4:$Z$4,0)))</f>
        <v>966917.30558613921</v>
      </c>
      <c r="AH101" s="103" cm="1">
        <f t="array" ref="AH101">IF(AA101,INDEX('AEA2012 update'!$K$6:$R$104,MATCH($T101&amp;$R101,'AEA2012 update'!$A$6:$A$104&amp;'AEA2012 update'!$B$6:$B$104,0),MATCH(AH$16,'AEA2012 update'!$S$4:$Z$4,0)),INDEX('AEA2012 update'!$K$6:$R$104,MATCH($T101&amp;$U101,'AEA2012 update'!$A$6:$A$104&amp;'AEA2012 update'!$B$6:$B$104,0),MATCH(AH$16,'AEA2012 update'!$S$4:$Z$4,0)))</f>
        <v>974635.68364717788</v>
      </c>
      <c r="AI101" s="103" cm="1">
        <f t="array" ref="AI101">IF(AB101,INDEX('AEA2012 update'!$K$6:$R$104,MATCH($T101&amp;$R101,'AEA2012 update'!$A$6:$A$104&amp;'AEA2012 update'!$B$6:$B$104,0),MATCH(AI$16,'AEA2012 update'!$S$4:$Z$4,0)),INDEX('AEA2012 update'!$K$6:$R$104,MATCH($T101&amp;$U101,'AEA2012 update'!$A$6:$A$104&amp;'AEA2012 update'!$B$6:$B$104,0),MATCH(AI$16,'AEA2012 update'!$S$4:$Z$4,0)))</f>
        <v>982354.06170821632</v>
      </c>
      <c r="AJ101" s="103" cm="1">
        <f t="array" ref="AJ101">IF(AC101,INDEX('AEA2012 update'!$K$6:$R$104,MATCH($T101&amp;$R101,'AEA2012 update'!$A$6:$A$104&amp;'AEA2012 update'!$B$6:$B$104,0),MATCH(AJ$16,'AEA2012 update'!$S$4:$Z$4,0)),INDEX('AEA2012 update'!$K$6:$R$104,MATCH($T101&amp;$U101,'AEA2012 update'!$A$6:$A$104&amp;'AEA2012 update'!$B$6:$B$104,0),MATCH(AJ$16,'AEA2012 update'!$S$4:$Z$4,0)))</f>
        <v>999536.2229329109</v>
      </c>
      <c r="AK101" s="103" t="str">
        <f t="shared" si="33"/>
        <v>CV6GAS</v>
      </c>
      <c r="AL101" s="67">
        <f>INDEX('Vehicle data '!$AD$20:$AD$110,MATCH($AK101,'Vehicle data '!$AC$20:$AC$110,0))/INDEX('Vehicle data '!$AD$20:$AD$110,MATCH($AK$98,'Vehicle data '!$AC$20:$AC$110,0))*AL$98</f>
        <v>17.654262985826136</v>
      </c>
      <c r="AM101" s="67">
        <f t="array" ref="AM101">IF($AE$1,AL101*(1+INDEX(AM$1:AM$2,MATCH($O101,$AI$1:$AI$2,0)))^(AM$16-AL$16),INDEX('AEA2012 update'!$AC$6:$AG$104,MATCH($T101&amp;$U101,'AEA2012 update'!$A$6:$A$104&amp;'AEA2012 update'!$B$6:$B$104,0),MATCH(AM$16,'AEA2012 update'!$AC$4:$AG$4,0)))</f>
        <v>17.601353142003351</v>
      </c>
      <c r="AN101" s="67">
        <f t="array" ref="AN101">IF($AE$1,AM101*(1+INDEX(AN$1:AN$2,MATCH($O101,$AI$1:$AI$2,0)))^(AN$16-AM$16),INDEX('AEA2012 update'!$AC$6:$AG$104,MATCH($T101&amp;$U101,'AEA2012 update'!$A$6:$A$104&amp;'AEA2012 update'!$B$6:$B$104,0),MATCH(AN$16,'AEA2012 update'!$AC$4:$AG$4,0)))</f>
        <v>16.656890510251884</v>
      </c>
      <c r="AO101" s="67">
        <f t="array" ref="AO101">IF($AE$1,AN101*(1+INDEX(AO$1:AO$2,MATCH($O101,$AI$1:$AI$2,0)))^(AO$16-AN$16),INDEX('AEA2012 update'!$AC$6:$AG$104,MATCH($T101&amp;$U101,'AEA2012 update'!$A$6:$A$104&amp;'AEA2012 update'!$B$6:$B$104,0),MATCH(AO$16,'AEA2012 update'!$AC$4:$AG$4,0)))</f>
        <v>15.06419320285606</v>
      </c>
      <c r="AP101" s="67">
        <f t="array" ref="AP101">IF($AE$1,AO101*(1+INDEX(AP$1:AP$2,MATCH($O101,$AI$1:$AI$2,0)))^(AP$16-AO$16),INDEX('AEA2012 update'!$AC$6:$AG$104,MATCH($T101&amp;$U101,'AEA2012 update'!$A$6:$A$104&amp;'AEA2012 update'!$B$6:$B$104,0),MATCH(AP$16,'AEA2012 update'!$AC$4:$AG$4,0)))</f>
        <v>13.623786307132489</v>
      </c>
      <c r="AQ101" s="67"/>
      <c r="AR101" s="257">
        <f t="shared" si="31"/>
        <v>-9.9900033333336362E-4</v>
      </c>
      <c r="AS101" s="257">
        <f t="shared" si="32"/>
        <v>-7.5326913841620383E-3</v>
      </c>
      <c r="AY101" s="61" t="str">
        <f t="shared" si="23"/>
        <v>HCV6-GAS</v>
      </c>
      <c r="AZ101" s="80" t="e" cm="1">
        <f t="array" aca="1" ref="AZ101" ca="1">AL101/INDIRECT("cv."&amp;LEFT($U101,6)&amp;".hhv.MJL") * 100</f>
        <v>#REF!</v>
      </c>
      <c r="BA101" s="80" t="e" cm="1">
        <f t="array" aca="1" ref="BA101" ca="1">AM101/INDIRECT("cv."&amp;LEFT($U101,6)&amp;".hhv.MJL") * 100</f>
        <v>#REF!</v>
      </c>
      <c r="BB101" s="80" t="e" cm="1">
        <f t="array" aca="1" ref="BB101" ca="1">AN101/INDIRECT("cv."&amp;LEFT($U101,6)&amp;".hhv.MJL") * 100</f>
        <v>#REF!</v>
      </c>
      <c r="BC101" s="80" t="e" cm="1">
        <f t="array" aca="1" ref="BC101" ca="1">AO101/INDIRECT("cv."&amp;LEFT($U101,6)&amp;".hhv.MJL") * 100</f>
        <v>#REF!</v>
      </c>
      <c r="BD101" s="80" t="e" cm="1">
        <f t="array" aca="1" ref="BD101" ca="1">AP101/INDIRECT("cv."&amp;LEFT($U101,6)&amp;".hhv.MJL") * 100</f>
        <v>#REF!</v>
      </c>
    </row>
    <row r="102" spans="1:59" x14ac:dyDescent="0.25">
      <c r="A102"/>
      <c r="B102" s="67">
        <v>13</v>
      </c>
      <c r="C102">
        <v>36170</v>
      </c>
      <c r="D102" s="67">
        <v>15</v>
      </c>
      <c r="E102">
        <v>44700</v>
      </c>
      <c r="F102"/>
      <c r="G102" s="67">
        <f t="shared" ref="G102:H105" si="41">B102/D102</f>
        <v>0.8666666666666667</v>
      </c>
      <c r="H102" s="67">
        <f t="shared" si="41"/>
        <v>0.80917225950783001</v>
      </c>
      <c r="I102"/>
      <c r="J102" s="63">
        <v>-0.11</v>
      </c>
      <c r="O102" s="61" t="s">
        <v>653</v>
      </c>
      <c r="Q102" s="61" t="str">
        <f t="shared" si="30"/>
        <v/>
      </c>
      <c r="S102" s="65"/>
      <c r="T102" s="256"/>
      <c r="V102" s="921"/>
      <c r="W102" s="917">
        <f t="shared" si="22"/>
        <v>0</v>
      </c>
      <c r="X102" s="918">
        <f t="shared" si="22"/>
        <v>0</v>
      </c>
      <c r="Y102" s="918">
        <f t="shared" si="22"/>
        <v>0</v>
      </c>
      <c r="Z102" s="918">
        <f t="shared" si="22"/>
        <v>0</v>
      </c>
      <c r="AA102" s="918">
        <f t="shared" si="22"/>
        <v>0</v>
      </c>
      <c r="AB102" s="918">
        <f t="shared" si="22"/>
        <v>0</v>
      </c>
      <c r="AC102" s="919">
        <f t="shared" si="22"/>
        <v>0</v>
      </c>
      <c r="AD102" s="103" t="e" cm="1">
        <f t="array" ref="AD102">IF(W102,INDEX('AEA2012 update'!$K$6:$R$104,MATCH($T102&amp;$R102,'AEA2012 update'!$A$6:$A$104&amp;'AEA2012 update'!$B$6:$B$104,0),MATCH(AD$16,'AEA2012 update'!$S$4:$Z$4,0)),INDEX('AEA2012 update'!$K$6:$R$104,MATCH($T102&amp;$U102,'AEA2012 update'!$A$6:$A$104&amp;'AEA2012 update'!$B$6:$B$104,0),MATCH(AD$16,'AEA2012 update'!$S$4:$Z$4,0)))</f>
        <v>#N/A</v>
      </c>
      <c r="AE102" s="103" t="e" cm="1">
        <f t="array" ref="AE102">IF(X102,INDEX('AEA2012 update'!$K$6:$R$104,MATCH($T102&amp;$R102,'AEA2012 update'!$A$6:$A$104&amp;'AEA2012 update'!$B$6:$B$104,0),MATCH(AE$16,'AEA2012 update'!$S$4:$Z$4,0)),INDEX('AEA2012 update'!$K$6:$R$104,MATCH($T102&amp;$U102,'AEA2012 update'!$A$6:$A$104&amp;'AEA2012 update'!$B$6:$B$104,0),MATCH(AE$16,'AEA2012 update'!$S$4:$Z$4,0)))</f>
        <v>#N/A</v>
      </c>
      <c r="AF102" s="103" t="e" cm="1">
        <f t="array" ref="AF102">IF(Y102,INDEX('AEA2012 update'!$K$6:$R$104,MATCH($T102&amp;$R102,'AEA2012 update'!$A$6:$A$104&amp;'AEA2012 update'!$B$6:$B$104,0),MATCH(AF$16,'AEA2012 update'!$S$4:$Z$4,0)),INDEX('AEA2012 update'!$K$6:$R$104,MATCH($T102&amp;$U102,'AEA2012 update'!$A$6:$A$104&amp;'AEA2012 update'!$B$6:$B$104,0),MATCH(AF$16,'AEA2012 update'!$S$4:$Z$4,0)))</f>
        <v>#N/A</v>
      </c>
      <c r="AG102" s="103" t="e" cm="1">
        <f t="array" ref="AG102">IF(Z102,INDEX('AEA2012 update'!$K$6:$R$104,MATCH($T102&amp;$R102,'AEA2012 update'!$A$6:$A$104&amp;'AEA2012 update'!$B$6:$B$104,0),MATCH(AG$16,'AEA2012 update'!$S$4:$Z$4,0)),INDEX('AEA2012 update'!$K$6:$R$104,MATCH($T102&amp;$U102,'AEA2012 update'!$A$6:$A$104&amp;'AEA2012 update'!$B$6:$B$104,0),MATCH(AG$16,'AEA2012 update'!$S$4:$Z$4,0)))</f>
        <v>#N/A</v>
      </c>
      <c r="AH102" s="103" t="e" cm="1">
        <f t="array" ref="AH102">IF(AA102,INDEX('AEA2012 update'!$K$6:$R$104,MATCH($T102&amp;$R102,'AEA2012 update'!$A$6:$A$104&amp;'AEA2012 update'!$B$6:$B$104,0),MATCH(AH$16,'AEA2012 update'!$S$4:$Z$4,0)),INDEX('AEA2012 update'!$K$6:$R$104,MATCH($T102&amp;$U102,'AEA2012 update'!$A$6:$A$104&amp;'AEA2012 update'!$B$6:$B$104,0),MATCH(AH$16,'AEA2012 update'!$S$4:$Z$4,0)))</f>
        <v>#N/A</v>
      </c>
      <c r="AI102" s="103" t="e" cm="1">
        <f t="array" ref="AI102">IF(AB102,INDEX('AEA2012 update'!$K$6:$R$104,MATCH($T102&amp;$R102,'AEA2012 update'!$A$6:$A$104&amp;'AEA2012 update'!$B$6:$B$104,0),MATCH(AI$16,'AEA2012 update'!$S$4:$Z$4,0)),INDEX('AEA2012 update'!$K$6:$R$104,MATCH($T102&amp;$U102,'AEA2012 update'!$A$6:$A$104&amp;'AEA2012 update'!$B$6:$B$104,0),MATCH(AI$16,'AEA2012 update'!$S$4:$Z$4,0)))</f>
        <v>#N/A</v>
      </c>
      <c r="AJ102" s="103" t="e" cm="1">
        <f t="array" ref="AJ102">IF(AC102,INDEX('AEA2012 update'!$K$6:$R$104,MATCH($T102&amp;$R102,'AEA2012 update'!$A$6:$A$104&amp;'AEA2012 update'!$B$6:$B$104,0),MATCH(AJ$16,'AEA2012 update'!$S$4:$Z$4,0)),INDEX('AEA2012 update'!$K$6:$R$104,MATCH($T102&amp;$U102,'AEA2012 update'!$A$6:$A$104&amp;'AEA2012 update'!$B$6:$B$104,0),MATCH(AJ$16,'AEA2012 update'!$S$4:$Z$4,0)))</f>
        <v>#N/A</v>
      </c>
      <c r="AK102" s="103" t="str">
        <f t="shared" si="33"/>
        <v/>
      </c>
      <c r="AL102" s="67" t="e">
        <f>1/INDEX(Analytica!$AA$17:$AE$48,MATCH($AK102,Analytica!$A$17:$A$48,0),MATCH(AL$16,Analytica!$AA$16:$AE$16,0))</f>
        <v>#N/A</v>
      </c>
      <c r="AM102" s="67" t="e">
        <f t="array" ref="AM102">IF($AE$1,AL102*(1+INDEX(AM$1:AM$2,MATCH($O102,$AI$1:$AI$2,0)))^(AM$16-AL$16),INDEX('AEA2012 update'!$AC$6:$AG$104,MATCH($T102&amp;$U102,'AEA2012 update'!$A$6:$A$104&amp;'AEA2012 update'!$B$6:$B$104,0),MATCH(AM$16,'AEA2012 update'!$AC$4:$AG$4,0)))</f>
        <v>#N/A</v>
      </c>
      <c r="AN102" s="67" t="e">
        <f t="array" ref="AN102">IF($AE$1,AM102*(1+INDEX(AN$1:AN$2,MATCH($O102,$AI$1:$AI$2,0)))^(AN$16-AM$16),INDEX('AEA2012 update'!$AC$6:$AG$104,MATCH($T102&amp;$U102,'AEA2012 update'!$A$6:$A$104&amp;'AEA2012 update'!$B$6:$B$104,0),MATCH(AN$16,'AEA2012 update'!$AC$4:$AG$4,0)))</f>
        <v>#N/A</v>
      </c>
      <c r="AO102" s="67" t="e">
        <f t="array" ref="AO102">IF($AE$1,AN102*(1+INDEX(AO$1:AO$2,MATCH($O102,$AI$1:$AI$2,0)))^(AO$16-AN$16),INDEX('AEA2012 update'!$AC$6:$AG$104,MATCH($T102&amp;$U102,'AEA2012 update'!$A$6:$A$104&amp;'AEA2012 update'!$B$6:$B$104,0),MATCH(AO$16,'AEA2012 update'!$AC$4:$AG$4,0)))</f>
        <v>#N/A</v>
      </c>
      <c r="AP102" s="67" t="e">
        <f t="array" ref="AP102">IF($AE$1,AO102*(1+INDEX(AP$1:AP$2,MATCH($O102,$AI$1:$AI$2,0)))^(AP$16-AO$16),INDEX('AEA2012 update'!$AC$6:$AG$104,MATCH($T102&amp;$U102,'AEA2012 update'!$A$6:$A$104&amp;'AEA2012 update'!$B$6:$B$104,0),MATCH(AP$16,'AEA2012 update'!$AC$4:$AG$4,0)))</f>
        <v>#N/A</v>
      </c>
      <c r="AQ102" s="67"/>
      <c r="AR102" s="257" t="e">
        <f t="shared" si="31"/>
        <v>#N/A</v>
      </c>
      <c r="AS102" s="257" t="e">
        <f t="shared" si="32"/>
        <v>#N/A</v>
      </c>
      <c r="AY102" s="61" t="str">
        <f t="shared" si="23"/>
        <v>-</v>
      </c>
      <c r="AZ102" s="80" t="e" cm="1">
        <f t="array" aca="1" ref="AZ102" ca="1">AL102/INDIRECT("cv."&amp;LEFT($U102,6)&amp;".hhv.MJL") * 100</f>
        <v>#N/A</v>
      </c>
      <c r="BA102" s="80" t="e" cm="1">
        <f t="array" aca="1" ref="BA102" ca="1">AM102/INDIRECT("cv."&amp;LEFT($U102,6)&amp;".hhv.MJL") * 100</f>
        <v>#N/A</v>
      </c>
      <c r="BB102" s="80" t="e" cm="1">
        <f t="array" aca="1" ref="BB102" ca="1">AN102/INDIRECT("cv."&amp;LEFT($U102,6)&amp;".hhv.MJL") * 100</f>
        <v>#N/A</v>
      </c>
      <c r="BC102" s="80" t="e" cm="1">
        <f t="array" aca="1" ref="BC102" ca="1">AO102/INDIRECT("cv."&amp;LEFT($U102,6)&amp;".hhv.MJL") * 100</f>
        <v>#N/A</v>
      </c>
      <c r="BD102" s="80" t="e" cm="1">
        <f t="array" aca="1" ref="BD102" ca="1">AP102/INDIRECT("cv."&amp;LEFT($U102,6)&amp;".hhv.MJL") * 100</f>
        <v>#N/A</v>
      </c>
    </row>
    <row r="103" spans="1:59" x14ac:dyDescent="0.25">
      <c r="A103"/>
      <c r="B103" s="67">
        <v>12</v>
      </c>
      <c r="C103">
        <v>34132</v>
      </c>
      <c r="D103" s="67">
        <v>14</v>
      </c>
      <c r="E103">
        <v>45139</v>
      </c>
      <c r="F103"/>
      <c r="G103" s="67">
        <f t="shared" si="41"/>
        <v>0.8571428571428571</v>
      </c>
      <c r="H103" s="67">
        <f t="shared" si="41"/>
        <v>0.75615321562285387</v>
      </c>
      <c r="I103"/>
      <c r="J103" s="63">
        <v>-0.05</v>
      </c>
      <c r="N103" s="61" t="s">
        <v>511</v>
      </c>
      <c r="O103" s="61" t="s">
        <v>653</v>
      </c>
      <c r="P103" s="61" t="s">
        <v>746</v>
      </c>
      <c r="Q103" s="61" t="str">
        <f t="shared" si="30"/>
        <v>CV7</v>
      </c>
      <c r="R103" s="61" t="s">
        <v>687</v>
      </c>
      <c r="S103" s="65"/>
      <c r="T103" s="256" t="s">
        <v>747</v>
      </c>
      <c r="U103" s="913" t="s">
        <v>687</v>
      </c>
      <c r="V103" s="921"/>
      <c r="W103" s="914">
        <f t="shared" si="22"/>
        <v>0</v>
      </c>
      <c r="X103" s="915">
        <f t="shared" si="22"/>
        <v>0</v>
      </c>
      <c r="Y103" s="915">
        <f t="shared" si="22"/>
        <v>0</v>
      </c>
      <c r="Z103" s="915">
        <f t="shared" si="22"/>
        <v>0</v>
      </c>
      <c r="AA103" s="915">
        <f t="shared" si="22"/>
        <v>0</v>
      </c>
      <c r="AB103" s="915">
        <f t="shared" si="22"/>
        <v>0</v>
      </c>
      <c r="AC103" s="916">
        <f t="shared" si="22"/>
        <v>0</v>
      </c>
      <c r="AD103" s="103" cm="1">
        <f t="array" ref="AD103">IF(W103,INDEX('AEA2012 update'!$K$6:$R$104,MATCH($T103&amp;$R103,'AEA2012 update'!$A$6:$A$104&amp;'AEA2012 update'!$B$6:$B$104,0),MATCH(AD$16,'AEA2012 update'!$S$4:$Z$4,0)),INDEX('AEA2012 update'!$K$6:$R$104,MATCH($T103&amp;$U103,'AEA2012 update'!$A$6:$A$104&amp;'AEA2012 update'!$B$6:$B$104,0),MATCH(AD$16,'AEA2012 update'!$S$4:$Z$4,0)))</f>
        <v>877700.13388008508</v>
      </c>
      <c r="AE103" s="103" cm="1">
        <f t="array" ref="AE103">IF(X103,INDEX('AEA2012 update'!$K$6:$R$104,MATCH($T103&amp;$R103,'AEA2012 update'!$A$6:$A$104&amp;'AEA2012 update'!$B$6:$B$104,0),MATCH(AE$16,'AEA2012 update'!$S$4:$Z$4,0)),INDEX('AEA2012 update'!$K$6:$R$104,MATCH($T103&amp;$U103,'AEA2012 update'!$A$6:$A$104&amp;'AEA2012 update'!$B$6:$B$104,0),MATCH(AE$16,'AEA2012 update'!$S$4:$Z$4,0)))</f>
        <v>1088428.6604757041</v>
      </c>
      <c r="AF103" s="103" cm="1">
        <f t="array" ref="AF103">IF(Y103,INDEX('AEA2012 update'!$K$6:$R$104,MATCH($T103&amp;$R103,'AEA2012 update'!$A$6:$A$104&amp;'AEA2012 update'!$B$6:$B$104,0),MATCH(AF$16,'AEA2012 update'!$S$4:$Z$4,0)),INDEX('AEA2012 update'!$K$6:$R$104,MATCH($T103&amp;$U103,'AEA2012 update'!$A$6:$A$104&amp;'AEA2012 update'!$B$6:$B$104,0),MATCH(AF$16,'AEA2012 update'!$S$4:$Z$4,0)))</f>
        <v>1116561.6285591619</v>
      </c>
      <c r="AG103" s="103" cm="1">
        <f t="array" ref="AG103">IF(Z103,INDEX('AEA2012 update'!$K$6:$R$104,MATCH($T103&amp;$R103,'AEA2012 update'!$A$6:$A$104&amp;'AEA2012 update'!$B$6:$B$104,0),MATCH(AG$16,'AEA2012 update'!$S$4:$Z$4,0)),INDEX('AEA2012 update'!$K$6:$R$104,MATCH($T103&amp;$U103,'AEA2012 update'!$A$6:$A$104&amp;'AEA2012 update'!$B$6:$B$104,0),MATCH(AG$16,'AEA2012 update'!$S$4:$Z$4,0)))</f>
        <v>1144694.5966426195</v>
      </c>
      <c r="AH103" s="103" cm="1">
        <f t="array" ref="AH103">IF(AA103,INDEX('AEA2012 update'!$K$6:$R$104,MATCH($T103&amp;$R103,'AEA2012 update'!$A$6:$A$104&amp;'AEA2012 update'!$B$6:$B$104,0),MATCH(AH$16,'AEA2012 update'!$S$4:$Z$4,0)),INDEX('AEA2012 update'!$K$6:$R$104,MATCH($T103&amp;$U103,'AEA2012 update'!$A$6:$A$104&amp;'AEA2012 update'!$B$6:$B$104,0),MATCH(AH$16,'AEA2012 update'!$S$4:$Z$4,0)))</f>
        <v>1166651.8949681348</v>
      </c>
      <c r="AI103" s="103" cm="1">
        <f t="array" ref="AI103">IF(AB103,INDEX('AEA2012 update'!$K$6:$R$104,MATCH($T103&amp;$R103,'AEA2012 update'!$A$6:$A$104&amp;'AEA2012 update'!$B$6:$B$104,0),MATCH(AI$16,'AEA2012 update'!$S$4:$Z$4,0)),INDEX('AEA2012 update'!$K$6:$R$104,MATCH($T103&amp;$U103,'AEA2012 update'!$A$6:$A$104&amp;'AEA2012 update'!$B$6:$B$104,0),MATCH(AI$16,'AEA2012 update'!$S$4:$Z$4,0)))</f>
        <v>1188609.1932936499</v>
      </c>
      <c r="AJ103" s="103" cm="1">
        <f t="array" ref="AJ103">IF(AC103,INDEX('AEA2012 update'!$K$6:$R$104,MATCH($T103&amp;$R103,'AEA2012 update'!$A$6:$A$104&amp;'AEA2012 update'!$B$6:$B$104,0),MATCH(AJ$16,'AEA2012 update'!$S$4:$Z$4,0)),INDEX('AEA2012 update'!$K$6:$R$104,MATCH($T103&amp;$U103,'AEA2012 update'!$A$6:$A$104&amp;'AEA2012 update'!$B$6:$B$104,0),MATCH(AJ$16,'AEA2012 update'!$S$4:$Z$4,0)))</f>
        <v>1215891.7526997081</v>
      </c>
      <c r="AK103" s="103" t="str">
        <f t="shared" si="33"/>
        <v>CV7ODS</v>
      </c>
      <c r="AL103" s="67">
        <f>1/INDEX(Analytica!$AA$17:$AE$48,MATCH($AK103,Analytica!$A$17:$A$48,0),MATCH(AL$16,Analytica!$AA$16:$AE$16,0))</f>
        <v>14.221141864653497</v>
      </c>
      <c r="AM103" s="67">
        <f t="array" ref="AM103">IF($AE$1,AL103*(1+INDEX(AM$1:AM$2,MATCH($O103,$AI$1:$AI$2,0)))^(AM$16-AL$16),INDEX('AEA2012 update'!$AC$6:$AG$104,MATCH($T103&amp;$U103,'AEA2012 update'!$A$6:$A$104&amp;'AEA2012 update'!$B$6:$B$104,0),MATCH(AM$16,'AEA2012 update'!$AC$4:$AG$4,0)))</f>
        <v>14.178521088263988</v>
      </c>
      <c r="AN103" s="67">
        <f t="array" ref="AN103">IF($AE$1,AM103*(1+INDEX(AN$1:AN$2,MATCH($O103,$AI$1:$AI$2,0)))^(AN$16-AM$16),INDEX('AEA2012 update'!$AC$6:$AG$104,MATCH($T103&amp;$U103,'AEA2012 update'!$A$6:$A$104&amp;'AEA2012 update'!$B$6:$B$104,0),MATCH(AN$16,'AEA2012 update'!$AC$4:$AG$4,0)))</f>
        <v>13.417722572756142</v>
      </c>
      <c r="AO103" s="67">
        <f t="array" ref="AO103">IF($AE$1,AN103*(1+INDEX(AO$1:AO$2,MATCH($O103,$AI$1:$AI$2,0)))^(AO$16-AN$16),INDEX('AEA2012 update'!$AC$6:$AG$104,MATCH($T103&amp;$U103,'AEA2012 update'!$A$6:$A$104&amp;'AEA2012 update'!$B$6:$B$104,0),MATCH(AO$16,'AEA2012 update'!$AC$4:$AG$4,0)))</f>
        <v>12.134747782241671</v>
      </c>
      <c r="AP103" s="67">
        <f t="array" ref="AP103">IF($AE$1,AO103*(1+INDEX(AP$1:AP$2,MATCH($O103,$AI$1:$AI$2,0)))^(AP$16-AO$16),INDEX('AEA2012 update'!$AC$6:$AG$104,MATCH($T103&amp;$U103,'AEA2012 update'!$A$6:$A$104&amp;'AEA2012 update'!$B$6:$B$104,0),MATCH(AP$16,'AEA2012 update'!$AC$4:$AG$4,0)))</f>
        <v>10.974448379012209</v>
      </c>
      <c r="AQ103" s="67"/>
      <c r="AR103" s="257">
        <f t="shared" si="31"/>
        <v>-9.9900033333333717E-4</v>
      </c>
      <c r="AS103" s="257">
        <f t="shared" si="32"/>
        <v>-7.5326913841620427E-3</v>
      </c>
      <c r="AY103" s="61" t="str">
        <f t="shared" si="23"/>
        <v>HCV7-ODS</v>
      </c>
      <c r="AZ103" s="80" t="e" cm="1">
        <f t="array" aca="1" ref="AZ103" ca="1">AL103/INDIRECT("cv."&amp;LEFT($U103,6)&amp;".hhv.MJL") * 100</f>
        <v>#REF!</v>
      </c>
      <c r="BA103" s="80" t="e" cm="1">
        <f t="array" aca="1" ref="BA103" ca="1">AM103/INDIRECT("cv."&amp;LEFT($U103,6)&amp;".hhv.MJL") * 100</f>
        <v>#REF!</v>
      </c>
      <c r="BB103" s="80" t="e" cm="1">
        <f t="array" aca="1" ref="BB103" ca="1">AN103/INDIRECT("cv."&amp;LEFT($U103,6)&amp;".hhv.MJL") * 100</f>
        <v>#REF!</v>
      </c>
      <c r="BC103" s="80" t="e" cm="1">
        <f t="array" aca="1" ref="BC103" ca="1">AO103/INDIRECT("cv."&amp;LEFT($U103,6)&amp;".hhv.MJL") * 100</f>
        <v>#REF!</v>
      </c>
      <c r="BD103" s="80" t="e" cm="1">
        <f t="array" aca="1" ref="BD103" ca="1">AP103/INDIRECT("cv."&amp;LEFT($U103,6)&amp;".hhv.MJL") * 100</f>
        <v>#REF!</v>
      </c>
    </row>
    <row r="104" spans="1:59" s="924" customFormat="1" x14ac:dyDescent="0.25">
      <c r="A104" s="924" t="s">
        <v>251</v>
      </c>
      <c r="C104" s="925">
        <f>C88/$C$82</f>
        <v>1.2881710456095901</v>
      </c>
      <c r="D104" s="926">
        <f t="shared" ref="D104" si="42">C104*$D$58</f>
        <v>20132.825271832284</v>
      </c>
      <c r="N104" s="924" t="s">
        <v>501</v>
      </c>
      <c r="O104" s="924" t="s">
        <v>653</v>
      </c>
      <c r="P104" s="924" t="s">
        <v>746</v>
      </c>
      <c r="Q104" s="924" t="str">
        <f t="shared" si="30"/>
        <v>CV7</v>
      </c>
      <c r="R104" s="924" t="s">
        <v>687</v>
      </c>
      <c r="S104" s="927"/>
      <c r="T104" s="928" t="s">
        <v>747</v>
      </c>
      <c r="U104" s="929" t="s">
        <v>692</v>
      </c>
      <c r="V104" s="921">
        <v>2050</v>
      </c>
      <c r="W104" s="930">
        <f t="shared" si="22"/>
        <v>0</v>
      </c>
      <c r="X104" s="931">
        <f t="shared" si="22"/>
        <v>0</v>
      </c>
      <c r="Y104" s="931">
        <f t="shared" si="22"/>
        <v>0</v>
      </c>
      <c r="Z104" s="931">
        <f t="shared" si="22"/>
        <v>0</v>
      </c>
      <c r="AA104" s="931">
        <f t="shared" si="22"/>
        <v>0</v>
      </c>
      <c r="AB104" s="931">
        <f t="shared" si="22"/>
        <v>0</v>
      </c>
      <c r="AC104" s="932">
        <f t="shared" si="22"/>
        <v>1</v>
      </c>
      <c r="AD104" s="933" cm="1">
        <f t="array" ref="AD104">IF(W104,INDEX('AEA2012 update'!$K$6:$R$104,MATCH($T104&amp;$R104,'AEA2012 update'!$A$6:$A$104&amp;'AEA2012 update'!$B$6:$B$104,0),MATCH(AD$16,'AEA2012 update'!$S$4:$Z$4,0)),INDEX('AEA2012 update'!$K$6:$R$104,MATCH($T104&amp;$U104,'AEA2012 update'!$A$6:$A$104&amp;'AEA2012 update'!$B$6:$B$104,0),MATCH(AD$16,'AEA2012 update'!$S$4:$Z$4,0)))</f>
        <v>6464323.715992094</v>
      </c>
      <c r="AE104" s="933" cm="1">
        <f t="array" ref="AE104">IF(X104,INDEX('AEA2012 update'!$K$6:$R$104,MATCH($T104&amp;$R104,'AEA2012 update'!$A$6:$A$104&amp;'AEA2012 update'!$B$6:$B$104,0),MATCH(AE$16,'AEA2012 update'!$S$4:$Z$4,0)),INDEX('AEA2012 update'!$K$6:$R$104,MATCH($T104&amp;$U104,'AEA2012 update'!$A$6:$A$104&amp;'AEA2012 update'!$B$6:$B$104,0),MATCH(AE$16,'AEA2012 update'!$S$4:$Z$4,0)))</f>
        <v>4928974.3080670405</v>
      </c>
      <c r="AF104" s="933" cm="1">
        <f t="array" ref="AF104">IF(Y104,INDEX('AEA2012 update'!$K$6:$R$104,MATCH($T104&amp;$R104,'AEA2012 update'!$A$6:$A$104&amp;'AEA2012 update'!$B$6:$B$104,0),MATCH(AF$16,'AEA2012 update'!$S$4:$Z$4,0)),INDEX('AEA2012 update'!$K$6:$R$104,MATCH($T104&amp;$U104,'AEA2012 update'!$A$6:$A$104&amp;'AEA2012 update'!$B$6:$B$104,0),MATCH(AF$16,'AEA2012 update'!$S$4:$Z$4,0)))</f>
        <v>3450282.015646928</v>
      </c>
      <c r="AG104" s="933" cm="1">
        <f t="array" ref="AG104">IF(Z104,INDEX('AEA2012 update'!$K$6:$R$104,MATCH($T104&amp;$R104,'AEA2012 update'!$A$6:$A$104&amp;'AEA2012 update'!$B$6:$B$104,0),MATCH(AG$16,'AEA2012 update'!$S$4:$Z$4,0)),INDEX('AEA2012 update'!$K$6:$R$104,MATCH($T104&amp;$U104,'AEA2012 update'!$A$6:$A$104&amp;'AEA2012 update'!$B$6:$B$104,0),MATCH(AG$16,'AEA2012 update'!$S$4:$Z$4,0)))</f>
        <v>2957384.5848402241</v>
      </c>
      <c r="AH104" s="933" cm="1">
        <f t="array" ref="AH104">IF(AA104,INDEX('AEA2012 update'!$K$6:$R$104,MATCH($T104&amp;$R104,'AEA2012 update'!$A$6:$A$104&amp;'AEA2012 update'!$B$6:$B$104,0),MATCH(AH$16,'AEA2012 update'!$S$4:$Z$4,0)),INDEX('AEA2012 update'!$K$6:$R$104,MATCH($T104&amp;$U104,'AEA2012 update'!$A$6:$A$104&amp;'AEA2012 update'!$B$6:$B$104,0),MATCH(AH$16,'AEA2012 update'!$S$4:$Z$4,0)))</f>
        <v>2464487.1540335203</v>
      </c>
      <c r="AI104" s="933" cm="1">
        <f t="array" ref="AI104">IF(AB104,INDEX('AEA2012 update'!$K$6:$R$104,MATCH($T104&amp;$R104,'AEA2012 update'!$A$6:$A$104&amp;'AEA2012 update'!$B$6:$B$104,0),MATCH(AI$16,'AEA2012 update'!$S$4:$Z$4,0)),INDEX('AEA2012 update'!$K$6:$R$104,MATCH($T104&amp;$U104,'AEA2012 update'!$A$6:$A$104&amp;'AEA2012 update'!$B$6:$B$104,0),MATCH(AI$16,'AEA2012 update'!$S$4:$Z$4,0)))</f>
        <v>2300188.0104312855</v>
      </c>
      <c r="AJ104" s="933" cm="1">
        <f t="array" ref="AJ104">IF(AC104,INDEX('AEA2012 update'!$K$6:$R$104,MATCH($T104&amp;$R104,'AEA2012 update'!$A$6:$A$104&amp;'AEA2012 update'!$B$6:$B$104,0),MATCH(AJ$16,'AEA2012 update'!$S$4:$Z$4,0)),INDEX('AEA2012 update'!$K$6:$R$104,MATCH($T104&amp;$U104,'AEA2012 update'!$A$6:$A$104&amp;'AEA2012 update'!$B$6:$B$104,0),MATCH(AJ$16,'AEA2012 update'!$S$4:$Z$4,0)))</f>
        <v>1215891.7526997081</v>
      </c>
      <c r="AK104" s="933" t="str">
        <f t="shared" si="33"/>
        <v>CV7ELC</v>
      </c>
      <c r="AL104" s="986">
        <f>$AL$84/$AL$83*AL103</f>
        <v>4.3433147944602153</v>
      </c>
      <c r="AM104" s="986">
        <f t="array" ref="AM104">IF($AE$1,AL104*(1+INDEX(AM$1:AM$2,MATCH($O104,$AI$1:$AI$2,0)))^(AM$16-AL$16),INDEX('AEA2012 update'!$AC$6:$AG$104,MATCH($T104&amp;$U104,'AEA2012 update'!$A$6:$A$104&amp;'AEA2012 update'!$B$6:$B$104,0),MATCH(AM$16,'AEA2012 update'!$AC$4:$AG$4,0)))</f>
        <v>4.3302978756779034</v>
      </c>
      <c r="AN104" s="986">
        <f t="array" ref="AN104">IF($AE$1,AM104*(1+INDEX(AN$1:AN$2,MATCH($O104,$AI$1:$AI$2,0)))^(AN$16-AM$16),INDEX('AEA2012 update'!$AC$6:$AG$104,MATCH($T104&amp;$U104,'AEA2012 update'!$A$6:$A$104&amp;'AEA2012 update'!$B$6:$B$104,0),MATCH(AN$16,'AEA2012 update'!$AC$4:$AG$4,0)))</f>
        <v>4.0979404827584487</v>
      </c>
      <c r="AO104" s="986">
        <f t="array" ref="AO104">IF($AE$1,AN104*(1+INDEX(AO$1:AO$2,MATCH($O104,$AI$1:$AI$2,0)))^(AO$16-AN$16),INDEX('AEA2012 update'!$AC$6:$AG$104,MATCH($T104&amp;$U104,'AEA2012 update'!$A$6:$A$104&amp;'AEA2012 update'!$B$6:$B$104,0),MATCH(AO$16,'AEA2012 update'!$AC$4:$AG$4,0)))</f>
        <v>3.706103917059667</v>
      </c>
      <c r="AP104" s="986">
        <f t="array" ref="AP104">IF($AE$1,AO104*(1+INDEX(AP$1:AP$2,MATCH($O104,$AI$1:$AI$2,0)))^(AP$16-AO$16),INDEX('AEA2012 update'!$AC$6:$AG$104,MATCH($T104&amp;$U104,'AEA2012 update'!$A$6:$A$104&amp;'AEA2012 update'!$B$6:$B$104,0),MATCH(AP$16,'AEA2012 update'!$AC$4:$AG$4,0)))</f>
        <v>3.3517339507086792</v>
      </c>
      <c r="AQ104" s="934"/>
      <c r="AR104" s="935">
        <f t="shared" si="31"/>
        <v>-9.9900033333332307E-4</v>
      </c>
      <c r="AS104" s="935">
        <f t="shared" si="32"/>
        <v>-7.5326913841620427E-3</v>
      </c>
      <c r="AY104" s="924" t="str">
        <f t="shared" ref="AY104" si="43">P104&amp;"-"&amp;N104</f>
        <v>HCV7-ELC</v>
      </c>
      <c r="AZ104" s="936" t="e" cm="1">
        <f t="array" aca="1" ref="AZ104" ca="1">AL104/INDIRECT("cv."&amp;LEFT($U104,6)&amp;".hhv.MJL") * 100</f>
        <v>#REF!</v>
      </c>
      <c r="BA104" s="936" t="e" cm="1">
        <f t="array" aca="1" ref="BA104" ca="1">AM104/INDIRECT("cv."&amp;LEFT($U104,6)&amp;".hhv.MJL") * 100</f>
        <v>#REF!</v>
      </c>
      <c r="BB104" s="936" t="e" cm="1">
        <f t="array" aca="1" ref="BB104" ca="1">AN104/INDIRECT("cv."&amp;LEFT($U104,6)&amp;".hhv.MJL") * 100</f>
        <v>#REF!</v>
      </c>
      <c r="BC104" s="936" t="e" cm="1">
        <f t="array" aca="1" ref="BC104" ca="1">AO104/INDIRECT("cv."&amp;LEFT($U104,6)&amp;".hhv.MJL") * 100</f>
        <v>#REF!</v>
      </c>
      <c r="BD104" s="936" t="e" cm="1">
        <f t="array" aca="1" ref="BD104" ca="1">AP104/INDIRECT("cv."&amp;LEFT($U104,6)&amp;".hhv.MJL") * 100</f>
        <v>#REF!</v>
      </c>
    </row>
    <row r="105" spans="1:59" ht="16.5" customHeight="1" x14ac:dyDescent="0.25">
      <c r="A105"/>
      <c r="B105" s="67">
        <v>13</v>
      </c>
      <c r="C105">
        <v>37063</v>
      </c>
      <c r="D105" s="67">
        <v>15</v>
      </c>
      <c r="E105">
        <v>46620</v>
      </c>
      <c r="F105"/>
      <c r="G105" s="67">
        <f t="shared" si="41"/>
        <v>0.8666666666666667</v>
      </c>
      <c r="H105" s="67">
        <f t="shared" si="41"/>
        <v>0.79500214500214506</v>
      </c>
      <c r="I105"/>
      <c r="J105" s="63">
        <v>-0.12</v>
      </c>
      <c r="N105" s="61" t="s">
        <v>504</v>
      </c>
      <c r="O105" s="61" t="s">
        <v>653</v>
      </c>
      <c r="P105" s="61" t="s">
        <v>746</v>
      </c>
      <c r="Q105" s="61" t="str">
        <f t="shared" si="30"/>
        <v>CV7</v>
      </c>
      <c r="R105" s="61" t="s">
        <v>687</v>
      </c>
      <c r="S105" s="65"/>
      <c r="T105" s="256" t="s">
        <v>747</v>
      </c>
      <c r="U105" s="913" t="s">
        <v>699</v>
      </c>
      <c r="V105" s="921">
        <v>2050</v>
      </c>
      <c r="W105" s="914">
        <f t="shared" ref="W105:AC116" si="44">IF($V105="",0,IF(W$19&gt;=$V105,1,0))</f>
        <v>0</v>
      </c>
      <c r="X105" s="915">
        <f t="shared" si="44"/>
        <v>0</v>
      </c>
      <c r="Y105" s="915">
        <f t="shared" si="44"/>
        <v>0</v>
      </c>
      <c r="Z105" s="915">
        <f t="shared" si="44"/>
        <v>0</v>
      </c>
      <c r="AA105" s="915">
        <f t="shared" si="44"/>
        <v>0</v>
      </c>
      <c r="AB105" s="915">
        <f t="shared" si="44"/>
        <v>0</v>
      </c>
      <c r="AC105" s="916">
        <f t="shared" si="44"/>
        <v>1</v>
      </c>
      <c r="AD105" s="103" cm="1">
        <f t="array" ref="AD105">IF(W105,INDEX('AEA2012 update'!$K$6:$R$104,MATCH($T105&amp;$R105,'AEA2012 update'!$A$6:$A$104&amp;'AEA2012 update'!$B$6:$B$104,0),MATCH(AD$16,'AEA2012 update'!$S$4:$Z$4,0)),INDEX('AEA2012 update'!$K$6:$R$104,MATCH($T105&amp;$U105,'AEA2012 update'!$A$6:$A$104&amp;'AEA2012 update'!$B$6:$B$104,0),MATCH(AD$16,'AEA2012 update'!$S$4:$Z$4,0)))</f>
        <v>5872968.0361672165</v>
      </c>
      <c r="AE105" s="103" cm="1">
        <f t="array" ref="AE105">IF(X105,INDEX('AEA2012 update'!$K$6:$R$104,MATCH($T105&amp;$R105,'AEA2012 update'!$A$6:$A$104&amp;'AEA2012 update'!$B$6:$B$104,0),MATCH(AE$16,'AEA2012 update'!$S$4:$Z$4,0)),INDEX('AEA2012 update'!$K$6:$R$104,MATCH($T105&amp;$U105,'AEA2012 update'!$A$6:$A$104&amp;'AEA2012 update'!$B$6:$B$104,0),MATCH(AE$16,'AEA2012 update'!$S$4:$Z$4,0)))</f>
        <v>2464487.1540335203</v>
      </c>
      <c r="AF105" s="103" cm="1">
        <f t="array" ref="AF105">IF(Y105,INDEX('AEA2012 update'!$K$6:$R$104,MATCH($T105&amp;$R105,'AEA2012 update'!$A$6:$A$104&amp;'AEA2012 update'!$B$6:$B$104,0),MATCH(AF$16,'AEA2012 update'!$S$4:$Z$4,0)),INDEX('AEA2012 update'!$K$6:$R$104,MATCH($T105&amp;$U105,'AEA2012 update'!$A$6:$A$104&amp;'AEA2012 update'!$B$6:$B$104,0),MATCH(AF$16,'AEA2012 update'!$S$4:$Z$4,0)))</f>
        <v>1930209.4138028375</v>
      </c>
      <c r="AG105" s="103" cm="1">
        <f t="array" ref="AG105">IF(Z105,INDEX('AEA2012 update'!$K$6:$R$104,MATCH($T105&amp;$R105,'AEA2012 update'!$A$6:$A$104&amp;'AEA2012 update'!$B$6:$B$104,0),MATCH(AG$16,'AEA2012 update'!$S$4:$Z$4,0)),INDEX('AEA2012 update'!$K$6:$R$104,MATCH($T105&amp;$U105,'AEA2012 update'!$A$6:$A$104&amp;'AEA2012 update'!$B$6:$B$104,0),MATCH(AG$16,'AEA2012 update'!$S$4:$Z$4,0)))</f>
        <v>1395931.6735721545</v>
      </c>
      <c r="AH105" s="103" cm="1">
        <f t="array" ref="AH105">IF(AA105,INDEX('AEA2012 update'!$K$6:$R$104,MATCH($T105&amp;$R105,'AEA2012 update'!$A$6:$A$104&amp;'AEA2012 update'!$B$6:$B$104,0),MATCH(AH$16,'AEA2012 update'!$S$4:$Z$4,0)),INDEX('AEA2012 update'!$K$6:$R$104,MATCH($T105&amp;$U105,'AEA2012 update'!$A$6:$A$104&amp;'AEA2012 update'!$B$6:$B$104,0),MATCH(AH$16,'AEA2012 update'!$S$4:$Z$4,0)))</f>
        <v>1325659.1701213</v>
      </c>
      <c r="AI105" s="103" cm="1">
        <f t="array" ref="AI105">IF(AB105,INDEX('AEA2012 update'!$K$6:$R$104,MATCH($T105&amp;$R105,'AEA2012 update'!$A$6:$A$104&amp;'AEA2012 update'!$B$6:$B$104,0),MATCH(AI$16,'AEA2012 update'!$S$4:$Z$4,0)),INDEX('AEA2012 update'!$K$6:$R$104,MATCH($T105&amp;$U105,'AEA2012 update'!$A$6:$A$104&amp;'AEA2012 update'!$B$6:$B$104,0),MATCH(AI$16,'AEA2012 update'!$S$4:$Z$4,0)))</f>
        <v>1255386.6666704458</v>
      </c>
      <c r="AJ105" s="103" cm="1">
        <f t="array" ref="AJ105">IF(AC105,INDEX('AEA2012 update'!$K$6:$R$104,MATCH($T105&amp;$R105,'AEA2012 update'!$A$6:$A$104&amp;'AEA2012 update'!$B$6:$B$104,0),MATCH(AJ$16,'AEA2012 update'!$S$4:$Z$4,0)),INDEX('AEA2012 update'!$K$6:$R$104,MATCH($T105&amp;$U105,'AEA2012 update'!$A$6:$A$104&amp;'AEA2012 update'!$B$6:$B$104,0),MATCH(AJ$16,'AEA2012 update'!$S$4:$Z$4,0)))</f>
        <v>1215891.7526997081</v>
      </c>
      <c r="AK105" s="103" t="str">
        <f t="shared" si="33"/>
        <v>CV7HGN</v>
      </c>
      <c r="AL105" s="67">
        <f>INDEX('Vehicle data '!$AD$20:$AD$110,MATCH($AK105,'Vehicle data '!$AC$20:$AC$110,0))/INDEX('Vehicle data '!$AD$20:$AD$110,MATCH($AK$103,'Vehicle data '!$AC$20:$AC$110,0))*AL$103</f>
        <v>6.7545932970199489</v>
      </c>
      <c r="AM105" s="67">
        <f t="array" ref="AM105">IF($AE$1,AL105*(1+INDEX(AM$1:AM$2,MATCH($O105,$AI$1:$AI$2,0)))^(AM$16-AL$16),INDEX('AEA2012 update'!$AC$6:$AG$104,MATCH($T105&amp;$U105,'AEA2012 update'!$A$6:$A$104&amp;'AEA2012 update'!$B$6:$B$104,0),MATCH(AM$16,'AEA2012 update'!$AC$4:$AG$4,0)))</f>
        <v>6.7343497741541869</v>
      </c>
      <c r="AN105" s="67">
        <f t="array" ref="AN105">IF($AE$1,AM105*(1+INDEX(AN$1:AN$2,MATCH($O105,$AI$1:$AI$2,0)))^(AN$16-AM$16),INDEX('AEA2012 update'!$AC$6:$AG$104,MATCH($T105&amp;$U105,'AEA2012 update'!$A$6:$A$104&amp;'AEA2012 update'!$B$6:$B$104,0),MATCH(AN$16,'AEA2012 update'!$AC$4:$AG$4,0)))</f>
        <v>6.3729945045042395</v>
      </c>
      <c r="AO105" s="67">
        <f t="array" ref="AO105">IF($AE$1,AN105*(1+INDEX(AO$1:AO$2,MATCH($O105,$AI$1:$AI$2,0)))^(AO$16-AN$16),INDEX('AEA2012 update'!$AC$6:$AG$104,MATCH($T105&amp;$U105,'AEA2012 update'!$A$6:$A$104&amp;'AEA2012 update'!$B$6:$B$104,0),MATCH(AO$16,'AEA2012 update'!$AC$4:$AG$4,0)))</f>
        <v>5.7636219940032509</v>
      </c>
      <c r="AP105" s="67">
        <f t="array" ref="AP105">IF($AE$1,AO105*(1+INDEX(AP$1:AP$2,MATCH($O105,$AI$1:$AI$2,0)))^(AP$16-AO$16),INDEX('AEA2012 update'!$AC$6:$AG$104,MATCH($T105&amp;$U105,'AEA2012 update'!$A$6:$A$104&amp;'AEA2012 update'!$B$6:$B$104,0),MATCH(AP$16,'AEA2012 update'!$AC$4:$AG$4,0)))</f>
        <v>5.2125164185030419</v>
      </c>
      <c r="AQ105" s="67"/>
      <c r="AR105" s="257">
        <f t="shared" si="31"/>
        <v>-9.9900033333333066E-4</v>
      </c>
      <c r="AS105" s="257">
        <f t="shared" si="32"/>
        <v>-7.5326913841620418E-3</v>
      </c>
      <c r="AY105" s="61" t="str">
        <f t="shared" si="23"/>
        <v>HCV7-HGN</v>
      </c>
      <c r="AZ105" s="80" t="e" cm="1">
        <f t="array" aca="1" ref="AZ105" ca="1">AL105/INDIRECT("cv."&amp;LEFT($U105,6)&amp;".hhv.MJL") * 100</f>
        <v>#REF!</v>
      </c>
      <c r="BA105" s="80" t="e" cm="1">
        <f t="array" aca="1" ref="BA105" ca="1">AM105/INDIRECT("cv."&amp;LEFT($U105,6)&amp;".hhv.MJL") * 100</f>
        <v>#REF!</v>
      </c>
      <c r="BB105" s="80" t="e" cm="1">
        <f t="array" aca="1" ref="BB105" ca="1">AN105/INDIRECT("cv."&amp;LEFT($U105,6)&amp;".hhv.MJL") * 100</f>
        <v>#REF!</v>
      </c>
      <c r="BC105" s="80" t="e" cm="1">
        <f t="array" aca="1" ref="BC105" ca="1">AO105/INDIRECT("cv."&amp;LEFT($U105,6)&amp;".hhv.MJL") * 100</f>
        <v>#REF!</v>
      </c>
      <c r="BD105" s="80" t="e" cm="1">
        <f t="array" aca="1" ref="BD105" ca="1">AP105/INDIRECT("cv."&amp;LEFT($U105,6)&amp;".hhv.MJL") * 100</f>
        <v>#REF!</v>
      </c>
    </row>
    <row r="106" spans="1:59" x14ac:dyDescent="0.25">
      <c r="A106"/>
      <c r="B106"/>
      <c r="C106"/>
      <c r="D106"/>
      <c r="E106"/>
      <c r="F106"/>
      <c r="G106" s="278">
        <f>AVERAGE(G101:G105)</f>
        <v>0.86428571428571432</v>
      </c>
      <c r="H106" s="278">
        <f>AVERAGE(H101:H105)</f>
        <v>0.78788676619240683</v>
      </c>
      <c r="I106" s="278"/>
      <c r="J106" s="279">
        <v>-9.9999999999999992E-2</v>
      </c>
      <c r="N106" s="61" t="s">
        <v>509</v>
      </c>
      <c r="O106" s="61" t="s">
        <v>653</v>
      </c>
      <c r="P106" s="61" t="s">
        <v>746</v>
      </c>
      <c r="Q106" s="61" t="str">
        <f t="shared" si="30"/>
        <v>CV7</v>
      </c>
      <c r="R106" s="61" t="s">
        <v>687</v>
      </c>
      <c r="S106" s="65"/>
      <c r="T106" s="256" t="s">
        <v>747</v>
      </c>
      <c r="U106" s="913" t="s">
        <v>700</v>
      </c>
      <c r="V106" s="921"/>
      <c r="W106" s="914">
        <f t="shared" si="44"/>
        <v>0</v>
      </c>
      <c r="X106" s="915">
        <f t="shared" si="44"/>
        <v>0</v>
      </c>
      <c r="Y106" s="915">
        <f t="shared" si="44"/>
        <v>0</v>
      </c>
      <c r="Z106" s="915">
        <f t="shared" si="44"/>
        <v>0</v>
      </c>
      <c r="AA106" s="915">
        <f t="shared" si="44"/>
        <v>0</v>
      </c>
      <c r="AB106" s="915">
        <f t="shared" si="44"/>
        <v>0</v>
      </c>
      <c r="AC106" s="916">
        <f t="shared" si="44"/>
        <v>0</v>
      </c>
      <c r="AD106" s="103" cm="1">
        <f t="array" ref="AD106">IF(W106,INDEX('AEA2012 update'!$K$6:$R$104,MATCH($T106&amp;$R106,'AEA2012 update'!$A$6:$A$104&amp;'AEA2012 update'!$B$6:$B$104,0),MATCH(AD$16,'AEA2012 update'!$S$4:$Z$4,0)),INDEX('AEA2012 update'!$K$6:$R$104,MATCH($T106&amp;$U106,'AEA2012 update'!$A$6:$A$104&amp;'AEA2012 update'!$B$6:$B$104,0),MATCH(AD$16,'AEA2012 update'!$S$4:$Z$4,0)))</f>
        <v>1216871.9571458176</v>
      </c>
      <c r="AE106" s="103" cm="1">
        <f t="array" ref="AE106">IF(X106,INDEX('AEA2012 update'!$K$6:$R$104,MATCH($T106&amp;$R106,'AEA2012 update'!$A$6:$A$104&amp;'AEA2012 update'!$B$6:$B$104,0),MATCH(AE$16,'AEA2012 update'!$S$4:$Z$4,0)),INDEX('AEA2012 update'!$K$6:$R$104,MATCH($T106&amp;$U106,'AEA2012 update'!$A$6:$A$104&amp;'AEA2012 update'!$B$6:$B$104,0),MATCH(AE$16,'AEA2012 update'!$S$4:$Z$4,0)))</f>
        <v>1262276.8438934449</v>
      </c>
      <c r="AF106" s="103" cm="1">
        <f t="array" ref="AF106">IF(Y106,INDEX('AEA2012 update'!$K$6:$R$104,MATCH($T106&amp;$R106,'AEA2012 update'!$A$6:$A$104&amp;'AEA2012 update'!$B$6:$B$104,0),MATCH(AF$16,'AEA2012 update'!$S$4:$Z$4,0)),INDEX('AEA2012 update'!$K$6:$R$104,MATCH($T106&amp;$U106,'AEA2012 update'!$A$6:$A$104&amp;'AEA2012 update'!$B$6:$B$104,0),MATCH(AF$16,'AEA2012 update'!$S$4:$Z$4,0)))</f>
        <v>1258634.2158304008</v>
      </c>
      <c r="AG106" s="103" cm="1">
        <f t="array" ref="AG106">IF(Z106,INDEX('AEA2012 update'!$K$6:$R$104,MATCH($T106&amp;$R106,'AEA2012 update'!$A$6:$A$104&amp;'AEA2012 update'!$B$6:$B$104,0),MATCH(AG$16,'AEA2012 update'!$S$4:$Z$4,0)),INDEX('AEA2012 update'!$K$6:$R$104,MATCH($T106&amp;$U106,'AEA2012 update'!$A$6:$A$104&amp;'AEA2012 update'!$B$6:$B$104,0),MATCH(AG$16,'AEA2012 update'!$S$4:$Z$4,0)))</f>
        <v>1254991.587767357</v>
      </c>
      <c r="AH106" s="103" cm="1">
        <f t="array" ref="AH106">IF(AA106,INDEX('AEA2012 update'!$K$6:$R$104,MATCH($T106&amp;$R106,'AEA2012 update'!$A$6:$A$104&amp;'AEA2012 update'!$B$6:$B$104,0),MATCH(AH$16,'AEA2012 update'!$S$4:$Z$4,0)),INDEX('AEA2012 update'!$K$6:$R$104,MATCH($T106&amp;$U106,'AEA2012 update'!$A$6:$A$104&amp;'AEA2012 update'!$B$6:$B$104,0),MATCH(AH$16,'AEA2012 update'!$S$4:$Z$4,0)))</f>
        <v>1264417.9480459164</v>
      </c>
      <c r="AI106" s="103" cm="1">
        <f t="array" ref="AI106">IF(AB106,INDEX('AEA2012 update'!$K$6:$R$104,MATCH($T106&amp;$R106,'AEA2012 update'!$A$6:$A$104&amp;'AEA2012 update'!$B$6:$B$104,0),MATCH(AI$16,'AEA2012 update'!$S$4:$Z$4,0)),INDEX('AEA2012 update'!$K$6:$R$104,MATCH($T106&amp;$U106,'AEA2012 update'!$A$6:$A$104&amp;'AEA2012 update'!$B$6:$B$104,0),MATCH(AI$16,'AEA2012 update'!$S$4:$Z$4,0)))</f>
        <v>1273844.308324476</v>
      </c>
      <c r="AJ106" s="103" cm="1">
        <f t="array" ref="AJ106">IF(AC106,INDEX('AEA2012 update'!$K$6:$R$104,MATCH($T106&amp;$R106,'AEA2012 update'!$A$6:$A$104&amp;'AEA2012 update'!$B$6:$B$104,0),MATCH(AJ$16,'AEA2012 update'!$S$4:$Z$4,0)),INDEX('AEA2012 update'!$K$6:$R$104,MATCH($T106&amp;$U106,'AEA2012 update'!$A$6:$A$104&amp;'AEA2012 update'!$B$6:$B$104,0),MATCH(AJ$16,'AEA2012 update'!$S$4:$Z$4,0)))</f>
        <v>1284933.4289435516</v>
      </c>
      <c r="AK106" s="103" t="str">
        <f t="shared" si="33"/>
        <v>CV7GAS</v>
      </c>
      <c r="AL106" s="67">
        <f>INDEX('Vehicle data '!$AD$20:$AD$110,MATCH($AK106,'Vehicle data '!$AC$20:$AC$110,0))/INDEX('Vehicle data '!$AD$20:$AD$110,MATCH($AK$103,'Vehicle data '!$AC$20:$AC$110,0))*AL$103</f>
        <v>16.354313144351519</v>
      </c>
      <c r="AM106" s="67">
        <f t="array" ref="AM106">IF($AE$1,AL106*(1+INDEX(AM$1:AM$2,MATCH($O106,$AI$1:$AI$2,0)))^(AM$16-AL$16),INDEX('AEA2012 update'!$AC$6:$AG$104,MATCH($T106&amp;$U106,'AEA2012 update'!$A$6:$A$104&amp;'AEA2012 update'!$B$6:$B$104,0),MATCH(AM$16,'AEA2012 update'!$AC$4:$AG$4,0)))</f>
        <v>16.305299251503584</v>
      </c>
      <c r="AN106" s="67">
        <f t="array" ref="AN106">IF($AE$1,AM106*(1+INDEX(AN$1:AN$2,MATCH($O106,$AI$1:$AI$2,0)))^(AN$16-AM$16),INDEX('AEA2012 update'!$AC$6:$AG$104,MATCH($T106&amp;$U106,'AEA2012 update'!$A$6:$A$104&amp;'AEA2012 update'!$B$6:$B$104,0),MATCH(AN$16,'AEA2012 update'!$AC$4:$AG$4,0)))</f>
        <v>15.430380958669563</v>
      </c>
      <c r="AO106" s="67">
        <f t="array" ref="AO106">IF($AE$1,AN106*(1+INDEX(AO$1:AO$2,MATCH($O106,$AI$1:$AI$2,0)))^(AO$16-AN$16),INDEX('AEA2012 update'!$AC$6:$AG$104,MATCH($T106&amp;$U106,'AEA2012 update'!$A$6:$A$104&amp;'AEA2012 update'!$B$6:$B$104,0),MATCH(AO$16,'AEA2012 update'!$AC$4:$AG$4,0)))</f>
        <v>13.954959949577923</v>
      </c>
      <c r="AP106" s="67">
        <f t="array" ref="AP106">IF($AE$1,AO106*(1+INDEX(AP$1:AP$2,MATCH($O106,$AI$1:$AI$2,0)))^(AP$16-AO$16),INDEX('AEA2012 update'!$AC$6:$AG$104,MATCH($T106&amp;$U106,'AEA2012 update'!$A$6:$A$104&amp;'AEA2012 update'!$B$6:$B$104,0),MATCH(AP$16,'AEA2012 update'!$AC$4:$AG$4,0)))</f>
        <v>12.620615635864041</v>
      </c>
      <c r="AQ106" s="67"/>
      <c r="AR106" s="257">
        <f t="shared" si="31"/>
        <v>-9.9900033333333391E-4</v>
      </c>
      <c r="AS106" s="257">
        <f t="shared" si="32"/>
        <v>-7.5326913841620366E-3</v>
      </c>
      <c r="AY106" s="61" t="str">
        <f t="shared" si="23"/>
        <v>HCV7-GAS</v>
      </c>
      <c r="AZ106" s="80" t="e" cm="1">
        <f t="array" aca="1" ref="AZ106" ca="1">AL106/INDIRECT("cv."&amp;LEFT($U106,6)&amp;".hhv.MJL") * 100</f>
        <v>#REF!</v>
      </c>
      <c r="BA106" s="80" t="e" cm="1">
        <f t="array" aca="1" ref="BA106" ca="1">AM106/INDIRECT("cv."&amp;LEFT($U106,6)&amp;".hhv.MJL") * 100</f>
        <v>#REF!</v>
      </c>
      <c r="BB106" s="80" t="e" cm="1">
        <f t="array" aca="1" ref="BB106" ca="1">AN106/INDIRECT("cv."&amp;LEFT($U106,6)&amp;".hhv.MJL") * 100</f>
        <v>#REF!</v>
      </c>
      <c r="BC106" s="80" t="e" cm="1">
        <f t="array" aca="1" ref="BC106" ca="1">AO106/INDIRECT("cv."&amp;LEFT($U106,6)&amp;".hhv.MJL") * 100</f>
        <v>#REF!</v>
      </c>
      <c r="BD106" s="80" t="e" cm="1">
        <f t="array" aca="1" ref="BD106" ca="1">AP106/INDIRECT("cv."&amp;LEFT($U106,6)&amp;".hhv.MJL") * 100</f>
        <v>#REF!</v>
      </c>
    </row>
    <row r="107" spans="1:59" x14ac:dyDescent="0.25">
      <c r="A107" t="s">
        <v>748</v>
      </c>
      <c r="B107"/>
      <c r="C107"/>
      <c r="D107"/>
      <c r="E107"/>
      <c r="F107"/>
      <c r="G107"/>
      <c r="H107"/>
      <c r="I107"/>
      <c r="J107"/>
      <c r="O107" s="61" t="s">
        <v>653</v>
      </c>
      <c r="Q107" s="61" t="str">
        <f t="shared" si="30"/>
        <v/>
      </c>
      <c r="S107" s="65"/>
      <c r="T107" s="256"/>
      <c r="V107" s="921"/>
      <c r="W107" s="917">
        <f t="shared" si="44"/>
        <v>0</v>
      </c>
      <c r="X107" s="918">
        <f t="shared" si="44"/>
        <v>0</v>
      </c>
      <c r="Y107" s="918">
        <f t="shared" si="44"/>
        <v>0</v>
      </c>
      <c r="Z107" s="918">
        <f t="shared" si="44"/>
        <v>0</v>
      </c>
      <c r="AA107" s="918">
        <f t="shared" si="44"/>
        <v>0</v>
      </c>
      <c r="AB107" s="918">
        <f t="shared" si="44"/>
        <v>0</v>
      </c>
      <c r="AC107" s="919">
        <f t="shared" si="44"/>
        <v>0</v>
      </c>
      <c r="AD107" s="103" t="e" cm="1">
        <f t="array" ref="AD107">IF(W107,INDEX('AEA2012 update'!$K$6:$R$104,MATCH($T107&amp;$R107,'AEA2012 update'!$A$6:$A$104&amp;'AEA2012 update'!$B$6:$B$104,0),MATCH(AD$16,'AEA2012 update'!$S$4:$Z$4,0)),INDEX('AEA2012 update'!$K$6:$R$104,MATCH($T107&amp;$U107,'AEA2012 update'!$A$6:$A$104&amp;'AEA2012 update'!$B$6:$B$104,0),MATCH(AD$16,'AEA2012 update'!$S$4:$Z$4,0)))</f>
        <v>#N/A</v>
      </c>
      <c r="AE107" s="103" t="e" cm="1">
        <f t="array" ref="AE107">IF(X107,INDEX('AEA2012 update'!$K$6:$R$104,MATCH($T107&amp;$R107,'AEA2012 update'!$A$6:$A$104&amp;'AEA2012 update'!$B$6:$B$104,0),MATCH(AE$16,'AEA2012 update'!$S$4:$Z$4,0)),INDEX('AEA2012 update'!$K$6:$R$104,MATCH($T107&amp;$U107,'AEA2012 update'!$A$6:$A$104&amp;'AEA2012 update'!$B$6:$B$104,0),MATCH(AE$16,'AEA2012 update'!$S$4:$Z$4,0)))</f>
        <v>#N/A</v>
      </c>
      <c r="AF107" s="103" t="e" cm="1">
        <f t="array" ref="AF107">IF(Y107,INDEX('AEA2012 update'!$K$6:$R$104,MATCH($T107&amp;$R107,'AEA2012 update'!$A$6:$A$104&amp;'AEA2012 update'!$B$6:$B$104,0),MATCH(AF$16,'AEA2012 update'!$S$4:$Z$4,0)),INDEX('AEA2012 update'!$K$6:$R$104,MATCH($T107&amp;$U107,'AEA2012 update'!$A$6:$A$104&amp;'AEA2012 update'!$B$6:$B$104,0),MATCH(AF$16,'AEA2012 update'!$S$4:$Z$4,0)))</f>
        <v>#N/A</v>
      </c>
      <c r="AG107" s="103" t="e" cm="1">
        <f t="array" ref="AG107">IF(Z107,INDEX('AEA2012 update'!$K$6:$R$104,MATCH($T107&amp;$R107,'AEA2012 update'!$A$6:$A$104&amp;'AEA2012 update'!$B$6:$B$104,0),MATCH(AG$16,'AEA2012 update'!$S$4:$Z$4,0)),INDEX('AEA2012 update'!$K$6:$R$104,MATCH($T107&amp;$U107,'AEA2012 update'!$A$6:$A$104&amp;'AEA2012 update'!$B$6:$B$104,0),MATCH(AG$16,'AEA2012 update'!$S$4:$Z$4,0)))</f>
        <v>#N/A</v>
      </c>
      <c r="AH107" s="103" t="e" cm="1">
        <f t="array" ref="AH107">IF(AA107,INDEX('AEA2012 update'!$K$6:$R$104,MATCH($T107&amp;$R107,'AEA2012 update'!$A$6:$A$104&amp;'AEA2012 update'!$B$6:$B$104,0),MATCH(AH$16,'AEA2012 update'!$S$4:$Z$4,0)),INDEX('AEA2012 update'!$K$6:$R$104,MATCH($T107&amp;$U107,'AEA2012 update'!$A$6:$A$104&amp;'AEA2012 update'!$B$6:$B$104,0),MATCH(AH$16,'AEA2012 update'!$S$4:$Z$4,0)))</f>
        <v>#N/A</v>
      </c>
      <c r="AI107" s="103" t="e" cm="1">
        <f t="array" ref="AI107">IF(AB107,INDEX('AEA2012 update'!$K$6:$R$104,MATCH($T107&amp;$R107,'AEA2012 update'!$A$6:$A$104&amp;'AEA2012 update'!$B$6:$B$104,0),MATCH(AI$16,'AEA2012 update'!$S$4:$Z$4,0)),INDEX('AEA2012 update'!$K$6:$R$104,MATCH($T107&amp;$U107,'AEA2012 update'!$A$6:$A$104&amp;'AEA2012 update'!$B$6:$B$104,0),MATCH(AI$16,'AEA2012 update'!$S$4:$Z$4,0)))</f>
        <v>#N/A</v>
      </c>
      <c r="AJ107" s="103" t="e" cm="1">
        <f t="array" ref="AJ107">IF(AC107,INDEX('AEA2012 update'!$K$6:$R$104,MATCH($T107&amp;$R107,'AEA2012 update'!$A$6:$A$104&amp;'AEA2012 update'!$B$6:$B$104,0),MATCH(AJ$16,'AEA2012 update'!$S$4:$Z$4,0)),INDEX('AEA2012 update'!$K$6:$R$104,MATCH($T107&amp;$U107,'AEA2012 update'!$A$6:$A$104&amp;'AEA2012 update'!$B$6:$B$104,0),MATCH(AJ$16,'AEA2012 update'!$S$4:$Z$4,0)))</f>
        <v>#N/A</v>
      </c>
      <c r="AK107" s="103" t="str">
        <f t="shared" si="33"/>
        <v/>
      </c>
      <c r="AL107" s="67" t="e">
        <f>INDEX('Vehicle data '!$AD$20:$AD$110,MATCH($AK107,'Vehicle data '!$AC$20:$AC$110,0))/INDEX('Vehicle data '!$AD$20:$AD$110,MATCH($AK$103,'Vehicle data '!$AC$20:$AC$110,0))*AL$103</f>
        <v>#N/A</v>
      </c>
      <c r="AM107" s="67" t="e">
        <f t="array" ref="AM107">IF($AE$1,AL107*(1+INDEX(AM$1:AM$2,MATCH($O107,$AI$1:$AI$2,0)))^(AM$16-AL$16),INDEX('AEA2012 update'!$AC$6:$AG$104,MATCH($T107&amp;$U107,'AEA2012 update'!$A$6:$A$104&amp;'AEA2012 update'!$B$6:$B$104,0),MATCH(AM$16,'AEA2012 update'!$AC$4:$AG$4,0)))</f>
        <v>#N/A</v>
      </c>
      <c r="AN107" s="67" t="e">
        <f t="array" ref="AN107">IF($AE$1,AM107*(1+INDEX(AN$1:AN$2,MATCH($O107,$AI$1:$AI$2,0)))^(AN$16-AM$16),INDEX('AEA2012 update'!$AC$6:$AG$104,MATCH($T107&amp;$U107,'AEA2012 update'!$A$6:$A$104&amp;'AEA2012 update'!$B$6:$B$104,0),MATCH(AN$16,'AEA2012 update'!$AC$4:$AG$4,0)))</f>
        <v>#N/A</v>
      </c>
      <c r="AO107" s="67" t="e">
        <f t="array" ref="AO107">IF($AE$1,AN107*(1+INDEX(AO$1:AO$2,MATCH($O107,$AI$1:$AI$2,0)))^(AO$16-AN$16),INDEX('AEA2012 update'!$AC$6:$AG$104,MATCH($T107&amp;$U107,'AEA2012 update'!$A$6:$A$104&amp;'AEA2012 update'!$B$6:$B$104,0),MATCH(AO$16,'AEA2012 update'!$AC$4:$AG$4,0)))</f>
        <v>#N/A</v>
      </c>
      <c r="AP107" s="67" t="e">
        <f t="array" ref="AP107">IF($AE$1,AO107*(1+INDEX(AP$1:AP$2,MATCH($O107,$AI$1:$AI$2,0)))^(AP$16-AO$16),INDEX('AEA2012 update'!$AC$6:$AG$104,MATCH($T107&amp;$U107,'AEA2012 update'!$A$6:$A$104&amp;'AEA2012 update'!$B$6:$B$104,0),MATCH(AP$16,'AEA2012 update'!$AC$4:$AG$4,0)))</f>
        <v>#N/A</v>
      </c>
      <c r="AQ107" s="67"/>
      <c r="AR107" s="257" t="e">
        <f t="shared" si="31"/>
        <v>#N/A</v>
      </c>
      <c r="AS107" s="257" t="e">
        <f t="shared" si="32"/>
        <v>#N/A</v>
      </c>
      <c r="AY107" s="61" t="str">
        <f t="shared" si="23"/>
        <v>-</v>
      </c>
      <c r="AZ107" s="80" t="e" cm="1">
        <f t="array" aca="1" ref="AZ107" ca="1">AL107/INDIRECT("cv."&amp;LEFT($U107,6)&amp;".hhv.MJL") * 100</f>
        <v>#N/A</v>
      </c>
      <c r="BA107" s="80" t="e" cm="1">
        <f t="array" aca="1" ref="BA107" ca="1">AM107/INDIRECT("cv."&amp;LEFT($U107,6)&amp;".hhv.MJL") * 100</f>
        <v>#N/A</v>
      </c>
      <c r="BB107" s="80" t="e" cm="1">
        <f t="array" aca="1" ref="BB107" ca="1">AN107/INDIRECT("cv."&amp;LEFT($U107,6)&amp;".hhv.MJL") * 100</f>
        <v>#N/A</v>
      </c>
      <c r="BC107" s="80" t="e" cm="1">
        <f t="array" aca="1" ref="BC107" ca="1">AO107/INDIRECT("cv."&amp;LEFT($U107,6)&amp;".hhv.MJL") * 100</f>
        <v>#N/A</v>
      </c>
      <c r="BD107" s="80" t="e" cm="1">
        <f t="array" aca="1" ref="BD107" ca="1">AP107/INDIRECT("cv."&amp;LEFT($U107,6)&amp;".hhv.MJL") * 100</f>
        <v>#N/A</v>
      </c>
    </row>
    <row r="108" spans="1:59" x14ac:dyDescent="0.25">
      <c r="A108" t="s">
        <v>749</v>
      </c>
      <c r="B108"/>
      <c r="C108"/>
      <c r="D108"/>
      <c r="E108"/>
      <c r="F108"/>
      <c r="G108"/>
      <c r="H108"/>
      <c r="I108"/>
      <c r="J108"/>
      <c r="N108" s="61" t="s">
        <v>511</v>
      </c>
      <c r="O108" s="61" t="s">
        <v>653</v>
      </c>
      <c r="P108" s="61" t="s">
        <v>750</v>
      </c>
      <c r="Q108" s="61" t="str">
        <f t="shared" si="30"/>
        <v>CV8</v>
      </c>
      <c r="R108" s="61" t="s">
        <v>687</v>
      </c>
      <c r="S108" s="65"/>
      <c r="T108" s="256" t="s">
        <v>747</v>
      </c>
      <c r="U108" s="913" t="s">
        <v>687</v>
      </c>
      <c r="V108" s="921"/>
      <c r="W108" s="914">
        <f t="shared" si="44"/>
        <v>0</v>
      </c>
      <c r="X108" s="915">
        <f t="shared" si="44"/>
        <v>0</v>
      </c>
      <c r="Y108" s="915">
        <f t="shared" si="44"/>
        <v>0</v>
      </c>
      <c r="Z108" s="915">
        <f t="shared" si="44"/>
        <v>0</v>
      </c>
      <c r="AA108" s="915">
        <f t="shared" si="44"/>
        <v>0</v>
      </c>
      <c r="AB108" s="915">
        <f t="shared" si="44"/>
        <v>0</v>
      </c>
      <c r="AC108" s="916">
        <f t="shared" si="44"/>
        <v>0</v>
      </c>
      <c r="AD108" s="103" cm="1">
        <f t="array" ref="AD108">IF(W108,INDEX('AEA2012 update'!$K$6:$R$104,MATCH($T108&amp;$R108,'AEA2012 update'!$A$6:$A$104&amp;'AEA2012 update'!$B$6:$B$104,0),MATCH(AD$16,'AEA2012 update'!$S$4:$Z$4,0)),INDEX('AEA2012 update'!$K$6:$R$104,MATCH($T108&amp;$U108,'AEA2012 update'!$A$6:$A$104&amp;'AEA2012 update'!$B$6:$B$104,0),MATCH(AD$16,'AEA2012 update'!$S$4:$Z$4,0)))</f>
        <v>877700.13388008508</v>
      </c>
      <c r="AE108" s="103" cm="1">
        <f t="array" ref="AE108">IF(X108,INDEX('AEA2012 update'!$K$6:$R$104,MATCH($T108&amp;$R108,'AEA2012 update'!$A$6:$A$104&amp;'AEA2012 update'!$B$6:$B$104,0),MATCH(AE$16,'AEA2012 update'!$S$4:$Z$4,0)),INDEX('AEA2012 update'!$K$6:$R$104,MATCH($T108&amp;$U108,'AEA2012 update'!$A$6:$A$104&amp;'AEA2012 update'!$B$6:$B$104,0),MATCH(AE$16,'AEA2012 update'!$S$4:$Z$4,0)))</f>
        <v>1088428.6604757041</v>
      </c>
      <c r="AF108" s="103" cm="1">
        <f t="array" ref="AF108">IF(Y108,INDEX('AEA2012 update'!$K$6:$R$104,MATCH($T108&amp;$R108,'AEA2012 update'!$A$6:$A$104&amp;'AEA2012 update'!$B$6:$B$104,0),MATCH(AF$16,'AEA2012 update'!$S$4:$Z$4,0)),INDEX('AEA2012 update'!$K$6:$R$104,MATCH($T108&amp;$U108,'AEA2012 update'!$A$6:$A$104&amp;'AEA2012 update'!$B$6:$B$104,0),MATCH(AF$16,'AEA2012 update'!$S$4:$Z$4,0)))</f>
        <v>1116561.6285591619</v>
      </c>
      <c r="AG108" s="103" cm="1">
        <f t="array" ref="AG108">IF(Z108,INDEX('AEA2012 update'!$K$6:$R$104,MATCH($T108&amp;$R108,'AEA2012 update'!$A$6:$A$104&amp;'AEA2012 update'!$B$6:$B$104,0),MATCH(AG$16,'AEA2012 update'!$S$4:$Z$4,0)),INDEX('AEA2012 update'!$K$6:$R$104,MATCH($T108&amp;$U108,'AEA2012 update'!$A$6:$A$104&amp;'AEA2012 update'!$B$6:$B$104,0),MATCH(AG$16,'AEA2012 update'!$S$4:$Z$4,0)))</f>
        <v>1144694.5966426195</v>
      </c>
      <c r="AH108" s="103" cm="1">
        <f t="array" ref="AH108">IF(AA108,INDEX('AEA2012 update'!$K$6:$R$104,MATCH($T108&amp;$R108,'AEA2012 update'!$A$6:$A$104&amp;'AEA2012 update'!$B$6:$B$104,0),MATCH(AH$16,'AEA2012 update'!$S$4:$Z$4,0)),INDEX('AEA2012 update'!$K$6:$R$104,MATCH($T108&amp;$U108,'AEA2012 update'!$A$6:$A$104&amp;'AEA2012 update'!$B$6:$B$104,0),MATCH(AH$16,'AEA2012 update'!$S$4:$Z$4,0)))</f>
        <v>1166651.8949681348</v>
      </c>
      <c r="AI108" s="103" cm="1">
        <f t="array" ref="AI108">IF(AB108,INDEX('AEA2012 update'!$K$6:$R$104,MATCH($T108&amp;$R108,'AEA2012 update'!$A$6:$A$104&amp;'AEA2012 update'!$B$6:$B$104,0),MATCH(AI$16,'AEA2012 update'!$S$4:$Z$4,0)),INDEX('AEA2012 update'!$K$6:$R$104,MATCH($T108&amp;$U108,'AEA2012 update'!$A$6:$A$104&amp;'AEA2012 update'!$B$6:$B$104,0),MATCH(AI$16,'AEA2012 update'!$S$4:$Z$4,0)))</f>
        <v>1188609.1932936499</v>
      </c>
      <c r="AJ108" s="103" cm="1">
        <f t="array" ref="AJ108">IF(AC108,INDEX('AEA2012 update'!$K$6:$R$104,MATCH($T108&amp;$R108,'AEA2012 update'!$A$6:$A$104&amp;'AEA2012 update'!$B$6:$B$104,0),MATCH(AJ$16,'AEA2012 update'!$S$4:$Z$4,0)),INDEX('AEA2012 update'!$K$6:$R$104,MATCH($T108&amp;$U108,'AEA2012 update'!$A$6:$A$104&amp;'AEA2012 update'!$B$6:$B$104,0),MATCH(AJ$16,'AEA2012 update'!$S$4:$Z$4,0)))</f>
        <v>1215891.7526997081</v>
      </c>
      <c r="AK108" s="103" t="str">
        <f t="shared" si="33"/>
        <v>CV8ODS</v>
      </c>
      <c r="AL108" s="67">
        <f>1/INDEX(Analytica!$AA$17:$AE$48,MATCH($AK108,Analytica!$A$17:$A$48,0),MATCH(AL$16,Analytica!$AA$16:$AE$16,0))</f>
        <v>14.452202013338351</v>
      </c>
      <c r="AM108" s="67">
        <f t="array" ref="AM108">IF($AE$1,AL108*(1+INDEX(AM$1:AM$2,MATCH($O108,$AI$1:$AI$2,0)))^(AM$16-AL$16),INDEX('AEA2012 update'!$AC$6:$AG$104,MATCH($T108&amp;$U108,'AEA2012 update'!$A$6:$A$104&amp;'AEA2012 update'!$B$6:$B$104,0),MATCH(AM$16,'AEA2012 update'!$AC$4:$AG$4,0)))</f>
        <v>14.408888749452174</v>
      </c>
      <c r="AN108" s="67">
        <f t="array" ref="AN108">IF($AE$1,AM108*(1+INDEX(AN$1:AN$2,MATCH($O108,$AI$1:$AI$2,0)))^(AN$16-AM$16),INDEX('AEA2012 update'!$AC$6:$AG$104,MATCH($T108&amp;$U108,'AEA2012 update'!$A$6:$A$104&amp;'AEA2012 update'!$B$6:$B$104,0),MATCH(AN$16,'AEA2012 update'!$AC$4:$AG$4,0)))</f>
        <v>13.63572904524475</v>
      </c>
      <c r="AO108" s="67">
        <f t="array" ref="AO108">IF($AE$1,AN108*(1+INDEX(AO$1:AO$2,MATCH($O108,$AI$1:$AI$2,0)))^(AO$16-AN$16),INDEX('AEA2012 update'!$AC$6:$AG$104,MATCH($T108&amp;$U108,'AEA2012 update'!$A$6:$A$104&amp;'AEA2012 update'!$B$6:$B$104,0),MATCH(AO$16,'AEA2012 update'!$AC$4:$AG$4,0)))</f>
        <v>12.331908928196269</v>
      </c>
      <c r="AP108" s="67">
        <f t="array" ref="AP108">IF($AE$1,AO108*(1+INDEX(AP$1:AP$2,MATCH($O108,$AI$1:$AI$2,0)))^(AP$16-AO$16),INDEX('AEA2012 update'!$AC$6:$AG$104,MATCH($T108&amp;$U108,'AEA2012 update'!$A$6:$A$104&amp;'AEA2012 update'!$B$6:$B$104,0),MATCH(AP$16,'AEA2012 update'!$AC$4:$AG$4,0)))</f>
        <v>11.152757385301742</v>
      </c>
      <c r="AQ108" s="67"/>
      <c r="AR108" s="257">
        <f t="shared" si="31"/>
        <v>-9.990003333333183E-4</v>
      </c>
      <c r="AS108" s="257">
        <f t="shared" si="32"/>
        <v>-7.5326913841620401E-3</v>
      </c>
      <c r="AY108" s="61" t="str">
        <f t="shared" si="23"/>
        <v>HCV8-ODS</v>
      </c>
      <c r="AZ108" s="80" t="e" cm="1">
        <f t="array" aca="1" ref="AZ108" ca="1">AL108/INDIRECT("cv."&amp;LEFT($U108,6)&amp;".hhv.MJL") * 100</f>
        <v>#REF!</v>
      </c>
      <c r="BA108" s="80" t="e" cm="1">
        <f t="array" aca="1" ref="BA108" ca="1">AM108/INDIRECT("cv."&amp;LEFT($U108,6)&amp;".hhv.MJL") * 100</f>
        <v>#REF!</v>
      </c>
      <c r="BB108" s="80" t="e" cm="1">
        <f t="array" aca="1" ref="BB108" ca="1">AN108/INDIRECT("cv."&amp;LEFT($U108,6)&amp;".hhv.MJL") * 100</f>
        <v>#REF!</v>
      </c>
      <c r="BC108" s="80" t="e" cm="1">
        <f t="array" aca="1" ref="BC108" ca="1">AO108/INDIRECT("cv."&amp;LEFT($U108,6)&amp;".hhv.MJL") * 100</f>
        <v>#REF!</v>
      </c>
      <c r="BD108" s="80" t="e" cm="1">
        <f t="array" aca="1" ref="BD108" ca="1">AP108/INDIRECT("cv."&amp;LEFT($U108,6)&amp;".hhv.MJL") * 100</f>
        <v>#REF!</v>
      </c>
    </row>
    <row r="109" spans="1:59" s="924" customFormat="1" x14ac:dyDescent="0.25">
      <c r="A109" s="924" t="s">
        <v>251</v>
      </c>
      <c r="C109" s="925">
        <f>C93/$C$82</f>
        <v>0</v>
      </c>
      <c r="D109" s="926">
        <f t="shared" ref="D109" si="45">C109*$D$58</f>
        <v>0</v>
      </c>
      <c r="N109" s="924" t="s">
        <v>501</v>
      </c>
      <c r="O109" s="924" t="s">
        <v>653</v>
      </c>
      <c r="P109" s="924" t="s">
        <v>750</v>
      </c>
      <c r="Q109" s="924" t="str">
        <f t="shared" ref="Q109" si="46">RIGHT(P109,3)</f>
        <v>CV8</v>
      </c>
      <c r="R109" s="924" t="s">
        <v>687</v>
      </c>
      <c r="S109" s="927"/>
      <c r="T109" s="928" t="s">
        <v>747</v>
      </c>
      <c r="U109" s="929" t="s">
        <v>692</v>
      </c>
      <c r="V109" s="921">
        <v>2050</v>
      </c>
      <c r="W109" s="930">
        <f t="shared" si="44"/>
        <v>0</v>
      </c>
      <c r="X109" s="931">
        <f t="shared" si="44"/>
        <v>0</v>
      </c>
      <c r="Y109" s="931">
        <f t="shared" si="44"/>
        <v>0</v>
      </c>
      <c r="Z109" s="931">
        <f t="shared" si="44"/>
        <v>0</v>
      </c>
      <c r="AA109" s="931">
        <f t="shared" si="44"/>
        <v>0</v>
      </c>
      <c r="AB109" s="931">
        <f t="shared" si="44"/>
        <v>0</v>
      </c>
      <c r="AC109" s="932">
        <f t="shared" si="44"/>
        <v>1</v>
      </c>
      <c r="AD109" s="933" cm="1">
        <f t="array" ref="AD109">IF(W109,INDEX('AEA2012 update'!$K$6:$R$104,MATCH($T109&amp;$R109,'AEA2012 update'!$A$6:$A$104&amp;'AEA2012 update'!$B$6:$B$104,0),MATCH(AD$16,'AEA2012 update'!$S$4:$Z$4,0)),INDEX('AEA2012 update'!$K$6:$R$104,MATCH($T109&amp;$U109,'AEA2012 update'!$A$6:$A$104&amp;'AEA2012 update'!$B$6:$B$104,0),MATCH(AD$16,'AEA2012 update'!$S$4:$Z$4,0)))</f>
        <v>6464323.715992094</v>
      </c>
      <c r="AE109" s="933" cm="1">
        <f t="array" ref="AE109">IF(X109,INDEX('AEA2012 update'!$K$6:$R$104,MATCH($T109&amp;$R109,'AEA2012 update'!$A$6:$A$104&amp;'AEA2012 update'!$B$6:$B$104,0),MATCH(AE$16,'AEA2012 update'!$S$4:$Z$4,0)),INDEX('AEA2012 update'!$K$6:$R$104,MATCH($T109&amp;$U109,'AEA2012 update'!$A$6:$A$104&amp;'AEA2012 update'!$B$6:$B$104,0),MATCH(AE$16,'AEA2012 update'!$S$4:$Z$4,0)))</f>
        <v>4928974.3080670405</v>
      </c>
      <c r="AF109" s="933" cm="1">
        <f t="array" ref="AF109">IF(Y109,INDEX('AEA2012 update'!$K$6:$R$104,MATCH($T109&amp;$R109,'AEA2012 update'!$A$6:$A$104&amp;'AEA2012 update'!$B$6:$B$104,0),MATCH(AF$16,'AEA2012 update'!$S$4:$Z$4,0)),INDEX('AEA2012 update'!$K$6:$R$104,MATCH($T109&amp;$U109,'AEA2012 update'!$A$6:$A$104&amp;'AEA2012 update'!$B$6:$B$104,0),MATCH(AF$16,'AEA2012 update'!$S$4:$Z$4,0)))</f>
        <v>3450282.015646928</v>
      </c>
      <c r="AG109" s="933" cm="1">
        <f t="array" ref="AG109">IF(Z109,INDEX('AEA2012 update'!$K$6:$R$104,MATCH($T109&amp;$R109,'AEA2012 update'!$A$6:$A$104&amp;'AEA2012 update'!$B$6:$B$104,0),MATCH(AG$16,'AEA2012 update'!$S$4:$Z$4,0)),INDEX('AEA2012 update'!$K$6:$R$104,MATCH($T109&amp;$U109,'AEA2012 update'!$A$6:$A$104&amp;'AEA2012 update'!$B$6:$B$104,0),MATCH(AG$16,'AEA2012 update'!$S$4:$Z$4,0)))</f>
        <v>2957384.5848402241</v>
      </c>
      <c r="AH109" s="933" cm="1">
        <f t="array" ref="AH109">IF(AA109,INDEX('AEA2012 update'!$K$6:$R$104,MATCH($T109&amp;$R109,'AEA2012 update'!$A$6:$A$104&amp;'AEA2012 update'!$B$6:$B$104,0),MATCH(AH$16,'AEA2012 update'!$S$4:$Z$4,0)),INDEX('AEA2012 update'!$K$6:$R$104,MATCH($T109&amp;$U109,'AEA2012 update'!$A$6:$A$104&amp;'AEA2012 update'!$B$6:$B$104,0),MATCH(AH$16,'AEA2012 update'!$S$4:$Z$4,0)))</f>
        <v>2464487.1540335203</v>
      </c>
      <c r="AI109" s="933" cm="1">
        <f t="array" ref="AI109">IF(AB109,INDEX('AEA2012 update'!$K$6:$R$104,MATCH($T109&amp;$R109,'AEA2012 update'!$A$6:$A$104&amp;'AEA2012 update'!$B$6:$B$104,0),MATCH(AI$16,'AEA2012 update'!$S$4:$Z$4,0)),INDEX('AEA2012 update'!$K$6:$R$104,MATCH($T109&amp;$U109,'AEA2012 update'!$A$6:$A$104&amp;'AEA2012 update'!$B$6:$B$104,0),MATCH(AI$16,'AEA2012 update'!$S$4:$Z$4,0)))</f>
        <v>2300188.0104312855</v>
      </c>
      <c r="AJ109" s="933" cm="1">
        <f t="array" ref="AJ109">IF(AC109,INDEX('AEA2012 update'!$K$6:$R$104,MATCH($T109&amp;$R109,'AEA2012 update'!$A$6:$A$104&amp;'AEA2012 update'!$B$6:$B$104,0),MATCH(AJ$16,'AEA2012 update'!$S$4:$Z$4,0)),INDEX('AEA2012 update'!$K$6:$R$104,MATCH($T109&amp;$U109,'AEA2012 update'!$A$6:$A$104&amp;'AEA2012 update'!$B$6:$B$104,0),MATCH(AJ$16,'AEA2012 update'!$S$4:$Z$4,0)))</f>
        <v>1215891.7526997081</v>
      </c>
      <c r="AK109" s="933" t="str">
        <f t="shared" ref="AK109" si="47">Q109&amp;N109</f>
        <v>CV8ELC</v>
      </c>
      <c r="AL109" s="986">
        <f>$AL$84/$AL$83*AL108</f>
        <v>4.4138834570714414</v>
      </c>
      <c r="AM109" s="986">
        <f t="array" ref="AM109">IF($AE$1,AL109*(1+INDEX(AM$1:AM$2,MATCH($O109,$AI$1:$AI$2,0)))^(AM$16-AL$16),INDEX('AEA2012 update'!$AC$6:$AG$104,MATCH($T109&amp;$U109,'AEA2012 update'!$A$6:$A$104&amp;'AEA2012 update'!$B$6:$B$104,0),MATCH(AM$16,'AEA2012 update'!$AC$4:$AG$4,0)))</f>
        <v>4.4006550439367151</v>
      </c>
      <c r="AN109" s="986">
        <f t="array" ref="AN109">IF($AE$1,AM109*(1+INDEX(AN$1:AN$2,MATCH($O109,$AI$1:$AI$2,0)))^(AN$16-AM$16),INDEX('AEA2012 update'!$AC$6:$AG$104,MATCH($T109&amp;$U109,'AEA2012 update'!$A$6:$A$104&amp;'AEA2012 update'!$B$6:$B$104,0),MATCH(AN$16,'AEA2012 update'!$AC$4:$AG$4,0)))</f>
        <v>4.1645223892086829</v>
      </c>
      <c r="AO109" s="986">
        <f t="array" ref="AO109">IF($AE$1,AN109*(1+INDEX(AO$1:AO$2,MATCH($O109,$AI$1:$AI$2,0)))^(AO$16-AN$16),INDEX('AEA2012 update'!$AC$6:$AG$104,MATCH($T109&amp;$U109,'AEA2012 update'!$A$6:$A$104&amp;'AEA2012 update'!$B$6:$B$104,0),MATCH(AO$16,'AEA2012 update'!$AC$4:$AG$4,0)))</f>
        <v>3.7663193997731721</v>
      </c>
      <c r="AP109" s="986">
        <f t="array" ref="AP109">IF($AE$1,AO109*(1+INDEX(AP$1:AP$2,MATCH($O109,$AI$1:$AI$2,0)))^(AP$16-AO$16),INDEX('AEA2012 update'!$AC$6:$AG$104,MATCH($T109&amp;$U109,'AEA2012 update'!$A$6:$A$104&amp;'AEA2012 update'!$B$6:$B$104,0),MATCH(AP$16,'AEA2012 update'!$AC$4:$AG$4,0)))</f>
        <v>3.4061917539127755</v>
      </c>
      <c r="AQ109" s="934"/>
      <c r="AR109" s="935">
        <f t="shared" ref="AR109" si="48">-((AL109-AM109)/($AM$16-$AL$16))/AL109</f>
        <v>-9.9900033333330746E-4</v>
      </c>
      <c r="AS109" s="935">
        <f t="shared" ref="AS109" si="49">-((AM109-AP109)/($AP$16-$AM$16))/AM109</f>
        <v>-7.5326913841620401E-3</v>
      </c>
      <c r="AY109" s="924" t="str">
        <f t="shared" si="23"/>
        <v>HCV8-ELC</v>
      </c>
      <c r="AZ109" s="936" t="e" cm="1">
        <f t="array" aca="1" ref="AZ109" ca="1">AL109/INDIRECT("cv."&amp;LEFT($U109,6)&amp;".hhv.MJL") * 100</f>
        <v>#REF!</v>
      </c>
      <c r="BA109" s="936" t="e" cm="1">
        <f t="array" aca="1" ref="BA109" ca="1">AM109/INDIRECT("cv."&amp;LEFT($U109,6)&amp;".hhv.MJL") * 100</f>
        <v>#REF!</v>
      </c>
      <c r="BB109" s="936" t="e" cm="1">
        <f t="array" aca="1" ref="BB109" ca="1">AN109/INDIRECT("cv."&amp;LEFT($U109,6)&amp;".hhv.MJL") * 100</f>
        <v>#REF!</v>
      </c>
      <c r="BC109" s="936" t="e" cm="1">
        <f t="array" aca="1" ref="BC109" ca="1">AO109/INDIRECT("cv."&amp;LEFT($U109,6)&amp;".hhv.MJL") * 100</f>
        <v>#REF!</v>
      </c>
      <c r="BD109" s="936" t="e" cm="1">
        <f t="array" aca="1" ref="BD109" ca="1">AP109/INDIRECT("cv."&amp;LEFT($U109,6)&amp;".hhv.MJL") * 100</f>
        <v>#REF!</v>
      </c>
    </row>
    <row r="110" spans="1:59" ht="15.75" thickBot="1" x14ac:dyDescent="0.3">
      <c r="N110" s="61" t="s">
        <v>504</v>
      </c>
      <c r="O110" s="61" t="s">
        <v>653</v>
      </c>
      <c r="P110" s="61" t="s">
        <v>750</v>
      </c>
      <c r="Q110" s="61" t="str">
        <f t="shared" si="30"/>
        <v>CV8</v>
      </c>
      <c r="R110" s="61" t="s">
        <v>687</v>
      </c>
      <c r="S110" s="65"/>
      <c r="T110" s="256" t="s">
        <v>747</v>
      </c>
      <c r="U110" s="913" t="s">
        <v>699</v>
      </c>
      <c r="V110" s="921">
        <v>2050</v>
      </c>
      <c r="W110" s="914">
        <f t="shared" si="44"/>
        <v>0</v>
      </c>
      <c r="X110" s="915">
        <f t="shared" si="44"/>
        <v>0</v>
      </c>
      <c r="Y110" s="915">
        <f t="shared" si="44"/>
        <v>0</v>
      </c>
      <c r="Z110" s="915">
        <f t="shared" si="44"/>
        <v>0</v>
      </c>
      <c r="AA110" s="915">
        <f t="shared" si="44"/>
        <v>0</v>
      </c>
      <c r="AB110" s="915">
        <f t="shared" si="44"/>
        <v>0</v>
      </c>
      <c r="AC110" s="916">
        <f t="shared" si="44"/>
        <v>1</v>
      </c>
      <c r="AD110" s="103" cm="1">
        <f t="array" ref="AD110">IF(W110,INDEX('AEA2012 update'!$K$6:$R$104,MATCH($T110&amp;$R110,'AEA2012 update'!$A$6:$A$104&amp;'AEA2012 update'!$B$6:$B$104,0),MATCH(AD$16,'AEA2012 update'!$S$4:$Z$4,0)),INDEX('AEA2012 update'!$K$6:$R$104,MATCH($T110&amp;$U110,'AEA2012 update'!$A$6:$A$104&amp;'AEA2012 update'!$B$6:$B$104,0),MATCH(AD$16,'AEA2012 update'!$S$4:$Z$4,0)))</f>
        <v>5872968.0361672165</v>
      </c>
      <c r="AE110" s="103" cm="1">
        <f t="array" ref="AE110">IF(X110,INDEX('AEA2012 update'!$K$6:$R$104,MATCH($T110&amp;$R110,'AEA2012 update'!$A$6:$A$104&amp;'AEA2012 update'!$B$6:$B$104,0),MATCH(AE$16,'AEA2012 update'!$S$4:$Z$4,0)),INDEX('AEA2012 update'!$K$6:$R$104,MATCH($T110&amp;$U110,'AEA2012 update'!$A$6:$A$104&amp;'AEA2012 update'!$B$6:$B$104,0),MATCH(AE$16,'AEA2012 update'!$S$4:$Z$4,0)))</f>
        <v>2464487.1540335203</v>
      </c>
      <c r="AF110" s="103" cm="1">
        <f t="array" ref="AF110">IF(Y110,INDEX('AEA2012 update'!$K$6:$R$104,MATCH($T110&amp;$R110,'AEA2012 update'!$A$6:$A$104&amp;'AEA2012 update'!$B$6:$B$104,0),MATCH(AF$16,'AEA2012 update'!$S$4:$Z$4,0)),INDEX('AEA2012 update'!$K$6:$R$104,MATCH($T110&amp;$U110,'AEA2012 update'!$A$6:$A$104&amp;'AEA2012 update'!$B$6:$B$104,0),MATCH(AF$16,'AEA2012 update'!$S$4:$Z$4,0)))</f>
        <v>1930209.4138028375</v>
      </c>
      <c r="AG110" s="103" cm="1">
        <f t="array" ref="AG110">IF(Z110,INDEX('AEA2012 update'!$K$6:$R$104,MATCH($T110&amp;$R110,'AEA2012 update'!$A$6:$A$104&amp;'AEA2012 update'!$B$6:$B$104,0),MATCH(AG$16,'AEA2012 update'!$S$4:$Z$4,0)),INDEX('AEA2012 update'!$K$6:$R$104,MATCH($T110&amp;$U110,'AEA2012 update'!$A$6:$A$104&amp;'AEA2012 update'!$B$6:$B$104,0),MATCH(AG$16,'AEA2012 update'!$S$4:$Z$4,0)))</f>
        <v>1395931.6735721545</v>
      </c>
      <c r="AH110" s="103" cm="1">
        <f t="array" ref="AH110">IF(AA110,INDEX('AEA2012 update'!$K$6:$R$104,MATCH($T110&amp;$R110,'AEA2012 update'!$A$6:$A$104&amp;'AEA2012 update'!$B$6:$B$104,0),MATCH(AH$16,'AEA2012 update'!$S$4:$Z$4,0)),INDEX('AEA2012 update'!$K$6:$R$104,MATCH($T110&amp;$U110,'AEA2012 update'!$A$6:$A$104&amp;'AEA2012 update'!$B$6:$B$104,0),MATCH(AH$16,'AEA2012 update'!$S$4:$Z$4,0)))</f>
        <v>1325659.1701213</v>
      </c>
      <c r="AI110" s="103" cm="1">
        <f t="array" ref="AI110">IF(AB110,INDEX('AEA2012 update'!$K$6:$R$104,MATCH($T110&amp;$R110,'AEA2012 update'!$A$6:$A$104&amp;'AEA2012 update'!$B$6:$B$104,0),MATCH(AI$16,'AEA2012 update'!$S$4:$Z$4,0)),INDEX('AEA2012 update'!$K$6:$R$104,MATCH($T110&amp;$U110,'AEA2012 update'!$A$6:$A$104&amp;'AEA2012 update'!$B$6:$B$104,0),MATCH(AI$16,'AEA2012 update'!$S$4:$Z$4,0)))</f>
        <v>1255386.6666704458</v>
      </c>
      <c r="AJ110" s="103" cm="1">
        <f t="array" ref="AJ110">IF(AC110,INDEX('AEA2012 update'!$K$6:$R$104,MATCH($T110&amp;$R110,'AEA2012 update'!$A$6:$A$104&amp;'AEA2012 update'!$B$6:$B$104,0),MATCH(AJ$16,'AEA2012 update'!$S$4:$Z$4,0)),INDEX('AEA2012 update'!$K$6:$R$104,MATCH($T110&amp;$U110,'AEA2012 update'!$A$6:$A$104&amp;'AEA2012 update'!$B$6:$B$104,0),MATCH(AJ$16,'AEA2012 update'!$S$4:$Z$4,0)))</f>
        <v>1215891.7526997081</v>
      </c>
      <c r="AK110" s="103" t="str">
        <f t="shared" si="33"/>
        <v>CV8HGN</v>
      </c>
      <c r="AL110" s="67">
        <f>INDEX('Vehicle data '!$AD$20:$AD$110,MATCH($AK110,'Vehicle data '!$AC$20:$AC$110,0))/INDEX('Vehicle data '!$AD$20:$AD$110,MATCH($AK$108,'Vehicle data '!$AC$20:$AC$110,0))*AL$108</f>
        <v>6.8643395710089807</v>
      </c>
      <c r="AM110" s="67">
        <f t="array" ref="AM110">IF($AE$1,AL110*(1+INDEX(AM$1:AM$2,MATCH($O110,$AI$1:$AI$2,0)))^(AM$16-AL$16),INDEX('AEA2012 update'!$AC$6:$AG$104,MATCH($T110&amp;$U110,'AEA2012 update'!$A$6:$A$104&amp;'AEA2012 update'!$B$6:$B$104,0),MATCH(AM$16,'AEA2012 update'!$AC$4:$AG$4,0)))</f>
        <v>6.8437671384503274</v>
      </c>
      <c r="AN110" s="67">
        <f t="array" ref="AN110">IF($AE$1,AM110*(1+INDEX(AN$1:AN$2,MATCH($O110,$AI$1:$AI$2,0)))^(AN$16-AM$16),INDEX('AEA2012 update'!$AC$6:$AG$104,MATCH($T110&amp;$U110,'AEA2012 update'!$A$6:$A$104&amp;'AEA2012 update'!$B$6:$B$104,0),MATCH(AN$16,'AEA2012 update'!$AC$4:$AG$4,0)))</f>
        <v>6.4765406945214075</v>
      </c>
      <c r="AO110" s="67">
        <f t="array" ref="AO110">IF($AE$1,AN110*(1+INDEX(AO$1:AO$2,MATCH($O110,$AI$1:$AI$2,0)))^(AO$16-AN$16),INDEX('AEA2012 update'!$AC$6:$AG$104,MATCH($T110&amp;$U110,'AEA2012 update'!$A$6:$A$104&amp;'AEA2012 update'!$B$6:$B$104,0),MATCH(AO$16,'AEA2012 update'!$AC$4:$AG$4,0)))</f>
        <v>5.857267312190233</v>
      </c>
      <c r="AP110" s="67">
        <f t="array" ref="AP110">IF($AE$1,AO110*(1+INDEX(AP$1:AP$2,MATCH($O110,$AI$1:$AI$2,0)))^(AP$16-AO$16),INDEX('AEA2012 update'!$AC$6:$AG$104,MATCH($T110&amp;$U110,'AEA2012 update'!$A$6:$A$104&amp;'AEA2012 update'!$B$6:$B$104,0),MATCH(AP$16,'AEA2012 update'!$AC$4:$AG$4,0)))</f>
        <v>5.2972075656798445</v>
      </c>
      <c r="AQ110" s="67"/>
      <c r="AR110" s="257">
        <f t="shared" si="31"/>
        <v>-9.9900033333332784E-4</v>
      </c>
      <c r="AS110" s="257">
        <f t="shared" si="32"/>
        <v>-7.5326913841620418E-3</v>
      </c>
      <c r="AY110" s="61" t="str">
        <f t="shared" si="23"/>
        <v>HCV8-HGN</v>
      </c>
      <c r="AZ110" s="80" t="e" cm="1">
        <f t="array" aca="1" ref="AZ110" ca="1">AL110/INDIRECT("cv."&amp;LEFT($U110,6)&amp;".hhv.MJL") * 100</f>
        <v>#REF!</v>
      </c>
      <c r="BA110" s="80" t="e" cm="1">
        <f t="array" aca="1" ref="BA110" ca="1">AM110/INDIRECT("cv."&amp;LEFT($U110,6)&amp;".hhv.MJL") * 100</f>
        <v>#REF!</v>
      </c>
      <c r="BB110" s="80" t="e" cm="1">
        <f t="array" aca="1" ref="BB110" ca="1">AN110/INDIRECT("cv."&amp;LEFT($U110,6)&amp;".hhv.MJL") * 100</f>
        <v>#REF!</v>
      </c>
      <c r="BC110" s="80" t="e" cm="1">
        <f t="array" aca="1" ref="BC110" ca="1">AO110/INDIRECT("cv."&amp;LEFT($U110,6)&amp;".hhv.MJL") * 100</f>
        <v>#REF!</v>
      </c>
      <c r="BD110" s="80" t="e" cm="1">
        <f t="array" aca="1" ref="BD110" ca="1">AP110/INDIRECT("cv."&amp;LEFT($U110,6)&amp;".hhv.MJL") * 100</f>
        <v>#REF!</v>
      </c>
    </row>
    <row r="111" spans="1:59" ht="31.5" x14ac:dyDescent="0.25">
      <c r="A111" s="280"/>
      <c r="B111" s="281" t="s">
        <v>751</v>
      </c>
      <c r="C111" s="282" t="s">
        <v>752</v>
      </c>
      <c r="D111" s="281" t="s">
        <v>751</v>
      </c>
      <c r="E111" s="281" t="s">
        <v>752</v>
      </c>
      <c r="N111" s="61" t="s">
        <v>509</v>
      </c>
      <c r="O111" s="61" t="s">
        <v>653</v>
      </c>
      <c r="P111" s="61" t="s">
        <v>750</v>
      </c>
      <c r="Q111" s="61" t="str">
        <f t="shared" si="30"/>
        <v>CV8</v>
      </c>
      <c r="R111" s="61" t="s">
        <v>687</v>
      </c>
      <c r="S111" s="65"/>
      <c r="T111" s="256" t="s">
        <v>747</v>
      </c>
      <c r="U111" s="913" t="s">
        <v>700</v>
      </c>
      <c r="V111" s="921"/>
      <c r="W111" s="914">
        <f t="shared" si="44"/>
        <v>0</v>
      </c>
      <c r="X111" s="915">
        <f t="shared" si="44"/>
        <v>0</v>
      </c>
      <c r="Y111" s="915">
        <f t="shared" si="44"/>
        <v>0</v>
      </c>
      <c r="Z111" s="915">
        <f t="shared" si="44"/>
        <v>0</v>
      </c>
      <c r="AA111" s="915">
        <f t="shared" si="44"/>
        <v>0</v>
      </c>
      <c r="AB111" s="915">
        <f t="shared" si="44"/>
        <v>0</v>
      </c>
      <c r="AC111" s="916">
        <f t="shared" si="44"/>
        <v>0</v>
      </c>
      <c r="AD111" s="103" cm="1">
        <f t="array" ref="AD111">IF(W111,INDEX('AEA2012 update'!$K$6:$R$104,MATCH($T111&amp;$R111,'AEA2012 update'!$A$6:$A$104&amp;'AEA2012 update'!$B$6:$B$104,0),MATCH(AD$16,'AEA2012 update'!$S$4:$Z$4,0)),INDEX('AEA2012 update'!$K$6:$R$104,MATCH($T111&amp;$U111,'AEA2012 update'!$A$6:$A$104&amp;'AEA2012 update'!$B$6:$B$104,0),MATCH(AD$16,'AEA2012 update'!$S$4:$Z$4,0)))</f>
        <v>1216871.9571458176</v>
      </c>
      <c r="AE111" s="103" cm="1">
        <f t="array" ref="AE111">IF(X111,INDEX('AEA2012 update'!$K$6:$R$104,MATCH($T111&amp;$R111,'AEA2012 update'!$A$6:$A$104&amp;'AEA2012 update'!$B$6:$B$104,0),MATCH(AE$16,'AEA2012 update'!$S$4:$Z$4,0)),INDEX('AEA2012 update'!$K$6:$R$104,MATCH($T111&amp;$U111,'AEA2012 update'!$A$6:$A$104&amp;'AEA2012 update'!$B$6:$B$104,0),MATCH(AE$16,'AEA2012 update'!$S$4:$Z$4,0)))</f>
        <v>1262276.8438934449</v>
      </c>
      <c r="AF111" s="103" cm="1">
        <f t="array" ref="AF111">IF(Y111,INDEX('AEA2012 update'!$K$6:$R$104,MATCH($T111&amp;$R111,'AEA2012 update'!$A$6:$A$104&amp;'AEA2012 update'!$B$6:$B$104,0),MATCH(AF$16,'AEA2012 update'!$S$4:$Z$4,0)),INDEX('AEA2012 update'!$K$6:$R$104,MATCH($T111&amp;$U111,'AEA2012 update'!$A$6:$A$104&amp;'AEA2012 update'!$B$6:$B$104,0),MATCH(AF$16,'AEA2012 update'!$S$4:$Z$4,0)))</f>
        <v>1258634.2158304008</v>
      </c>
      <c r="AG111" s="103" cm="1">
        <f t="array" ref="AG111">IF(Z111,INDEX('AEA2012 update'!$K$6:$R$104,MATCH($T111&amp;$R111,'AEA2012 update'!$A$6:$A$104&amp;'AEA2012 update'!$B$6:$B$104,0),MATCH(AG$16,'AEA2012 update'!$S$4:$Z$4,0)),INDEX('AEA2012 update'!$K$6:$R$104,MATCH($T111&amp;$U111,'AEA2012 update'!$A$6:$A$104&amp;'AEA2012 update'!$B$6:$B$104,0),MATCH(AG$16,'AEA2012 update'!$S$4:$Z$4,0)))</f>
        <v>1254991.587767357</v>
      </c>
      <c r="AH111" s="103" cm="1">
        <f t="array" ref="AH111">IF(AA111,INDEX('AEA2012 update'!$K$6:$R$104,MATCH($T111&amp;$R111,'AEA2012 update'!$A$6:$A$104&amp;'AEA2012 update'!$B$6:$B$104,0),MATCH(AH$16,'AEA2012 update'!$S$4:$Z$4,0)),INDEX('AEA2012 update'!$K$6:$R$104,MATCH($T111&amp;$U111,'AEA2012 update'!$A$6:$A$104&amp;'AEA2012 update'!$B$6:$B$104,0),MATCH(AH$16,'AEA2012 update'!$S$4:$Z$4,0)))</f>
        <v>1264417.9480459164</v>
      </c>
      <c r="AI111" s="103" cm="1">
        <f t="array" ref="AI111">IF(AB111,INDEX('AEA2012 update'!$K$6:$R$104,MATCH($T111&amp;$R111,'AEA2012 update'!$A$6:$A$104&amp;'AEA2012 update'!$B$6:$B$104,0),MATCH(AI$16,'AEA2012 update'!$S$4:$Z$4,0)),INDEX('AEA2012 update'!$K$6:$R$104,MATCH($T111&amp;$U111,'AEA2012 update'!$A$6:$A$104&amp;'AEA2012 update'!$B$6:$B$104,0),MATCH(AI$16,'AEA2012 update'!$S$4:$Z$4,0)))</f>
        <v>1273844.308324476</v>
      </c>
      <c r="AJ111" s="103" cm="1">
        <f t="array" ref="AJ111">IF(AC111,INDEX('AEA2012 update'!$K$6:$R$104,MATCH($T111&amp;$R111,'AEA2012 update'!$A$6:$A$104&amp;'AEA2012 update'!$B$6:$B$104,0),MATCH(AJ$16,'AEA2012 update'!$S$4:$Z$4,0)),INDEX('AEA2012 update'!$K$6:$R$104,MATCH($T111&amp;$U111,'AEA2012 update'!$A$6:$A$104&amp;'AEA2012 update'!$B$6:$B$104,0),MATCH(AJ$16,'AEA2012 update'!$S$4:$Z$4,0)))</f>
        <v>1284933.4289435516</v>
      </c>
      <c r="AK111" s="103" t="str">
        <f t="shared" si="33"/>
        <v>CV8GAS</v>
      </c>
      <c r="AL111" s="67">
        <f>INDEX('Vehicle data '!$AD$20:$AD$110,MATCH($AK111,'Vehicle data '!$AC$20:$AC$110,0))/INDEX('Vehicle data '!$AD$20:$AD$110,MATCH($AK$108,'Vehicle data '!$AC$20:$AC$110,0))*AL$108</f>
        <v>16.620032315339103</v>
      </c>
      <c r="AM111" s="67">
        <f t="array" ref="AM111">IF($AE$1,AL111*(1+INDEX(AM$1:AM$2,MATCH($O111,$AI$1:$AI$2,0)))^(AM$16-AL$16),INDEX('AEA2012 update'!$AC$6:$AG$104,MATCH($T111&amp;$U111,'AEA2012 update'!$A$6:$A$104&amp;'AEA2012 update'!$B$6:$B$104,0),MATCH(AM$16,'AEA2012 update'!$AC$4:$AG$4,0)))</f>
        <v>16.570222061869998</v>
      </c>
      <c r="AN111" s="67">
        <f t="array" ref="AN111">IF($AE$1,AM111*(1+INDEX(AN$1:AN$2,MATCH($O111,$AI$1:$AI$2,0)))^(AN$16-AM$16),INDEX('AEA2012 update'!$AC$6:$AG$104,MATCH($T111&amp;$U111,'AEA2012 update'!$A$6:$A$104&amp;'AEA2012 update'!$B$6:$B$104,0),MATCH(AN$16,'AEA2012 update'!$AC$4:$AG$4,0)))</f>
        <v>15.681088402031461</v>
      </c>
      <c r="AO111" s="67">
        <f t="array" ref="AO111">IF($AE$1,AN111*(1+INDEX(AO$1:AO$2,MATCH($O111,$AI$1:$AI$2,0)))^(AO$16-AN$16),INDEX('AEA2012 update'!$AC$6:$AG$104,MATCH($T111&amp;$U111,'AEA2012 update'!$A$6:$A$104&amp;'AEA2012 update'!$B$6:$B$104,0),MATCH(AO$16,'AEA2012 update'!$AC$4:$AG$4,0)))</f>
        <v>14.181695267425708</v>
      </c>
      <c r="AP111" s="67">
        <f t="array" ref="AP111">IF($AE$1,AO111*(1+INDEX(AP$1:AP$2,MATCH($O111,$AI$1:$AI$2,0)))^(AP$16-AO$16),INDEX('AEA2012 update'!$AC$6:$AG$104,MATCH($T111&amp;$U111,'AEA2012 update'!$A$6:$A$104&amp;'AEA2012 update'!$B$6:$B$104,0),MATCH(AP$16,'AEA2012 update'!$AC$4:$AG$4,0)))</f>
        <v>12.825670993097001</v>
      </c>
      <c r="AQ111" s="67"/>
      <c r="AR111" s="257">
        <f t="shared" si="31"/>
        <v>-9.9900033333334692E-4</v>
      </c>
      <c r="AS111" s="257">
        <f t="shared" si="32"/>
        <v>-7.5326913841620409E-3</v>
      </c>
      <c r="AY111" s="61" t="str">
        <f t="shared" si="23"/>
        <v>HCV8-GAS</v>
      </c>
      <c r="AZ111" s="80" t="e" cm="1">
        <f t="array" aca="1" ref="AZ111" ca="1">AL111/INDIRECT("cv."&amp;LEFT($U111,6)&amp;".hhv.MJL") * 100</f>
        <v>#REF!</v>
      </c>
      <c r="BA111" s="80" t="e" cm="1">
        <f t="array" aca="1" ref="BA111" ca="1">AM111/INDIRECT("cv."&amp;LEFT($U111,6)&amp;".hhv.MJL") * 100</f>
        <v>#REF!</v>
      </c>
      <c r="BB111" s="80" t="e" cm="1">
        <f t="array" aca="1" ref="BB111" ca="1">AN111/INDIRECT("cv."&amp;LEFT($U111,6)&amp;".hhv.MJL") * 100</f>
        <v>#REF!</v>
      </c>
      <c r="BC111" s="80" t="e" cm="1">
        <f t="array" aca="1" ref="BC111" ca="1">AO111/INDIRECT("cv."&amp;LEFT($U111,6)&amp;".hhv.MJL") * 100</f>
        <v>#REF!</v>
      </c>
      <c r="BD111" s="80" t="e" cm="1">
        <f t="array" aca="1" ref="BD111" ca="1">AP111/INDIRECT("cv."&amp;LEFT($U111,6)&amp;".hhv.MJL") * 100</f>
        <v>#REF!</v>
      </c>
    </row>
    <row r="112" spans="1:59" ht="32.25" thickBot="1" x14ac:dyDescent="0.3">
      <c r="A112" s="283" t="s">
        <v>753</v>
      </c>
      <c r="B112" s="284" t="s">
        <v>754</v>
      </c>
      <c r="C112" s="285" t="s">
        <v>754</v>
      </c>
      <c r="D112" s="284" t="s">
        <v>755</v>
      </c>
      <c r="E112" s="284" t="s">
        <v>755</v>
      </c>
      <c r="O112" s="61" t="s">
        <v>653</v>
      </c>
      <c r="P112"/>
      <c r="Q112" s="61" t="str">
        <f t="shared" si="30"/>
        <v/>
      </c>
      <c r="R112"/>
      <c r="S112" s="65"/>
      <c r="T112"/>
      <c r="U112"/>
      <c r="V112" s="921"/>
      <c r="W112" s="917">
        <f t="shared" si="44"/>
        <v>0</v>
      </c>
      <c r="X112" s="918">
        <f t="shared" si="44"/>
        <v>0</v>
      </c>
      <c r="Y112" s="918">
        <f t="shared" si="44"/>
        <v>0</v>
      </c>
      <c r="Z112" s="918">
        <f t="shared" si="44"/>
        <v>0</v>
      </c>
      <c r="AA112" s="918">
        <f t="shared" si="44"/>
        <v>0</v>
      </c>
      <c r="AB112" s="918">
        <f t="shared" si="44"/>
        <v>0</v>
      </c>
      <c r="AC112" s="919">
        <f t="shared" si="44"/>
        <v>0</v>
      </c>
      <c r="AD112" s="103" t="e" cm="1">
        <f t="array" ref="AD112">IF(W112,INDEX('AEA2012 update'!$K$6:$R$104,MATCH($T112&amp;$R112,'AEA2012 update'!$A$6:$A$104&amp;'AEA2012 update'!$B$6:$B$104,0),MATCH(AD$16,'AEA2012 update'!$S$4:$Z$4,0)),INDEX('AEA2012 update'!$K$6:$R$104,MATCH($T112&amp;$U112,'AEA2012 update'!$A$6:$A$104&amp;'AEA2012 update'!$B$6:$B$104,0),MATCH(AD$16,'AEA2012 update'!$S$4:$Z$4,0)))</f>
        <v>#N/A</v>
      </c>
      <c r="AE112" s="103" t="e" cm="1">
        <f t="array" ref="AE112">IF(X112,INDEX('AEA2012 update'!$K$6:$R$104,MATCH($T112&amp;$R112,'AEA2012 update'!$A$6:$A$104&amp;'AEA2012 update'!$B$6:$B$104,0),MATCH(AE$16,'AEA2012 update'!$S$4:$Z$4,0)),INDEX('AEA2012 update'!$K$6:$R$104,MATCH($T112&amp;$U112,'AEA2012 update'!$A$6:$A$104&amp;'AEA2012 update'!$B$6:$B$104,0),MATCH(AE$16,'AEA2012 update'!$S$4:$Z$4,0)))</f>
        <v>#N/A</v>
      </c>
      <c r="AF112" s="103" t="e" cm="1">
        <f t="array" ref="AF112">IF(Y112,INDEX('AEA2012 update'!$K$6:$R$104,MATCH($T112&amp;$R112,'AEA2012 update'!$A$6:$A$104&amp;'AEA2012 update'!$B$6:$B$104,0),MATCH(AF$16,'AEA2012 update'!$S$4:$Z$4,0)),INDEX('AEA2012 update'!$K$6:$R$104,MATCH($T112&amp;$U112,'AEA2012 update'!$A$6:$A$104&amp;'AEA2012 update'!$B$6:$B$104,0),MATCH(AF$16,'AEA2012 update'!$S$4:$Z$4,0)))</f>
        <v>#N/A</v>
      </c>
      <c r="AG112" s="103" t="e" cm="1">
        <f t="array" ref="AG112">IF(Z112,INDEX('AEA2012 update'!$K$6:$R$104,MATCH($T112&amp;$R112,'AEA2012 update'!$A$6:$A$104&amp;'AEA2012 update'!$B$6:$B$104,0),MATCH(AG$16,'AEA2012 update'!$S$4:$Z$4,0)),INDEX('AEA2012 update'!$K$6:$R$104,MATCH($T112&amp;$U112,'AEA2012 update'!$A$6:$A$104&amp;'AEA2012 update'!$B$6:$B$104,0),MATCH(AG$16,'AEA2012 update'!$S$4:$Z$4,0)))</f>
        <v>#N/A</v>
      </c>
      <c r="AH112" s="103" t="e" cm="1">
        <f t="array" ref="AH112">IF(AA112,INDEX('AEA2012 update'!$K$6:$R$104,MATCH($T112&amp;$R112,'AEA2012 update'!$A$6:$A$104&amp;'AEA2012 update'!$B$6:$B$104,0),MATCH(AH$16,'AEA2012 update'!$S$4:$Z$4,0)),INDEX('AEA2012 update'!$K$6:$R$104,MATCH($T112&amp;$U112,'AEA2012 update'!$A$6:$A$104&amp;'AEA2012 update'!$B$6:$B$104,0),MATCH(AH$16,'AEA2012 update'!$S$4:$Z$4,0)))</f>
        <v>#N/A</v>
      </c>
      <c r="AI112" s="103" t="e" cm="1">
        <f t="array" ref="AI112">IF(AB112,INDEX('AEA2012 update'!$K$6:$R$104,MATCH($T112&amp;$R112,'AEA2012 update'!$A$6:$A$104&amp;'AEA2012 update'!$B$6:$B$104,0),MATCH(AI$16,'AEA2012 update'!$S$4:$Z$4,0)),INDEX('AEA2012 update'!$K$6:$R$104,MATCH($T112&amp;$U112,'AEA2012 update'!$A$6:$A$104&amp;'AEA2012 update'!$B$6:$B$104,0),MATCH(AI$16,'AEA2012 update'!$S$4:$Z$4,0)))</f>
        <v>#N/A</v>
      </c>
      <c r="AJ112" s="103" t="e" cm="1">
        <f t="array" ref="AJ112">IF(AC112,INDEX('AEA2012 update'!$K$6:$R$104,MATCH($T112&amp;$R112,'AEA2012 update'!$A$6:$A$104&amp;'AEA2012 update'!$B$6:$B$104,0),MATCH(AJ$16,'AEA2012 update'!$S$4:$Z$4,0)),INDEX('AEA2012 update'!$K$6:$R$104,MATCH($T112&amp;$U112,'AEA2012 update'!$A$6:$A$104&amp;'AEA2012 update'!$B$6:$B$104,0),MATCH(AJ$16,'AEA2012 update'!$S$4:$Z$4,0)))</f>
        <v>#N/A</v>
      </c>
      <c r="AK112" s="103" t="str">
        <f t="shared" si="33"/>
        <v/>
      </c>
      <c r="AL112" s="67" t="e">
        <f>1/INDEX(Analytica!$AA$17:$AE$48,MATCH($AK112,Analytica!$A$17:$A$48,0),MATCH(AL$16,Analytica!$AA$16:$AE$16,0))</f>
        <v>#N/A</v>
      </c>
      <c r="AM112" s="67" t="e">
        <f t="array" ref="AM112">IF($AE$1,AL112*(1+INDEX(AM$1:AM$2,MATCH($O112,$AI$1:$AI$2,0)))^(AM$16-AL$16),INDEX('AEA2012 update'!$AC$6:$AG$104,MATCH($T112&amp;$U112,'AEA2012 update'!$A$6:$A$104&amp;'AEA2012 update'!$B$6:$B$104,0),MATCH(AM$16,'AEA2012 update'!$AC$4:$AG$4,0)))</f>
        <v>#N/A</v>
      </c>
      <c r="AN112" s="67" t="e">
        <f t="array" ref="AN112">IF($AE$1,AM112*(1+INDEX(AN$1:AN$2,MATCH($O112,$AI$1:$AI$2,0)))^(AN$16-AM$16),INDEX('AEA2012 update'!$AC$6:$AG$104,MATCH($T112&amp;$U112,'AEA2012 update'!$A$6:$A$104&amp;'AEA2012 update'!$B$6:$B$104,0),MATCH(AN$16,'AEA2012 update'!$AC$4:$AG$4,0)))</f>
        <v>#N/A</v>
      </c>
      <c r="AO112" s="67" t="e">
        <f t="array" ref="AO112">IF($AE$1,AN112*(1+INDEX(AO$1:AO$2,MATCH($O112,$AI$1:$AI$2,0)))^(AO$16-AN$16),INDEX('AEA2012 update'!$AC$6:$AG$104,MATCH($T112&amp;$U112,'AEA2012 update'!$A$6:$A$104&amp;'AEA2012 update'!$B$6:$B$104,0),MATCH(AO$16,'AEA2012 update'!$AC$4:$AG$4,0)))</f>
        <v>#N/A</v>
      </c>
      <c r="AP112" s="67" t="e">
        <f t="array" ref="AP112">IF($AE$1,AO112*(1+INDEX(AP$1:AP$2,MATCH($O112,$AI$1:$AI$2,0)))^(AP$16-AO$16),INDEX('AEA2012 update'!$AC$6:$AG$104,MATCH($T112&amp;$U112,'AEA2012 update'!$A$6:$A$104&amp;'AEA2012 update'!$B$6:$B$104,0),MATCH(AP$16,'AEA2012 update'!$AC$4:$AG$4,0)))</f>
        <v>#N/A</v>
      </c>
      <c r="AQ112" s="67"/>
      <c r="AR112" s="257" t="e">
        <f t="shared" si="31"/>
        <v>#N/A</v>
      </c>
      <c r="AS112" s="257" t="e">
        <f t="shared" si="32"/>
        <v>#N/A</v>
      </c>
      <c r="AT112"/>
      <c r="AW112"/>
      <c r="AX112"/>
      <c r="AY112" s="61" t="str">
        <f t="shared" si="23"/>
        <v>-</v>
      </c>
      <c r="AZ112" s="80" t="e" cm="1">
        <f t="array" aca="1" ref="AZ112" ca="1">AL112/INDIRECT("cv."&amp;LEFT($U112,6)&amp;".hhv.MJL") * 100</f>
        <v>#N/A</v>
      </c>
      <c r="BA112" s="80" t="e" cm="1">
        <f t="array" aca="1" ref="BA112" ca="1">AM112/INDIRECT("cv."&amp;LEFT($U112,6)&amp;".hhv.MJL") * 100</f>
        <v>#N/A</v>
      </c>
      <c r="BB112" s="80" t="e" cm="1">
        <f t="array" aca="1" ref="BB112" ca="1">AN112/INDIRECT("cv."&amp;LEFT($U112,6)&amp;".hhv.MJL") * 100</f>
        <v>#N/A</v>
      </c>
      <c r="BC112" s="80" t="e" cm="1">
        <f t="array" aca="1" ref="BC112" ca="1">AO112/INDIRECT("cv."&amp;LEFT($U112,6)&amp;".hhv.MJL") * 100</f>
        <v>#N/A</v>
      </c>
      <c r="BD112" s="80" t="e" cm="1">
        <f t="array" aca="1" ref="BD112" ca="1">AP112/INDIRECT("cv."&amp;LEFT($U112,6)&amp;".hhv.MJL") * 100</f>
        <v>#N/A</v>
      </c>
      <c r="BG112"/>
    </row>
    <row r="113" spans="1:59" ht="16.5" thickBot="1" x14ac:dyDescent="0.3">
      <c r="A113" s="286" t="s">
        <v>756</v>
      </c>
      <c r="B113" s="287"/>
      <c r="C113" s="288"/>
      <c r="D113" s="288"/>
      <c r="E113" s="288"/>
      <c r="N113" s="61" t="s">
        <v>511</v>
      </c>
      <c r="O113" s="61" t="s">
        <v>653</v>
      </c>
      <c r="P113" s="61" t="s">
        <v>757</v>
      </c>
      <c r="Q113" s="61" t="str">
        <f t="shared" si="30"/>
        <v>CV9</v>
      </c>
      <c r="R113" s="61" t="s">
        <v>687</v>
      </c>
      <c r="S113" s="65"/>
      <c r="T113" s="256" t="s">
        <v>747</v>
      </c>
      <c r="U113" s="913" t="s">
        <v>687</v>
      </c>
      <c r="V113" s="921"/>
      <c r="W113" s="914">
        <f t="shared" si="44"/>
        <v>0</v>
      </c>
      <c r="X113" s="915">
        <f t="shared" si="44"/>
        <v>0</v>
      </c>
      <c r="Y113" s="915">
        <f t="shared" si="44"/>
        <v>0</v>
      </c>
      <c r="Z113" s="915">
        <f t="shared" si="44"/>
        <v>0</v>
      </c>
      <c r="AA113" s="915">
        <f t="shared" si="44"/>
        <v>0</v>
      </c>
      <c r="AB113" s="915">
        <f t="shared" si="44"/>
        <v>0</v>
      </c>
      <c r="AC113" s="916">
        <f t="shared" si="44"/>
        <v>0</v>
      </c>
      <c r="AD113" s="103" cm="1">
        <f t="array" ref="AD113">IF(W113,INDEX('AEA2012 update'!$K$6:$R$104,MATCH($T113&amp;$R113,'AEA2012 update'!$A$6:$A$104&amp;'AEA2012 update'!$B$6:$B$104,0),MATCH(AD$16,'AEA2012 update'!$S$4:$Z$4,0)),INDEX('AEA2012 update'!$K$6:$R$104,MATCH($T113&amp;$U113,'AEA2012 update'!$A$6:$A$104&amp;'AEA2012 update'!$B$6:$B$104,0),MATCH(AD$16,'AEA2012 update'!$S$4:$Z$4,0)))</f>
        <v>877700.13388008508</v>
      </c>
      <c r="AE113" s="103" cm="1">
        <f t="array" ref="AE113">IF(X113,INDEX('AEA2012 update'!$K$6:$R$104,MATCH($T113&amp;$R113,'AEA2012 update'!$A$6:$A$104&amp;'AEA2012 update'!$B$6:$B$104,0),MATCH(AE$16,'AEA2012 update'!$S$4:$Z$4,0)),INDEX('AEA2012 update'!$K$6:$R$104,MATCH($T113&amp;$U113,'AEA2012 update'!$A$6:$A$104&amp;'AEA2012 update'!$B$6:$B$104,0),MATCH(AE$16,'AEA2012 update'!$S$4:$Z$4,0)))</f>
        <v>1088428.6604757041</v>
      </c>
      <c r="AF113" s="103" cm="1">
        <f t="array" ref="AF113">IF(Y113,INDEX('AEA2012 update'!$K$6:$R$104,MATCH($T113&amp;$R113,'AEA2012 update'!$A$6:$A$104&amp;'AEA2012 update'!$B$6:$B$104,0),MATCH(AF$16,'AEA2012 update'!$S$4:$Z$4,0)),INDEX('AEA2012 update'!$K$6:$R$104,MATCH($T113&amp;$U113,'AEA2012 update'!$A$6:$A$104&amp;'AEA2012 update'!$B$6:$B$104,0),MATCH(AF$16,'AEA2012 update'!$S$4:$Z$4,0)))</f>
        <v>1116561.6285591619</v>
      </c>
      <c r="AG113" s="103" cm="1">
        <f t="array" ref="AG113">IF(Z113,INDEX('AEA2012 update'!$K$6:$R$104,MATCH($T113&amp;$R113,'AEA2012 update'!$A$6:$A$104&amp;'AEA2012 update'!$B$6:$B$104,0),MATCH(AG$16,'AEA2012 update'!$S$4:$Z$4,0)),INDEX('AEA2012 update'!$K$6:$R$104,MATCH($T113&amp;$U113,'AEA2012 update'!$A$6:$A$104&amp;'AEA2012 update'!$B$6:$B$104,0),MATCH(AG$16,'AEA2012 update'!$S$4:$Z$4,0)))</f>
        <v>1144694.5966426195</v>
      </c>
      <c r="AH113" s="103" cm="1">
        <f t="array" ref="AH113">IF(AA113,INDEX('AEA2012 update'!$K$6:$R$104,MATCH($T113&amp;$R113,'AEA2012 update'!$A$6:$A$104&amp;'AEA2012 update'!$B$6:$B$104,0),MATCH(AH$16,'AEA2012 update'!$S$4:$Z$4,0)),INDEX('AEA2012 update'!$K$6:$R$104,MATCH($T113&amp;$U113,'AEA2012 update'!$A$6:$A$104&amp;'AEA2012 update'!$B$6:$B$104,0),MATCH(AH$16,'AEA2012 update'!$S$4:$Z$4,0)))</f>
        <v>1166651.8949681348</v>
      </c>
      <c r="AI113" s="103" cm="1">
        <f t="array" ref="AI113">IF(AB113,INDEX('AEA2012 update'!$K$6:$R$104,MATCH($T113&amp;$R113,'AEA2012 update'!$A$6:$A$104&amp;'AEA2012 update'!$B$6:$B$104,0),MATCH(AI$16,'AEA2012 update'!$S$4:$Z$4,0)),INDEX('AEA2012 update'!$K$6:$R$104,MATCH($T113&amp;$U113,'AEA2012 update'!$A$6:$A$104&amp;'AEA2012 update'!$B$6:$B$104,0),MATCH(AI$16,'AEA2012 update'!$S$4:$Z$4,0)))</f>
        <v>1188609.1932936499</v>
      </c>
      <c r="AJ113" s="103" cm="1">
        <f t="array" ref="AJ113">IF(AC113,INDEX('AEA2012 update'!$K$6:$R$104,MATCH($T113&amp;$R113,'AEA2012 update'!$A$6:$A$104&amp;'AEA2012 update'!$B$6:$B$104,0),MATCH(AJ$16,'AEA2012 update'!$S$4:$Z$4,0)),INDEX('AEA2012 update'!$K$6:$R$104,MATCH($T113&amp;$U113,'AEA2012 update'!$A$6:$A$104&amp;'AEA2012 update'!$B$6:$B$104,0),MATCH(AJ$16,'AEA2012 update'!$S$4:$Z$4,0)))</f>
        <v>1215891.7526997081</v>
      </c>
      <c r="AK113" s="103" t="str">
        <f t="shared" si="33"/>
        <v>CV9ODS</v>
      </c>
      <c r="AL113" s="67">
        <f>1/INDEX(Analytica!$AA$17:$AE$48,MATCH($AK113,Analytica!$A$17:$A$48,0),MATCH(AL$16,Analytica!$AA$16:$AE$16,0))</f>
        <v>18.392034419546842</v>
      </c>
      <c r="AM113" s="67">
        <f t="array" ref="AM113">IF($AE$1,AL113*(1+INDEX(AM$1:AM$2,MATCH($O113,$AI$1:$AI$2,0)))^(AM$16-AL$16),INDEX('AEA2012 update'!$AC$6:$AG$104,MATCH($T113&amp;$U113,'AEA2012 update'!$A$6:$A$104&amp;'AEA2012 update'!$B$6:$B$104,0),MATCH(AM$16,'AEA2012 update'!$AC$4:$AG$4,0)))</f>
        <v>18.336913473999427</v>
      </c>
      <c r="AN113" s="67">
        <f t="array" ref="AN113">IF($AE$1,AM113*(1+INDEX(AN$1:AN$2,MATCH($O113,$AI$1:$AI$2,0)))^(AN$16-AM$16),INDEX('AEA2012 update'!$AC$6:$AG$104,MATCH($T113&amp;$U113,'AEA2012 update'!$A$6:$A$104&amp;'AEA2012 update'!$B$6:$B$104,0),MATCH(AN$16,'AEA2012 update'!$AC$4:$AG$4,0)))</f>
        <v>17.352981760447015</v>
      </c>
      <c r="AO113" s="67">
        <f t="array" ref="AO113">IF($AE$1,AN113*(1+INDEX(AO$1:AO$2,MATCH($O113,$AI$1:$AI$2,0)))^(AO$16-AN$16),INDEX('AEA2012 update'!$AC$6:$AG$104,MATCH($T113&amp;$U113,'AEA2012 update'!$A$6:$A$104&amp;'AEA2012 update'!$B$6:$B$104,0),MATCH(AO$16,'AEA2012 update'!$AC$4:$AG$4,0)))</f>
        <v>15.693725652103005</v>
      </c>
      <c r="AP113" s="67">
        <f t="array" ref="AP113">IF($AE$1,AO113*(1+INDEX(AP$1:AP$2,MATCH($O113,$AI$1:$AI$2,0)))^(AP$16-AO$16),INDEX('AEA2012 update'!$AC$6:$AG$104,MATCH($T113&amp;$U113,'AEA2012 update'!$A$6:$A$104&amp;'AEA2012 update'!$B$6:$B$104,0),MATCH(AP$16,'AEA2012 update'!$AC$4:$AG$4,0)))</f>
        <v>14.193124169867817</v>
      </c>
      <c r="AQ113" s="67"/>
      <c r="AR113" s="257">
        <f t="shared" si="31"/>
        <v>-9.9900033333331136E-4</v>
      </c>
      <c r="AS113" s="257">
        <f t="shared" si="32"/>
        <v>-7.5326913841620418E-3</v>
      </c>
      <c r="AT113"/>
      <c r="AW113"/>
      <c r="AX113"/>
      <c r="AY113" s="61" t="str">
        <f t="shared" si="23"/>
        <v>HCV9-ODS</v>
      </c>
      <c r="AZ113" s="80" t="e" cm="1">
        <f t="array" aca="1" ref="AZ113" ca="1">AL113/INDIRECT("cv."&amp;LEFT($U113,6)&amp;".hhv.MJL") * 100</f>
        <v>#REF!</v>
      </c>
      <c r="BA113" s="80" t="e" cm="1">
        <f t="array" aca="1" ref="BA113" ca="1">AM113/INDIRECT("cv."&amp;LEFT($U113,6)&amp;".hhv.MJL") * 100</f>
        <v>#REF!</v>
      </c>
      <c r="BB113" s="80" t="e" cm="1">
        <f t="array" aca="1" ref="BB113" ca="1">AN113/INDIRECT("cv."&amp;LEFT($U113,6)&amp;".hhv.MJL") * 100</f>
        <v>#REF!</v>
      </c>
      <c r="BC113" s="80" t="e" cm="1">
        <f t="array" aca="1" ref="BC113" ca="1">AO113/INDIRECT("cv."&amp;LEFT($U113,6)&amp;".hhv.MJL") * 100</f>
        <v>#REF!</v>
      </c>
      <c r="BD113" s="80" t="e" cm="1">
        <f t="array" aca="1" ref="BD113" ca="1">AP113/INDIRECT("cv."&amp;LEFT($U113,6)&amp;".hhv.MJL") * 100</f>
        <v>#REF!</v>
      </c>
      <c r="BG113"/>
    </row>
    <row r="114" spans="1:59" s="924" customFormat="1" x14ac:dyDescent="0.25">
      <c r="A114" s="924" t="s">
        <v>251</v>
      </c>
      <c r="C114" s="925" t="e">
        <f>C98/$C$82</f>
        <v>#VALUE!</v>
      </c>
      <c r="D114" s="926" t="e">
        <f t="shared" ref="D114" si="50">C114*$D$58</f>
        <v>#VALUE!</v>
      </c>
      <c r="N114" s="924" t="s">
        <v>501</v>
      </c>
      <c r="O114" s="924" t="s">
        <v>653</v>
      </c>
      <c r="P114" s="924" t="s">
        <v>757</v>
      </c>
      <c r="Q114" s="924" t="str">
        <f t="shared" si="30"/>
        <v>CV9</v>
      </c>
      <c r="R114" s="924" t="s">
        <v>687</v>
      </c>
      <c r="S114" s="927"/>
      <c r="T114" s="928" t="s">
        <v>747</v>
      </c>
      <c r="U114" s="929" t="s">
        <v>692</v>
      </c>
      <c r="V114" s="921">
        <v>2050</v>
      </c>
      <c r="W114" s="930">
        <f t="shared" si="44"/>
        <v>0</v>
      </c>
      <c r="X114" s="931">
        <f t="shared" si="44"/>
        <v>0</v>
      </c>
      <c r="Y114" s="931">
        <f t="shared" si="44"/>
        <v>0</v>
      </c>
      <c r="Z114" s="931">
        <f t="shared" si="44"/>
        <v>0</v>
      </c>
      <c r="AA114" s="931">
        <f t="shared" si="44"/>
        <v>0</v>
      </c>
      <c r="AB114" s="931">
        <f t="shared" si="44"/>
        <v>0</v>
      </c>
      <c r="AC114" s="932">
        <f t="shared" si="44"/>
        <v>1</v>
      </c>
      <c r="AD114" s="933" cm="1">
        <f t="array" ref="AD114">IF(W114,INDEX('AEA2012 update'!$K$6:$R$104,MATCH($T114&amp;$R114,'AEA2012 update'!$A$6:$A$104&amp;'AEA2012 update'!$B$6:$B$104,0),MATCH(AD$16,'AEA2012 update'!$S$4:$Z$4,0)),INDEX('AEA2012 update'!$K$6:$R$104,MATCH($T114&amp;$U114,'AEA2012 update'!$A$6:$A$104&amp;'AEA2012 update'!$B$6:$B$104,0),MATCH(AD$16,'AEA2012 update'!$S$4:$Z$4,0)))</f>
        <v>6464323.715992094</v>
      </c>
      <c r="AE114" s="933" cm="1">
        <f t="array" ref="AE114">IF(X114,INDEX('AEA2012 update'!$K$6:$R$104,MATCH($T114&amp;$R114,'AEA2012 update'!$A$6:$A$104&amp;'AEA2012 update'!$B$6:$B$104,0),MATCH(AE$16,'AEA2012 update'!$S$4:$Z$4,0)),INDEX('AEA2012 update'!$K$6:$R$104,MATCH($T114&amp;$U114,'AEA2012 update'!$A$6:$A$104&amp;'AEA2012 update'!$B$6:$B$104,0),MATCH(AE$16,'AEA2012 update'!$S$4:$Z$4,0)))</f>
        <v>4928974.3080670405</v>
      </c>
      <c r="AF114" s="933" cm="1">
        <f t="array" ref="AF114">IF(Y114,INDEX('AEA2012 update'!$K$6:$R$104,MATCH($T114&amp;$R114,'AEA2012 update'!$A$6:$A$104&amp;'AEA2012 update'!$B$6:$B$104,0),MATCH(AF$16,'AEA2012 update'!$S$4:$Z$4,0)),INDEX('AEA2012 update'!$K$6:$R$104,MATCH($T114&amp;$U114,'AEA2012 update'!$A$6:$A$104&amp;'AEA2012 update'!$B$6:$B$104,0),MATCH(AF$16,'AEA2012 update'!$S$4:$Z$4,0)))</f>
        <v>3450282.015646928</v>
      </c>
      <c r="AG114" s="933" cm="1">
        <f t="array" ref="AG114">IF(Z114,INDEX('AEA2012 update'!$K$6:$R$104,MATCH($T114&amp;$R114,'AEA2012 update'!$A$6:$A$104&amp;'AEA2012 update'!$B$6:$B$104,0),MATCH(AG$16,'AEA2012 update'!$S$4:$Z$4,0)),INDEX('AEA2012 update'!$K$6:$R$104,MATCH($T114&amp;$U114,'AEA2012 update'!$A$6:$A$104&amp;'AEA2012 update'!$B$6:$B$104,0),MATCH(AG$16,'AEA2012 update'!$S$4:$Z$4,0)))</f>
        <v>2957384.5848402241</v>
      </c>
      <c r="AH114" s="933" cm="1">
        <f t="array" ref="AH114">IF(AA114,INDEX('AEA2012 update'!$K$6:$R$104,MATCH($T114&amp;$R114,'AEA2012 update'!$A$6:$A$104&amp;'AEA2012 update'!$B$6:$B$104,0),MATCH(AH$16,'AEA2012 update'!$S$4:$Z$4,0)),INDEX('AEA2012 update'!$K$6:$R$104,MATCH($T114&amp;$U114,'AEA2012 update'!$A$6:$A$104&amp;'AEA2012 update'!$B$6:$B$104,0),MATCH(AH$16,'AEA2012 update'!$S$4:$Z$4,0)))</f>
        <v>2464487.1540335203</v>
      </c>
      <c r="AI114" s="933" cm="1">
        <f t="array" ref="AI114">IF(AB114,INDEX('AEA2012 update'!$K$6:$R$104,MATCH($T114&amp;$R114,'AEA2012 update'!$A$6:$A$104&amp;'AEA2012 update'!$B$6:$B$104,0),MATCH(AI$16,'AEA2012 update'!$S$4:$Z$4,0)),INDEX('AEA2012 update'!$K$6:$R$104,MATCH($T114&amp;$U114,'AEA2012 update'!$A$6:$A$104&amp;'AEA2012 update'!$B$6:$B$104,0),MATCH(AI$16,'AEA2012 update'!$S$4:$Z$4,0)))</f>
        <v>2300188.0104312855</v>
      </c>
      <c r="AJ114" s="933" cm="1">
        <f t="array" ref="AJ114">IF(AC114,INDEX('AEA2012 update'!$K$6:$R$104,MATCH($T114&amp;$R114,'AEA2012 update'!$A$6:$A$104&amp;'AEA2012 update'!$B$6:$B$104,0),MATCH(AJ$16,'AEA2012 update'!$S$4:$Z$4,0)),INDEX('AEA2012 update'!$K$6:$R$104,MATCH($T114&amp;$U114,'AEA2012 update'!$A$6:$A$104&amp;'AEA2012 update'!$B$6:$B$104,0),MATCH(AJ$16,'AEA2012 update'!$S$4:$Z$4,0)))</f>
        <v>1215891.7526997081</v>
      </c>
      <c r="AK114" s="933" t="str">
        <f t="shared" si="33"/>
        <v>CV9ELC</v>
      </c>
      <c r="AL114" s="986">
        <f>$AL$84/$AL$83*AL113</f>
        <v>5.6171576062528557</v>
      </c>
      <c r="AM114" s="986">
        <f t="array" ref="AM114">IF($AE$1,AL114*(1+INDEX(AM$1:AM$2,MATCH($O114,$AI$1:$AI$2,0)))^(AM$16-AL$16),INDEX('AEA2012 update'!$AC$6:$AG$104,MATCH($T114&amp;$U114,'AEA2012 update'!$A$6:$A$104&amp;'AEA2012 update'!$B$6:$B$104,0),MATCH(AM$16,'AEA2012 update'!$AC$4:$AG$4,0)))</f>
        <v>5.600322979289758</v>
      </c>
      <c r="AN114" s="986">
        <f t="array" ref="AN114">IF($AE$1,AM114*(1+INDEX(AN$1:AN$2,MATCH($O114,$AI$1:$AI$2,0)))^(AN$16-AM$16),INDEX('AEA2012 update'!$AC$6:$AG$104,MATCH($T114&amp;$U114,'AEA2012 update'!$A$6:$A$104&amp;'AEA2012 update'!$B$6:$B$104,0),MATCH(AN$16,'AEA2012 update'!$AC$4:$AG$4,0)))</f>
        <v>5.299817913741359</v>
      </c>
      <c r="AO114" s="986">
        <f t="array" ref="AO114">IF($AE$1,AN114*(1+INDEX(AO$1:AO$2,MATCH($O114,$AI$1:$AI$2,0)))^(AO$16-AN$16),INDEX('AEA2012 update'!$AC$6:$AG$104,MATCH($T114&amp;$U114,'AEA2012 update'!$A$6:$A$104&amp;'AEA2012 update'!$B$6:$B$104,0),MATCH(AO$16,'AEA2012 update'!$AC$4:$AG$4,0)))</f>
        <v>4.7930603219982428</v>
      </c>
      <c r="AP114" s="986">
        <f t="array" ref="AP114">IF($AE$1,AO114*(1+INDEX(AP$1:AP$2,MATCH($O114,$AI$1:$AI$2,0)))^(AP$16-AO$16),INDEX('AEA2012 update'!$AC$6:$AG$104,MATCH($T114&amp;$U114,'AEA2012 update'!$A$6:$A$104&amp;'AEA2012 update'!$B$6:$B$104,0),MATCH(AP$16,'AEA2012 update'!$AC$4:$AG$4,0)))</f>
        <v>4.3347578396511386</v>
      </c>
      <c r="AQ114" s="934"/>
      <c r="AR114" s="935">
        <f t="shared" si="31"/>
        <v>-9.9900033333334888E-4</v>
      </c>
      <c r="AS114" s="935">
        <f t="shared" si="32"/>
        <v>-7.5326913841620401E-3</v>
      </c>
      <c r="AY114" s="924" t="str">
        <f t="shared" ref="AY114" si="51">P114&amp;"-"&amp;N114</f>
        <v>HCV9-ELC</v>
      </c>
      <c r="AZ114" s="936" t="e" cm="1">
        <f t="array" aca="1" ref="AZ114" ca="1">AL114/INDIRECT("cv."&amp;LEFT($U114,6)&amp;".hhv.MJL") * 100</f>
        <v>#REF!</v>
      </c>
      <c r="BA114" s="936" t="e" cm="1">
        <f t="array" aca="1" ref="BA114" ca="1">AM114/INDIRECT("cv."&amp;LEFT($U114,6)&amp;".hhv.MJL") * 100</f>
        <v>#REF!</v>
      </c>
      <c r="BB114" s="936" t="e" cm="1">
        <f t="array" aca="1" ref="BB114" ca="1">AN114/INDIRECT("cv."&amp;LEFT($U114,6)&amp;".hhv.MJL") * 100</f>
        <v>#REF!</v>
      </c>
      <c r="BC114" s="936" t="e" cm="1">
        <f t="array" aca="1" ref="BC114" ca="1">AO114/INDIRECT("cv."&amp;LEFT($U114,6)&amp;".hhv.MJL") * 100</f>
        <v>#REF!</v>
      </c>
      <c r="BD114" s="936" t="e" cm="1">
        <f t="array" aca="1" ref="BD114" ca="1">AP114/INDIRECT("cv."&amp;LEFT($U114,6)&amp;".hhv.MJL") * 100</f>
        <v>#REF!</v>
      </c>
    </row>
    <row r="115" spans="1:59" ht="16.5" thickBot="1" x14ac:dyDescent="0.3">
      <c r="A115" s="289" t="s">
        <v>758</v>
      </c>
      <c r="B115" s="290">
        <v>25</v>
      </c>
      <c r="C115" s="291">
        <v>29522</v>
      </c>
      <c r="D115" s="290">
        <v>34</v>
      </c>
      <c r="E115" s="292">
        <v>31213</v>
      </c>
      <c r="G115" s="61">
        <f>B115/D115</f>
        <v>0.73529411764705888</v>
      </c>
      <c r="H115" s="61">
        <f>C115/E115</f>
        <v>0.94582385544484671</v>
      </c>
      <c r="N115" s="61" t="s">
        <v>504</v>
      </c>
      <c r="O115" s="61" t="s">
        <v>653</v>
      </c>
      <c r="P115" s="61" t="s">
        <v>757</v>
      </c>
      <c r="Q115" s="61" t="str">
        <f t="shared" si="30"/>
        <v>CV9</v>
      </c>
      <c r="R115" s="61" t="s">
        <v>687</v>
      </c>
      <c r="S115" s="65"/>
      <c r="T115" s="256" t="s">
        <v>747</v>
      </c>
      <c r="U115" s="913" t="s">
        <v>699</v>
      </c>
      <c r="V115" s="921">
        <v>2050</v>
      </c>
      <c r="W115" s="914">
        <f t="shared" si="44"/>
        <v>0</v>
      </c>
      <c r="X115" s="915">
        <f t="shared" si="44"/>
        <v>0</v>
      </c>
      <c r="Y115" s="915">
        <f t="shared" si="44"/>
        <v>0</v>
      </c>
      <c r="Z115" s="915">
        <f t="shared" si="44"/>
        <v>0</v>
      </c>
      <c r="AA115" s="915">
        <f t="shared" si="44"/>
        <v>0</v>
      </c>
      <c r="AB115" s="915">
        <f t="shared" si="44"/>
        <v>0</v>
      </c>
      <c r="AC115" s="916">
        <f t="shared" si="44"/>
        <v>1</v>
      </c>
      <c r="AD115" s="103" cm="1">
        <f t="array" ref="AD115">IF(W115,INDEX('AEA2012 update'!$K$6:$R$104,MATCH($T115&amp;$R115,'AEA2012 update'!$A$6:$A$104&amp;'AEA2012 update'!$B$6:$B$104,0),MATCH(AD$16,'AEA2012 update'!$S$4:$Z$4,0)),INDEX('AEA2012 update'!$K$6:$R$104,MATCH($T115&amp;$U115,'AEA2012 update'!$A$6:$A$104&amp;'AEA2012 update'!$B$6:$B$104,0),MATCH(AD$16,'AEA2012 update'!$S$4:$Z$4,0)))</f>
        <v>5872968.0361672165</v>
      </c>
      <c r="AE115" s="103" cm="1">
        <f t="array" ref="AE115">IF(X115,INDEX('AEA2012 update'!$K$6:$R$104,MATCH($T115&amp;$R115,'AEA2012 update'!$A$6:$A$104&amp;'AEA2012 update'!$B$6:$B$104,0),MATCH(AE$16,'AEA2012 update'!$S$4:$Z$4,0)),INDEX('AEA2012 update'!$K$6:$R$104,MATCH($T115&amp;$U115,'AEA2012 update'!$A$6:$A$104&amp;'AEA2012 update'!$B$6:$B$104,0),MATCH(AE$16,'AEA2012 update'!$S$4:$Z$4,0)))</f>
        <v>2464487.1540335203</v>
      </c>
      <c r="AF115" s="103" cm="1">
        <f t="array" ref="AF115">IF(Y115,INDEX('AEA2012 update'!$K$6:$R$104,MATCH($T115&amp;$R115,'AEA2012 update'!$A$6:$A$104&amp;'AEA2012 update'!$B$6:$B$104,0),MATCH(AF$16,'AEA2012 update'!$S$4:$Z$4,0)),INDEX('AEA2012 update'!$K$6:$R$104,MATCH($T115&amp;$U115,'AEA2012 update'!$A$6:$A$104&amp;'AEA2012 update'!$B$6:$B$104,0),MATCH(AF$16,'AEA2012 update'!$S$4:$Z$4,0)))</f>
        <v>1930209.4138028375</v>
      </c>
      <c r="AG115" s="103" cm="1">
        <f t="array" ref="AG115">IF(Z115,INDEX('AEA2012 update'!$K$6:$R$104,MATCH($T115&amp;$R115,'AEA2012 update'!$A$6:$A$104&amp;'AEA2012 update'!$B$6:$B$104,0),MATCH(AG$16,'AEA2012 update'!$S$4:$Z$4,0)),INDEX('AEA2012 update'!$K$6:$R$104,MATCH($T115&amp;$U115,'AEA2012 update'!$A$6:$A$104&amp;'AEA2012 update'!$B$6:$B$104,0),MATCH(AG$16,'AEA2012 update'!$S$4:$Z$4,0)))</f>
        <v>1395931.6735721545</v>
      </c>
      <c r="AH115" s="103" cm="1">
        <f t="array" ref="AH115">IF(AA115,INDEX('AEA2012 update'!$K$6:$R$104,MATCH($T115&amp;$R115,'AEA2012 update'!$A$6:$A$104&amp;'AEA2012 update'!$B$6:$B$104,0),MATCH(AH$16,'AEA2012 update'!$S$4:$Z$4,0)),INDEX('AEA2012 update'!$K$6:$R$104,MATCH($T115&amp;$U115,'AEA2012 update'!$A$6:$A$104&amp;'AEA2012 update'!$B$6:$B$104,0),MATCH(AH$16,'AEA2012 update'!$S$4:$Z$4,0)))</f>
        <v>1325659.1701213</v>
      </c>
      <c r="AI115" s="103" cm="1">
        <f t="array" ref="AI115">IF(AB115,INDEX('AEA2012 update'!$K$6:$R$104,MATCH($T115&amp;$R115,'AEA2012 update'!$A$6:$A$104&amp;'AEA2012 update'!$B$6:$B$104,0),MATCH(AI$16,'AEA2012 update'!$S$4:$Z$4,0)),INDEX('AEA2012 update'!$K$6:$R$104,MATCH($T115&amp;$U115,'AEA2012 update'!$A$6:$A$104&amp;'AEA2012 update'!$B$6:$B$104,0),MATCH(AI$16,'AEA2012 update'!$S$4:$Z$4,0)))</f>
        <v>1255386.6666704458</v>
      </c>
      <c r="AJ115" s="103" cm="1">
        <f t="array" ref="AJ115">IF(AC115,INDEX('AEA2012 update'!$K$6:$R$104,MATCH($T115&amp;$R115,'AEA2012 update'!$A$6:$A$104&amp;'AEA2012 update'!$B$6:$B$104,0),MATCH(AJ$16,'AEA2012 update'!$S$4:$Z$4,0)),INDEX('AEA2012 update'!$K$6:$R$104,MATCH($T115&amp;$U115,'AEA2012 update'!$A$6:$A$104&amp;'AEA2012 update'!$B$6:$B$104,0),MATCH(AJ$16,'AEA2012 update'!$S$4:$Z$4,0)))</f>
        <v>1215891.7526997081</v>
      </c>
      <c r="AK115" s="103" t="str">
        <f t="shared" si="33"/>
        <v>CV9HGN</v>
      </c>
      <c r="AL115" s="67">
        <f>INDEX('Vehicle data '!$AD$20:$AD$110,MATCH($AK115,'Vehicle data '!$AC$20:$AC$110,0))/INDEX('Vehicle data '!$AD$20:$AD$110,MATCH($AK$113,'Vehicle data '!$AC$20:$AC$110,0))*AL$113</f>
        <v>8.7356355481978181</v>
      </c>
      <c r="AM115" s="67">
        <f t="array" ref="AM115">IF($AE$1,AL115*(1+INDEX(AM$1:AM$2,MATCH($O115,$AI$1:$AI$2,0)))^(AM$16-AL$16),INDEX('AEA2012 update'!$AC$6:$AG$104,MATCH($T115&amp;$U115,'AEA2012 update'!$A$6:$A$104&amp;'AEA2012 update'!$B$6:$B$104,0),MATCH(AM$16,'AEA2012 update'!$AC$4:$AG$4,0)))</f>
        <v>8.7094548397242342</v>
      </c>
      <c r="AN115" s="67">
        <f t="array" ref="AN115">IF($AE$1,AM115*(1+INDEX(AN$1:AN$2,MATCH($O115,$AI$1:$AI$2,0)))^(AN$16-AM$16),INDEX('AEA2012 update'!$AC$6:$AG$104,MATCH($T115&amp;$U115,'AEA2012 update'!$A$6:$A$104&amp;'AEA2012 update'!$B$6:$B$104,0),MATCH(AN$16,'AEA2012 update'!$AC$4:$AG$4,0)))</f>
        <v>8.2421183473146353</v>
      </c>
      <c r="AO115" s="67">
        <f t="array" ref="AO115">IF($AE$1,AN115*(1+INDEX(AO$1:AO$2,MATCH($O115,$AI$1:$AI$2,0)))^(AO$16-AN$16),INDEX('AEA2012 update'!$AC$6:$AG$104,MATCH($T115&amp;$U115,'AEA2012 update'!$A$6:$A$104&amp;'AEA2012 update'!$B$6:$B$104,0),MATCH(AO$16,'AEA2012 update'!$AC$4:$AG$4,0)))</f>
        <v>7.4540240934125466</v>
      </c>
      <c r="AP115" s="67">
        <f t="array" ref="AP115">IF($AE$1,AO115*(1+INDEX(AP$1:AP$2,MATCH($O115,$AI$1:$AI$2,0)))^(AP$16-AO$16),INDEX('AEA2012 update'!$AC$6:$AG$104,MATCH($T115&amp;$U115,'AEA2012 update'!$A$6:$A$104&amp;'AEA2012 update'!$B$6:$B$104,0),MATCH(AP$16,'AEA2012 update'!$AC$4:$AG$4,0)))</f>
        <v>6.7412857767660599</v>
      </c>
      <c r="AQ115" s="67"/>
      <c r="AR115" s="257">
        <f t="shared" si="31"/>
        <v>-9.9900033333331353E-4</v>
      </c>
      <c r="AS115" s="257">
        <f t="shared" si="32"/>
        <v>-7.5326913841620427E-3</v>
      </c>
      <c r="AT115"/>
      <c r="AW115"/>
      <c r="AX115"/>
      <c r="AY115" s="61" t="str">
        <f t="shared" si="23"/>
        <v>HCV9-HGN</v>
      </c>
      <c r="AZ115" s="80" t="e" cm="1">
        <f t="array" aca="1" ref="AZ115" ca="1">AL115/INDIRECT("cv."&amp;LEFT($U115,6)&amp;".hhv.MJL") * 100</f>
        <v>#REF!</v>
      </c>
      <c r="BA115" s="80" t="e" cm="1">
        <f t="array" aca="1" ref="BA115" ca="1">AM115/INDIRECT("cv."&amp;LEFT($U115,6)&amp;".hhv.MJL") * 100</f>
        <v>#REF!</v>
      </c>
      <c r="BB115" s="80" t="e" cm="1">
        <f t="array" aca="1" ref="BB115" ca="1">AN115/INDIRECT("cv."&amp;LEFT($U115,6)&amp;".hhv.MJL") * 100</f>
        <v>#REF!</v>
      </c>
      <c r="BC115" s="80" t="e" cm="1">
        <f t="array" aca="1" ref="BC115" ca="1">AO115/INDIRECT("cv."&amp;LEFT($U115,6)&amp;".hhv.MJL") * 100</f>
        <v>#REF!</v>
      </c>
      <c r="BD115" s="80" t="e" cm="1">
        <f t="array" aca="1" ref="BD115" ca="1">AP115/INDIRECT("cv."&amp;LEFT($U115,6)&amp;".hhv.MJL") * 100</f>
        <v>#REF!</v>
      </c>
      <c r="BG115"/>
    </row>
    <row r="116" spans="1:59" ht="16.5" thickBot="1" x14ac:dyDescent="0.3">
      <c r="A116" s="289" t="s">
        <v>759</v>
      </c>
      <c r="B116" s="290">
        <v>21</v>
      </c>
      <c r="C116" s="291" t="s">
        <v>760</v>
      </c>
      <c r="D116" s="290">
        <v>27</v>
      </c>
      <c r="E116" s="292" t="s">
        <v>761</v>
      </c>
      <c r="G116" s="61">
        <f>B116/D116</f>
        <v>0.77777777777777779</v>
      </c>
      <c r="H116" s="61" t="e">
        <f>C116/E116</f>
        <v>#VALUE!</v>
      </c>
      <c r="N116" s="61" t="s">
        <v>509</v>
      </c>
      <c r="O116" s="61" t="s">
        <v>653</v>
      </c>
      <c r="P116" s="61" t="s">
        <v>757</v>
      </c>
      <c r="Q116" s="61" t="str">
        <f t="shared" si="30"/>
        <v>CV9</v>
      </c>
      <c r="R116" s="61" t="s">
        <v>687</v>
      </c>
      <c r="S116" s="65"/>
      <c r="T116" s="256" t="s">
        <v>747</v>
      </c>
      <c r="U116" s="913" t="s">
        <v>700</v>
      </c>
      <c r="V116" s="921"/>
      <c r="W116" s="914">
        <f t="shared" si="44"/>
        <v>0</v>
      </c>
      <c r="X116" s="915">
        <f t="shared" si="44"/>
        <v>0</v>
      </c>
      <c r="Y116" s="915">
        <f t="shared" si="44"/>
        <v>0</v>
      </c>
      <c r="Z116" s="915">
        <f t="shared" si="44"/>
        <v>0</v>
      </c>
      <c r="AA116" s="915">
        <f t="shared" si="44"/>
        <v>0</v>
      </c>
      <c r="AB116" s="915">
        <f t="shared" si="44"/>
        <v>0</v>
      </c>
      <c r="AC116" s="916">
        <f t="shared" si="44"/>
        <v>0</v>
      </c>
      <c r="AD116" s="103" cm="1">
        <f t="array" ref="AD116">IF(W116,INDEX('AEA2012 update'!$K$6:$R$104,MATCH($T116&amp;$R116,'AEA2012 update'!$A$6:$A$104&amp;'AEA2012 update'!$B$6:$B$104,0),MATCH(AD$16,'AEA2012 update'!$S$4:$Z$4,0)),INDEX('AEA2012 update'!$K$6:$R$104,MATCH($T116&amp;$U116,'AEA2012 update'!$A$6:$A$104&amp;'AEA2012 update'!$B$6:$B$104,0),MATCH(AD$16,'AEA2012 update'!$S$4:$Z$4,0)))</f>
        <v>1216871.9571458176</v>
      </c>
      <c r="AE116" s="103" cm="1">
        <f t="array" ref="AE116">IF(X116,INDEX('AEA2012 update'!$K$6:$R$104,MATCH($T116&amp;$R116,'AEA2012 update'!$A$6:$A$104&amp;'AEA2012 update'!$B$6:$B$104,0),MATCH(AE$16,'AEA2012 update'!$S$4:$Z$4,0)),INDEX('AEA2012 update'!$K$6:$R$104,MATCH($T116&amp;$U116,'AEA2012 update'!$A$6:$A$104&amp;'AEA2012 update'!$B$6:$B$104,0),MATCH(AE$16,'AEA2012 update'!$S$4:$Z$4,0)))</f>
        <v>1262276.8438934449</v>
      </c>
      <c r="AF116" s="103" cm="1">
        <f t="array" ref="AF116">IF(Y116,INDEX('AEA2012 update'!$K$6:$R$104,MATCH($T116&amp;$R116,'AEA2012 update'!$A$6:$A$104&amp;'AEA2012 update'!$B$6:$B$104,0),MATCH(AF$16,'AEA2012 update'!$S$4:$Z$4,0)),INDEX('AEA2012 update'!$K$6:$R$104,MATCH($T116&amp;$U116,'AEA2012 update'!$A$6:$A$104&amp;'AEA2012 update'!$B$6:$B$104,0),MATCH(AF$16,'AEA2012 update'!$S$4:$Z$4,0)))</f>
        <v>1258634.2158304008</v>
      </c>
      <c r="AG116" s="103" cm="1">
        <f t="array" ref="AG116">IF(Z116,INDEX('AEA2012 update'!$K$6:$R$104,MATCH($T116&amp;$R116,'AEA2012 update'!$A$6:$A$104&amp;'AEA2012 update'!$B$6:$B$104,0),MATCH(AG$16,'AEA2012 update'!$S$4:$Z$4,0)),INDEX('AEA2012 update'!$K$6:$R$104,MATCH($T116&amp;$U116,'AEA2012 update'!$A$6:$A$104&amp;'AEA2012 update'!$B$6:$B$104,0),MATCH(AG$16,'AEA2012 update'!$S$4:$Z$4,0)))</f>
        <v>1254991.587767357</v>
      </c>
      <c r="AH116" s="103" cm="1">
        <f t="array" ref="AH116">IF(AA116,INDEX('AEA2012 update'!$K$6:$R$104,MATCH($T116&amp;$R116,'AEA2012 update'!$A$6:$A$104&amp;'AEA2012 update'!$B$6:$B$104,0),MATCH(AH$16,'AEA2012 update'!$S$4:$Z$4,0)),INDEX('AEA2012 update'!$K$6:$R$104,MATCH($T116&amp;$U116,'AEA2012 update'!$A$6:$A$104&amp;'AEA2012 update'!$B$6:$B$104,0),MATCH(AH$16,'AEA2012 update'!$S$4:$Z$4,0)))</f>
        <v>1264417.9480459164</v>
      </c>
      <c r="AI116" s="103" cm="1">
        <f t="array" ref="AI116">IF(AB116,INDEX('AEA2012 update'!$K$6:$R$104,MATCH($T116&amp;$R116,'AEA2012 update'!$A$6:$A$104&amp;'AEA2012 update'!$B$6:$B$104,0),MATCH(AI$16,'AEA2012 update'!$S$4:$Z$4,0)),INDEX('AEA2012 update'!$K$6:$R$104,MATCH($T116&amp;$U116,'AEA2012 update'!$A$6:$A$104&amp;'AEA2012 update'!$B$6:$B$104,0),MATCH(AI$16,'AEA2012 update'!$S$4:$Z$4,0)))</f>
        <v>1273844.308324476</v>
      </c>
      <c r="AJ116" s="103" cm="1">
        <f t="array" ref="AJ116">IF(AC116,INDEX('AEA2012 update'!$K$6:$R$104,MATCH($T116&amp;$R116,'AEA2012 update'!$A$6:$A$104&amp;'AEA2012 update'!$B$6:$B$104,0),MATCH(AJ$16,'AEA2012 update'!$S$4:$Z$4,0)),INDEX('AEA2012 update'!$K$6:$R$104,MATCH($T116&amp;$U116,'AEA2012 update'!$A$6:$A$104&amp;'AEA2012 update'!$B$6:$B$104,0),MATCH(AJ$16,'AEA2012 update'!$S$4:$Z$4,0)))</f>
        <v>1284933.4289435516</v>
      </c>
      <c r="AK116" s="103" t="str">
        <f t="shared" si="33"/>
        <v>CV9GAS</v>
      </c>
      <c r="AL116" s="67">
        <f>INDEX('Vehicle data '!$AD$20:$AD$110,MATCH($AK116,'Vehicle data '!$AC$20:$AC$110,0))/INDEX('Vehicle data '!$AD$20:$AD$110,MATCH($AK$113,'Vehicle data '!$AC$20:$AC$110,0))*AL$113</f>
        <v>21.150839582478866</v>
      </c>
      <c r="AM116" s="67">
        <f t="array" ref="AM116">IF($AE$1,AL116*(1+INDEX(AM$1:AM$2,MATCH($O116,$AI$1:$AI$2,0)))^(AM$16-AL$16),INDEX('AEA2012 update'!$AC$6:$AG$104,MATCH($T116&amp;$U116,'AEA2012 update'!$A$6:$A$104&amp;'AEA2012 update'!$B$6:$B$104,0),MATCH(AM$16,'AEA2012 update'!$AC$4:$AG$4,0)))</f>
        <v>21.087450495099336</v>
      </c>
      <c r="AN116" s="67">
        <f t="array" ref="AN116">IF($AE$1,AM116*(1+INDEX(AN$1:AN$2,MATCH($O116,$AI$1:$AI$2,0)))^(AN$16-AM$16),INDEX('AEA2012 update'!$AC$6:$AG$104,MATCH($T116&amp;$U116,'AEA2012 update'!$A$6:$A$104&amp;'AEA2012 update'!$B$6:$B$104,0),MATCH(AN$16,'AEA2012 update'!$AC$4:$AG$4,0)))</f>
        <v>19.955929024514063</v>
      </c>
      <c r="AO116" s="67">
        <f t="array" ref="AO116">IF($AE$1,AN116*(1+INDEX(AO$1:AO$2,MATCH($O116,$AI$1:$AI$2,0)))^(AO$16-AN$16),INDEX('AEA2012 update'!$AC$6:$AG$104,MATCH($T116&amp;$U116,'AEA2012 update'!$A$6:$A$104&amp;'AEA2012 update'!$B$6:$B$104,0),MATCH(AO$16,'AEA2012 update'!$AC$4:$AG$4,0)))</f>
        <v>18.047784499918453</v>
      </c>
      <c r="AP116" s="67">
        <f t="array" ref="AP116">IF($AE$1,AO116*(1+INDEX(AP$1:AP$2,MATCH($O116,$AI$1:$AI$2,0)))^(AP$16-AO$16),INDEX('AEA2012 update'!$AC$6:$AG$104,MATCH($T116&amp;$U116,'AEA2012 update'!$A$6:$A$104&amp;'AEA2012 update'!$B$6:$B$104,0),MATCH(AP$16,'AEA2012 update'!$AC$4:$AG$4,0)))</f>
        <v>16.322092795347988</v>
      </c>
      <c r="AQ116" s="67"/>
      <c r="AR116" s="257">
        <f t="shared" si="31"/>
        <v>-9.9900033333335625E-4</v>
      </c>
      <c r="AS116" s="257">
        <f t="shared" si="32"/>
        <v>-7.5326913841620383E-3</v>
      </c>
      <c r="AY116" s="61" t="str">
        <f t="shared" si="23"/>
        <v>HCV9-GAS</v>
      </c>
      <c r="AZ116" s="80" t="e" cm="1">
        <f t="array" aca="1" ref="AZ116" ca="1">AL116/INDIRECT("cv."&amp;LEFT($U116,6)&amp;".hhv.MJL") * 100</f>
        <v>#REF!</v>
      </c>
      <c r="BA116" s="80" t="e" cm="1">
        <f t="array" aca="1" ref="BA116" ca="1">AM116/INDIRECT("cv."&amp;LEFT($U116,6)&amp;".hhv.MJL") * 100</f>
        <v>#REF!</v>
      </c>
      <c r="BB116" s="80" t="e" cm="1">
        <f t="array" aca="1" ref="BB116" ca="1">AN116/INDIRECT("cv."&amp;LEFT($U116,6)&amp;".hhv.MJL") * 100</f>
        <v>#REF!</v>
      </c>
      <c r="BC116" s="80" t="e" cm="1">
        <f t="array" aca="1" ref="BC116" ca="1">AO116/INDIRECT("cv."&amp;LEFT($U116,6)&amp;".hhv.MJL") * 100</f>
        <v>#REF!</v>
      </c>
      <c r="BD116" s="80" t="e" cm="1">
        <f t="array" aca="1" ref="BD116" ca="1">AP116/INDIRECT("cv."&amp;LEFT($U116,6)&amp;".hhv.MJL") * 100</f>
        <v>#REF!</v>
      </c>
    </row>
    <row r="117" spans="1:59" ht="16.5" thickBot="1" x14ac:dyDescent="0.3">
      <c r="A117" s="289" t="s">
        <v>762</v>
      </c>
      <c r="B117" s="290">
        <v>20</v>
      </c>
      <c r="C117" s="291" t="s">
        <v>763</v>
      </c>
      <c r="D117" s="290">
        <v>26</v>
      </c>
      <c r="E117" s="292" t="s">
        <v>764</v>
      </c>
      <c r="G117" s="61">
        <f t="shared" ref="G117:H132" si="52">B117/D117</f>
        <v>0.76923076923076927</v>
      </c>
      <c r="H117" s="61" t="e">
        <f t="shared" si="52"/>
        <v>#VALUE!</v>
      </c>
      <c r="N117"/>
      <c r="O117"/>
      <c r="P117"/>
      <c r="Q117"/>
      <c r="R117"/>
      <c r="S117"/>
      <c r="T117"/>
      <c r="U117"/>
      <c r="V117"/>
      <c r="W117"/>
      <c r="X117"/>
      <c r="Y117"/>
      <c r="Z117"/>
      <c r="AA117"/>
      <c r="AB117"/>
      <c r="AC117"/>
      <c r="AD117"/>
      <c r="AE117"/>
      <c r="AF117"/>
      <c r="AG117"/>
      <c r="AH117"/>
      <c r="AI117"/>
      <c r="AJ117"/>
      <c r="AK117"/>
      <c r="AL117"/>
      <c r="AR117" s="257" t="e">
        <f t="shared" si="31"/>
        <v>#DIV/0!</v>
      </c>
      <c r="AS117" s="257"/>
    </row>
    <row r="118" spans="1:59" ht="16.5" thickBot="1" x14ac:dyDescent="0.3">
      <c r="A118" s="289" t="s">
        <v>765</v>
      </c>
      <c r="B118" s="290">
        <v>26</v>
      </c>
      <c r="C118" s="291" t="s">
        <v>766</v>
      </c>
      <c r="D118" s="290">
        <v>34</v>
      </c>
      <c r="E118" s="292" t="s">
        <v>767</v>
      </c>
      <c r="G118" s="61">
        <f t="shared" si="52"/>
        <v>0.76470588235294112</v>
      </c>
      <c r="H118" s="61" t="e">
        <f t="shared" si="52"/>
        <v>#VALUE!</v>
      </c>
      <c r="N118"/>
      <c r="O118"/>
      <c r="P118"/>
      <c r="Q118"/>
      <c r="R118"/>
      <c r="S118"/>
      <c r="T118"/>
      <c r="U118"/>
      <c r="V118"/>
      <c r="W118"/>
      <c r="X118"/>
      <c r="Y118"/>
      <c r="Z118"/>
      <c r="AA118"/>
      <c r="AB118"/>
      <c r="AC118"/>
      <c r="AD118"/>
      <c r="AE118"/>
      <c r="AF118"/>
      <c r="AG118"/>
      <c r="AH118"/>
      <c r="AI118"/>
      <c r="AJ118"/>
      <c r="AK118"/>
      <c r="AL118"/>
      <c r="AR118" s="257"/>
      <c r="AS118" s="257"/>
    </row>
    <row r="119" spans="1:59" ht="16.5" thickBot="1" x14ac:dyDescent="0.3">
      <c r="A119" s="289" t="s">
        <v>768</v>
      </c>
      <c r="B119" s="290">
        <v>24</v>
      </c>
      <c r="C119" s="291" t="s">
        <v>769</v>
      </c>
      <c r="D119" s="290">
        <v>33</v>
      </c>
      <c r="E119" s="292" t="s">
        <v>770</v>
      </c>
      <c r="G119" s="61">
        <f t="shared" si="52"/>
        <v>0.72727272727272729</v>
      </c>
      <c r="H119" s="61" t="e">
        <f t="shared" si="52"/>
        <v>#VALUE!</v>
      </c>
      <c r="N119"/>
      <c r="O119"/>
      <c r="P119"/>
      <c r="Q119"/>
      <c r="R119"/>
      <c r="S119"/>
      <c r="T119"/>
      <c r="U119"/>
      <c r="V119"/>
      <c r="W119"/>
      <c r="X119"/>
      <c r="Y119"/>
      <c r="Z119"/>
      <c r="AA119"/>
      <c r="AB119"/>
      <c r="AC119"/>
      <c r="AR119" s="257"/>
      <c r="AS119" s="257"/>
    </row>
    <row r="120" spans="1:59" ht="32.25" thickBot="1" x14ac:dyDescent="0.3">
      <c r="A120" s="280" t="s">
        <v>771</v>
      </c>
      <c r="B120" s="293">
        <v>25</v>
      </c>
      <c r="C120" s="291" t="s">
        <v>772</v>
      </c>
      <c r="D120" s="293">
        <v>33</v>
      </c>
      <c r="E120" s="292" t="s">
        <v>773</v>
      </c>
      <c r="G120" s="61">
        <f t="shared" si="52"/>
        <v>0.75757575757575757</v>
      </c>
      <c r="H120" s="61" t="e">
        <f t="shared" si="52"/>
        <v>#VALUE!</v>
      </c>
      <c r="N120"/>
      <c r="O120"/>
      <c r="P120"/>
      <c r="Q120"/>
      <c r="R120"/>
      <c r="S120"/>
      <c r="T120"/>
      <c r="U120"/>
      <c r="V120"/>
      <c r="W120"/>
      <c r="X120"/>
      <c r="Y120"/>
      <c r="Z120"/>
      <c r="AA120"/>
      <c r="AB120"/>
      <c r="AC120"/>
      <c r="AD120"/>
      <c r="AE120"/>
      <c r="AF120"/>
      <c r="AG120"/>
      <c r="AJ120"/>
      <c r="AK120"/>
      <c r="AR120" s="257"/>
      <c r="AS120" s="257"/>
    </row>
    <row r="121" spans="1:59" ht="16.5" thickBot="1" x14ac:dyDescent="0.3">
      <c r="A121" s="289" t="s">
        <v>774</v>
      </c>
      <c r="B121" s="290">
        <v>23</v>
      </c>
      <c r="C121" s="291" t="s">
        <v>775</v>
      </c>
      <c r="D121" s="290">
        <v>34</v>
      </c>
      <c r="E121" s="292" t="s">
        <v>776</v>
      </c>
      <c r="G121" s="61">
        <f t="shared" si="52"/>
        <v>0.67647058823529416</v>
      </c>
      <c r="H121" s="61" t="e">
        <f t="shared" si="52"/>
        <v>#VALUE!</v>
      </c>
      <c r="N121"/>
      <c r="O121"/>
      <c r="P121"/>
      <c r="Q121"/>
      <c r="R121"/>
      <c r="S121"/>
      <c r="T121"/>
      <c r="U121"/>
      <c r="V121"/>
      <c r="W121"/>
      <c r="X121"/>
      <c r="Y121"/>
      <c r="Z121"/>
      <c r="AA121"/>
      <c r="AB121"/>
      <c r="AC121"/>
      <c r="AD121" s="294">
        <v>2010</v>
      </c>
      <c r="AE121" s="294">
        <v>2018</v>
      </c>
      <c r="AF121" s="294">
        <v>2020</v>
      </c>
      <c r="AG121" s="294">
        <v>2030</v>
      </c>
      <c r="AH121" s="294">
        <v>2040</v>
      </c>
      <c r="AI121" s="294">
        <v>2050</v>
      </c>
      <c r="AR121" s="257"/>
      <c r="AS121" s="257"/>
    </row>
    <row r="122" spans="1:59" ht="16.5" thickBot="1" x14ac:dyDescent="0.3">
      <c r="A122" s="295" t="s">
        <v>777</v>
      </c>
      <c r="B122" s="296"/>
      <c r="C122" s="291"/>
      <c r="D122" s="296"/>
      <c r="E122" s="292"/>
      <c r="G122" s="61" t="e">
        <f t="shared" si="52"/>
        <v>#DIV/0!</v>
      </c>
      <c r="H122" s="61" t="e">
        <f t="shared" si="52"/>
        <v>#DIV/0!</v>
      </c>
      <c r="N122"/>
      <c r="O122"/>
      <c r="P122"/>
      <c r="Q122"/>
      <c r="R122"/>
      <c r="S122"/>
      <c r="T122"/>
      <c r="U122"/>
      <c r="V122"/>
      <c r="W122"/>
      <c r="X122"/>
      <c r="Y122"/>
      <c r="Z122"/>
      <c r="AA122"/>
      <c r="AB122"/>
      <c r="AC122"/>
      <c r="AD122" s="195">
        <f>AD27/AD20</f>
        <v>4.2113457361265105</v>
      </c>
      <c r="AE122" s="195">
        <f>(H26/H27)</f>
        <v>2.0232263513513513</v>
      </c>
      <c r="AF122" s="195">
        <f>AE27/AE20</f>
        <v>2.6404042872112137</v>
      </c>
      <c r="AG122" s="195">
        <f>AG27/AG20</f>
        <v>1</v>
      </c>
      <c r="AH122" s="195">
        <f>AI27/AI20</f>
        <v>1</v>
      </c>
      <c r="AI122" s="195">
        <f>AJ27/AJ20</f>
        <v>1</v>
      </c>
      <c r="AR122" s="257"/>
      <c r="AS122" s="257"/>
    </row>
    <row r="123" spans="1:59" ht="16.5" thickBot="1" x14ac:dyDescent="0.3">
      <c r="A123" s="289" t="s">
        <v>778</v>
      </c>
      <c r="B123" s="290">
        <v>16</v>
      </c>
      <c r="C123" s="291" t="s">
        <v>779</v>
      </c>
      <c r="D123" s="290">
        <v>20</v>
      </c>
      <c r="E123" s="292" t="s">
        <v>780</v>
      </c>
      <c r="G123" s="61">
        <f t="shared" si="52"/>
        <v>0.8</v>
      </c>
      <c r="H123" s="61" t="e">
        <f t="shared" si="52"/>
        <v>#VALUE!</v>
      </c>
      <c r="N123"/>
      <c r="O123"/>
      <c r="P123"/>
      <c r="Q123"/>
      <c r="R123"/>
      <c r="S123"/>
      <c r="T123"/>
      <c r="U123"/>
      <c r="V123"/>
      <c r="W123"/>
      <c r="X123"/>
      <c r="Y123"/>
      <c r="Z123"/>
      <c r="AA123"/>
      <c r="AB123"/>
      <c r="AC123"/>
      <c r="AR123" s="257"/>
      <c r="AS123" s="257"/>
    </row>
    <row r="124" spans="1:59" ht="16.5" thickBot="1" x14ac:dyDescent="0.3">
      <c r="A124" s="289" t="s">
        <v>781</v>
      </c>
      <c r="B124" s="290">
        <v>16</v>
      </c>
      <c r="C124" s="291" t="s">
        <v>782</v>
      </c>
      <c r="D124" s="290">
        <v>22</v>
      </c>
      <c r="E124" s="292" t="s">
        <v>783</v>
      </c>
      <c r="G124" s="61">
        <f t="shared" si="52"/>
        <v>0.72727272727272729</v>
      </c>
      <c r="H124" s="61" t="e">
        <f t="shared" si="52"/>
        <v>#VALUE!</v>
      </c>
      <c r="N124"/>
      <c r="O124"/>
      <c r="P124"/>
      <c r="Q124"/>
      <c r="R124"/>
      <c r="S124"/>
      <c r="T124"/>
      <c r="U124"/>
      <c r="V124"/>
      <c r="W124"/>
      <c r="X124"/>
      <c r="Y124"/>
      <c r="Z124"/>
      <c r="AA124"/>
      <c r="AB124"/>
      <c r="AC124"/>
      <c r="AD124"/>
      <c r="AE124"/>
      <c r="AF124"/>
      <c r="AG124"/>
      <c r="AH124"/>
      <c r="AI124"/>
      <c r="AJ124"/>
      <c r="AK124"/>
      <c r="AR124" s="257"/>
      <c r="AS124" s="257"/>
    </row>
    <row r="125" spans="1:59" ht="16.5" thickBot="1" x14ac:dyDescent="0.3">
      <c r="A125" s="289" t="s">
        <v>784</v>
      </c>
      <c r="B125" s="290">
        <v>15</v>
      </c>
      <c r="C125" s="291" t="s">
        <v>785</v>
      </c>
      <c r="D125" s="290">
        <v>19</v>
      </c>
      <c r="E125" s="292" t="s">
        <v>786</v>
      </c>
      <c r="G125" s="61">
        <f t="shared" si="52"/>
        <v>0.78947368421052633</v>
      </c>
      <c r="H125" s="61" t="e">
        <f t="shared" si="52"/>
        <v>#VALUE!</v>
      </c>
      <c r="N125"/>
      <c r="O125"/>
      <c r="P125"/>
      <c r="Q125"/>
      <c r="R125"/>
      <c r="S125"/>
      <c r="U125" s="297" t="s">
        <v>787</v>
      </c>
      <c r="V125" s="911"/>
      <c r="W125" s="911"/>
      <c r="X125" s="911"/>
      <c r="Y125" s="911"/>
      <c r="Z125" s="911"/>
      <c r="AA125" s="911"/>
      <c r="AB125" s="911"/>
      <c r="AC125" s="911"/>
      <c r="AD125" s="298"/>
      <c r="AE125" s="299"/>
      <c r="AF125" s="299"/>
      <c r="AG125" s="299"/>
      <c r="AH125" s="299"/>
      <c r="AI125" s="298"/>
      <c r="AJ125" s="300"/>
      <c r="AK125"/>
      <c r="AR125" s="257"/>
      <c r="AS125" s="257"/>
    </row>
    <row r="126" spans="1:59" ht="16.5" thickBot="1" x14ac:dyDescent="0.3">
      <c r="A126" s="289" t="s">
        <v>788</v>
      </c>
      <c r="B126" s="290">
        <v>17</v>
      </c>
      <c r="C126" s="291" t="s">
        <v>789</v>
      </c>
      <c r="D126" s="290">
        <v>21</v>
      </c>
      <c r="E126" s="292" t="s">
        <v>790</v>
      </c>
      <c r="G126" s="61">
        <f t="shared" si="52"/>
        <v>0.80952380952380953</v>
      </c>
      <c r="H126" s="61" t="e">
        <f t="shared" si="52"/>
        <v>#VALUE!</v>
      </c>
      <c r="N126"/>
      <c r="O126"/>
      <c r="P126"/>
      <c r="Q126"/>
      <c r="R126"/>
      <c r="S126"/>
      <c r="U126" s="301" t="s">
        <v>791</v>
      </c>
      <c r="V126" s="301"/>
      <c r="W126" s="301"/>
      <c r="X126" s="301"/>
      <c r="Y126" s="301"/>
      <c r="Z126" s="301"/>
      <c r="AA126" s="301"/>
      <c r="AB126" s="301"/>
      <c r="AC126" s="301"/>
      <c r="AD126" s="294">
        <v>2010</v>
      </c>
      <c r="AE126" s="294">
        <v>2020</v>
      </c>
      <c r="AF126" s="294"/>
      <c r="AG126" s="294">
        <v>2030</v>
      </c>
      <c r="AH126" s="294"/>
      <c r="AI126" s="294">
        <v>2040</v>
      </c>
      <c r="AJ126" s="294">
        <v>2050</v>
      </c>
      <c r="AK126"/>
      <c r="AR126" s="257"/>
      <c r="AS126" s="257"/>
    </row>
    <row r="127" spans="1:59" ht="16.5" thickBot="1" x14ac:dyDescent="0.3">
      <c r="A127" s="289" t="s">
        <v>792</v>
      </c>
      <c r="B127" s="290">
        <v>16</v>
      </c>
      <c r="C127" s="291" t="s">
        <v>793</v>
      </c>
      <c r="D127" s="290">
        <v>22</v>
      </c>
      <c r="E127" s="292" t="s">
        <v>794</v>
      </c>
      <c r="G127" s="61">
        <f t="shared" si="52"/>
        <v>0.72727272727272729</v>
      </c>
      <c r="H127" s="61" t="e">
        <f t="shared" si="52"/>
        <v>#VALUE!</v>
      </c>
      <c r="N127"/>
      <c r="O127"/>
      <c r="P127"/>
      <c r="Q127"/>
      <c r="R127"/>
      <c r="S127"/>
      <c r="U127" s="302" t="s">
        <v>795</v>
      </c>
      <c r="V127" s="302"/>
      <c r="W127" s="302"/>
      <c r="X127" s="302"/>
      <c r="Y127" s="302"/>
      <c r="Z127" s="302"/>
      <c r="AA127" s="302"/>
      <c r="AB127" s="302"/>
      <c r="AC127" s="302"/>
      <c r="AD127" s="303">
        <v>11397.369670152857</v>
      </c>
      <c r="AE127" s="303">
        <v>11397.369670152857</v>
      </c>
      <c r="AF127" s="303"/>
      <c r="AG127" s="303">
        <v>11397.369670152857</v>
      </c>
      <c r="AH127" s="303"/>
      <c r="AI127" s="303">
        <v>11397.369670152857</v>
      </c>
      <c r="AJ127" s="303">
        <v>11397.369670152857</v>
      </c>
      <c r="AK127"/>
      <c r="AR127" s="257"/>
      <c r="AS127" s="257"/>
    </row>
    <row r="128" spans="1:59" ht="16.5" thickBot="1" x14ac:dyDescent="0.3">
      <c r="A128" s="304" t="s">
        <v>745</v>
      </c>
      <c r="B128" s="296"/>
      <c r="C128" s="291"/>
      <c r="D128" s="296"/>
      <c r="E128" s="292"/>
      <c r="G128" s="61" t="e">
        <f t="shared" si="52"/>
        <v>#DIV/0!</v>
      </c>
      <c r="H128" s="61" t="e">
        <f t="shared" si="52"/>
        <v>#DIV/0!</v>
      </c>
      <c r="N128"/>
      <c r="O128"/>
      <c r="P128"/>
      <c r="Q128"/>
      <c r="R128"/>
      <c r="S128"/>
      <c r="U128" s="302" t="s">
        <v>796</v>
      </c>
      <c r="V128" s="302"/>
      <c r="W128" s="302"/>
      <c r="X128" s="302"/>
      <c r="Y128" s="302"/>
      <c r="Z128" s="302"/>
      <c r="AA128" s="302"/>
      <c r="AB128" s="302"/>
      <c r="AC128" s="302"/>
      <c r="AD128" s="303">
        <v>4325.1030927835054</v>
      </c>
      <c r="AE128" s="303">
        <v>2671.4241637609025</v>
      </c>
      <c r="AF128" s="303"/>
      <c r="AG128" s="303">
        <v>1895.6429596763671</v>
      </c>
      <c r="AH128" s="303"/>
      <c r="AI128" s="303">
        <v>1722.8429596763672</v>
      </c>
      <c r="AJ128" s="303">
        <v>1584.6029596763672</v>
      </c>
      <c r="AK128"/>
      <c r="AR128" s="257"/>
      <c r="AS128" s="257"/>
    </row>
    <row r="129" spans="1:45" ht="32.25" thickBot="1" x14ac:dyDescent="0.3">
      <c r="A129" s="289" t="s">
        <v>797</v>
      </c>
      <c r="B129" s="290">
        <v>13</v>
      </c>
      <c r="C129" s="291" t="s">
        <v>798</v>
      </c>
      <c r="D129" s="290">
        <v>15</v>
      </c>
      <c r="E129" s="292" t="s">
        <v>799</v>
      </c>
      <c r="G129" s="61">
        <f t="shared" si="52"/>
        <v>0.8666666666666667</v>
      </c>
      <c r="H129" s="61" t="e">
        <f t="shared" si="52"/>
        <v>#VALUE!</v>
      </c>
      <c r="N129"/>
      <c r="O129"/>
      <c r="P129"/>
      <c r="Q129"/>
      <c r="R129"/>
      <c r="S129"/>
      <c r="U129" s="302" t="s">
        <v>800</v>
      </c>
      <c r="V129" s="302"/>
      <c r="W129" s="302"/>
      <c r="X129" s="302"/>
      <c r="Y129" s="302"/>
      <c r="Z129" s="302"/>
      <c r="AA129" s="302"/>
      <c r="AB129" s="302"/>
      <c r="AC129" s="302"/>
      <c r="AD129" s="303">
        <v>20516.123958396958</v>
      </c>
      <c r="AE129" s="303">
        <v>10321.343218432934</v>
      </c>
      <c r="AF129" s="303"/>
      <c r="AG129" s="303">
        <v>6664.450612276908</v>
      </c>
      <c r="AH129" s="303"/>
      <c r="AI129" s="303">
        <v>6947.4020113231627</v>
      </c>
      <c r="AJ129" s="303">
        <v>7085.5672178836048</v>
      </c>
      <c r="AK129"/>
      <c r="AR129" s="257"/>
      <c r="AS129" s="257"/>
    </row>
    <row r="130" spans="1:45" ht="16.5" thickBot="1" x14ac:dyDescent="0.3">
      <c r="A130" s="289" t="s">
        <v>801</v>
      </c>
      <c r="B130" s="290">
        <v>13</v>
      </c>
      <c r="C130" s="291" t="s">
        <v>802</v>
      </c>
      <c r="D130" s="290">
        <v>15</v>
      </c>
      <c r="E130" s="292" t="s">
        <v>803</v>
      </c>
      <c r="G130" s="61">
        <f t="shared" si="52"/>
        <v>0.8666666666666667</v>
      </c>
      <c r="H130" s="61" t="e">
        <f t="shared" si="52"/>
        <v>#VALUE!</v>
      </c>
      <c r="N130"/>
      <c r="O130"/>
      <c r="P130"/>
      <c r="Q130"/>
      <c r="R130"/>
      <c r="S130"/>
      <c r="U130" s="302" t="s">
        <v>804</v>
      </c>
      <c r="V130" s="302"/>
      <c r="W130" s="302"/>
      <c r="X130" s="302"/>
      <c r="Y130" s="302"/>
      <c r="Z130" s="302"/>
      <c r="AA130" s="302"/>
      <c r="AB130" s="302"/>
      <c r="AC130" s="302"/>
      <c r="AD130" s="303">
        <v>0</v>
      </c>
      <c r="AE130" s="303">
        <v>0</v>
      </c>
      <c r="AF130" s="303"/>
      <c r="AG130" s="303">
        <v>0</v>
      </c>
      <c r="AH130" s="303"/>
      <c r="AI130" s="303">
        <v>0</v>
      </c>
      <c r="AJ130" s="303">
        <v>0</v>
      </c>
      <c r="AK130"/>
      <c r="AR130" s="257"/>
      <c r="AS130" s="257"/>
    </row>
    <row r="131" spans="1:45" ht="16.5" thickBot="1" x14ac:dyDescent="0.3">
      <c r="A131" s="289" t="s">
        <v>805</v>
      </c>
      <c r="B131" s="290">
        <v>12</v>
      </c>
      <c r="C131" s="291" t="s">
        <v>806</v>
      </c>
      <c r="D131" s="290">
        <v>14</v>
      </c>
      <c r="E131" s="292" t="s">
        <v>807</v>
      </c>
      <c r="G131" s="61">
        <f t="shared" si="52"/>
        <v>0.8571428571428571</v>
      </c>
      <c r="H131" s="61" t="e">
        <f t="shared" si="52"/>
        <v>#VALUE!</v>
      </c>
      <c r="N131"/>
      <c r="O131"/>
      <c r="P131"/>
      <c r="Q131"/>
      <c r="R131"/>
      <c r="S131"/>
      <c r="U131" s="302" t="s">
        <v>808</v>
      </c>
      <c r="V131" s="302"/>
      <c r="W131" s="302"/>
      <c r="X131" s="302"/>
      <c r="Y131" s="302"/>
      <c r="Z131" s="302"/>
      <c r="AA131" s="302"/>
      <c r="AB131" s="302"/>
      <c r="AC131" s="302"/>
      <c r="AD131" s="303">
        <v>0</v>
      </c>
      <c r="AE131" s="303">
        <v>8.9453706281175727</v>
      </c>
      <c r="AF131" s="303"/>
      <c r="AG131" s="303">
        <v>20.952492987800643</v>
      </c>
      <c r="AH131" s="303"/>
      <c r="AI131" s="303">
        <v>25.793675678662378</v>
      </c>
      <c r="AJ131" s="303">
        <v>27.725005798971225</v>
      </c>
      <c r="AK131"/>
      <c r="AR131" s="257"/>
      <c r="AS131" s="257"/>
    </row>
    <row r="132" spans="1:45" ht="16.5" thickBot="1" x14ac:dyDescent="0.3">
      <c r="A132" s="289" t="s">
        <v>809</v>
      </c>
      <c r="B132" s="290">
        <v>13</v>
      </c>
      <c r="C132" s="291" t="s">
        <v>810</v>
      </c>
      <c r="D132" s="290">
        <v>15</v>
      </c>
      <c r="E132" s="292" t="s">
        <v>811</v>
      </c>
      <c r="G132" s="61">
        <f t="shared" si="52"/>
        <v>0.8666666666666667</v>
      </c>
      <c r="H132" s="61" t="e">
        <f t="shared" si="52"/>
        <v>#VALUE!</v>
      </c>
      <c r="N132"/>
      <c r="O132"/>
      <c r="P132"/>
      <c r="Q132"/>
      <c r="R132"/>
      <c r="S132"/>
      <c r="U132" s="302" t="s">
        <v>812</v>
      </c>
      <c r="V132" s="302"/>
      <c r="W132" s="302"/>
      <c r="X132" s="302"/>
      <c r="Y132" s="302"/>
      <c r="Z132" s="302"/>
      <c r="AA132" s="302"/>
      <c r="AB132" s="302"/>
      <c r="AC132" s="302"/>
      <c r="AD132" s="303">
        <v>0</v>
      </c>
      <c r="AE132" s="303">
        <v>18.764296648724834</v>
      </c>
      <c r="AF132" s="303"/>
      <c r="AG132" s="303">
        <v>17.385645895502968</v>
      </c>
      <c r="AH132" s="303"/>
      <c r="AI132" s="303">
        <v>16.734089353993042</v>
      </c>
      <c r="AJ132" s="303">
        <v>16.302594462013452</v>
      </c>
      <c r="AK132"/>
      <c r="AR132" s="257"/>
      <c r="AS132" s="257"/>
    </row>
    <row r="133" spans="1:45" ht="15.75" x14ac:dyDescent="0.25">
      <c r="A133" s="305"/>
      <c r="B133" s="306"/>
      <c r="C133" s="307"/>
      <c r="D133" s="306"/>
      <c r="E133" s="305"/>
      <c r="N133"/>
      <c r="O133"/>
      <c r="P133"/>
      <c r="Q133"/>
      <c r="R133"/>
      <c r="S133"/>
      <c r="U133" s="302" t="s">
        <v>813</v>
      </c>
      <c r="V133" s="302"/>
      <c r="W133" s="302"/>
      <c r="X133" s="302"/>
      <c r="Y133" s="302"/>
      <c r="Z133" s="302"/>
      <c r="AA133" s="302"/>
      <c r="AB133" s="302"/>
      <c r="AC133" s="302"/>
      <c r="AD133" s="303">
        <v>0</v>
      </c>
      <c r="AE133" s="303">
        <v>96.680326472614169</v>
      </c>
      <c r="AF133" s="303"/>
      <c r="AG133" s="303">
        <v>158.46373746443086</v>
      </c>
      <c r="AH133" s="303"/>
      <c r="AI133" s="303">
        <v>280.2703552373747</v>
      </c>
      <c r="AJ133" s="303">
        <v>410.49323104529975</v>
      </c>
      <c r="AK133"/>
      <c r="AR133" s="257"/>
      <c r="AS133" s="257"/>
    </row>
    <row r="134" spans="1:45" x14ac:dyDescent="0.25">
      <c r="N134"/>
      <c r="O134"/>
      <c r="P134"/>
      <c r="Q134"/>
      <c r="R134"/>
      <c r="S134"/>
      <c r="U134" s="302" t="s">
        <v>814</v>
      </c>
      <c r="V134" s="302"/>
      <c r="W134" s="302"/>
      <c r="X134" s="302"/>
      <c r="Y134" s="302"/>
      <c r="Z134" s="302"/>
      <c r="AA134" s="302"/>
      <c r="AB134" s="302"/>
      <c r="AC134" s="302"/>
      <c r="AD134" s="303">
        <v>0</v>
      </c>
      <c r="AE134" s="303">
        <v>88.489721534076395</v>
      </c>
      <c r="AF134" s="303"/>
      <c r="AG134" s="303">
        <v>219.26930496828516</v>
      </c>
      <c r="AH134" s="303"/>
      <c r="AI134" s="303">
        <v>257.49171484357635</v>
      </c>
      <c r="AJ134" s="303">
        <v>266.18798500621233</v>
      </c>
      <c r="AK134"/>
      <c r="AR134" s="257"/>
      <c r="AS134" s="257"/>
    </row>
    <row r="135" spans="1:45" x14ac:dyDescent="0.25">
      <c r="N135"/>
      <c r="O135"/>
      <c r="P135"/>
      <c r="Q135"/>
      <c r="R135"/>
      <c r="S135"/>
      <c r="U135" s="302" t="s">
        <v>815</v>
      </c>
      <c r="V135" s="302"/>
      <c r="W135" s="302"/>
      <c r="X135" s="302"/>
      <c r="Y135" s="302"/>
      <c r="Z135" s="302"/>
      <c r="AA135" s="302"/>
      <c r="AB135" s="302"/>
      <c r="AC135" s="302"/>
      <c r="AD135" s="303" t="s">
        <v>815</v>
      </c>
      <c r="AE135" s="303" t="s">
        <v>815</v>
      </c>
      <c r="AF135" s="303"/>
      <c r="AG135" s="303" t="s">
        <v>815</v>
      </c>
      <c r="AH135" s="303"/>
      <c r="AI135" s="303" t="s">
        <v>815</v>
      </c>
      <c r="AJ135" s="303" t="s">
        <v>815</v>
      </c>
      <c r="AK135"/>
      <c r="AR135" s="257"/>
      <c r="AS135" s="257"/>
    </row>
    <row r="136" spans="1:45" x14ac:dyDescent="0.25">
      <c r="N136"/>
      <c r="O136"/>
      <c r="P136"/>
      <c r="Q136"/>
      <c r="R136"/>
      <c r="S136"/>
      <c r="U136" s="308" t="s">
        <v>193</v>
      </c>
      <c r="V136" s="308"/>
      <c r="W136" s="308"/>
      <c r="X136" s="308"/>
      <c r="Y136" s="308"/>
      <c r="Z136" s="308"/>
      <c r="AA136" s="308"/>
      <c r="AB136" s="308"/>
      <c r="AC136" s="308"/>
      <c r="AD136" s="309">
        <v>36238.596721333321</v>
      </c>
      <c r="AE136" s="309">
        <v>24603.016767630226</v>
      </c>
      <c r="AF136" s="309"/>
      <c r="AG136" s="309">
        <v>20373.534423422148</v>
      </c>
      <c r="AH136" s="309"/>
      <c r="AI136" s="309">
        <v>20647.904476265994</v>
      </c>
      <c r="AJ136" s="309">
        <v>20788.248664025326</v>
      </c>
      <c r="AK136"/>
      <c r="AR136" s="257"/>
      <c r="AS136" s="257"/>
    </row>
    <row r="137" spans="1:45" x14ac:dyDescent="0.25">
      <c r="N137"/>
      <c r="O137"/>
      <c r="P137"/>
      <c r="Q137"/>
      <c r="R137"/>
      <c r="S137"/>
      <c r="U137" s="310" t="s">
        <v>816</v>
      </c>
      <c r="V137" s="912"/>
      <c r="W137" s="912"/>
      <c r="X137" s="912"/>
      <c r="Y137" s="912"/>
      <c r="Z137" s="912"/>
      <c r="AA137" s="912"/>
      <c r="AB137" s="912"/>
      <c r="AC137" s="912"/>
      <c r="AD137" s="311" t="s">
        <v>817</v>
      </c>
      <c r="AE137" s="312"/>
      <c r="AF137" s="312"/>
      <c r="AG137" s="312"/>
      <c r="AH137" s="312"/>
      <c r="AI137" s="312"/>
      <c r="AJ137" s="312"/>
      <c r="AK137"/>
      <c r="AR137" s="257"/>
      <c r="AS137" s="257"/>
    </row>
    <row r="138" spans="1:45" x14ac:dyDescent="0.25">
      <c r="N138"/>
      <c r="O138"/>
      <c r="P138"/>
      <c r="Q138"/>
      <c r="R138"/>
      <c r="S138"/>
      <c r="U138" s="301" t="s">
        <v>659</v>
      </c>
      <c r="V138" s="301"/>
      <c r="W138" s="301"/>
      <c r="X138" s="301"/>
      <c r="Y138" s="301"/>
      <c r="Z138" s="301"/>
      <c r="AA138" s="301"/>
      <c r="AB138" s="301"/>
      <c r="AC138" s="301"/>
      <c r="AD138" s="301">
        <v>2010</v>
      </c>
      <c r="AE138" s="301">
        <v>2020</v>
      </c>
      <c r="AF138" s="301"/>
      <c r="AG138" s="301">
        <v>2030</v>
      </c>
      <c r="AH138" s="301"/>
      <c r="AI138" s="301">
        <v>2040</v>
      </c>
      <c r="AJ138" s="301">
        <v>2050</v>
      </c>
      <c r="AK138"/>
      <c r="AR138" s="257"/>
      <c r="AS138" s="257"/>
    </row>
    <row r="139" spans="1:45" x14ac:dyDescent="0.25">
      <c r="N139"/>
      <c r="O139"/>
      <c r="P139"/>
      <c r="Q139"/>
      <c r="R139"/>
      <c r="S139"/>
      <c r="U139" s="302" t="s">
        <v>663</v>
      </c>
      <c r="V139" s="302"/>
      <c r="W139" s="302"/>
      <c r="X139" s="302"/>
      <c r="Y139" s="302"/>
      <c r="Z139" s="302"/>
      <c r="AA139" s="302"/>
      <c r="AB139" s="302"/>
      <c r="AC139" s="302"/>
      <c r="AD139" s="313">
        <v>0.693962607442839</v>
      </c>
      <c r="AE139" s="313">
        <v>0.62851040218398957</v>
      </c>
      <c r="AF139" s="313"/>
      <c r="AG139" s="313">
        <v>0.57642485729714654</v>
      </c>
      <c r="AH139" s="313"/>
      <c r="AI139" s="313">
        <v>0.54803234670758638</v>
      </c>
      <c r="AJ139" s="313">
        <v>0.51817442685442938</v>
      </c>
      <c r="AK139"/>
      <c r="AR139" s="257"/>
      <c r="AS139" s="257"/>
    </row>
    <row r="140" spans="1:45" x14ac:dyDescent="0.25">
      <c r="N140"/>
      <c r="O140"/>
      <c r="P140"/>
      <c r="Q140"/>
      <c r="R140"/>
      <c r="S140"/>
      <c r="U140" s="302" t="s">
        <v>818</v>
      </c>
      <c r="V140" s="302"/>
      <c r="W140" s="302"/>
      <c r="X140" s="302"/>
      <c r="Y140" s="302"/>
      <c r="Z140" s="302"/>
      <c r="AA140" s="302"/>
      <c r="AB140" s="302"/>
      <c r="AC140" s="302"/>
      <c r="AD140" s="313">
        <v>0</v>
      </c>
      <c r="AE140" s="313">
        <v>1.3575641257771031E-2</v>
      </c>
      <c r="AF140" s="313"/>
      <c r="AG140" s="313">
        <v>2.6931390587293953E-2</v>
      </c>
      <c r="AH140" s="313"/>
      <c r="AI140" s="313">
        <v>4.0071060917710608E-2</v>
      </c>
      <c r="AJ140" s="313">
        <v>5.3113118258794126E-2</v>
      </c>
      <c r="AK140"/>
      <c r="AR140" s="257"/>
      <c r="AS140" s="257"/>
    </row>
    <row r="141" spans="1:45" x14ac:dyDescent="0.25">
      <c r="N141"/>
      <c r="O141"/>
      <c r="P141"/>
      <c r="Q141"/>
      <c r="R141"/>
      <c r="S141"/>
      <c r="U141" s="302" t="s">
        <v>804</v>
      </c>
      <c r="V141" s="302"/>
      <c r="W141" s="302"/>
      <c r="X141" s="302"/>
      <c r="Y141" s="302"/>
      <c r="Z141" s="302"/>
      <c r="AA141" s="302"/>
      <c r="AB141" s="302"/>
      <c r="AC141" s="302"/>
      <c r="AD141" s="313">
        <v>0</v>
      </c>
      <c r="AE141" s="313">
        <v>0</v>
      </c>
      <c r="AF141" s="313"/>
      <c r="AG141" s="313">
        <v>0</v>
      </c>
      <c r="AH141" s="313"/>
      <c r="AI141" s="313">
        <v>0</v>
      </c>
      <c r="AJ141" s="313">
        <v>0</v>
      </c>
      <c r="AK141"/>
      <c r="AR141" s="257"/>
      <c r="AS141" s="257"/>
    </row>
    <row r="142" spans="1:45" x14ac:dyDescent="0.25">
      <c r="N142"/>
      <c r="O142"/>
      <c r="P142"/>
      <c r="Q142"/>
      <c r="R142"/>
      <c r="S142"/>
      <c r="U142" s="302" t="s">
        <v>808</v>
      </c>
      <c r="V142" s="302"/>
      <c r="W142" s="302"/>
      <c r="X142" s="302"/>
      <c r="Y142" s="302"/>
      <c r="Z142" s="302"/>
      <c r="AA142" s="302"/>
      <c r="AB142" s="302"/>
      <c r="AC142" s="302"/>
      <c r="AD142" s="313">
        <v>0</v>
      </c>
      <c r="AE142" s="313">
        <v>2.9883677083482134E-3</v>
      </c>
      <c r="AF142" s="313"/>
      <c r="AG142" s="313">
        <v>7.6702475362843978E-3</v>
      </c>
      <c r="AH142" s="313"/>
      <c r="AI142" s="313">
        <v>9.9023689878556705E-3</v>
      </c>
      <c r="AJ142" s="313">
        <v>1.0950376546092409E-2</v>
      </c>
      <c r="AK142"/>
      <c r="AR142" s="257"/>
      <c r="AS142" s="257"/>
    </row>
    <row r="143" spans="1:45" x14ac:dyDescent="0.25">
      <c r="N143"/>
      <c r="O143"/>
      <c r="P143"/>
      <c r="Q143"/>
      <c r="R143"/>
      <c r="S143"/>
      <c r="U143" s="302" t="s">
        <v>812</v>
      </c>
      <c r="V143" s="302"/>
      <c r="W143" s="302"/>
      <c r="X143" s="302"/>
      <c r="Y143" s="302"/>
      <c r="Z143" s="302"/>
      <c r="AA143" s="302"/>
      <c r="AB143" s="302"/>
      <c r="AC143" s="302"/>
      <c r="AD143" s="313">
        <v>0</v>
      </c>
      <c r="AE143" s="313">
        <v>1.6321610603652417E-2</v>
      </c>
      <c r="AF143" s="313"/>
      <c r="AG143" s="313">
        <v>1.5999293476344708E-2</v>
      </c>
      <c r="AH143" s="313"/>
      <c r="AI143" s="313">
        <v>1.5739274620495722E-2</v>
      </c>
      <c r="AJ143" s="313">
        <v>1.5545253345222798E-2</v>
      </c>
      <c r="AK143"/>
      <c r="AR143" s="257"/>
      <c r="AS143" s="257"/>
    </row>
    <row r="144" spans="1:45" x14ac:dyDescent="0.25">
      <c r="N144"/>
      <c r="O144"/>
      <c r="P144"/>
      <c r="Q144"/>
      <c r="R144"/>
      <c r="S144"/>
      <c r="U144" s="302" t="s">
        <v>813</v>
      </c>
      <c r="V144" s="302"/>
      <c r="W144" s="302"/>
      <c r="X144" s="302"/>
      <c r="Y144" s="302"/>
      <c r="Z144" s="302"/>
      <c r="AA144" s="302"/>
      <c r="AB144" s="302"/>
      <c r="AC144" s="302"/>
      <c r="AD144" s="313">
        <v>0</v>
      </c>
      <c r="AE144" s="313">
        <v>1.1763752877724343E-2</v>
      </c>
      <c r="AF144" s="313"/>
      <c r="AG144" s="313">
        <v>2.0723241302606065E-2</v>
      </c>
      <c r="AH144" s="313"/>
      <c r="AI144" s="313">
        <v>3.9372481044012829E-2</v>
      </c>
      <c r="AJ144" s="313">
        <v>6.3066386807392419E-2</v>
      </c>
      <c r="AK144"/>
      <c r="AR144" s="257"/>
      <c r="AS144" s="257"/>
    </row>
    <row r="145" spans="1:45" x14ac:dyDescent="0.25">
      <c r="N145"/>
      <c r="O145"/>
      <c r="P145"/>
      <c r="Q145"/>
      <c r="R145"/>
      <c r="S145"/>
      <c r="U145" s="302" t="s">
        <v>814</v>
      </c>
      <c r="V145" s="302"/>
      <c r="W145" s="302"/>
      <c r="X145" s="302"/>
      <c r="Y145" s="302"/>
      <c r="Z145" s="302"/>
      <c r="AA145" s="302"/>
      <c r="AB145" s="302"/>
      <c r="AC145" s="302"/>
      <c r="AD145" s="313">
        <v>0</v>
      </c>
      <c r="AE145" s="313">
        <v>2.3471342820149014E-2</v>
      </c>
      <c r="AF145" s="313"/>
      <c r="AG145" s="313">
        <v>5.3489836104930751E-2</v>
      </c>
      <c r="AH145" s="313"/>
      <c r="AI145" s="313">
        <v>5.2659006815223564E-2</v>
      </c>
      <c r="AJ145" s="313">
        <v>5.0932822377237223E-2</v>
      </c>
      <c r="AK145"/>
      <c r="AR145" s="257"/>
      <c r="AS145" s="257"/>
    </row>
    <row r="146" spans="1:45" x14ac:dyDescent="0.25">
      <c r="N146"/>
      <c r="O146"/>
      <c r="P146"/>
      <c r="Q146"/>
      <c r="R146"/>
      <c r="S146"/>
      <c r="U146" s="308" t="s">
        <v>193</v>
      </c>
      <c r="V146" s="308"/>
      <c r="W146" s="308"/>
      <c r="X146" s="308"/>
      <c r="Y146" s="308"/>
      <c r="Z146" s="308"/>
      <c r="AA146" s="308"/>
      <c r="AB146" s="308"/>
      <c r="AC146" s="308"/>
      <c r="AD146" s="314">
        <v>0.693962607442839</v>
      </c>
      <c r="AE146" s="314">
        <v>0.69663111745163464</v>
      </c>
      <c r="AF146" s="314"/>
      <c r="AG146" s="314">
        <v>0.70123886630460641</v>
      </c>
      <c r="AH146" s="314"/>
      <c r="AI146" s="314">
        <v>0.70577653909288474</v>
      </c>
      <c r="AJ146" s="314">
        <v>0.71178238418916839</v>
      </c>
      <c r="AK146"/>
      <c r="AR146" s="257"/>
      <c r="AS146" s="257"/>
    </row>
    <row r="147" spans="1:45" x14ac:dyDescent="0.25">
      <c r="N147"/>
      <c r="O147"/>
      <c r="P147"/>
      <c r="Q147"/>
      <c r="R147"/>
      <c r="S147"/>
      <c r="U147" s="315" t="s">
        <v>819</v>
      </c>
      <c r="V147" s="315"/>
      <c r="W147" s="315"/>
      <c r="X147" s="315"/>
      <c r="Y147" s="315"/>
      <c r="Z147" s="315"/>
      <c r="AA147" s="315"/>
      <c r="AB147" s="315"/>
      <c r="AC147" s="315"/>
      <c r="AD147" s="316">
        <v>0.24600000000000002</v>
      </c>
      <c r="AE147" s="316">
        <v>0.25079127179951577</v>
      </c>
      <c r="AF147" s="316"/>
      <c r="AG147" s="316">
        <v>0.25906441938589464</v>
      </c>
      <c r="AH147" s="316"/>
      <c r="AI147" s="316">
        <v>0.26721174639394329</v>
      </c>
      <c r="AJ147" s="316">
        <v>0.2779951559173241</v>
      </c>
      <c r="AK147"/>
      <c r="AR147" s="257"/>
      <c r="AS147" s="257"/>
    </row>
    <row r="148" spans="1:45" x14ac:dyDescent="0.25">
      <c r="N148"/>
      <c r="O148"/>
      <c r="P148"/>
      <c r="Q148"/>
      <c r="R148"/>
      <c r="S148"/>
      <c r="U148" s="315"/>
      <c r="V148" s="315"/>
      <c r="W148" s="315"/>
      <c r="X148" s="315"/>
      <c r="Y148" s="315"/>
      <c r="Z148" s="315"/>
      <c r="AA148" s="315"/>
      <c r="AB148" s="315"/>
      <c r="AC148" s="315"/>
      <c r="AD148" s="316"/>
      <c r="AE148" s="316"/>
      <c r="AF148" s="316"/>
      <c r="AG148" s="316"/>
      <c r="AH148" s="316"/>
      <c r="AI148" s="316"/>
      <c r="AJ148" s="316"/>
      <c r="AK148"/>
      <c r="AR148" s="257"/>
      <c r="AS148" s="257"/>
    </row>
    <row r="149" spans="1:45" x14ac:dyDescent="0.25">
      <c r="N149"/>
      <c r="O149"/>
      <c r="P149"/>
      <c r="Q149"/>
      <c r="R149"/>
      <c r="S149"/>
      <c r="U149" t="s">
        <v>820</v>
      </c>
      <c r="V149"/>
      <c r="W149"/>
      <c r="X149"/>
      <c r="Y149"/>
      <c r="Z149"/>
      <c r="AA149"/>
      <c r="AB149"/>
      <c r="AC149"/>
      <c r="AD149" s="317">
        <f>AD129/AD136</f>
        <v>0.56614013274745012</v>
      </c>
      <c r="AE149" s="317">
        <f t="shared" ref="AE149:AJ149" si="53">AE129/AE136</f>
        <v>0.41951535114232619</v>
      </c>
      <c r="AF149" s="317"/>
      <c r="AG149" s="317">
        <f t="shared" si="53"/>
        <v>0.32711312989538111</v>
      </c>
      <c r="AH149" s="317"/>
      <c r="AI149" s="317">
        <f t="shared" si="53"/>
        <v>0.33647007711164806</v>
      </c>
      <c r="AJ149" s="317">
        <f t="shared" si="53"/>
        <v>0.34084483654197317</v>
      </c>
      <c r="AK149"/>
      <c r="AR149" s="257"/>
      <c r="AS149" s="257"/>
    </row>
    <row r="150" spans="1:45" x14ac:dyDescent="0.25">
      <c r="N150"/>
      <c r="O150"/>
      <c r="P150"/>
      <c r="Q150"/>
      <c r="R150"/>
      <c r="S150"/>
      <c r="T150"/>
      <c r="U150"/>
      <c r="V150"/>
      <c r="W150"/>
      <c r="X150"/>
      <c r="Y150"/>
      <c r="Z150"/>
      <c r="AA150"/>
      <c r="AB150"/>
      <c r="AC150"/>
      <c r="AD150"/>
      <c r="AE150"/>
      <c r="AF150"/>
      <c r="AG150"/>
      <c r="AH150"/>
      <c r="AI150"/>
      <c r="AJ150"/>
      <c r="AK150"/>
      <c r="AL150"/>
      <c r="AR150" s="257"/>
      <c r="AS150" s="257"/>
    </row>
    <row r="151" spans="1:45" x14ac:dyDescent="0.25">
      <c r="N151"/>
      <c r="O151"/>
      <c r="P151"/>
      <c r="Q151"/>
      <c r="R151"/>
      <c r="S151"/>
      <c r="T151"/>
      <c r="U151"/>
      <c r="V151"/>
      <c r="W151"/>
      <c r="X151"/>
      <c r="Y151"/>
      <c r="Z151"/>
      <c r="AA151"/>
      <c r="AB151"/>
      <c r="AC151"/>
      <c r="AD151"/>
      <c r="AE151"/>
      <c r="AF151"/>
      <c r="AG151"/>
      <c r="AH151"/>
      <c r="AI151"/>
      <c r="AJ151"/>
      <c r="AK151"/>
      <c r="AL151"/>
      <c r="AR151" s="257"/>
      <c r="AS151" s="257"/>
    </row>
    <row r="152" spans="1:45" ht="15.75" x14ac:dyDescent="0.25">
      <c r="A152" s="305"/>
      <c r="B152" s="306"/>
      <c r="C152" s="307"/>
      <c r="D152" s="306"/>
      <c r="E152" s="305"/>
      <c r="N152"/>
      <c r="O152"/>
      <c r="P152"/>
      <c r="Q152"/>
      <c r="R152"/>
      <c r="S152"/>
      <c r="AL152"/>
    </row>
    <row r="153" spans="1:45" x14ac:dyDescent="0.25">
      <c r="N153"/>
      <c r="O153"/>
      <c r="P153"/>
      <c r="Q153"/>
      <c r="R153"/>
      <c r="S153"/>
      <c r="AL153"/>
    </row>
    <row r="154" spans="1:45" x14ac:dyDescent="0.25">
      <c r="N154"/>
      <c r="O154"/>
      <c r="P154"/>
      <c r="Q154"/>
      <c r="R154"/>
      <c r="S154"/>
      <c r="AL154"/>
    </row>
    <row r="155" spans="1:45" x14ac:dyDescent="0.25">
      <c r="N155"/>
      <c r="O155"/>
      <c r="P155"/>
      <c r="Q155"/>
      <c r="R155"/>
      <c r="S155"/>
      <c r="AL155"/>
    </row>
    <row r="156" spans="1:45" x14ac:dyDescent="0.25">
      <c r="N156"/>
      <c r="O156"/>
      <c r="P156"/>
      <c r="Q156"/>
      <c r="R156"/>
      <c r="S156"/>
      <c r="AL156"/>
    </row>
    <row r="157" spans="1:45" x14ac:dyDescent="0.25">
      <c r="N157"/>
      <c r="O157"/>
      <c r="P157"/>
      <c r="Q157"/>
      <c r="R157"/>
      <c r="S157"/>
      <c r="AL157"/>
    </row>
    <row r="158" spans="1:45" x14ac:dyDescent="0.25">
      <c r="N158"/>
      <c r="O158"/>
      <c r="P158"/>
      <c r="Q158"/>
      <c r="R158"/>
      <c r="S158"/>
      <c r="AL158"/>
    </row>
    <row r="159" spans="1:45" x14ac:dyDescent="0.25">
      <c r="N159"/>
      <c r="O159"/>
      <c r="P159"/>
      <c r="Q159"/>
      <c r="R159"/>
      <c r="S159"/>
      <c r="AL159"/>
    </row>
    <row r="160" spans="1:45" x14ac:dyDescent="0.25">
      <c r="N160"/>
      <c r="O160"/>
      <c r="P160"/>
      <c r="Q160"/>
      <c r="R160"/>
      <c r="S160"/>
      <c r="AL160"/>
    </row>
    <row r="161" spans="14:38" x14ac:dyDescent="0.25">
      <c r="N161"/>
      <c r="O161"/>
      <c r="P161"/>
      <c r="Q161"/>
      <c r="R161"/>
      <c r="S161"/>
      <c r="AL161"/>
    </row>
    <row r="162" spans="14:38" x14ac:dyDescent="0.25">
      <c r="N162"/>
      <c r="O162"/>
      <c r="P162"/>
      <c r="Q162"/>
      <c r="R162"/>
      <c r="S162"/>
      <c r="AL162"/>
    </row>
    <row r="163" spans="14:38" x14ac:dyDescent="0.25">
      <c r="N163"/>
      <c r="O163"/>
      <c r="P163"/>
      <c r="Q163"/>
      <c r="R163"/>
      <c r="S163"/>
      <c r="AL163"/>
    </row>
    <row r="164" spans="14:38" x14ac:dyDescent="0.25">
      <c r="N164"/>
      <c r="O164"/>
      <c r="P164"/>
      <c r="Q164"/>
      <c r="R164"/>
      <c r="S164"/>
      <c r="AL164"/>
    </row>
    <row r="165" spans="14:38" x14ac:dyDescent="0.25">
      <c r="N165"/>
      <c r="O165"/>
      <c r="P165"/>
      <c r="Q165"/>
      <c r="R165"/>
      <c r="S165"/>
      <c r="AL165"/>
    </row>
    <row r="166" spans="14:38" x14ac:dyDescent="0.25">
      <c r="N166"/>
      <c r="O166"/>
      <c r="P166"/>
      <c r="Q166"/>
      <c r="R166"/>
      <c r="S166"/>
      <c r="AL166"/>
    </row>
    <row r="167" spans="14:38" x14ac:dyDescent="0.25">
      <c r="N167"/>
      <c r="O167"/>
      <c r="P167"/>
      <c r="Q167"/>
      <c r="R167"/>
      <c r="S167"/>
      <c r="AL167"/>
    </row>
    <row r="168" spans="14:38" x14ac:dyDescent="0.25">
      <c r="N168"/>
      <c r="O168"/>
      <c r="P168"/>
      <c r="Q168"/>
      <c r="R168"/>
      <c r="S168"/>
      <c r="AL168"/>
    </row>
    <row r="169" spans="14:38" x14ac:dyDescent="0.25">
      <c r="N169"/>
      <c r="O169"/>
      <c r="P169"/>
      <c r="Q169"/>
      <c r="R169"/>
      <c r="S169"/>
      <c r="AL169"/>
    </row>
    <row r="170" spans="14:38" x14ac:dyDescent="0.25">
      <c r="N170"/>
      <c r="O170"/>
      <c r="P170"/>
      <c r="Q170"/>
      <c r="R170"/>
      <c r="S170"/>
      <c r="AL170"/>
    </row>
    <row r="171" spans="14:38" x14ac:dyDescent="0.25">
      <c r="N171"/>
      <c r="O171"/>
      <c r="P171"/>
      <c r="Q171"/>
      <c r="R171"/>
      <c r="S171"/>
      <c r="AL171"/>
    </row>
    <row r="172" spans="14:38" x14ac:dyDescent="0.25">
      <c r="N172"/>
      <c r="O172"/>
      <c r="P172"/>
      <c r="Q172"/>
      <c r="R172"/>
      <c r="S172"/>
      <c r="AL172"/>
    </row>
    <row r="173" spans="14:38" x14ac:dyDescent="0.25">
      <c r="N173"/>
      <c r="O173"/>
      <c r="P173"/>
      <c r="Q173"/>
      <c r="R173"/>
      <c r="S173"/>
      <c r="AL173"/>
    </row>
    <row r="174" spans="14:38" x14ac:dyDescent="0.25">
      <c r="N174"/>
      <c r="O174"/>
      <c r="P174"/>
      <c r="Q174"/>
      <c r="R174"/>
      <c r="S174"/>
      <c r="AL174"/>
    </row>
    <row r="175" spans="14:38" x14ac:dyDescent="0.25">
      <c r="N175"/>
      <c r="O175"/>
      <c r="P175"/>
      <c r="Q175"/>
      <c r="R175"/>
      <c r="S175"/>
      <c r="AL175"/>
    </row>
    <row r="176" spans="14:38" x14ac:dyDescent="0.25">
      <c r="N176"/>
      <c r="O176"/>
      <c r="P176"/>
      <c r="Q176"/>
      <c r="R176"/>
      <c r="S176"/>
      <c r="AL176"/>
    </row>
    <row r="177" spans="14:38" x14ac:dyDescent="0.25">
      <c r="N177"/>
      <c r="O177"/>
      <c r="P177"/>
      <c r="Q177"/>
      <c r="R177"/>
      <c r="S177"/>
      <c r="AL177"/>
    </row>
    <row r="178" spans="14:38" x14ac:dyDescent="0.25">
      <c r="N178"/>
      <c r="O178"/>
      <c r="P178"/>
      <c r="Q178"/>
      <c r="R178"/>
      <c r="S178"/>
      <c r="AL178"/>
    </row>
    <row r="179" spans="14:38" x14ac:dyDescent="0.25">
      <c r="N179"/>
      <c r="O179"/>
      <c r="P179"/>
      <c r="Q179"/>
      <c r="R179"/>
      <c r="S179"/>
      <c r="AL179"/>
    </row>
    <row r="180" spans="14:38" x14ac:dyDescent="0.25">
      <c r="N180"/>
      <c r="O180"/>
      <c r="P180"/>
      <c r="Q180"/>
      <c r="R180"/>
      <c r="S180"/>
      <c r="AL180"/>
    </row>
    <row r="181" spans="14:38" x14ac:dyDescent="0.25">
      <c r="N181"/>
      <c r="O181"/>
      <c r="P181"/>
      <c r="Q181"/>
      <c r="R181"/>
      <c r="S181"/>
      <c r="AL181"/>
    </row>
    <row r="182" spans="14:38" x14ac:dyDescent="0.25">
      <c r="N182"/>
      <c r="O182"/>
      <c r="P182"/>
      <c r="Q182"/>
      <c r="R182"/>
      <c r="S182"/>
      <c r="AL182"/>
    </row>
    <row r="183" spans="14:38" x14ac:dyDescent="0.25">
      <c r="N183"/>
      <c r="O183"/>
      <c r="P183"/>
      <c r="Q183"/>
      <c r="R183"/>
      <c r="S183"/>
      <c r="AL183"/>
    </row>
    <row r="184" spans="14:38" x14ac:dyDescent="0.25">
      <c r="N184"/>
      <c r="O184"/>
      <c r="P184"/>
      <c r="Q184"/>
      <c r="R184"/>
      <c r="S184"/>
      <c r="AL184"/>
    </row>
    <row r="185" spans="14:38" x14ac:dyDescent="0.25">
      <c r="N185"/>
      <c r="O185"/>
      <c r="P185"/>
      <c r="Q185"/>
      <c r="R185"/>
      <c r="S185"/>
      <c r="AL185"/>
    </row>
    <row r="186" spans="14:38" x14ac:dyDescent="0.25">
      <c r="N186"/>
      <c r="O186"/>
      <c r="P186"/>
      <c r="Q186"/>
      <c r="R186"/>
      <c r="S186"/>
      <c r="AL186"/>
    </row>
    <row r="187" spans="14:38" x14ac:dyDescent="0.25">
      <c r="N187"/>
      <c r="O187"/>
      <c r="P187"/>
      <c r="Q187"/>
      <c r="R187"/>
      <c r="S187"/>
      <c r="AL187"/>
    </row>
    <row r="188" spans="14:38" x14ac:dyDescent="0.25">
      <c r="N188"/>
      <c r="O188"/>
      <c r="P188"/>
      <c r="Q188"/>
      <c r="R188"/>
      <c r="S188"/>
      <c r="AL188"/>
    </row>
    <row r="189" spans="14:38" x14ac:dyDescent="0.25">
      <c r="N189"/>
      <c r="O189"/>
      <c r="P189"/>
      <c r="Q189"/>
      <c r="R189"/>
      <c r="S189"/>
      <c r="AL189"/>
    </row>
    <row r="190" spans="14:38" x14ac:dyDescent="0.25">
      <c r="N190"/>
      <c r="O190"/>
      <c r="P190"/>
      <c r="Q190"/>
      <c r="R190"/>
      <c r="S190"/>
      <c r="AL190"/>
    </row>
    <row r="191" spans="14:38" x14ac:dyDescent="0.25">
      <c r="N191"/>
      <c r="O191"/>
      <c r="P191"/>
      <c r="Q191"/>
      <c r="R191"/>
      <c r="S191"/>
      <c r="AL191"/>
    </row>
    <row r="192" spans="14:38" x14ac:dyDescent="0.25">
      <c r="N192"/>
      <c r="O192"/>
      <c r="P192"/>
      <c r="Q192"/>
      <c r="R192"/>
      <c r="S192"/>
      <c r="AL192"/>
    </row>
    <row r="193" spans="14:38" x14ac:dyDescent="0.25">
      <c r="N193"/>
      <c r="O193"/>
      <c r="P193"/>
      <c r="Q193"/>
      <c r="R193"/>
      <c r="S193"/>
      <c r="AL193"/>
    </row>
    <row r="194" spans="14:38" x14ac:dyDescent="0.25">
      <c r="N194"/>
      <c r="O194"/>
      <c r="P194"/>
      <c r="Q194"/>
      <c r="R194"/>
      <c r="S194"/>
      <c r="AL194"/>
    </row>
    <row r="195" spans="14:38" x14ac:dyDescent="0.25">
      <c r="N195"/>
      <c r="O195"/>
      <c r="P195"/>
      <c r="Q195"/>
      <c r="R195"/>
      <c r="S195"/>
      <c r="AL195"/>
    </row>
    <row r="196" spans="14:38" x14ac:dyDescent="0.25">
      <c r="N196"/>
      <c r="O196"/>
      <c r="P196"/>
      <c r="Q196"/>
      <c r="R196"/>
      <c r="S196"/>
      <c r="AL196"/>
    </row>
    <row r="197" spans="14:38" x14ac:dyDescent="0.25">
      <c r="N197"/>
      <c r="O197"/>
      <c r="P197"/>
      <c r="Q197"/>
      <c r="R197"/>
      <c r="S197"/>
      <c r="AL197"/>
    </row>
    <row r="198" spans="14:38" x14ac:dyDescent="0.25">
      <c r="N198"/>
      <c r="O198"/>
      <c r="P198"/>
      <c r="Q198"/>
      <c r="R198"/>
      <c r="S198"/>
      <c r="AL198"/>
    </row>
    <row r="199" spans="14:38" x14ac:dyDescent="0.25">
      <c r="N199"/>
      <c r="O199"/>
      <c r="P199"/>
      <c r="Q199"/>
      <c r="R199"/>
      <c r="S199"/>
      <c r="AL199"/>
    </row>
    <row r="200" spans="14:38" x14ac:dyDescent="0.25">
      <c r="N200"/>
      <c r="O200"/>
      <c r="P200"/>
      <c r="Q200"/>
      <c r="R200"/>
      <c r="S200"/>
      <c r="AL200"/>
    </row>
    <row r="201" spans="14:38" x14ac:dyDescent="0.25">
      <c r="N201"/>
      <c r="O201"/>
      <c r="P201"/>
      <c r="Q201"/>
      <c r="R201"/>
      <c r="S201"/>
      <c r="AL201"/>
    </row>
    <row r="202" spans="14:38" x14ac:dyDescent="0.25">
      <c r="N202"/>
      <c r="O202"/>
      <c r="P202"/>
      <c r="Q202"/>
      <c r="R202"/>
      <c r="S202"/>
      <c r="AL202"/>
    </row>
    <row r="203" spans="14:38" x14ac:dyDescent="0.25">
      <c r="N203"/>
      <c r="O203"/>
      <c r="P203"/>
      <c r="Q203"/>
      <c r="R203"/>
      <c r="S203"/>
      <c r="AL203"/>
    </row>
    <row r="204" spans="14:38" x14ac:dyDescent="0.25">
      <c r="N204"/>
      <c r="O204"/>
      <c r="P204"/>
      <c r="Q204"/>
      <c r="R204"/>
      <c r="S204"/>
      <c r="AL204"/>
    </row>
    <row r="205" spans="14:38" x14ac:dyDescent="0.25">
      <c r="N205"/>
      <c r="O205"/>
      <c r="P205"/>
      <c r="Q205"/>
      <c r="R205"/>
      <c r="S205"/>
      <c r="AL205"/>
    </row>
    <row r="206" spans="14:38" x14ac:dyDescent="0.25">
      <c r="N206"/>
      <c r="O206"/>
      <c r="P206"/>
      <c r="Q206"/>
      <c r="R206"/>
      <c r="S206"/>
      <c r="AL206"/>
    </row>
    <row r="207" spans="14:38" x14ac:dyDescent="0.25">
      <c r="N207"/>
      <c r="O207"/>
      <c r="P207"/>
      <c r="Q207"/>
      <c r="R207"/>
      <c r="S207"/>
      <c r="AL207"/>
    </row>
    <row r="208" spans="14:38" x14ac:dyDescent="0.25">
      <c r="N208"/>
      <c r="O208"/>
      <c r="P208"/>
      <c r="Q208"/>
      <c r="R208"/>
      <c r="S208"/>
      <c r="AL208"/>
    </row>
    <row r="209" spans="14:38" x14ac:dyDescent="0.25">
      <c r="N209"/>
      <c r="O209"/>
      <c r="P209"/>
      <c r="Q209"/>
      <c r="R209"/>
      <c r="S209"/>
      <c r="AL209"/>
    </row>
    <row r="210" spans="14:38" x14ac:dyDescent="0.25">
      <c r="N210"/>
      <c r="O210"/>
      <c r="P210"/>
      <c r="Q210"/>
      <c r="R210"/>
      <c r="S210"/>
      <c r="AL210"/>
    </row>
    <row r="211" spans="14:38" x14ac:dyDescent="0.25">
      <c r="N211"/>
      <c r="O211"/>
      <c r="P211"/>
      <c r="Q211"/>
      <c r="R211"/>
      <c r="S211"/>
      <c r="AL211"/>
    </row>
    <row r="212" spans="14:38" x14ac:dyDescent="0.25">
      <c r="N212"/>
      <c r="O212"/>
      <c r="P212"/>
      <c r="Q212"/>
      <c r="R212"/>
      <c r="S212"/>
      <c r="AL212"/>
    </row>
    <row r="213" spans="14:38" x14ac:dyDescent="0.25">
      <c r="N213"/>
      <c r="O213"/>
      <c r="P213"/>
      <c r="Q213"/>
      <c r="R213"/>
      <c r="S213"/>
      <c r="AL213"/>
    </row>
    <row r="214" spans="14:38" x14ac:dyDescent="0.25">
      <c r="N214"/>
      <c r="O214"/>
      <c r="P214"/>
      <c r="Q214"/>
      <c r="R214"/>
      <c r="S214"/>
      <c r="AL214"/>
    </row>
    <row r="215" spans="14:38" x14ac:dyDescent="0.25">
      <c r="N215"/>
      <c r="O215"/>
      <c r="P215"/>
      <c r="Q215"/>
      <c r="R215"/>
      <c r="S215"/>
      <c r="AL215"/>
    </row>
    <row r="216" spans="14:38" x14ac:dyDescent="0.25">
      <c r="N216"/>
      <c r="O216"/>
      <c r="P216"/>
      <c r="Q216"/>
      <c r="R216"/>
      <c r="S216"/>
      <c r="AL216"/>
    </row>
    <row r="217" spans="14:38" x14ac:dyDescent="0.25">
      <c r="N217"/>
      <c r="O217"/>
      <c r="P217"/>
      <c r="Q217"/>
      <c r="R217"/>
      <c r="S217"/>
      <c r="AL217"/>
    </row>
    <row r="218" spans="14:38" x14ac:dyDescent="0.25">
      <c r="N218"/>
      <c r="O218"/>
      <c r="P218"/>
      <c r="Q218"/>
      <c r="R218"/>
      <c r="S218"/>
      <c r="AL218"/>
    </row>
    <row r="219" spans="14:38" x14ac:dyDescent="0.25">
      <c r="N219"/>
      <c r="O219"/>
      <c r="P219"/>
      <c r="Q219"/>
      <c r="R219"/>
      <c r="S219"/>
      <c r="AL219"/>
    </row>
    <row r="220" spans="14:38" x14ac:dyDescent="0.25">
      <c r="N220"/>
      <c r="O220"/>
      <c r="P220"/>
      <c r="Q220"/>
      <c r="R220"/>
      <c r="S220"/>
      <c r="AL220"/>
    </row>
    <row r="221" spans="14:38" x14ac:dyDescent="0.25">
      <c r="N221"/>
      <c r="O221"/>
      <c r="P221"/>
      <c r="Q221"/>
      <c r="R221"/>
      <c r="S221"/>
      <c r="AL221"/>
    </row>
    <row r="222" spans="14:38" x14ac:dyDescent="0.25">
      <c r="N222"/>
      <c r="O222"/>
      <c r="P222"/>
      <c r="Q222"/>
      <c r="R222"/>
      <c r="S222"/>
      <c r="AL222"/>
    </row>
    <row r="223" spans="14:38" x14ac:dyDescent="0.25">
      <c r="N223"/>
      <c r="O223"/>
      <c r="P223"/>
      <c r="Q223"/>
      <c r="R223"/>
      <c r="S223"/>
      <c r="AL223"/>
    </row>
    <row r="224" spans="14:38" x14ac:dyDescent="0.25">
      <c r="N224"/>
      <c r="O224"/>
      <c r="P224"/>
      <c r="Q224"/>
      <c r="R224"/>
      <c r="S224"/>
      <c r="AL224"/>
    </row>
    <row r="225" spans="14:38" x14ac:dyDescent="0.25">
      <c r="N225"/>
      <c r="O225"/>
      <c r="P225"/>
      <c r="Q225"/>
      <c r="R225"/>
      <c r="S225"/>
      <c r="AL225"/>
    </row>
    <row r="226" spans="14:38" x14ac:dyDescent="0.25">
      <c r="N226"/>
      <c r="O226"/>
      <c r="P226"/>
      <c r="Q226"/>
      <c r="R226"/>
      <c r="S226"/>
      <c r="AL226"/>
    </row>
    <row r="227" spans="14:38" x14ac:dyDescent="0.25">
      <c r="N227"/>
      <c r="O227"/>
      <c r="P227"/>
      <c r="Q227"/>
      <c r="R227"/>
      <c r="S227"/>
      <c r="AL227"/>
    </row>
    <row r="228" spans="14:38" x14ac:dyDescent="0.25">
      <c r="N228"/>
      <c r="O228"/>
      <c r="P228"/>
      <c r="Q228"/>
      <c r="R228"/>
      <c r="S228"/>
      <c r="AL228"/>
    </row>
    <row r="229" spans="14:38" x14ac:dyDescent="0.25">
      <c r="N229"/>
      <c r="O229"/>
      <c r="P229"/>
      <c r="Q229"/>
      <c r="R229"/>
      <c r="S229"/>
      <c r="AL229"/>
    </row>
    <row r="230" spans="14:38" x14ac:dyDescent="0.25">
      <c r="N230"/>
      <c r="O230"/>
      <c r="P230"/>
      <c r="Q230"/>
      <c r="R230"/>
      <c r="S230"/>
      <c r="AL230"/>
    </row>
    <row r="231" spans="14:38" x14ac:dyDescent="0.25">
      <c r="N231"/>
      <c r="O231"/>
      <c r="P231"/>
      <c r="Q231"/>
      <c r="R231"/>
      <c r="S231"/>
      <c r="AL231"/>
    </row>
    <row r="232" spans="14:38" x14ac:dyDescent="0.25">
      <c r="N232"/>
      <c r="O232"/>
      <c r="P232"/>
      <c r="Q232"/>
      <c r="R232"/>
      <c r="S232"/>
      <c r="AL232"/>
    </row>
    <row r="233" spans="14:38" x14ac:dyDescent="0.25">
      <c r="N233"/>
      <c r="O233"/>
      <c r="P233"/>
      <c r="Q233"/>
      <c r="R233"/>
      <c r="S233"/>
      <c r="AL233"/>
    </row>
    <row r="234" spans="14:38" x14ac:dyDescent="0.25">
      <c r="N234"/>
      <c r="O234"/>
      <c r="P234"/>
      <c r="Q234"/>
      <c r="R234"/>
      <c r="S234"/>
      <c r="AL234"/>
    </row>
    <row r="235" spans="14:38" x14ac:dyDescent="0.25">
      <c r="N235"/>
      <c r="O235"/>
      <c r="P235"/>
      <c r="Q235"/>
      <c r="R235"/>
      <c r="S235"/>
      <c r="AL235"/>
    </row>
    <row r="236" spans="14:38" x14ac:dyDescent="0.25">
      <c r="N236"/>
      <c r="O236"/>
      <c r="P236"/>
      <c r="Q236"/>
      <c r="R236"/>
      <c r="S236"/>
      <c r="AL236"/>
    </row>
    <row r="237" spans="14:38" x14ac:dyDescent="0.25">
      <c r="N237"/>
      <c r="O237"/>
      <c r="P237"/>
      <c r="Q237"/>
      <c r="R237"/>
      <c r="S237"/>
      <c r="AL237"/>
    </row>
    <row r="238" spans="14:38" x14ac:dyDescent="0.25">
      <c r="N238"/>
      <c r="O238"/>
      <c r="P238"/>
      <c r="Q238"/>
      <c r="R238"/>
      <c r="S238"/>
      <c r="AL238"/>
    </row>
    <row r="239" spans="14:38" x14ac:dyDescent="0.25">
      <c r="N239"/>
      <c r="O239"/>
      <c r="P239"/>
      <c r="Q239"/>
      <c r="R239"/>
      <c r="S239"/>
      <c r="AL239"/>
    </row>
    <row r="240" spans="14:38" x14ac:dyDescent="0.25">
      <c r="N240"/>
      <c r="O240"/>
      <c r="P240"/>
      <c r="Q240"/>
      <c r="R240"/>
      <c r="S240"/>
      <c r="AL240"/>
    </row>
    <row r="241" spans="14:38" x14ac:dyDescent="0.25">
      <c r="N241"/>
      <c r="O241"/>
      <c r="P241"/>
      <c r="Q241"/>
      <c r="R241"/>
      <c r="S241"/>
      <c r="AL241"/>
    </row>
    <row r="242" spans="14:38" x14ac:dyDescent="0.25">
      <c r="N242"/>
      <c r="O242"/>
      <c r="P242"/>
      <c r="Q242"/>
      <c r="R242"/>
      <c r="S242"/>
      <c r="AL242"/>
    </row>
    <row r="243" spans="14:38" x14ac:dyDescent="0.25">
      <c r="N243"/>
      <c r="O243"/>
      <c r="P243"/>
      <c r="Q243"/>
      <c r="R243"/>
      <c r="S243"/>
      <c r="AL243"/>
    </row>
    <row r="244" spans="14:38" x14ac:dyDescent="0.25">
      <c r="N244"/>
      <c r="O244"/>
      <c r="P244"/>
      <c r="Q244"/>
      <c r="R244"/>
      <c r="S244"/>
      <c r="AL244"/>
    </row>
    <row r="245" spans="14:38" x14ac:dyDescent="0.25">
      <c r="N245"/>
      <c r="O245"/>
      <c r="P245"/>
      <c r="Q245"/>
      <c r="R245"/>
      <c r="S245"/>
      <c r="AL245"/>
    </row>
    <row r="246" spans="14:38" x14ac:dyDescent="0.25">
      <c r="N246"/>
      <c r="O246"/>
      <c r="P246"/>
      <c r="Q246"/>
      <c r="R246"/>
      <c r="AL246"/>
    </row>
    <row r="247" spans="14:38" x14ac:dyDescent="0.25">
      <c r="N247"/>
      <c r="O247"/>
      <c r="P247"/>
      <c r="Q247"/>
      <c r="R247"/>
      <c r="AL247"/>
    </row>
    <row r="248" spans="14:38" x14ac:dyDescent="0.25">
      <c r="N248"/>
      <c r="O248"/>
      <c r="P248"/>
      <c r="Q248"/>
      <c r="R248"/>
      <c r="AL248"/>
    </row>
    <row r="249" spans="14:38" x14ac:dyDescent="0.25">
      <c r="N249"/>
      <c r="O249"/>
      <c r="P249"/>
      <c r="Q249"/>
      <c r="R249"/>
      <c r="AL249"/>
    </row>
    <row r="250" spans="14:38" x14ac:dyDescent="0.25">
      <c r="N250"/>
      <c r="O250"/>
      <c r="P250"/>
      <c r="Q250"/>
      <c r="R250"/>
      <c r="AL250"/>
    </row>
    <row r="251" spans="14:38" x14ac:dyDescent="0.25">
      <c r="N251"/>
      <c r="O251"/>
      <c r="P251"/>
      <c r="Q251"/>
      <c r="R251"/>
      <c r="AL251"/>
    </row>
    <row r="252" spans="14:38" x14ac:dyDescent="0.25">
      <c r="N252"/>
      <c r="O252"/>
      <c r="P252"/>
      <c r="Q252"/>
      <c r="R252"/>
      <c r="AL252"/>
    </row>
    <row r="253" spans="14:38" x14ac:dyDescent="0.25">
      <c r="N253"/>
      <c r="O253"/>
      <c r="P253"/>
      <c r="Q253"/>
      <c r="R253"/>
      <c r="AL253"/>
    </row>
    <row r="254" spans="14:38" x14ac:dyDescent="0.25">
      <c r="N254"/>
      <c r="O254"/>
      <c r="P254"/>
      <c r="Q254"/>
      <c r="R254"/>
      <c r="AL254"/>
    </row>
    <row r="255" spans="14:38" x14ac:dyDescent="0.25">
      <c r="N255"/>
      <c r="O255"/>
      <c r="P255"/>
      <c r="Q255"/>
      <c r="R255"/>
      <c r="AL255"/>
    </row>
    <row r="256" spans="14:38" x14ac:dyDescent="0.25">
      <c r="N256"/>
      <c r="O256"/>
      <c r="P256"/>
      <c r="Q256"/>
      <c r="R256"/>
      <c r="AL256"/>
    </row>
    <row r="257" spans="1:38" x14ac:dyDescent="0.25">
      <c r="N257"/>
      <c r="O257"/>
      <c r="P257"/>
      <c r="Q257"/>
      <c r="R257"/>
      <c r="AL257"/>
    </row>
    <row r="258" spans="1:38" x14ac:dyDescent="0.25">
      <c r="N258"/>
      <c r="O258"/>
      <c r="P258"/>
      <c r="Q258"/>
      <c r="R258"/>
      <c r="AL258"/>
    </row>
    <row r="259" spans="1:38" x14ac:dyDescent="0.25">
      <c r="N259"/>
      <c r="O259"/>
      <c r="P259"/>
      <c r="Q259"/>
      <c r="R259"/>
      <c r="AL259"/>
    </row>
    <row r="260" spans="1:38" x14ac:dyDescent="0.25">
      <c r="N260"/>
      <c r="O260"/>
      <c r="P260"/>
      <c r="Q260"/>
      <c r="R260"/>
      <c r="AL260"/>
    </row>
    <row r="261" spans="1:38" x14ac:dyDescent="0.25">
      <c r="N261"/>
      <c r="O261"/>
      <c r="P261"/>
      <c r="Q261"/>
      <c r="R261"/>
      <c r="AL261"/>
    </row>
    <row r="262" spans="1:38" x14ac:dyDescent="0.25">
      <c r="N262"/>
      <c r="O262"/>
      <c r="P262"/>
      <c r="Q262"/>
      <c r="R262"/>
      <c r="AL262"/>
    </row>
    <row r="263" spans="1:38" x14ac:dyDescent="0.25">
      <c r="N263"/>
      <c r="O263"/>
      <c r="P263"/>
      <c r="Q263"/>
      <c r="R263"/>
      <c r="AL263"/>
    </row>
    <row r="264" spans="1:38" x14ac:dyDescent="0.25">
      <c r="N264"/>
      <c r="O264"/>
      <c r="P264"/>
      <c r="Q264"/>
      <c r="R264"/>
      <c r="AL264"/>
    </row>
    <row r="265" spans="1:38" x14ac:dyDescent="0.25">
      <c r="N265"/>
      <c r="O265"/>
      <c r="P265"/>
      <c r="Q265"/>
      <c r="R265"/>
      <c r="AL265"/>
    </row>
    <row r="266" spans="1:38" x14ac:dyDescent="0.25">
      <c r="N266"/>
      <c r="O266"/>
      <c r="P266"/>
      <c r="Q266"/>
      <c r="R266"/>
      <c r="AL266"/>
    </row>
    <row r="267" spans="1:38" x14ac:dyDescent="0.25">
      <c r="N267"/>
      <c r="O267"/>
      <c r="P267"/>
      <c r="Q267"/>
      <c r="R267"/>
      <c r="AL267"/>
    </row>
    <row r="268" spans="1:38" x14ac:dyDescent="0.25">
      <c r="N268"/>
      <c r="O268"/>
      <c r="P268"/>
      <c r="Q268"/>
      <c r="R268"/>
      <c r="AL268"/>
    </row>
    <row r="269" spans="1:38" x14ac:dyDescent="0.25">
      <c r="N269"/>
      <c r="O269"/>
      <c r="P269"/>
      <c r="Q269"/>
      <c r="R269"/>
      <c r="AL269"/>
    </row>
    <row r="270" spans="1:38" x14ac:dyDescent="0.25">
      <c r="N270"/>
      <c r="O270"/>
      <c r="P270"/>
      <c r="Q270"/>
      <c r="AL270"/>
    </row>
    <row r="271" spans="1:38" x14ac:dyDescent="0.25">
      <c r="A271" s="61" t="s">
        <v>821</v>
      </c>
      <c r="N271"/>
      <c r="O271"/>
      <c r="P271"/>
      <c r="Q271"/>
      <c r="R271"/>
      <c r="S271"/>
      <c r="AL271"/>
    </row>
    <row r="272" spans="1:38" x14ac:dyDescent="0.25">
      <c r="B272" s="318" t="s">
        <v>822</v>
      </c>
      <c r="C272" s="319">
        <v>13.6</v>
      </c>
      <c r="H272" s="320">
        <f>2.266E+61</f>
        <v>2.2660000000000001E+61</v>
      </c>
      <c r="I272" s="61">
        <v>-7.0440000000000003E-2</v>
      </c>
      <c r="N272"/>
      <c r="O272"/>
      <c r="P272"/>
      <c r="Q272"/>
      <c r="R272"/>
      <c r="S272"/>
      <c r="T272"/>
      <c r="U272"/>
      <c r="V272"/>
      <c r="W272"/>
      <c r="X272"/>
      <c r="Y272"/>
      <c r="Z272"/>
      <c r="AA272"/>
      <c r="AB272"/>
      <c r="AC272"/>
      <c r="AD272"/>
      <c r="AE272"/>
      <c r="AF272"/>
      <c r="AG272"/>
      <c r="AH272"/>
      <c r="AI272"/>
      <c r="AJ272"/>
      <c r="AK272"/>
      <c r="AL272"/>
    </row>
    <row r="273" spans="1:41" x14ac:dyDescent="0.25">
      <c r="B273" s="318" t="s">
        <v>823</v>
      </c>
      <c r="C273" s="319">
        <v>0.9</v>
      </c>
      <c r="N273"/>
      <c r="O273"/>
      <c r="P273"/>
      <c r="Q273"/>
      <c r="R273"/>
      <c r="S273"/>
      <c r="T273"/>
      <c r="U273"/>
      <c r="V273"/>
      <c r="W273"/>
      <c r="X273"/>
      <c r="Y273"/>
      <c r="Z273"/>
      <c r="AA273"/>
      <c r="AB273"/>
      <c r="AC273"/>
      <c r="AD273"/>
      <c r="AE273"/>
      <c r="AF273"/>
      <c r="AG273"/>
      <c r="AH273"/>
      <c r="AI273"/>
      <c r="AJ273"/>
      <c r="AK273"/>
      <c r="AL273"/>
    </row>
    <row r="274" spans="1:41" x14ac:dyDescent="0.25">
      <c r="N274" t="s">
        <v>660</v>
      </c>
      <c r="O274"/>
      <c r="P274"/>
      <c r="Q274"/>
      <c r="R274"/>
      <c r="S274"/>
      <c r="T274"/>
      <c r="U274"/>
      <c r="V274"/>
      <c r="W274"/>
      <c r="X274"/>
      <c r="Y274"/>
      <c r="Z274"/>
      <c r="AA274"/>
      <c r="AB274"/>
      <c r="AC274"/>
      <c r="AD274"/>
      <c r="AE274"/>
      <c r="AF274"/>
      <c r="AG274"/>
      <c r="AH274"/>
      <c r="AI274"/>
      <c r="AJ274"/>
      <c r="AK274"/>
      <c r="AL274"/>
    </row>
    <row r="275" spans="1:41" x14ac:dyDescent="0.25">
      <c r="C275" s="61">
        <v>2012</v>
      </c>
      <c r="D275" s="61">
        <v>2015</v>
      </c>
      <c r="E275" s="61">
        <v>2016</v>
      </c>
      <c r="F275" s="61">
        <v>2020</v>
      </c>
      <c r="G275" s="61">
        <v>2025</v>
      </c>
      <c r="H275" s="61">
        <v>2030</v>
      </c>
      <c r="I275" s="61">
        <v>2035</v>
      </c>
      <c r="J275" s="61">
        <v>2040</v>
      </c>
      <c r="K275" s="61">
        <v>2050</v>
      </c>
      <c r="N275" s="61">
        <v>2012</v>
      </c>
      <c r="P275" s="61">
        <v>2015</v>
      </c>
      <c r="Q275" s="61">
        <v>2016</v>
      </c>
      <c r="R275" s="61">
        <v>2020</v>
      </c>
      <c r="S275" s="61">
        <v>2025</v>
      </c>
      <c r="T275" s="61">
        <v>2030</v>
      </c>
      <c r="U275" s="61">
        <v>2035</v>
      </c>
      <c r="AD275" s="61">
        <v>2040</v>
      </c>
      <c r="AE275" s="61">
        <v>2050</v>
      </c>
      <c r="AG275"/>
      <c r="AH275"/>
      <c r="AI275"/>
      <c r="AJ275"/>
      <c r="AK275"/>
      <c r="AL275"/>
    </row>
    <row r="276" spans="1:41" x14ac:dyDescent="0.25">
      <c r="A276" s="61" t="s">
        <v>824</v>
      </c>
      <c r="B276" s="61" t="s">
        <v>825</v>
      </c>
      <c r="D276" s="321">
        <v>0.52</v>
      </c>
      <c r="E276" s="322">
        <v>0.48</v>
      </c>
      <c r="F276" s="322">
        <v>0.36</v>
      </c>
      <c r="G276" s="322">
        <f>AVERAGE(0.27,0.24)</f>
        <v>0.255</v>
      </c>
      <c r="H276" s="322">
        <v>0.18</v>
      </c>
      <c r="N276"/>
      <c r="O276"/>
      <c r="P276"/>
      <c r="Q276"/>
      <c r="R276"/>
      <c r="S276"/>
      <c r="T276"/>
      <c r="U276"/>
      <c r="V276"/>
      <c r="W276"/>
      <c r="X276"/>
      <c r="Y276"/>
      <c r="Z276"/>
      <c r="AA276"/>
      <c r="AB276"/>
      <c r="AC276"/>
      <c r="AD276"/>
      <c r="AE276"/>
      <c r="AF276"/>
      <c r="AG276"/>
      <c r="AH276"/>
      <c r="AI276"/>
      <c r="AJ276"/>
      <c r="AK276"/>
      <c r="AL276"/>
    </row>
    <row r="277" spans="1:41" x14ac:dyDescent="0.25">
      <c r="A277" s="61" t="s">
        <v>824</v>
      </c>
      <c r="C277" s="76">
        <f>$H$272*EXP($I$272*C275)</f>
        <v>0.63790037188102888</v>
      </c>
      <c r="D277" s="76">
        <f>D276</f>
        <v>0.52</v>
      </c>
      <c r="E277" s="76">
        <f t="shared" ref="E277:H277" si="54">E276</f>
        <v>0.48</v>
      </c>
      <c r="F277" s="76">
        <f t="shared" si="54"/>
        <v>0.36</v>
      </c>
      <c r="G277" s="76">
        <f t="shared" si="54"/>
        <v>0.255</v>
      </c>
      <c r="H277" s="76">
        <f t="shared" si="54"/>
        <v>0.18</v>
      </c>
      <c r="I277" s="76">
        <f>$H$272*EXP($I$272*I275)</f>
        <v>0.12622450589064815</v>
      </c>
      <c r="J277" s="76">
        <f t="shared" ref="J277:K277" si="55">$H$272*EXP($I$272*J275)</f>
        <v>8.8753433437305504E-2</v>
      </c>
      <c r="K277" s="76">
        <f t="shared" si="55"/>
        <v>4.3880152650785924E-2</v>
      </c>
      <c r="N277" s="67">
        <f t="shared" ref="N277:N278" si="56">IF(EV.Battery,1-C277,1)</f>
        <v>1</v>
      </c>
      <c r="O277" s="67"/>
      <c r="P277" s="67">
        <f t="shared" ref="P277" si="57">IF(EV.Battery,1-D277,1)</f>
        <v>1</v>
      </c>
      <c r="Q277" s="67">
        <f t="shared" ref="Q277" si="58">IF(EV.Battery,1-E277,1)</f>
        <v>1</v>
      </c>
      <c r="R277" s="67">
        <f>IF(EV.Battery,1-F277,1)</f>
        <v>1</v>
      </c>
      <c r="S277" s="67">
        <f t="shared" ref="S277" si="59">IF(EV.Battery,1-G277,1)</f>
        <v>1</v>
      </c>
      <c r="T277" s="67">
        <f t="shared" ref="T277" si="60">IF(EV.Battery,1-H277,1)</f>
        <v>1</v>
      </c>
      <c r="U277" s="67">
        <f t="shared" ref="U277" si="61">IF(EV.Battery,1-I277,1)</f>
        <v>1</v>
      </c>
      <c r="V277" s="67"/>
      <c r="W277" s="67"/>
      <c r="X277" s="67"/>
      <c r="Y277" s="67"/>
      <c r="Z277" s="67"/>
      <c r="AA277" s="67"/>
      <c r="AB277" s="67"/>
      <c r="AC277" s="67"/>
      <c r="AD277" s="67">
        <f t="shared" ref="AD277" si="62">IF(EV.Battery,1-J277,1)</f>
        <v>1</v>
      </c>
      <c r="AE277" s="67">
        <f t="shared" ref="AE277" si="63">IF(EV.Battery,1-K277,1)</f>
        <v>1</v>
      </c>
      <c r="AF277" s="67"/>
      <c r="AG277"/>
      <c r="AH277"/>
      <c r="AI277"/>
      <c r="AJ277"/>
      <c r="AK277"/>
      <c r="AL277"/>
    </row>
    <row r="278" spans="1:41" x14ac:dyDescent="0.25">
      <c r="A278" s="61" t="s">
        <v>826</v>
      </c>
      <c r="C278" s="63">
        <f>AD149</f>
        <v>0.56614013274745012</v>
      </c>
      <c r="D278" s="63"/>
      <c r="E278" s="63"/>
      <c r="F278" s="63">
        <f>AE149</f>
        <v>0.41951535114232619</v>
      </c>
      <c r="G278" s="63"/>
      <c r="H278" s="63">
        <f>AG149</f>
        <v>0.32711312989538111</v>
      </c>
      <c r="I278" s="63"/>
      <c r="J278" s="63">
        <f>AI149</f>
        <v>0.33647007711164806</v>
      </c>
      <c r="K278" s="63">
        <f>AJ149</f>
        <v>0.34084483654197317</v>
      </c>
      <c r="N278" s="67">
        <f t="shared" si="56"/>
        <v>1</v>
      </c>
      <c r="O278" s="67"/>
      <c r="P278" s="67">
        <f>IF(EV.Battery,1-D278,1)</f>
        <v>1</v>
      </c>
      <c r="Q278" s="67">
        <f>IF(EV.Battery,1-E278,1)</f>
        <v>1</v>
      </c>
      <c r="R278" s="67">
        <f>IF(EV.Battery,1-F278,1)</f>
        <v>1</v>
      </c>
      <c r="S278" s="67">
        <f>IF(EV.Battery,1-G278,1)</f>
        <v>1</v>
      </c>
      <c r="T278" s="67">
        <f>IF(EV.Battery,1-H278,1)</f>
        <v>1</v>
      </c>
      <c r="U278" s="67">
        <f>IF(EV.Battery,1-I278,1)</f>
        <v>1</v>
      </c>
      <c r="V278" s="67"/>
      <c r="W278" s="67"/>
      <c r="X278" s="67"/>
      <c r="Y278" s="67"/>
      <c r="Z278" s="67"/>
      <c r="AA278" s="67"/>
      <c r="AB278" s="67"/>
      <c r="AC278" s="67"/>
      <c r="AD278" s="67">
        <f>IF(EV.Battery,1-J278,1)</f>
        <v>1</v>
      </c>
      <c r="AE278" s="67">
        <f>IF(EV.Battery,1-K278,1)</f>
        <v>1</v>
      </c>
      <c r="AF278" s="67"/>
      <c r="AG278"/>
      <c r="AH278"/>
      <c r="AI278"/>
      <c r="AJ278"/>
      <c r="AK278"/>
      <c r="AL278"/>
      <c r="AO278" s="67"/>
    </row>
    <row r="279" spans="1:41" x14ac:dyDescent="0.25">
      <c r="N279" s="67"/>
      <c r="O279" s="67"/>
      <c r="P279" s="67"/>
      <c r="Q279" s="67"/>
      <c r="R279" s="67"/>
      <c r="S279" s="67"/>
      <c r="T279" s="67"/>
      <c r="U279" s="67"/>
      <c r="V279" s="67"/>
      <c r="W279" s="67"/>
      <c r="X279" s="67"/>
      <c r="Y279" s="67"/>
      <c r="Z279" s="67"/>
      <c r="AA279" s="67"/>
      <c r="AB279" s="67"/>
      <c r="AC279" s="67"/>
      <c r="AD279" s="67"/>
      <c r="AE279" s="67"/>
      <c r="AF279" s="67"/>
      <c r="AG279"/>
      <c r="AH279"/>
      <c r="AI279"/>
      <c r="AJ279"/>
      <c r="AK279"/>
      <c r="AL279"/>
    </row>
    <row r="280" spans="1:41" x14ac:dyDescent="0.25">
      <c r="N280"/>
      <c r="O280"/>
      <c r="P280"/>
      <c r="Q280"/>
      <c r="R280"/>
      <c r="S280"/>
      <c r="T280"/>
      <c r="U280"/>
      <c r="V280"/>
      <c r="W280"/>
      <c r="X280"/>
      <c r="Y280"/>
      <c r="Z280"/>
      <c r="AA280"/>
      <c r="AB280"/>
      <c r="AC280"/>
      <c r="AD280"/>
      <c r="AE280"/>
      <c r="AF280"/>
      <c r="AG280"/>
      <c r="AH280"/>
      <c r="AI280"/>
      <c r="AJ280"/>
      <c r="AK280"/>
      <c r="AL280"/>
    </row>
    <row r="281" spans="1:41" x14ac:dyDescent="0.25">
      <c r="N281"/>
      <c r="O281"/>
      <c r="P281"/>
      <c r="Q281"/>
      <c r="R281"/>
      <c r="S281"/>
      <c r="T281"/>
      <c r="U281"/>
      <c r="V281"/>
      <c r="W281"/>
      <c r="X281"/>
      <c r="Y281"/>
      <c r="Z281"/>
      <c r="AA281"/>
      <c r="AB281"/>
      <c r="AC281"/>
      <c r="AD281"/>
      <c r="AE281"/>
      <c r="AF281"/>
      <c r="AG281"/>
      <c r="AH281"/>
      <c r="AI281"/>
      <c r="AJ281"/>
      <c r="AK281"/>
      <c r="AL281"/>
    </row>
    <row r="282" spans="1:41" x14ac:dyDescent="0.25">
      <c r="N282"/>
      <c r="O282"/>
      <c r="P282"/>
      <c r="Q282"/>
      <c r="R282"/>
      <c r="S282"/>
      <c r="T282"/>
      <c r="U282"/>
      <c r="V282"/>
      <c r="W282"/>
      <c r="X282"/>
      <c r="Y282"/>
      <c r="Z282"/>
      <c r="AA282"/>
      <c r="AB282"/>
      <c r="AC282"/>
      <c r="AD282"/>
      <c r="AE282"/>
      <c r="AF282"/>
      <c r="AG282"/>
      <c r="AH282"/>
      <c r="AI282"/>
      <c r="AJ282"/>
      <c r="AK282"/>
      <c r="AL282"/>
    </row>
    <row r="283" spans="1:41" x14ac:dyDescent="0.25">
      <c r="N283"/>
      <c r="O283"/>
      <c r="P283"/>
      <c r="Q283"/>
      <c r="R283"/>
      <c r="S283"/>
      <c r="T283"/>
      <c r="U283"/>
      <c r="V283"/>
      <c r="W283"/>
      <c r="X283"/>
      <c r="Y283"/>
      <c r="Z283"/>
      <c r="AA283"/>
      <c r="AB283"/>
      <c r="AC283"/>
      <c r="AD283"/>
      <c r="AE283"/>
      <c r="AF283"/>
      <c r="AG283"/>
      <c r="AH283"/>
      <c r="AI283"/>
      <c r="AJ283"/>
      <c r="AK283"/>
      <c r="AL283"/>
    </row>
    <row r="284" spans="1:41" x14ac:dyDescent="0.25">
      <c r="N284"/>
      <c r="O284"/>
      <c r="P284"/>
      <c r="Q284"/>
      <c r="R284"/>
      <c r="S284"/>
      <c r="T284"/>
      <c r="U284"/>
      <c r="V284"/>
      <c r="W284"/>
      <c r="X284"/>
      <c r="Y284"/>
      <c r="Z284"/>
      <c r="AA284"/>
      <c r="AB284"/>
      <c r="AC284"/>
      <c r="AD284"/>
      <c r="AE284"/>
      <c r="AF284"/>
      <c r="AG284"/>
      <c r="AH284"/>
      <c r="AI284"/>
      <c r="AJ284"/>
      <c r="AK284"/>
      <c r="AL284"/>
    </row>
    <row r="285" spans="1:41" x14ac:dyDescent="0.25">
      <c r="N285"/>
      <c r="O285"/>
      <c r="P285"/>
      <c r="Q285"/>
      <c r="R285"/>
      <c r="S285"/>
      <c r="T285"/>
      <c r="U285"/>
      <c r="V285"/>
      <c r="W285"/>
      <c r="X285"/>
      <c r="Y285"/>
      <c r="Z285"/>
      <c r="AA285"/>
      <c r="AB285"/>
      <c r="AC285"/>
      <c r="AD285"/>
      <c r="AE285"/>
      <c r="AF285"/>
      <c r="AG285"/>
      <c r="AH285"/>
      <c r="AI285"/>
      <c r="AJ285"/>
      <c r="AK285"/>
      <c r="AL285"/>
    </row>
    <row r="286" spans="1:41" x14ac:dyDescent="0.25">
      <c r="N286"/>
      <c r="O286"/>
      <c r="P286"/>
      <c r="Q286"/>
      <c r="R286"/>
      <c r="S286"/>
      <c r="T286"/>
      <c r="U286"/>
      <c r="V286"/>
      <c r="W286"/>
      <c r="X286"/>
      <c r="Y286"/>
      <c r="Z286"/>
      <c r="AA286"/>
      <c r="AB286"/>
      <c r="AC286"/>
      <c r="AD286"/>
      <c r="AE286"/>
      <c r="AF286"/>
      <c r="AG286"/>
      <c r="AH286"/>
      <c r="AI286"/>
      <c r="AJ286"/>
      <c r="AK286"/>
      <c r="AL286"/>
    </row>
  </sheetData>
  <dataValidations count="2">
    <dataValidation type="list" allowBlank="1" showInputMessage="1" showErrorMessage="1" sqref="AJ1:AJ2" xr:uid="{1C7005ED-1490-4709-B6F2-8ADD78113E8B}">
      <formula1>$AJ$5:$AJ$7</formula1>
    </dataValidation>
    <dataValidation type="list" allowBlank="1" showInputMessage="1" showErrorMessage="1" sqref="V20:V116" xr:uid="{3CBE39FB-220F-4DDA-941A-40C4BA493892}">
      <formula1>$W$19:$AC$19</formula1>
    </dataValidation>
  </dataValidations>
  <hyperlinks>
    <hyperlink ref="E20" r:id="rId1" xr:uid="{54E79020-B9E1-466E-BE7F-D1EE29F91157}"/>
  </hyperlinks>
  <pageMargins left="0.7" right="0.7" top="0.75" bottom="0.75" header="0.3" footer="0.3"/>
  <pageSetup orientation="portrait" r:id="rId2"/>
  <drawing r:id="rId3"/>
  <legacyDrawing r:id="rId4"/>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D7ED-D610-4278-B13F-426DAB21B3C1}">
  <sheetPr codeName="Sheet49">
    <tabColor rgb="FFFF0066"/>
  </sheetPr>
  <dimension ref="A1:AZ107"/>
  <sheetViews>
    <sheetView zoomScaleNormal="100" workbookViewId="0">
      <pane xSplit="10" ySplit="5" topLeftCell="K78" activePane="bottomRight" state="frozen"/>
      <selection pane="topRight" activeCell="K1" sqref="K1"/>
      <selection pane="bottomLeft" activeCell="A6" sqref="A6"/>
      <selection pane="bottomRight" activeCell="L65" sqref="L65"/>
    </sheetView>
  </sheetViews>
  <sheetFormatPr defaultColWidth="8.42578125" defaultRowHeight="12.75" outlineLevelCol="1" x14ac:dyDescent="0.25"/>
  <cols>
    <col min="1" max="1" width="25" style="323" customWidth="1"/>
    <col min="2" max="2" width="22.85546875" style="323" customWidth="1"/>
    <col min="3" max="3" width="9.42578125" style="323" hidden="1" customWidth="1" outlineLevel="1"/>
    <col min="4" max="4" width="10.28515625" style="323" hidden="1" customWidth="1" outlineLevel="1"/>
    <col min="5" max="5" width="10.28515625" style="324" hidden="1" customWidth="1" outlineLevel="1"/>
    <col min="6" max="7" width="10" style="323" hidden="1" customWidth="1" outlineLevel="1"/>
    <col min="8" max="9" width="9.85546875" style="323" hidden="1" customWidth="1" outlineLevel="1"/>
    <col min="10" max="10" width="10" style="323" hidden="1" customWidth="1" outlineLevel="1"/>
    <col min="11" max="11" width="17.42578125" style="323" customWidth="1" collapsed="1"/>
    <col min="12" max="13" width="19.85546875" style="323" customWidth="1"/>
    <col min="14" max="17" width="19.28515625" style="323" customWidth="1"/>
    <col min="18" max="18" width="20.5703125" style="323" customWidth="1"/>
    <col min="19" max="28" width="8.42578125" style="323"/>
    <col min="29" max="29" width="11.85546875" style="323" customWidth="1"/>
    <col min="30" max="16384" width="8.42578125" style="323"/>
  </cols>
  <sheetData>
    <row r="1" spans="1:52" ht="16.5" thickTop="1" x14ac:dyDescent="0.25">
      <c r="B1" s="843" t="s">
        <v>1355</v>
      </c>
      <c r="C1" s="844"/>
      <c r="D1" s="844"/>
      <c r="E1" s="844"/>
      <c r="F1" s="844"/>
      <c r="G1" s="844"/>
      <c r="H1" s="844"/>
      <c r="I1" s="844"/>
      <c r="J1" s="845"/>
      <c r="K1" s="891"/>
      <c r="L1" s="910" t="s">
        <v>1358</v>
      </c>
      <c r="M1" s="892"/>
      <c r="N1" s="892"/>
      <c r="O1" s="892"/>
      <c r="P1" s="892"/>
      <c r="Q1" s="892"/>
      <c r="R1" s="893"/>
    </row>
    <row r="2" spans="1:52" x14ac:dyDescent="0.2">
      <c r="B2" s="846">
        <v>13.7674</v>
      </c>
      <c r="C2" s="323" t="s">
        <v>846</v>
      </c>
      <c r="E2" s="323"/>
      <c r="J2" s="847"/>
      <c r="K2" s="864"/>
      <c r="R2" s="894"/>
    </row>
    <row r="3" spans="1:52" x14ac:dyDescent="0.2">
      <c r="B3" s="848" t="s">
        <v>832</v>
      </c>
      <c r="C3" s="457" t="s">
        <v>831</v>
      </c>
      <c r="D3" s="456">
        <v>0.08</v>
      </c>
      <c r="E3" s="514"/>
      <c r="F3" s="454"/>
      <c r="G3" s="454"/>
      <c r="H3" s="454"/>
      <c r="I3" s="454"/>
      <c r="J3" s="849"/>
      <c r="K3" s="895" t="s">
        <v>1357</v>
      </c>
      <c r="L3" s="896"/>
      <c r="M3" s="512"/>
      <c r="P3" s="454"/>
      <c r="Q3" s="454"/>
      <c r="R3" s="897"/>
      <c r="T3" s="454"/>
      <c r="U3" s="454"/>
      <c r="AB3" s="453" t="s">
        <v>816</v>
      </c>
      <c r="AC3" s="323" t="s">
        <v>834</v>
      </c>
      <c r="AI3" s="323" t="s">
        <v>845</v>
      </c>
      <c r="AO3" s="323" t="s">
        <v>844</v>
      </c>
    </row>
    <row r="4" spans="1:52" x14ac:dyDescent="0.2">
      <c r="B4" s="850" t="s">
        <v>681</v>
      </c>
      <c r="C4" s="352">
        <v>2010</v>
      </c>
      <c r="D4" s="352">
        <v>2020</v>
      </c>
      <c r="E4" s="511">
        <v>2025</v>
      </c>
      <c r="F4" s="352">
        <v>2030</v>
      </c>
      <c r="G4" s="510">
        <v>2035</v>
      </c>
      <c r="H4" s="352">
        <v>2040</v>
      </c>
      <c r="I4" s="510">
        <v>2045</v>
      </c>
      <c r="J4" s="851">
        <v>2050</v>
      </c>
      <c r="K4" s="898">
        <f t="shared" ref="K4:R4" si="0">C4</f>
        <v>2010</v>
      </c>
      <c r="L4" s="354">
        <f t="shared" si="0"/>
        <v>2020</v>
      </c>
      <c r="M4" s="354">
        <f t="shared" si="0"/>
        <v>2025</v>
      </c>
      <c r="N4" s="354">
        <f t="shared" si="0"/>
        <v>2030</v>
      </c>
      <c r="O4" s="354">
        <f t="shared" si="0"/>
        <v>2035</v>
      </c>
      <c r="P4" s="354">
        <f t="shared" si="0"/>
        <v>2040</v>
      </c>
      <c r="Q4" s="354">
        <f t="shared" si="0"/>
        <v>2045</v>
      </c>
      <c r="R4" s="899">
        <f t="shared" si="0"/>
        <v>2050</v>
      </c>
      <c r="S4" s="323">
        <f t="shared" ref="S4:Z4" si="1">C4</f>
        <v>2010</v>
      </c>
      <c r="T4" s="323">
        <f t="shared" si="1"/>
        <v>2020</v>
      </c>
      <c r="U4" s="323">
        <f t="shared" si="1"/>
        <v>2025</v>
      </c>
      <c r="V4" s="323">
        <f t="shared" si="1"/>
        <v>2030</v>
      </c>
      <c r="W4" s="323">
        <f t="shared" si="1"/>
        <v>2035</v>
      </c>
      <c r="X4" s="323">
        <f t="shared" si="1"/>
        <v>2040</v>
      </c>
      <c r="Y4" s="323">
        <f t="shared" si="1"/>
        <v>2045</v>
      </c>
      <c r="Z4" s="323">
        <f t="shared" si="1"/>
        <v>2050</v>
      </c>
      <c r="AB4" s="352" t="s">
        <v>681</v>
      </c>
      <c r="AC4" s="352">
        <v>2010</v>
      </c>
      <c r="AD4" s="352">
        <v>2020</v>
      </c>
      <c r="AE4" s="352">
        <v>2030</v>
      </c>
      <c r="AF4" s="352">
        <v>2040</v>
      </c>
      <c r="AG4" s="352">
        <v>2050</v>
      </c>
      <c r="AI4" s="323">
        <f>AC4</f>
        <v>2010</v>
      </c>
      <c r="AJ4" s="323">
        <f>AD4</f>
        <v>2020</v>
      </c>
      <c r="AK4" s="323">
        <f>AE4</f>
        <v>2030</v>
      </c>
      <c r="AL4" s="323">
        <f>AF4</f>
        <v>2040</v>
      </c>
      <c r="AM4" s="323">
        <f>AG4</f>
        <v>2050</v>
      </c>
      <c r="AO4" s="323">
        <f>AI4</f>
        <v>2010</v>
      </c>
      <c r="AP4" s="323">
        <f>AJ4</f>
        <v>2020</v>
      </c>
      <c r="AQ4" s="323">
        <f>AK4</f>
        <v>2030</v>
      </c>
      <c r="AR4" s="323">
        <f>AL4</f>
        <v>2040</v>
      </c>
      <c r="AS4" s="323">
        <f>AM4</f>
        <v>2050</v>
      </c>
    </row>
    <row r="5" spans="1:52" ht="13.5" thickBot="1" x14ac:dyDescent="0.25">
      <c r="B5" s="852" t="s">
        <v>791</v>
      </c>
      <c r="C5" s="449" t="s">
        <v>193</v>
      </c>
      <c r="D5" s="449" t="s">
        <v>193</v>
      </c>
      <c r="E5" s="509" t="s">
        <v>843</v>
      </c>
      <c r="F5" s="449" t="s">
        <v>193</v>
      </c>
      <c r="G5" s="508" t="s">
        <v>843</v>
      </c>
      <c r="H5" s="449" t="s">
        <v>193</v>
      </c>
      <c r="I5" s="508" t="s">
        <v>843</v>
      </c>
      <c r="J5" s="853" t="s">
        <v>193</v>
      </c>
      <c r="K5" s="864" t="s">
        <v>1356</v>
      </c>
      <c r="L5" s="323" t="s">
        <v>1356</v>
      </c>
      <c r="M5" s="323" t="s">
        <v>1356</v>
      </c>
      <c r="N5" s="323" t="s">
        <v>1356</v>
      </c>
      <c r="O5" s="323" t="s">
        <v>1356</v>
      </c>
      <c r="P5" s="323" t="s">
        <v>1356</v>
      </c>
      <c r="Q5" s="323" t="s">
        <v>1356</v>
      </c>
      <c r="R5" s="894" t="s">
        <v>1356</v>
      </c>
      <c r="S5" s="323" t="s">
        <v>841</v>
      </c>
      <c r="T5" s="323" t="s">
        <v>841</v>
      </c>
      <c r="AB5" s="448" t="s">
        <v>659</v>
      </c>
      <c r="AC5" s="447" t="s">
        <v>663</v>
      </c>
      <c r="AD5" s="447" t="s">
        <v>663</v>
      </c>
      <c r="AE5" s="447" t="s">
        <v>663</v>
      </c>
      <c r="AF5" s="447" t="s">
        <v>663</v>
      </c>
      <c r="AG5" s="447" t="s">
        <v>663</v>
      </c>
    </row>
    <row r="6" spans="1:52" ht="15" x14ac:dyDescent="0.2">
      <c r="A6" s="323" t="str">
        <f>B4</f>
        <v>Passenger Car</v>
      </c>
      <c r="B6" s="854" t="s">
        <v>680</v>
      </c>
      <c r="C6" s="443">
        <v>14106.969670152857</v>
      </c>
      <c r="D6" s="443">
        <v>15275.702468545833</v>
      </c>
      <c r="E6" s="333">
        <f t="shared" ref="E6:E18" si="2">AVERAGE(D6,F6)</f>
        <v>15535.838446469748</v>
      </c>
      <c r="F6" s="443">
        <v>15795.974424393664</v>
      </c>
      <c r="G6" s="333">
        <f t="shared" ref="G6:G18" si="3">AVERAGE(F6,H6)</f>
        <v>15969.064607998534</v>
      </c>
      <c r="H6" s="443">
        <v>16142.154791603403</v>
      </c>
      <c r="I6" s="333">
        <f t="shared" ref="I6:I18" si="4">AVERAGE(H6,J6)</f>
        <v>16243.065948633179</v>
      </c>
      <c r="J6" s="855">
        <v>16343.977105662956</v>
      </c>
      <c r="K6" s="900">
        <f>VehicleCostData2023!AE3</f>
        <v>221973.27212134015</v>
      </c>
      <c r="L6" s="789">
        <f>VehicleCostData2023!AF3</f>
        <v>240363.2913501834</v>
      </c>
      <c r="M6" s="789">
        <f>VehicleCostData2023!AG3</f>
        <v>244456.53288726759</v>
      </c>
      <c r="N6" s="789">
        <f>VehicleCostData2023!AH3</f>
        <v>248549.77442435178</v>
      </c>
      <c r="O6" s="789">
        <f>VehicleCostData2023!AI3</f>
        <v>251273.34974387253</v>
      </c>
      <c r="P6" s="789">
        <f>VehicleCostData2023!AJ3</f>
        <v>253996.92506339328</v>
      </c>
      <c r="Q6" s="789">
        <f>VehicleCostData2023!AK3</f>
        <v>255584.76286578411</v>
      </c>
      <c r="R6" s="901">
        <f>VehicleCostData2023!AL3</f>
        <v>257172.600668175</v>
      </c>
      <c r="S6" s="331">
        <f t="shared" ref="S6:S18" si="5">C6/C$6</f>
        <v>1</v>
      </c>
      <c r="T6" s="331">
        <f t="shared" ref="T6:T18" si="6">D6/D$6</f>
        <v>1</v>
      </c>
      <c r="U6" s="331">
        <f t="shared" ref="U6:U18" si="7">E6/E$6</f>
        <v>1</v>
      </c>
      <c r="V6" s="331">
        <f t="shared" ref="V6:V18" si="8">F6/F$6</f>
        <v>1</v>
      </c>
      <c r="W6" s="331">
        <f t="shared" ref="W6:W18" si="9">G6/G$6</f>
        <v>1</v>
      </c>
      <c r="X6" s="331">
        <f t="shared" ref="X6:X18" si="10">H6/H$6</f>
        <v>1</v>
      </c>
      <c r="Y6" s="331">
        <f t="shared" ref="Y6:Y18" si="11">I6/I$6</f>
        <v>1</v>
      </c>
      <c r="Z6" s="331">
        <f t="shared" ref="Z6:Z18" si="12">J6/J$6</f>
        <v>1</v>
      </c>
      <c r="AB6" s="460" t="s">
        <v>680</v>
      </c>
      <c r="AC6" s="440">
        <v>2.7731584934931535</v>
      </c>
      <c r="AD6" s="440">
        <v>2.0718600724531742</v>
      </c>
      <c r="AE6" s="440">
        <v>1.6924435330873051</v>
      </c>
      <c r="AF6" s="440">
        <v>1.5062933039675674</v>
      </c>
      <c r="AG6" s="440">
        <v>1.3837225479656539</v>
      </c>
      <c r="AI6" s="323">
        <v>1</v>
      </c>
      <c r="AJ6" s="323">
        <v>1</v>
      </c>
      <c r="AK6" s="323">
        <v>1</v>
      </c>
      <c r="AL6" s="323">
        <v>1</v>
      </c>
      <c r="AM6" s="323">
        <v>1</v>
      </c>
      <c r="AO6" s="505">
        <f t="shared" ref="AO6:AO18" si="13">AC6/AI6</f>
        <v>2.7731584934931535</v>
      </c>
      <c r="AP6" s="505">
        <f t="shared" ref="AP6:AP18" si="14">AD6/AJ6</f>
        <v>2.0718600724531742</v>
      </c>
      <c r="AQ6" s="505">
        <f t="shared" ref="AQ6:AQ18" si="15">AE6/AK6</f>
        <v>1.6924435330873051</v>
      </c>
      <c r="AR6" s="505">
        <f t="shared" ref="AR6:AR18" si="16">AF6/AL6</f>
        <v>1.5062933039675674</v>
      </c>
      <c r="AS6" s="505">
        <f t="shared" ref="AS6:AS18" si="17">AG6/AM6</f>
        <v>1.3837225479656539</v>
      </c>
    </row>
    <row r="7" spans="1:52" ht="15" x14ac:dyDescent="0.2">
      <c r="A7" s="323" t="str">
        <f t="shared" ref="A7:A20" si="18">A6</f>
        <v>Passenger Car</v>
      </c>
      <c r="B7" s="854" t="s">
        <v>687</v>
      </c>
      <c r="C7" s="443">
        <v>14560.769670152857</v>
      </c>
      <c r="D7" s="443">
        <v>15983.921891910022</v>
      </c>
      <c r="E7" s="333">
        <f t="shared" si="2"/>
        <v>16232.445908821937</v>
      </c>
      <c r="F7" s="443">
        <v>16480.969925733854</v>
      </c>
      <c r="G7" s="333">
        <f t="shared" si="3"/>
        <v>16662.303466899051</v>
      </c>
      <c r="H7" s="443">
        <v>16843.637008064252</v>
      </c>
      <c r="I7" s="333">
        <f t="shared" si="4"/>
        <v>16946.971696045381</v>
      </c>
      <c r="J7" s="855">
        <v>17050.306384026513</v>
      </c>
      <c r="K7" s="902">
        <f>VehicleCostData2023!AE4</f>
        <v>328443.28314829268</v>
      </c>
      <c r="L7" s="792">
        <f>VehicleCostData2023!AF4</f>
        <v>360544.93702527508</v>
      </c>
      <c r="M7" s="792">
        <f>VehicleCostData2023!AG4</f>
        <v>366150.82503153011</v>
      </c>
      <c r="N7" s="792">
        <f>VehicleCostData2023!AH4</f>
        <v>371756.71303778514</v>
      </c>
      <c r="O7" s="792">
        <f>VehicleCostData2023!AI4</f>
        <v>375847.00393272919</v>
      </c>
      <c r="P7" s="792">
        <f>VehicleCostData2023!AJ4</f>
        <v>379937.29482767323</v>
      </c>
      <c r="Q7" s="792">
        <f>VehicleCostData2023!AK4</f>
        <v>382268.18700936862</v>
      </c>
      <c r="R7" s="903">
        <f>VehicleCostData2023!AL4</f>
        <v>384599.07919106411</v>
      </c>
      <c r="S7" s="331">
        <f t="shared" si="5"/>
        <v>1.03216849618385</v>
      </c>
      <c r="T7" s="331">
        <f t="shared" si="6"/>
        <v>1.0463624782442891</v>
      </c>
      <c r="U7" s="331">
        <f t="shared" si="7"/>
        <v>1.0448387426756798</v>
      </c>
      <c r="V7" s="331">
        <f t="shared" si="8"/>
        <v>1.0433651943803071</v>
      </c>
      <c r="W7" s="331">
        <f t="shared" si="9"/>
        <v>1.0434113629018251</v>
      </c>
      <c r="X7" s="331">
        <f t="shared" si="10"/>
        <v>1.0434565413054853</v>
      </c>
      <c r="Y7" s="331">
        <f t="shared" si="11"/>
        <v>1.0433357686066302</v>
      </c>
      <c r="Z7" s="331">
        <f t="shared" si="12"/>
        <v>1.0432164872599352</v>
      </c>
      <c r="AA7" s="423"/>
      <c r="AB7" s="460" t="s">
        <v>687</v>
      </c>
      <c r="AC7" s="440">
        <v>2.2264912113239048</v>
      </c>
      <c r="AD7" s="440">
        <v>1.7539919646296771</v>
      </c>
      <c r="AE7" s="440">
        <v>1.4571673890360914</v>
      </c>
      <c r="AF7" s="440">
        <v>1.3029113464752489</v>
      </c>
      <c r="AG7" s="440">
        <v>1.195582159057512</v>
      </c>
      <c r="AI7" s="323">
        <v>1</v>
      </c>
      <c r="AJ7" s="323">
        <v>1</v>
      </c>
      <c r="AK7" s="323">
        <v>1</v>
      </c>
      <c r="AL7" s="323">
        <v>1</v>
      </c>
      <c r="AM7" s="323">
        <v>1</v>
      </c>
      <c r="AO7" s="505">
        <f t="shared" si="13"/>
        <v>2.2264912113239048</v>
      </c>
      <c r="AP7" s="505">
        <f t="shared" si="14"/>
        <v>1.7539919646296771</v>
      </c>
      <c r="AQ7" s="505">
        <f t="shared" si="15"/>
        <v>1.4571673890360914</v>
      </c>
      <c r="AR7" s="505">
        <f t="shared" si="16"/>
        <v>1.3029113464752489</v>
      </c>
      <c r="AS7" s="505">
        <f t="shared" si="17"/>
        <v>1.195582159057512</v>
      </c>
    </row>
    <row r="8" spans="1:52" ht="15" x14ac:dyDescent="0.2">
      <c r="A8" s="323" t="str">
        <f t="shared" si="18"/>
        <v>Passenger Car</v>
      </c>
      <c r="B8" s="854" t="s">
        <v>688</v>
      </c>
      <c r="C8" s="443">
        <v>17377.456235607926</v>
      </c>
      <c r="D8" s="443">
        <v>16497.956468581931</v>
      </c>
      <c r="E8" s="333">
        <f t="shared" si="2"/>
        <v>16355.606170887138</v>
      </c>
      <c r="F8" s="443">
        <v>16213.255873192345</v>
      </c>
      <c r="G8" s="333">
        <f t="shared" si="3"/>
        <v>16235.926074457077</v>
      </c>
      <c r="H8" s="443">
        <v>16258.596275721808</v>
      </c>
      <c r="I8" s="333">
        <f t="shared" si="4"/>
        <v>16265.716299334774</v>
      </c>
      <c r="J8" s="855">
        <v>16272.83632294774</v>
      </c>
      <c r="K8" s="902">
        <f>VehicleCostData2023!AE5</f>
        <v>463914.82511277962</v>
      </c>
      <c r="L8" s="792">
        <f>VehicleCostData2023!AF5</f>
        <v>440435.38283569075</v>
      </c>
      <c r="M8" s="792">
        <f>VehicleCostData2023!AG5</f>
        <v>436635.14806228853</v>
      </c>
      <c r="N8" s="792">
        <f>VehicleCostData2023!AH5</f>
        <v>432834.91328888631</v>
      </c>
      <c r="O8" s="792">
        <f>VehicleCostData2023!AI5</f>
        <v>433440.12513994251</v>
      </c>
      <c r="P8" s="792">
        <f>VehicleCostData2023!AJ5</f>
        <v>434045.33699099865</v>
      </c>
      <c r="Q8" s="792">
        <f>VehicleCostData2023!AK5</f>
        <v>434235.41570358025</v>
      </c>
      <c r="R8" s="903">
        <f>VehicleCostData2023!AL5</f>
        <v>434425.49441616191</v>
      </c>
      <c r="S8" s="331">
        <f t="shared" si="5"/>
        <v>1.2318348052009125</v>
      </c>
      <c r="T8" s="331">
        <f t="shared" si="6"/>
        <v>1.0800129488351085</v>
      </c>
      <c r="U8" s="331">
        <f t="shared" si="7"/>
        <v>1.0527662364179429</v>
      </c>
      <c r="V8" s="331">
        <f t="shared" si="8"/>
        <v>1.0264169488749155</v>
      </c>
      <c r="W8" s="331">
        <f t="shared" si="9"/>
        <v>1.0167111520310887</v>
      </c>
      <c r="X8" s="331">
        <f t="shared" si="10"/>
        <v>1.007213503130262</v>
      </c>
      <c r="Y8" s="331">
        <f t="shared" si="11"/>
        <v>1.0013944627678804</v>
      </c>
      <c r="Z8" s="331">
        <f t="shared" si="12"/>
        <v>0.99564727836711375</v>
      </c>
      <c r="AA8" s="423"/>
      <c r="AB8" s="460" t="s">
        <v>688</v>
      </c>
      <c r="AC8" s="440">
        <v>2.118957461890536</v>
      </c>
      <c r="AD8" s="440">
        <v>1.6900840244838968</v>
      </c>
      <c r="AE8" s="440">
        <v>1.4497532132450688</v>
      </c>
      <c r="AF8" s="440">
        <v>1.3237068989033129</v>
      </c>
      <c r="AG8" s="440">
        <v>1.2074894913527994</v>
      </c>
      <c r="AI8" s="323">
        <v>1</v>
      </c>
      <c r="AJ8" s="323">
        <v>1</v>
      </c>
      <c r="AK8" s="323">
        <v>1</v>
      </c>
      <c r="AL8" s="323">
        <v>1</v>
      </c>
      <c r="AM8" s="323">
        <v>1</v>
      </c>
      <c r="AO8" s="505">
        <f t="shared" si="13"/>
        <v>2.118957461890536</v>
      </c>
      <c r="AP8" s="505">
        <f t="shared" si="14"/>
        <v>1.6900840244838968</v>
      </c>
      <c r="AQ8" s="505">
        <f t="shared" si="15"/>
        <v>1.4497532132450688</v>
      </c>
      <c r="AR8" s="505">
        <f t="shared" si="16"/>
        <v>1.3237068989033129</v>
      </c>
      <c r="AS8" s="505">
        <f t="shared" si="17"/>
        <v>1.2074894913527994</v>
      </c>
    </row>
    <row r="9" spans="1:52" ht="15" x14ac:dyDescent="0.2">
      <c r="A9" s="323" t="str">
        <f t="shared" si="18"/>
        <v>Passenger Car</v>
      </c>
      <c r="B9" s="854" t="s">
        <v>689</v>
      </c>
      <c r="C9" s="443">
        <v>17420.215126456082</v>
      </c>
      <c r="D9" s="443">
        <v>17003.178593969536</v>
      </c>
      <c r="E9" s="333">
        <f t="shared" si="2"/>
        <v>16868.59464958309</v>
      </c>
      <c r="F9" s="443">
        <v>16734.010705196644</v>
      </c>
      <c r="G9" s="333">
        <f t="shared" si="3"/>
        <v>16767.521855900653</v>
      </c>
      <c r="H9" s="443">
        <v>16801.033006604659</v>
      </c>
      <c r="I9" s="333">
        <f t="shared" si="4"/>
        <v>16812.068860047224</v>
      </c>
      <c r="J9" s="855">
        <v>16823.104713489789</v>
      </c>
      <c r="K9" s="902">
        <f>VehicleCostData2023!AE6</f>
        <v>676856.89554145606</v>
      </c>
      <c r="L9" s="792">
        <f>VehicleCostData2023!AF6</f>
        <v>660653.07425353606</v>
      </c>
      <c r="M9" s="792">
        <f>VehicleCostData2023!AG6</f>
        <v>655423.85807417962</v>
      </c>
      <c r="N9" s="792">
        <f>VehicleCostData2023!AH6</f>
        <v>650194.64189482306</v>
      </c>
      <c r="O9" s="792">
        <f>VehicleCostData2023!AI6</f>
        <v>651496.70695354277</v>
      </c>
      <c r="P9" s="792">
        <f>VehicleCostData2023!AJ6</f>
        <v>652798.77201226226</v>
      </c>
      <c r="Q9" s="792">
        <f>VehicleCostData2023!AK6</f>
        <v>653227.5665734408</v>
      </c>
      <c r="R9" s="903">
        <f>VehicleCostData2023!AL6</f>
        <v>653656.36113461934</v>
      </c>
      <c r="S9" s="331">
        <f t="shared" si="5"/>
        <v>1.2348658523958762</v>
      </c>
      <c r="T9" s="331">
        <f t="shared" si="6"/>
        <v>1.1130865260684899</v>
      </c>
      <c r="U9" s="331">
        <f t="shared" si="7"/>
        <v>1.08578592058005</v>
      </c>
      <c r="V9" s="331">
        <f t="shared" si="8"/>
        <v>1.0593845150416537</v>
      </c>
      <c r="W9" s="331">
        <f t="shared" si="9"/>
        <v>1.050000251580308</v>
      </c>
      <c r="X9" s="331">
        <f t="shared" si="10"/>
        <v>1.040817240542383</v>
      </c>
      <c r="Y9" s="331">
        <f t="shared" si="11"/>
        <v>1.0350305116788574</v>
      </c>
      <c r="Z9" s="331">
        <f t="shared" si="12"/>
        <v>1.029315239780948</v>
      </c>
      <c r="AA9" s="423"/>
      <c r="AB9" s="460" t="s">
        <v>689</v>
      </c>
      <c r="AC9" s="440">
        <v>1.7693016047311396</v>
      </c>
      <c r="AD9" s="440">
        <v>1.4910156121909575</v>
      </c>
      <c r="AE9" s="440">
        <v>1.3037709765268612</v>
      </c>
      <c r="AF9" s="440">
        <v>1.1983619127235638</v>
      </c>
      <c r="AG9" s="440">
        <v>1.0928745831009152</v>
      </c>
      <c r="AI9" s="323">
        <v>1</v>
      </c>
      <c r="AJ9" s="323">
        <v>1</v>
      </c>
      <c r="AK9" s="323">
        <v>1</v>
      </c>
      <c r="AL9" s="323">
        <v>1</v>
      </c>
      <c r="AM9" s="323">
        <v>1</v>
      </c>
      <c r="AO9" s="505">
        <f t="shared" si="13"/>
        <v>1.7693016047311396</v>
      </c>
      <c r="AP9" s="505">
        <f t="shared" si="14"/>
        <v>1.4910156121909575</v>
      </c>
      <c r="AQ9" s="505">
        <f t="shared" si="15"/>
        <v>1.3037709765268612</v>
      </c>
      <c r="AR9" s="505">
        <f t="shared" si="16"/>
        <v>1.1983619127235638</v>
      </c>
      <c r="AS9" s="505">
        <f t="shared" si="17"/>
        <v>1.0928745831009152</v>
      </c>
    </row>
    <row r="10" spans="1:52" ht="15" x14ac:dyDescent="0.2">
      <c r="A10" s="323" t="str">
        <f t="shared" si="18"/>
        <v>Passenger Car</v>
      </c>
      <c r="B10" s="854" t="s">
        <v>691</v>
      </c>
      <c r="C10" s="443">
        <v>23176.881694276577</v>
      </c>
      <c r="D10" s="443">
        <v>18823.240682720389</v>
      </c>
      <c r="E10" s="333">
        <f t="shared" si="2"/>
        <v>18240.04659780518</v>
      </c>
      <c r="F10" s="443">
        <v>17656.852512889975</v>
      </c>
      <c r="G10" s="333">
        <f t="shared" si="3"/>
        <v>17598.439259906336</v>
      </c>
      <c r="H10" s="443">
        <v>17540.026006922693</v>
      </c>
      <c r="I10" s="333">
        <f t="shared" si="4"/>
        <v>17472.460047069755</v>
      </c>
      <c r="J10" s="855">
        <v>17404.89408721682</v>
      </c>
      <c r="K10" s="902">
        <f>VehicleCostData2023!AE7</f>
        <v>721264.32330352848</v>
      </c>
      <c r="L10" s="792">
        <f>VehicleCostData2023!AF7</f>
        <v>585779.0591714686</v>
      </c>
      <c r="M10" s="792">
        <f>VehicleCostData2023!AG7</f>
        <v>567630.06516271632</v>
      </c>
      <c r="N10" s="792">
        <f>VehicleCostData2023!AH7</f>
        <v>549481.07115396392</v>
      </c>
      <c r="O10" s="792">
        <f>VehicleCostData2023!AI7</f>
        <v>547663.25131344562</v>
      </c>
      <c r="P10" s="792">
        <f>VehicleCostData2023!AJ7</f>
        <v>545845.43147292722</v>
      </c>
      <c r="Q10" s="792">
        <f>VehicleCostData2023!AK7</f>
        <v>543742.77948744816</v>
      </c>
      <c r="R10" s="903">
        <f>VehicleCostData2023!AL7</f>
        <v>541640.12750196934</v>
      </c>
      <c r="S10" s="331">
        <f t="shared" si="5"/>
        <v>1.6429383656586143</v>
      </c>
      <c r="T10" s="331">
        <f t="shared" si="6"/>
        <v>1.2322340475980915</v>
      </c>
      <c r="U10" s="331">
        <f t="shared" si="7"/>
        <v>1.1740625818589094</v>
      </c>
      <c r="V10" s="331">
        <f t="shared" si="8"/>
        <v>1.1178071094887672</v>
      </c>
      <c r="W10" s="331">
        <f t="shared" si="9"/>
        <v>1.1020331930457394</v>
      </c>
      <c r="X10" s="331">
        <f t="shared" si="10"/>
        <v>1.0865975598280357</v>
      </c>
      <c r="Y10" s="331">
        <f t="shared" si="11"/>
        <v>1.0756873180423199</v>
      </c>
      <c r="Z10" s="331">
        <f t="shared" si="12"/>
        <v>1.0649118005180191</v>
      </c>
      <c r="AA10" s="423"/>
      <c r="AB10" s="460" t="s">
        <v>691</v>
      </c>
      <c r="AC10" s="440">
        <v>1.6844344849453972</v>
      </c>
      <c r="AD10" s="440">
        <v>1.2673506147472593</v>
      </c>
      <c r="AE10" s="440">
        <v>1.1322926068149861</v>
      </c>
      <c r="AF10" s="440">
        <v>1.0607504057135009</v>
      </c>
      <c r="AG10" s="440">
        <v>1.0016049035183423</v>
      </c>
      <c r="AI10" s="323">
        <v>1</v>
      </c>
      <c r="AJ10" s="323">
        <v>1</v>
      </c>
      <c r="AK10" s="323">
        <v>1</v>
      </c>
      <c r="AL10" s="323">
        <v>1</v>
      </c>
      <c r="AM10" s="323">
        <v>1</v>
      </c>
      <c r="AO10" s="505">
        <f t="shared" si="13"/>
        <v>1.6844344849453972</v>
      </c>
      <c r="AP10" s="505">
        <f t="shared" si="14"/>
        <v>1.2673506147472593</v>
      </c>
      <c r="AQ10" s="505">
        <f t="shared" si="15"/>
        <v>1.1322926068149861</v>
      </c>
      <c r="AR10" s="505">
        <f t="shared" si="16"/>
        <v>1.0607504057135009</v>
      </c>
      <c r="AS10" s="505">
        <f t="shared" si="17"/>
        <v>1.0016049035183423</v>
      </c>
    </row>
    <row r="11" spans="1:52" ht="15" x14ac:dyDescent="0.2">
      <c r="A11" s="323" t="str">
        <f t="shared" si="18"/>
        <v>Passenger Car</v>
      </c>
      <c r="B11" s="854" t="s">
        <v>695</v>
      </c>
      <c r="C11" s="443">
        <v>23452.467720770474</v>
      </c>
      <c r="D11" s="443">
        <v>19382.471684119144</v>
      </c>
      <c r="E11" s="333">
        <f t="shared" si="2"/>
        <v>18793.577383354896</v>
      </c>
      <c r="F11" s="443">
        <v>18204.683082590647</v>
      </c>
      <c r="G11" s="333">
        <f t="shared" si="3"/>
        <v>18154.513187167337</v>
      </c>
      <c r="H11" s="443">
        <v>18104.343291744026</v>
      </c>
      <c r="I11" s="333">
        <f t="shared" si="4"/>
        <v>18039.200862842445</v>
      </c>
      <c r="J11" s="855">
        <v>17974.05843394086</v>
      </c>
      <c r="K11" s="902">
        <f>VehicleCostData2023!AE8</f>
        <v>1063174.3490159395</v>
      </c>
      <c r="L11" s="792">
        <f>VehicleCostData2023!AF8</f>
        <v>878668.58875720296</v>
      </c>
      <c r="M11" s="792">
        <f>VehicleCostData2023!AG8</f>
        <v>851972.15227518079</v>
      </c>
      <c r="N11" s="792">
        <f>VehicleCostData2023!AH8</f>
        <v>825275.71579315851</v>
      </c>
      <c r="O11" s="792">
        <f>VehicleCostData2023!AI8</f>
        <v>823001.35615894245</v>
      </c>
      <c r="P11" s="792">
        <f>VehicleCostData2023!AJ8</f>
        <v>820726.99652472639</v>
      </c>
      <c r="Q11" s="792">
        <f>VehicleCostData2023!AK8</f>
        <v>817773.88471298222</v>
      </c>
      <c r="R11" s="903">
        <f>VehicleCostData2023!AL8</f>
        <v>814820.77290123794</v>
      </c>
      <c r="S11" s="331">
        <f t="shared" si="5"/>
        <v>1.6624738174911204</v>
      </c>
      <c r="T11" s="331">
        <f t="shared" si="6"/>
        <v>1.2688432315325302</v>
      </c>
      <c r="U11" s="331">
        <f t="shared" si="7"/>
        <v>1.2096918649167219</v>
      </c>
      <c r="V11" s="331">
        <f t="shared" si="8"/>
        <v>1.1524887666617909</v>
      </c>
      <c r="W11" s="331">
        <f t="shared" si="9"/>
        <v>1.136855140411553</v>
      </c>
      <c r="X11" s="331">
        <f t="shared" si="10"/>
        <v>1.1215567887604005</v>
      </c>
      <c r="Y11" s="331">
        <f t="shared" si="11"/>
        <v>1.1105785644095354</v>
      </c>
      <c r="Z11" s="331">
        <f t="shared" si="12"/>
        <v>1.0997359037974364</v>
      </c>
      <c r="AA11" s="423"/>
      <c r="AB11" s="460" t="s">
        <v>695</v>
      </c>
      <c r="AC11" s="440">
        <v>1.4414185748830934</v>
      </c>
      <c r="AD11" s="440">
        <v>1.1518364154031082</v>
      </c>
      <c r="AE11" s="440">
        <v>1.0479227946099969</v>
      </c>
      <c r="AF11" s="440">
        <v>0.98974342351285993</v>
      </c>
      <c r="AG11" s="440">
        <v>0.93761813544156292</v>
      </c>
      <c r="AI11" s="323">
        <v>1</v>
      </c>
      <c r="AJ11" s="323">
        <v>1</v>
      </c>
      <c r="AK11" s="323">
        <v>1</v>
      </c>
      <c r="AL11" s="323">
        <v>1</v>
      </c>
      <c r="AM11" s="323">
        <v>1</v>
      </c>
      <c r="AO11" s="505">
        <f t="shared" si="13"/>
        <v>1.4414185748830934</v>
      </c>
      <c r="AP11" s="505">
        <f t="shared" si="14"/>
        <v>1.1518364154031082</v>
      </c>
      <c r="AQ11" s="505">
        <f t="shared" si="15"/>
        <v>1.0479227946099969</v>
      </c>
      <c r="AR11" s="505">
        <f t="shared" si="16"/>
        <v>0.98974342351285993</v>
      </c>
      <c r="AS11" s="505">
        <f t="shared" si="17"/>
        <v>0.93761813544156292</v>
      </c>
    </row>
    <row r="12" spans="1:52" ht="15" x14ac:dyDescent="0.2">
      <c r="A12" s="323" t="str">
        <f t="shared" si="18"/>
        <v>Passenger Car</v>
      </c>
      <c r="B12" s="854" t="s">
        <v>839</v>
      </c>
      <c r="C12" s="443">
        <v>31135.574319875104</v>
      </c>
      <c r="D12" s="443">
        <v>21491.889649646371</v>
      </c>
      <c r="E12" s="333">
        <f t="shared" si="2"/>
        <v>20246.248469511957</v>
      </c>
      <c r="F12" s="443">
        <v>19000.607289377545</v>
      </c>
      <c r="G12" s="333">
        <f t="shared" si="3"/>
        <v>18857.85531344945</v>
      </c>
      <c r="H12" s="443">
        <v>18715.103337521359</v>
      </c>
      <c r="I12" s="333">
        <f t="shared" si="4"/>
        <v>18570.757666643898</v>
      </c>
      <c r="J12" s="855">
        <v>18426.411995766433</v>
      </c>
      <c r="K12" s="902">
        <f>VehicleCostData2023!AE9</f>
        <v>1128672.0283701362</v>
      </c>
      <c r="L12" s="792">
        <f>VehicleCostData2023!AF9</f>
        <v>779086.14869805332</v>
      </c>
      <c r="M12" s="792">
        <f>VehicleCostData2023!AG9</f>
        <v>733931.35749491747</v>
      </c>
      <c r="N12" s="792">
        <f>VehicleCostData2023!AH9</f>
        <v>688776.56629178161</v>
      </c>
      <c r="O12" s="792">
        <f>VehicleCostData2023!AI9</f>
        <v>683601.77296472352</v>
      </c>
      <c r="P12" s="792">
        <f>VehicleCostData2023!AJ9</f>
        <v>678426.97963766579</v>
      </c>
      <c r="Q12" s="792">
        <f>VehicleCostData2023!AK9</f>
        <v>673194.4144868853</v>
      </c>
      <c r="R12" s="903">
        <f>VehicleCostData2023!AL9</f>
        <v>667961.8493361047</v>
      </c>
      <c r="S12" s="331">
        <f t="shared" si="5"/>
        <v>2.2071057816017641</v>
      </c>
      <c r="T12" s="331">
        <f t="shared" si="6"/>
        <v>1.406932983533836</v>
      </c>
      <c r="U12" s="331">
        <f t="shared" si="7"/>
        <v>1.3031963829485218</v>
      </c>
      <c r="V12" s="331">
        <f t="shared" si="8"/>
        <v>1.2028765544235738</v>
      </c>
      <c r="W12" s="331">
        <f t="shared" si="9"/>
        <v>1.1808991807825731</v>
      </c>
      <c r="X12" s="331">
        <f t="shared" si="10"/>
        <v>1.1593931280634426</v>
      </c>
      <c r="Y12" s="331">
        <f t="shared" si="11"/>
        <v>1.1433037165133588</v>
      </c>
      <c r="Z12" s="331">
        <f t="shared" si="12"/>
        <v>1.1274129837946201</v>
      </c>
      <c r="AA12" s="423"/>
      <c r="AB12" s="460" t="s">
        <v>839</v>
      </c>
      <c r="AC12" s="440">
        <v>1.2434190944946621</v>
      </c>
      <c r="AD12" s="440">
        <v>1.055894846672224</v>
      </c>
      <c r="AE12" s="440">
        <v>0.94796987980160197</v>
      </c>
      <c r="AF12" s="440">
        <v>0.89041135121688042</v>
      </c>
      <c r="AG12" s="440">
        <v>0.8407508847914158</v>
      </c>
      <c r="AI12" s="323">
        <v>1</v>
      </c>
      <c r="AJ12" s="323">
        <v>1</v>
      </c>
      <c r="AK12" s="323">
        <v>1</v>
      </c>
      <c r="AL12" s="323">
        <v>1</v>
      </c>
      <c r="AM12" s="323">
        <v>1</v>
      </c>
      <c r="AO12" s="505">
        <f t="shared" si="13"/>
        <v>1.2434190944946621</v>
      </c>
      <c r="AP12" s="505">
        <f t="shared" si="14"/>
        <v>1.055894846672224</v>
      </c>
      <c r="AQ12" s="505">
        <f t="shared" si="15"/>
        <v>0.94796987980160197</v>
      </c>
      <c r="AR12" s="505">
        <f t="shared" si="16"/>
        <v>0.89041135121688042</v>
      </c>
      <c r="AS12" s="505">
        <f t="shared" si="17"/>
        <v>0.8407508847914158</v>
      </c>
    </row>
    <row r="13" spans="1:52" ht="15" x14ac:dyDescent="0.2">
      <c r="A13" s="323" t="str">
        <f t="shared" si="18"/>
        <v>Passenger Car</v>
      </c>
      <c r="B13" s="854" t="s">
        <v>838</v>
      </c>
      <c r="C13" s="443">
        <v>31141.577543455245</v>
      </c>
      <c r="D13" s="443">
        <v>21830.633745403298</v>
      </c>
      <c r="E13" s="333">
        <f t="shared" si="2"/>
        <v>20589.223468523433</v>
      </c>
      <c r="F13" s="443">
        <v>19347.813191643567</v>
      </c>
      <c r="G13" s="333">
        <f t="shared" si="3"/>
        <v>19213.304573275804</v>
      </c>
      <c r="H13" s="443">
        <v>19078.795954908041</v>
      </c>
      <c r="I13" s="333">
        <f t="shared" si="4"/>
        <v>18936.873814981929</v>
      </c>
      <c r="J13" s="855">
        <v>18794.951675055818</v>
      </c>
      <c r="K13" s="902">
        <f>VehicleCostData2023!AE10</f>
        <v>1667059.1423728813</v>
      </c>
      <c r="L13" s="792">
        <f>VehicleCostData2023!AF10</f>
        <v>1168629.22304708</v>
      </c>
      <c r="M13" s="792">
        <f>VehicleCostData2023!AG10</f>
        <v>1102174.5179628425</v>
      </c>
      <c r="N13" s="792">
        <f>VehicleCostData2023!AH10</f>
        <v>1035719.8128786053</v>
      </c>
      <c r="O13" s="792">
        <f>VehicleCostData2023!AI10</f>
        <v>1028519.3484299103</v>
      </c>
      <c r="P13" s="792">
        <f>VehicleCostData2023!AJ10</f>
        <v>1021318.8839812155</v>
      </c>
      <c r="Q13" s="792">
        <f>VehicleCostData2023!AK10</f>
        <v>1013721.5617023808</v>
      </c>
      <c r="R13" s="903">
        <f>VehicleCostData2023!AL10</f>
        <v>1006124.2394235462</v>
      </c>
      <c r="S13" s="331">
        <f t="shared" si="5"/>
        <v>2.2075313317886938</v>
      </c>
      <c r="T13" s="331">
        <f t="shared" si="6"/>
        <v>1.4291083366119961</v>
      </c>
      <c r="U13" s="331">
        <f t="shared" si="7"/>
        <v>1.3252727581755961</v>
      </c>
      <c r="V13" s="331">
        <f t="shared" si="8"/>
        <v>1.2248572118327066</v>
      </c>
      <c r="W13" s="331">
        <f t="shared" si="9"/>
        <v>1.2031577957078528</v>
      </c>
      <c r="X13" s="331">
        <f t="shared" si="10"/>
        <v>1.1819237395017534</v>
      </c>
      <c r="Y13" s="331">
        <f t="shared" si="11"/>
        <v>1.1658435590218994</v>
      </c>
      <c r="Z13" s="331">
        <f t="shared" si="12"/>
        <v>1.1499619433842472</v>
      </c>
      <c r="AA13" s="423"/>
      <c r="AB13" s="460" t="s">
        <v>838</v>
      </c>
      <c r="AC13" s="440">
        <v>1.108618622175594</v>
      </c>
      <c r="AD13" s="440">
        <v>0.97907828585860557</v>
      </c>
      <c r="AE13" s="440">
        <v>0.89250158441628213</v>
      </c>
      <c r="AF13" s="440">
        <v>0.84434006239661141</v>
      </c>
      <c r="AG13" s="440">
        <v>0.79982197855278259</v>
      </c>
      <c r="AI13" s="323">
        <v>1</v>
      </c>
      <c r="AJ13" s="323">
        <v>1</v>
      </c>
      <c r="AK13" s="323">
        <v>1</v>
      </c>
      <c r="AL13" s="323">
        <v>1</v>
      </c>
      <c r="AM13" s="323">
        <v>1</v>
      </c>
      <c r="AO13" s="505">
        <f t="shared" si="13"/>
        <v>1.108618622175594</v>
      </c>
      <c r="AP13" s="505">
        <f t="shared" si="14"/>
        <v>0.97907828585860557</v>
      </c>
      <c r="AQ13" s="505">
        <f t="shared" si="15"/>
        <v>0.89250158441628213</v>
      </c>
      <c r="AR13" s="505">
        <f t="shared" si="16"/>
        <v>0.84434006239661141</v>
      </c>
      <c r="AS13" s="505">
        <f t="shared" si="17"/>
        <v>0.79982197855278259</v>
      </c>
    </row>
    <row r="14" spans="1:52" ht="15" x14ac:dyDescent="0.2">
      <c r="A14" s="323" t="str">
        <f t="shared" si="18"/>
        <v>Passenger Car</v>
      </c>
      <c r="B14" s="854" t="s">
        <v>692</v>
      </c>
      <c r="C14" s="443">
        <v>36238.596721333321</v>
      </c>
      <c r="D14" s="443">
        <v>24603.016767630226</v>
      </c>
      <c r="E14" s="333">
        <f t="shared" si="2"/>
        <v>22488.275595526189</v>
      </c>
      <c r="F14" s="443">
        <v>20373.534423422148</v>
      </c>
      <c r="G14" s="333">
        <f t="shared" si="3"/>
        <v>20510.719449844073</v>
      </c>
      <c r="H14" s="443">
        <v>20647.904476265994</v>
      </c>
      <c r="I14" s="333">
        <f t="shared" si="4"/>
        <v>20718.076570145662</v>
      </c>
      <c r="J14" s="855">
        <v>20788.248664025326</v>
      </c>
      <c r="K14" s="902">
        <f>VehicleCostData2023!AE11</f>
        <v>934806.19308225554</v>
      </c>
      <c r="L14" s="792">
        <f>VehicleCostData2023!AF11</f>
        <v>634656.26496922225</v>
      </c>
      <c r="M14" s="792">
        <f>VehicleCostData2023!AG11</f>
        <v>580104.67292909464</v>
      </c>
      <c r="N14" s="792">
        <f>VehicleCostData2023!AH11</f>
        <v>525553.08088896703</v>
      </c>
      <c r="O14" s="792">
        <f>VehicleCostData2023!AI11</f>
        <v>529091.88823527552</v>
      </c>
      <c r="P14" s="792">
        <f>VehicleCostData2023!AJ11</f>
        <v>532630.695581584</v>
      </c>
      <c r="Q14" s="792">
        <f>VehicleCostData2023!AK11</f>
        <v>534440.84591507213</v>
      </c>
      <c r="R14" s="903">
        <f>VehicleCostData2023!AL11</f>
        <v>536250.99624856014</v>
      </c>
      <c r="S14" s="331">
        <f t="shared" si="5"/>
        <v>2.5688434560120985</v>
      </c>
      <c r="T14" s="331">
        <f t="shared" si="6"/>
        <v>1.6105980604355346</v>
      </c>
      <c r="U14" s="331">
        <f t="shared" si="7"/>
        <v>1.4475096193238455</v>
      </c>
      <c r="V14" s="331">
        <f t="shared" si="8"/>
        <v>1.2897928216419099</v>
      </c>
      <c r="W14" s="331">
        <f t="shared" si="9"/>
        <v>1.2844033106091091</v>
      </c>
      <c r="X14" s="331">
        <f t="shared" si="10"/>
        <v>1.2791293815994336</v>
      </c>
      <c r="Y14" s="331">
        <f t="shared" si="11"/>
        <v>1.2755028290634409</v>
      </c>
      <c r="Z14" s="331">
        <f t="shared" si="12"/>
        <v>1.2719210587258161</v>
      </c>
      <c r="AA14" s="423"/>
      <c r="AB14" s="460" t="s">
        <v>692</v>
      </c>
      <c r="AC14" s="440">
        <v>0.693962607442839</v>
      </c>
      <c r="AD14" s="440">
        <v>0.62851040218398957</v>
      </c>
      <c r="AE14" s="440">
        <v>0.57642485729714654</v>
      </c>
      <c r="AF14" s="440">
        <v>0.54803234670758638</v>
      </c>
      <c r="AG14" s="440">
        <v>0.51817442685442938</v>
      </c>
      <c r="AI14" s="507">
        <v>0.85</v>
      </c>
      <c r="AJ14" s="507">
        <f>IF(AI14&lt;AI14,1.05*AI14, AI14)</f>
        <v>0.85</v>
      </c>
      <c r="AK14" s="507">
        <f>IF(AJ14&lt;AJ14,1.05*AJ14, AJ14)</f>
        <v>0.85</v>
      </c>
      <c r="AL14" s="507">
        <f>IF(AK14&lt;AK14,1.05*AK14, AK14)</f>
        <v>0.85</v>
      </c>
      <c r="AM14" s="507">
        <f>IF(AL14&lt;AL14,1.05*AL14, AL14)</f>
        <v>0.85</v>
      </c>
      <c r="AN14" s="507"/>
      <c r="AO14" s="505">
        <f t="shared" si="13"/>
        <v>0.81642659699157527</v>
      </c>
      <c r="AP14" s="505">
        <f t="shared" si="14"/>
        <v>0.73942400256939955</v>
      </c>
      <c r="AQ14" s="505">
        <f t="shared" si="15"/>
        <v>0.67814689093781944</v>
      </c>
      <c r="AR14" s="505">
        <f t="shared" si="16"/>
        <v>0.6447439373030428</v>
      </c>
      <c r="AS14" s="505">
        <f t="shared" si="17"/>
        <v>0.60961697276991689</v>
      </c>
      <c r="AZ14" s="323">
        <f>AT14/3.6</f>
        <v>0</v>
      </c>
    </row>
    <row r="15" spans="1:52" ht="15" x14ac:dyDescent="0.2">
      <c r="A15" s="323" t="str">
        <f t="shared" si="18"/>
        <v>Passenger Car</v>
      </c>
      <c r="B15" s="854" t="s">
        <v>699</v>
      </c>
      <c r="C15" s="443">
        <v>109423.28315660442</v>
      </c>
      <c r="D15" s="443">
        <v>43260.223985533885</v>
      </c>
      <c r="E15" s="333">
        <f t="shared" si="2"/>
        <v>33001.908734154415</v>
      </c>
      <c r="F15" s="443">
        <v>22743.593482774941</v>
      </c>
      <c r="G15" s="333">
        <f t="shared" si="3"/>
        <v>21527.047547408263</v>
      </c>
      <c r="H15" s="443">
        <v>20310.501612041586</v>
      </c>
      <c r="I15" s="333">
        <f t="shared" si="4"/>
        <v>20002.874670378667</v>
      </c>
      <c r="J15" s="855">
        <v>19695.247728715745</v>
      </c>
      <c r="K15" s="902">
        <f>VehicleCostData2023!AE12</f>
        <v>2407968.5375206149</v>
      </c>
      <c r="L15" s="792">
        <f>VehicleCostData2023!AF12</f>
        <v>951984.39745383337</v>
      </c>
      <c r="M15" s="792">
        <f>VehicleCostData2023!AG12</f>
        <v>726239.93374644255</v>
      </c>
      <c r="N15" s="792">
        <f>VehicleCostData2023!AH12</f>
        <v>500495.47003905155</v>
      </c>
      <c r="O15" s="792">
        <f>VehicleCostData2023!AI12</f>
        <v>473724.16276051704</v>
      </c>
      <c r="P15" s="792">
        <f>VehicleCostData2023!AJ12</f>
        <v>446952.85548198252</v>
      </c>
      <c r="Q15" s="792">
        <f>VehicleCostData2023!AK12</f>
        <v>440183.21765492298</v>
      </c>
      <c r="R15" s="903">
        <f>VehicleCostData2023!AL12</f>
        <v>433413.57982786337</v>
      </c>
      <c r="S15" s="331">
        <f t="shared" si="5"/>
        <v>7.7566823857372587</v>
      </c>
      <c r="T15" s="331">
        <f t="shared" si="6"/>
        <v>2.8319629866194975</v>
      </c>
      <c r="U15" s="331">
        <f t="shared" si="7"/>
        <v>2.1242438152189673</v>
      </c>
      <c r="V15" s="331">
        <f t="shared" si="8"/>
        <v>1.4398347877578286</v>
      </c>
      <c r="W15" s="331">
        <f t="shared" si="9"/>
        <v>1.3480468691087808</v>
      </c>
      <c r="X15" s="331">
        <f t="shared" si="10"/>
        <v>1.2582274098007296</v>
      </c>
      <c r="Y15" s="331">
        <f t="shared" si="11"/>
        <v>1.2314716158658376</v>
      </c>
      <c r="Z15" s="331">
        <f t="shared" si="12"/>
        <v>1.2050462137451001</v>
      </c>
      <c r="AA15" s="423"/>
      <c r="AB15" s="460" t="s">
        <v>699</v>
      </c>
      <c r="AC15" s="440">
        <v>1.0752270792303171</v>
      </c>
      <c r="AD15" s="440">
        <v>0.94154852321991489</v>
      </c>
      <c r="AE15" s="440">
        <v>0.83643614753341577</v>
      </c>
      <c r="AF15" s="440">
        <v>0.77157920697300109</v>
      </c>
      <c r="AG15" s="440">
        <v>0.70892116582680575</v>
      </c>
      <c r="AI15" s="323">
        <v>1</v>
      </c>
      <c r="AJ15" s="323">
        <v>1</v>
      </c>
      <c r="AK15" s="323">
        <v>1</v>
      </c>
      <c r="AL15" s="323">
        <v>1</v>
      </c>
      <c r="AM15" s="323">
        <v>1</v>
      </c>
      <c r="AO15" s="505">
        <f t="shared" si="13"/>
        <v>1.0752270792303171</v>
      </c>
      <c r="AP15" s="505">
        <f t="shared" si="14"/>
        <v>0.94154852321991489</v>
      </c>
      <c r="AQ15" s="505">
        <f t="shared" si="15"/>
        <v>0.83643614753341577</v>
      </c>
      <c r="AR15" s="505">
        <f t="shared" si="16"/>
        <v>0.77157920697300109</v>
      </c>
      <c r="AS15" s="505">
        <f t="shared" si="17"/>
        <v>0.70892116582680575</v>
      </c>
    </row>
    <row r="16" spans="1:52" ht="15" x14ac:dyDescent="0.2">
      <c r="A16" s="323" t="str">
        <f t="shared" si="18"/>
        <v>Passenger Car</v>
      </c>
      <c r="B16" s="854" t="s">
        <v>837</v>
      </c>
      <c r="C16" s="443">
        <v>115917.70270848065</v>
      </c>
      <c r="D16" s="443">
        <v>45841.573831101516</v>
      </c>
      <c r="E16" s="333">
        <f t="shared" si="2"/>
        <v>35130.349165506661</v>
      </c>
      <c r="F16" s="443">
        <v>24419.124499911803</v>
      </c>
      <c r="G16" s="333">
        <f t="shared" si="3"/>
        <v>23128.463470221446</v>
      </c>
      <c r="H16" s="443">
        <v>21837.802440531086</v>
      </c>
      <c r="I16" s="333">
        <f t="shared" si="4"/>
        <v>21462.302197246976</v>
      </c>
      <c r="J16" s="855">
        <v>21086.801953962866</v>
      </c>
      <c r="K16" s="902">
        <f>VehicleCostData2023!AE13</f>
        <v>2647968.179520187</v>
      </c>
      <c r="L16" s="792">
        <f>VehicleCostData2023!AF13</f>
        <v>1047182.8371992169</v>
      </c>
      <c r="M16" s="792">
        <f>VehicleCostData2023!AG13</f>
        <v>802500.77901940211</v>
      </c>
      <c r="N16" s="792">
        <f>VehicleCostData2023!AH13</f>
        <v>557818.72083958739</v>
      </c>
      <c r="O16" s="792">
        <f>VehicleCostData2023!AI13</f>
        <v>528335.48180610035</v>
      </c>
      <c r="P16" s="792">
        <f>VehicleCostData2023!AJ13</f>
        <v>498852.24277261319</v>
      </c>
      <c r="Q16" s="792">
        <f>VehicleCostData2023!AK13</f>
        <v>490274.49604035617</v>
      </c>
      <c r="R16" s="903">
        <f>VehicleCostData2023!AL13</f>
        <v>481696.74930809916</v>
      </c>
      <c r="S16" s="331">
        <f t="shared" si="5"/>
        <v>8.2170519550868644</v>
      </c>
      <c r="T16" s="331">
        <f t="shared" si="6"/>
        <v>3.0009470219450662</v>
      </c>
      <c r="U16" s="331">
        <f t="shared" si="7"/>
        <v>2.2612457825531411</v>
      </c>
      <c r="V16" s="331">
        <f t="shared" si="8"/>
        <v>1.5459080803651746</v>
      </c>
      <c r="W16" s="331">
        <f t="shared" si="9"/>
        <v>1.4483292564698458</v>
      </c>
      <c r="X16" s="331">
        <f t="shared" si="10"/>
        <v>1.3528430821324031</v>
      </c>
      <c r="Y16" s="331">
        <f t="shared" si="11"/>
        <v>1.3213208802524739</v>
      </c>
      <c r="Z16" s="331">
        <f t="shared" si="12"/>
        <v>1.2901879277998125</v>
      </c>
      <c r="AA16" s="423"/>
      <c r="AB16" s="460" t="s">
        <v>837</v>
      </c>
      <c r="AC16" s="440">
        <v>0.95703509297619893</v>
      </c>
      <c r="AD16" s="440">
        <v>0.80694213117446689</v>
      </c>
      <c r="AE16" s="440">
        <v>0.72463129273182003</v>
      </c>
      <c r="AF16" s="440">
        <v>0.67545405705887274</v>
      </c>
      <c r="AG16" s="440">
        <v>0.62690006806868404</v>
      </c>
      <c r="AI16" s="323">
        <v>1</v>
      </c>
      <c r="AJ16" s="323">
        <v>1</v>
      </c>
      <c r="AK16" s="323">
        <v>1</v>
      </c>
      <c r="AL16" s="323">
        <v>1</v>
      </c>
      <c r="AM16" s="323">
        <v>1</v>
      </c>
      <c r="AO16" s="505">
        <f t="shared" si="13"/>
        <v>0.95703509297619893</v>
      </c>
      <c r="AP16" s="505">
        <f t="shared" si="14"/>
        <v>0.80694213117446689</v>
      </c>
      <c r="AQ16" s="505">
        <f t="shared" si="15"/>
        <v>0.72463129273182003</v>
      </c>
      <c r="AR16" s="505">
        <f t="shared" si="16"/>
        <v>0.67545405705887274</v>
      </c>
      <c r="AS16" s="505">
        <f t="shared" si="17"/>
        <v>0.62690006806868404</v>
      </c>
    </row>
    <row r="17" spans="1:45" ht="15" x14ac:dyDescent="0.2">
      <c r="A17" s="323" t="str">
        <f t="shared" si="18"/>
        <v>Passenger Car</v>
      </c>
      <c r="B17" s="854" t="s">
        <v>836</v>
      </c>
      <c r="C17" s="443">
        <v>79866.089220154739</v>
      </c>
      <c r="D17" s="443">
        <v>35149.373433179157</v>
      </c>
      <c r="E17" s="333">
        <f t="shared" si="2"/>
        <v>28598.582562298718</v>
      </c>
      <c r="F17" s="443">
        <v>22047.791691418275</v>
      </c>
      <c r="G17" s="333">
        <f t="shared" si="3"/>
        <v>21255.791938783463</v>
      </c>
      <c r="H17" s="443">
        <v>20463.792186148654</v>
      </c>
      <c r="I17" s="333">
        <f t="shared" si="4"/>
        <v>20144.012231840017</v>
      </c>
      <c r="J17" s="855">
        <v>19824.232277531381</v>
      </c>
      <c r="K17" s="902">
        <f>VehicleCostData2023!AE14</f>
        <v>1730472.2877699689</v>
      </c>
      <c r="L17" s="792">
        <f>VehicleCostData2023!AF14</f>
        <v>761587.51796306681</v>
      </c>
      <c r="M17" s="792">
        <f>VehicleCostData2023!AG14</f>
        <v>619650.40578286513</v>
      </c>
      <c r="N17" s="792">
        <f>VehicleCostData2023!AH14</f>
        <v>477713.29360266338</v>
      </c>
      <c r="O17" s="792">
        <f>VehicleCostData2023!AI14</f>
        <v>460552.89878131094</v>
      </c>
      <c r="P17" s="792">
        <f>VehicleCostData2023!AJ14</f>
        <v>443392.50395995867</v>
      </c>
      <c r="Q17" s="792">
        <f>VehicleCostData2023!AK14</f>
        <v>436463.77670514025</v>
      </c>
      <c r="R17" s="903">
        <f>VehicleCostData2023!AL14</f>
        <v>429535.04945032188</v>
      </c>
      <c r="S17" s="331">
        <f t="shared" si="5"/>
        <v>5.6614631694525608</v>
      </c>
      <c r="T17" s="331">
        <f t="shared" si="6"/>
        <v>2.3009988251312934</v>
      </c>
      <c r="U17" s="331">
        <f t="shared" si="7"/>
        <v>1.8408135911581427</v>
      </c>
      <c r="V17" s="331">
        <f t="shared" si="8"/>
        <v>1.3957854766699263</v>
      </c>
      <c r="W17" s="331">
        <f t="shared" si="9"/>
        <v>1.3310605511694735</v>
      </c>
      <c r="X17" s="331">
        <f t="shared" si="10"/>
        <v>1.2677236992420131</v>
      </c>
      <c r="Y17" s="331">
        <f t="shared" si="11"/>
        <v>1.2401607119950833</v>
      </c>
      <c r="Z17" s="331">
        <f t="shared" si="12"/>
        <v>1.2129380841253483</v>
      </c>
      <c r="AA17" s="423"/>
      <c r="AB17" s="460" t="s">
        <v>836</v>
      </c>
      <c r="AC17" s="440">
        <v>0.83884310672208084</v>
      </c>
      <c r="AD17" s="440">
        <v>0.74746488817764112</v>
      </c>
      <c r="AE17" s="440">
        <v>0.67522914758692887</v>
      </c>
      <c r="AF17" s="440">
        <v>0.63298015360844395</v>
      </c>
      <c r="AG17" s="440">
        <v>0.59065818766393241</v>
      </c>
      <c r="AI17" s="323">
        <v>1</v>
      </c>
      <c r="AJ17" s="323">
        <v>1</v>
      </c>
      <c r="AK17" s="323">
        <v>1</v>
      </c>
      <c r="AL17" s="323">
        <v>1</v>
      </c>
      <c r="AM17" s="323">
        <v>1</v>
      </c>
      <c r="AO17" s="505">
        <f t="shared" si="13"/>
        <v>0.83884310672208084</v>
      </c>
      <c r="AP17" s="505">
        <f t="shared" si="14"/>
        <v>0.74746488817764112</v>
      </c>
      <c r="AQ17" s="505">
        <f t="shared" si="15"/>
        <v>0.67522914758692887</v>
      </c>
      <c r="AR17" s="505">
        <f t="shared" si="16"/>
        <v>0.63298015360844395</v>
      </c>
      <c r="AS17" s="505">
        <f t="shared" si="17"/>
        <v>0.59065818766393241</v>
      </c>
    </row>
    <row r="18" spans="1:45" ht="15" x14ac:dyDescent="0.2">
      <c r="A18" s="323" t="str">
        <f t="shared" si="18"/>
        <v>Passenger Car</v>
      </c>
      <c r="B18" s="854" t="s">
        <v>700</v>
      </c>
      <c r="C18" s="469">
        <v>15291.114643469842</v>
      </c>
      <c r="D18" s="469">
        <v>16099.748888614555</v>
      </c>
      <c r="E18" s="333">
        <f t="shared" si="2"/>
        <v>16262.474589540056</v>
      </c>
      <c r="F18" s="469">
        <v>16425.200290465556</v>
      </c>
      <c r="G18" s="333">
        <f t="shared" si="3"/>
        <v>16550.498816352556</v>
      </c>
      <c r="H18" s="469">
        <v>16675.797342239555</v>
      </c>
      <c r="I18" s="333">
        <f t="shared" si="4"/>
        <v>16745.240046908224</v>
      </c>
      <c r="J18" s="856">
        <v>16814.682751576893</v>
      </c>
      <c r="K18" s="902">
        <f>VehicleCostData2023!AE15</f>
        <v>376679.62430658605</v>
      </c>
      <c r="L18" s="792">
        <f>VehicleCostData2023!AF15</f>
        <v>396599.43072780268</v>
      </c>
      <c r="M18" s="792">
        <f>VehicleCostData2023!AG15</f>
        <v>400607.99761902145</v>
      </c>
      <c r="N18" s="792">
        <f>VehicleCostData2023!AH15</f>
        <v>404616.56451024022</v>
      </c>
      <c r="O18" s="792">
        <f>VehicleCostData2023!AI15</f>
        <v>407703.15451742715</v>
      </c>
      <c r="P18" s="792">
        <f>VehicleCostData2023!AJ15</f>
        <v>410789.74452461401</v>
      </c>
      <c r="Q18" s="792">
        <f>VehicleCostData2023!AK15</f>
        <v>412500.38841914525</v>
      </c>
      <c r="R18" s="903">
        <f>VehicleCostData2023!AL15</f>
        <v>414211.03231367638</v>
      </c>
      <c r="S18" s="331">
        <f t="shared" si="5"/>
        <v>1.0839404210120596</v>
      </c>
      <c r="T18" s="331">
        <f t="shared" si="6"/>
        <v>1.0539449116507418</v>
      </c>
      <c r="U18" s="331">
        <f t="shared" si="7"/>
        <v>1.046771607826253</v>
      </c>
      <c r="V18" s="331">
        <f t="shared" si="8"/>
        <v>1.0398345710854142</v>
      </c>
      <c r="W18" s="331">
        <f t="shared" si="9"/>
        <v>1.0364100354420756</v>
      </c>
      <c r="X18" s="331">
        <f t="shared" si="10"/>
        <v>1.0330589414812039</v>
      </c>
      <c r="Y18" s="331">
        <f t="shared" si="11"/>
        <v>1.0309162137162475</v>
      </c>
      <c r="Z18" s="331">
        <f t="shared" si="12"/>
        <v>1.0287999452563381</v>
      </c>
      <c r="AA18" s="423"/>
      <c r="AB18" s="460" t="s">
        <v>700</v>
      </c>
      <c r="AC18" s="468">
        <v>2.7731584934931535</v>
      </c>
      <c r="AD18" s="468">
        <v>2.0718600724531742</v>
      </c>
      <c r="AE18" s="468">
        <v>1.6924435330873051</v>
      </c>
      <c r="AF18" s="468">
        <v>1.5062933039675674</v>
      </c>
      <c r="AG18" s="468">
        <v>1.3837225479656539</v>
      </c>
      <c r="AI18" s="323">
        <v>1</v>
      </c>
      <c r="AJ18" s="323">
        <v>1</v>
      </c>
      <c r="AK18" s="323">
        <v>1</v>
      </c>
      <c r="AL18" s="323">
        <v>1</v>
      </c>
      <c r="AM18" s="323">
        <v>1</v>
      </c>
      <c r="AO18" s="505">
        <f t="shared" si="13"/>
        <v>2.7731584934931535</v>
      </c>
      <c r="AP18" s="505">
        <f t="shared" si="14"/>
        <v>2.0718600724531742</v>
      </c>
      <c r="AQ18" s="505">
        <f t="shared" si="15"/>
        <v>1.6924435330873051</v>
      </c>
      <c r="AR18" s="505">
        <f t="shared" si="16"/>
        <v>1.5062933039675674</v>
      </c>
      <c r="AS18" s="505">
        <f t="shared" si="17"/>
        <v>1.3837225479656539</v>
      </c>
    </row>
    <row r="19" spans="1:45" ht="15" x14ac:dyDescent="0.2">
      <c r="A19" s="323" t="str">
        <f t="shared" si="18"/>
        <v>Passenger Car</v>
      </c>
      <c r="B19" s="857"/>
      <c r="C19" s="458"/>
      <c r="D19" s="458"/>
      <c r="E19" s="459"/>
      <c r="F19" s="458"/>
      <c r="G19" s="458"/>
      <c r="H19" s="458"/>
      <c r="I19" s="458"/>
      <c r="J19" s="858"/>
      <c r="K19" s="904">
        <f>VehicleCostData2023!AE16</f>
        <v>0</v>
      </c>
      <c r="L19" s="458">
        <f>VehicleCostData2023!AF16</f>
        <v>0</v>
      </c>
      <c r="M19" s="458">
        <f>VehicleCostData2023!AG16</f>
        <v>0</v>
      </c>
      <c r="N19" s="458">
        <f>VehicleCostData2023!AH16</f>
        <v>0</v>
      </c>
      <c r="O19" s="458">
        <f>VehicleCostData2023!AI16</f>
        <v>0</v>
      </c>
      <c r="P19" s="458">
        <f>VehicleCostData2023!AJ16</f>
        <v>0</v>
      </c>
      <c r="Q19" s="458">
        <f>VehicleCostData2023!AK16</f>
        <v>0</v>
      </c>
      <c r="R19" s="905">
        <f>VehicleCostData2023!AL16</f>
        <v>0</v>
      </c>
      <c r="S19" s="331"/>
      <c r="T19" s="331"/>
      <c r="U19" s="331"/>
      <c r="V19" s="331"/>
      <c r="W19" s="331"/>
      <c r="X19" s="331"/>
      <c r="Y19" s="331"/>
      <c r="Z19" s="331"/>
      <c r="AA19" s="423"/>
      <c r="AB19" s="465"/>
      <c r="AC19" s="464"/>
      <c r="AD19" s="464"/>
      <c r="AE19" s="464"/>
      <c r="AF19" s="464"/>
      <c r="AG19" s="464"/>
      <c r="AO19" s="505"/>
      <c r="AP19" s="505"/>
      <c r="AQ19" s="505"/>
      <c r="AR19" s="505"/>
      <c r="AS19" s="505"/>
    </row>
    <row r="20" spans="1:45" ht="15" x14ac:dyDescent="0.2">
      <c r="A20" s="323" t="str">
        <f t="shared" si="18"/>
        <v>Passenger Car</v>
      </c>
      <c r="B20" s="857"/>
      <c r="C20" s="458"/>
      <c r="D20" s="458"/>
      <c r="E20" s="459"/>
      <c r="F20" s="458"/>
      <c r="G20" s="458"/>
      <c r="H20" s="458"/>
      <c r="I20" s="458"/>
      <c r="J20" s="858"/>
      <c r="K20" s="904">
        <f>VehicleCostData2023!AE17</f>
        <v>0</v>
      </c>
      <c r="L20" s="458">
        <f>VehicleCostData2023!AF17</f>
        <v>0</v>
      </c>
      <c r="M20" s="458">
        <f>VehicleCostData2023!AG17</f>
        <v>0</v>
      </c>
      <c r="N20" s="458">
        <f>VehicleCostData2023!AH17</f>
        <v>0</v>
      </c>
      <c r="O20" s="458">
        <f>VehicleCostData2023!AI17</f>
        <v>0</v>
      </c>
      <c r="P20" s="458">
        <f>VehicleCostData2023!AJ17</f>
        <v>0</v>
      </c>
      <c r="Q20" s="458">
        <f>VehicleCostData2023!AK17</f>
        <v>0</v>
      </c>
      <c r="R20" s="905">
        <f>VehicleCostData2023!AL17</f>
        <v>0</v>
      </c>
      <c r="S20" s="331"/>
      <c r="T20" s="331"/>
      <c r="U20" s="331"/>
      <c r="V20" s="331"/>
      <c r="W20" s="331"/>
      <c r="X20" s="331"/>
      <c r="Y20" s="331"/>
      <c r="Z20" s="331"/>
      <c r="AA20" s="423"/>
      <c r="AB20" s="506" t="s">
        <v>816</v>
      </c>
      <c r="AE20" s="464"/>
      <c r="AF20" s="464"/>
      <c r="AG20" s="464"/>
      <c r="AO20" s="505"/>
      <c r="AP20" s="505"/>
      <c r="AQ20" s="505"/>
      <c r="AR20" s="505"/>
      <c r="AS20" s="505"/>
    </row>
    <row r="21" spans="1:45" ht="15" x14ac:dyDescent="0.25">
      <c r="A21" s="323" t="str">
        <f>B21</f>
        <v>Motorcycle or Moped</v>
      </c>
      <c r="B21" s="859" t="s">
        <v>715</v>
      </c>
      <c r="C21" s="352">
        <v>2010</v>
      </c>
      <c r="D21" s="352">
        <v>2020</v>
      </c>
      <c r="E21" s="355"/>
      <c r="F21" s="352">
        <v>2030</v>
      </c>
      <c r="G21" s="352"/>
      <c r="H21" s="352">
        <v>2040</v>
      </c>
      <c r="I21" s="352"/>
      <c r="J21" s="851">
        <v>2050</v>
      </c>
      <c r="K21" s="898">
        <f>VehicleCostData2023!AE18</f>
        <v>2010</v>
      </c>
      <c r="L21" s="354">
        <f>VehicleCostData2023!AF18</f>
        <v>2020</v>
      </c>
      <c r="M21" s="354">
        <f>VehicleCostData2023!AG18</f>
        <v>0</v>
      </c>
      <c r="N21" s="354">
        <f>VehicleCostData2023!AH18</f>
        <v>2030</v>
      </c>
      <c r="O21" s="354">
        <f>VehicleCostData2023!AI18</f>
        <v>0</v>
      </c>
      <c r="P21" s="354">
        <f>VehicleCostData2023!AJ18</f>
        <v>2040</v>
      </c>
      <c r="Q21" s="354">
        <f>VehicleCostData2023!AK18</f>
        <v>0</v>
      </c>
      <c r="R21" s="899">
        <f>VehicleCostData2023!AL18</f>
        <v>2050</v>
      </c>
      <c r="S21" s="331"/>
      <c r="AA21"/>
      <c r="AB21" s="503" t="s">
        <v>840</v>
      </c>
      <c r="AC21" s="502" t="s">
        <v>141</v>
      </c>
      <c r="AD21" s="501" t="s">
        <v>141</v>
      </c>
      <c r="AE21" s="500" t="s">
        <v>141</v>
      </c>
      <c r="AF21" s="499" t="s">
        <v>141</v>
      </c>
      <c r="AG21" s="498" t="s">
        <v>141</v>
      </c>
      <c r="AH21"/>
      <c r="AI21"/>
      <c r="AJ21"/>
    </row>
    <row r="22" spans="1:45" ht="15" x14ac:dyDescent="0.25">
      <c r="A22" s="323" t="str">
        <f t="shared" ref="A22:A28" si="19">A21</f>
        <v>Motorcycle or Moped</v>
      </c>
      <c r="B22" s="860" t="s">
        <v>791</v>
      </c>
      <c r="C22" s="496" t="s">
        <v>193</v>
      </c>
      <c r="D22" s="495" t="s">
        <v>193</v>
      </c>
      <c r="E22" s="494"/>
      <c r="F22" s="493" t="s">
        <v>193</v>
      </c>
      <c r="G22" s="493"/>
      <c r="H22" s="492" t="s">
        <v>193</v>
      </c>
      <c r="I22" s="492"/>
      <c r="J22" s="861" t="s">
        <v>193</v>
      </c>
      <c r="K22" s="864" t="s">
        <v>1356</v>
      </c>
      <c r="L22" s="323" t="s">
        <v>1356</v>
      </c>
      <c r="M22" s="323" t="s">
        <v>1356</v>
      </c>
      <c r="N22" s="323" t="s">
        <v>1356</v>
      </c>
      <c r="O22" s="323" t="s">
        <v>1356</v>
      </c>
      <c r="P22" s="323" t="s">
        <v>1356</v>
      </c>
      <c r="Q22" s="323" t="s">
        <v>1356</v>
      </c>
      <c r="R22" s="894" t="s">
        <v>1356</v>
      </c>
      <c r="S22" s="331"/>
      <c r="AA22"/>
      <c r="AB22" s="490" t="s">
        <v>659</v>
      </c>
      <c r="AC22" s="489" t="s">
        <v>193</v>
      </c>
      <c r="AD22" s="488" t="s">
        <v>193</v>
      </c>
      <c r="AE22" s="487" t="s">
        <v>193</v>
      </c>
      <c r="AF22" s="486" t="s">
        <v>193</v>
      </c>
      <c r="AG22" s="485" t="s">
        <v>193</v>
      </c>
      <c r="AH22"/>
      <c r="AI22"/>
      <c r="AJ22"/>
    </row>
    <row r="23" spans="1:45" ht="15" x14ac:dyDescent="0.25">
      <c r="A23" s="323" t="str">
        <f t="shared" si="19"/>
        <v>Motorcycle or Moped</v>
      </c>
      <c r="B23" s="862" t="s">
        <v>680</v>
      </c>
      <c r="C23" s="483">
        <v>6210.6181147681391</v>
      </c>
      <c r="D23" s="482">
        <v>6499.3597960454181</v>
      </c>
      <c r="E23" s="333">
        <f>AVERAGE(D23,F23)</f>
        <v>6590.1525928461842</v>
      </c>
      <c r="F23" s="481">
        <v>6680.9453896469504</v>
      </c>
      <c r="G23" s="333">
        <f>AVERAGE(F23,H23)</f>
        <v>6784.2174941323801</v>
      </c>
      <c r="H23" s="480">
        <v>6887.4895986178099</v>
      </c>
      <c r="I23" s="333">
        <f>AVERAGE(H23,J23)</f>
        <v>6935.2291248680322</v>
      </c>
      <c r="J23" s="863">
        <v>6982.9686511182554</v>
      </c>
      <c r="K23" s="902">
        <f>VehicleCostData2023!AE20</f>
        <v>96467.645499958366</v>
      </c>
      <c r="L23" s="792">
        <f>VehicleCostData2023!AF20</f>
        <v>100952.58236707702</v>
      </c>
      <c r="M23" s="792">
        <f>VehicleCostData2023!AG20</f>
        <v>102362.83931314477</v>
      </c>
      <c r="N23" s="792">
        <f>VehicleCostData2023!AH20</f>
        <v>103773.09625921253</v>
      </c>
      <c r="O23" s="792">
        <f>VehicleCostData2023!AI20</f>
        <v>105377.19050256097</v>
      </c>
      <c r="P23" s="792">
        <f>VehicleCostData2023!AJ20</f>
        <v>106981.2847459094</v>
      </c>
      <c r="Q23" s="792">
        <f>VehicleCostData2023!AK20</f>
        <v>107722.80831241101</v>
      </c>
      <c r="R23" s="903">
        <f>VehicleCostData2023!AL20</f>
        <v>108464.33187891265</v>
      </c>
      <c r="S23" s="331">
        <f t="shared" ref="S23:Z26" si="20">C23/C$23</f>
        <v>1</v>
      </c>
      <c r="T23" s="331">
        <f t="shared" si="20"/>
        <v>1</v>
      </c>
      <c r="U23" s="331">
        <f t="shared" si="20"/>
        <v>1</v>
      </c>
      <c r="V23" s="331">
        <f t="shared" si="20"/>
        <v>1</v>
      </c>
      <c r="W23" s="331">
        <f t="shared" si="20"/>
        <v>1</v>
      </c>
      <c r="X23" s="331">
        <f t="shared" si="20"/>
        <v>1</v>
      </c>
      <c r="Y23" s="331">
        <f t="shared" si="20"/>
        <v>1</v>
      </c>
      <c r="Z23" s="331">
        <f t="shared" si="20"/>
        <v>1</v>
      </c>
      <c r="AA23"/>
      <c r="AB23" s="478" t="s">
        <v>680</v>
      </c>
      <c r="AC23" s="477">
        <v>1.6564224548036226</v>
      </c>
      <c r="AD23" s="476">
        <v>1.664528651009056</v>
      </c>
      <c r="AE23" s="475">
        <v>1.6815321585198599</v>
      </c>
      <c r="AF23" s="474">
        <v>1.7042123951240136</v>
      </c>
      <c r="AG23" s="473">
        <v>1.7296445754411365</v>
      </c>
      <c r="AH23"/>
      <c r="AI23" s="331"/>
      <c r="AJ23"/>
    </row>
    <row r="24" spans="1:45" ht="15" x14ac:dyDescent="0.25">
      <c r="A24" s="323" t="str">
        <f t="shared" si="19"/>
        <v>Motorcycle or Moped</v>
      </c>
      <c r="B24" s="862" t="s">
        <v>688</v>
      </c>
      <c r="C24" s="483">
        <v>7682.4260976580299</v>
      </c>
      <c r="D24" s="482">
        <v>7020.375962884742</v>
      </c>
      <c r="E24" s="333">
        <f>AVERAGE(D24,F24)</f>
        <v>6907.2377523376317</v>
      </c>
      <c r="F24" s="481">
        <v>6794.0995417905215</v>
      </c>
      <c r="G24" s="333">
        <f>AVERAGE(F24,H24)</f>
        <v>6806.9008673355802</v>
      </c>
      <c r="H24" s="480">
        <v>6819.702192880638</v>
      </c>
      <c r="I24" s="333">
        <f>AVERAGE(H24,J24)</f>
        <v>6844.2846775430935</v>
      </c>
      <c r="J24" s="863">
        <v>6868.8671622055499</v>
      </c>
      <c r="K24" s="902">
        <f>VehicleCostData2023!AE21</f>
        <v>202427.5003038717</v>
      </c>
      <c r="L24" s="792">
        <f>VehicleCostData2023!AF21</f>
        <v>184982.86079099006</v>
      </c>
      <c r="M24" s="792">
        <f>VehicleCostData2023!AG21</f>
        <v>182001.73414443681</v>
      </c>
      <c r="N24" s="792">
        <f>VehicleCostData2023!AH21</f>
        <v>179020.60749788352</v>
      </c>
      <c r="O24" s="792">
        <f>VehicleCostData2023!AI21</f>
        <v>179357.91504861315</v>
      </c>
      <c r="P24" s="792">
        <f>VehicleCostData2023!AJ21</f>
        <v>179695.22259934273</v>
      </c>
      <c r="Q24" s="792">
        <f>VehicleCostData2023!AK21</f>
        <v>180342.9569033533</v>
      </c>
      <c r="R24" s="903">
        <f>VehicleCostData2023!AL21</f>
        <v>180990.69120736388</v>
      </c>
      <c r="S24" s="331">
        <f t="shared" si="20"/>
        <v>1.2369825282591598</v>
      </c>
      <c r="T24" s="331">
        <f t="shared" si="20"/>
        <v>1.0801642289685731</v>
      </c>
      <c r="U24" s="331">
        <f t="shared" si="20"/>
        <v>1.0481149950663742</v>
      </c>
      <c r="V24" s="331">
        <f t="shared" si="20"/>
        <v>1.0169368473388392</v>
      </c>
      <c r="W24" s="331">
        <f t="shared" si="20"/>
        <v>1.003343550412825</v>
      </c>
      <c r="X24" s="331">
        <f t="shared" si="20"/>
        <v>0.99015789355953798</v>
      </c>
      <c r="Y24" s="331">
        <f t="shared" si="20"/>
        <v>0.98688659802185419</v>
      </c>
      <c r="Z24" s="331">
        <f t="shared" si="20"/>
        <v>0.9836600313400472</v>
      </c>
      <c r="AA24"/>
      <c r="AB24" s="478" t="s">
        <v>688</v>
      </c>
      <c r="AC24" s="477">
        <v>1.242316841102717</v>
      </c>
      <c r="AD24" s="476">
        <v>1.2481394091943006</v>
      </c>
      <c r="AE24" s="475">
        <v>1.259430521630982</v>
      </c>
      <c r="AF24" s="474">
        <v>1.2740206486619889</v>
      </c>
      <c r="AG24" s="473">
        <v>1.2925924125810369</v>
      </c>
      <c r="AH24"/>
      <c r="AI24"/>
      <c r="AJ24"/>
    </row>
    <row r="25" spans="1:45" ht="15" x14ac:dyDescent="0.25">
      <c r="A25" s="323" t="str">
        <f t="shared" si="19"/>
        <v>Motorcycle or Moped</v>
      </c>
      <c r="B25" s="862" t="s">
        <v>692</v>
      </c>
      <c r="C25" s="483">
        <v>10011.969488956187</v>
      </c>
      <c r="D25" s="482">
        <v>7991.4603169458269</v>
      </c>
      <c r="E25" s="333">
        <f>AVERAGE(D25,F25)</f>
        <v>7550.1545424239548</v>
      </c>
      <c r="F25" s="481">
        <v>7108.8487679020827</v>
      </c>
      <c r="G25" s="333">
        <f>AVERAGE(F25,H25)</f>
        <v>7217.5197709228114</v>
      </c>
      <c r="H25" s="480">
        <v>7326.1907739435401</v>
      </c>
      <c r="I25" s="333">
        <f>AVERAGE(H25,J25)</f>
        <v>7433.5758269488142</v>
      </c>
      <c r="J25" s="863">
        <v>7540.9608799540883</v>
      </c>
      <c r="K25" s="902">
        <f>VehicleCostData2023!AE22</f>
        <v>333949.83416192123</v>
      </c>
      <c r="L25" s="792">
        <f>VehicleCostData2023!AF22</f>
        <v>266555.63128707331</v>
      </c>
      <c r="M25" s="792">
        <f>VehicleCostData2023!AG22</f>
        <v>251835.85109009614</v>
      </c>
      <c r="N25" s="792">
        <f>VehicleCostData2023!AH22</f>
        <v>237116.07089311889</v>
      </c>
      <c r="O25" s="792">
        <f>VehicleCostData2023!AI22</f>
        <v>240740.79862296392</v>
      </c>
      <c r="P25" s="792">
        <f>VehicleCostData2023!AJ22</f>
        <v>244365.52635280899</v>
      </c>
      <c r="Q25" s="792">
        <f>VehicleCostData2023!AK22</f>
        <v>247947.36114386955</v>
      </c>
      <c r="R25" s="903">
        <f>VehicleCostData2023!AL22</f>
        <v>251529.19593493018</v>
      </c>
      <c r="S25" s="331">
        <f t="shared" si="20"/>
        <v>1.6120729537610547</v>
      </c>
      <c r="T25" s="331">
        <f t="shared" si="20"/>
        <v>1.2295765379550596</v>
      </c>
      <c r="U25" s="331">
        <f t="shared" si="20"/>
        <v>1.1456721883222982</v>
      </c>
      <c r="V25" s="331">
        <f t="shared" si="20"/>
        <v>1.0640483274894341</v>
      </c>
      <c r="W25" s="331">
        <f t="shared" si="20"/>
        <v>1.063869160616562</v>
      </c>
      <c r="X25" s="331">
        <f t="shared" si="20"/>
        <v>1.063695366656346</v>
      </c>
      <c r="Y25" s="331">
        <f t="shared" si="20"/>
        <v>1.0718572801428914</v>
      </c>
      <c r="Z25" s="331">
        <f t="shared" si="20"/>
        <v>1.0799075947085164</v>
      </c>
      <c r="AA25"/>
      <c r="AB25" s="478" t="s">
        <v>692</v>
      </c>
      <c r="AC25" s="477">
        <v>0.33397671303006748</v>
      </c>
      <c r="AD25" s="476">
        <v>0.33402150661228786</v>
      </c>
      <c r="AE25" s="475">
        <v>0.33434041933986308</v>
      </c>
      <c r="AF25" s="474">
        <v>0.33473169077151199</v>
      </c>
      <c r="AG25" s="473">
        <v>0.33522495556776438</v>
      </c>
      <c r="AH25"/>
      <c r="AI25"/>
      <c r="AJ25"/>
    </row>
    <row r="26" spans="1:45" ht="15" x14ac:dyDescent="0.25">
      <c r="A26" s="323" t="str">
        <f t="shared" si="19"/>
        <v>Motorcycle or Moped</v>
      </c>
      <c r="B26" s="862" t="s">
        <v>699</v>
      </c>
      <c r="C26" s="483">
        <v>63976.881300265428</v>
      </c>
      <c r="D26" s="482">
        <v>23695.777617700565</v>
      </c>
      <c r="E26" s="333">
        <f>AVERAGE(D26,F26)</f>
        <v>17381.576449172615</v>
      </c>
      <c r="F26" s="481">
        <v>11067.375280644666</v>
      </c>
      <c r="G26" s="333">
        <f>AVERAGE(F26,H26)</f>
        <v>10326.744865698125</v>
      </c>
      <c r="H26" s="480">
        <v>9586.1144507515837</v>
      </c>
      <c r="I26" s="333">
        <f>AVERAGE(H26,J26)</f>
        <v>9436.8654111869891</v>
      </c>
      <c r="J26" s="863">
        <v>9287.6163716223946</v>
      </c>
      <c r="K26" s="902">
        <f>VehicleCostData2023!AE23</f>
        <v>1079521.3133266186</v>
      </c>
      <c r="L26" s="792">
        <f>VehicleCostData2023!AF23</f>
        <v>399833.44693060999</v>
      </c>
      <c r="M26" s="792">
        <f>VehicleCostData2023!AG23</f>
        <v>379841.77458407945</v>
      </c>
      <c r="N26" s="792">
        <f>VehicleCostData2023!AH23</f>
        <v>360849.68585487548</v>
      </c>
      <c r="O26" s="792">
        <f>VehicleCostData2023!AI23</f>
        <v>342807.20156213164</v>
      </c>
      <c r="P26" s="792">
        <f>VehicleCostData2023!AJ23</f>
        <v>325666.84148402506</v>
      </c>
      <c r="Q26" s="792">
        <f>VehicleCostData2023!AK23</f>
        <v>309383.49940982379</v>
      </c>
      <c r="R26" s="903">
        <f>VehicleCostData2023!AL23</f>
        <v>293914.32443933259</v>
      </c>
      <c r="S26" s="331">
        <f t="shared" si="20"/>
        <v>10.3012099791059</v>
      </c>
      <c r="T26" s="331">
        <f t="shared" si="20"/>
        <v>3.6458633405890888</v>
      </c>
      <c r="U26" s="331">
        <f t="shared" si="20"/>
        <v>2.6375074331421184</v>
      </c>
      <c r="V26" s="331">
        <f t="shared" si="20"/>
        <v>1.6565582616189463</v>
      </c>
      <c r="W26" s="331">
        <f t="shared" si="20"/>
        <v>1.5221718458509992</v>
      </c>
      <c r="X26" s="331">
        <f t="shared" si="20"/>
        <v>1.3918154522767392</v>
      </c>
      <c r="Y26" s="331">
        <f t="shared" si="20"/>
        <v>1.3607142952708948</v>
      </c>
      <c r="Z26" s="331">
        <f t="shared" si="20"/>
        <v>1.3300383884918447</v>
      </c>
      <c r="AA26"/>
      <c r="AB26" s="478" t="s">
        <v>699</v>
      </c>
      <c r="AC26" s="477">
        <v>0.73404373741708251</v>
      </c>
      <c r="AD26" s="476">
        <v>0.73414218873785586</v>
      </c>
      <c r="AE26" s="475">
        <v>0.73484312350763448</v>
      </c>
      <c r="AF26" s="474">
        <v>0.73570309467576289</v>
      </c>
      <c r="AG26" s="473">
        <v>0.7367872359360691</v>
      </c>
      <c r="AH26"/>
      <c r="AI26"/>
      <c r="AJ26"/>
    </row>
    <row r="27" spans="1:45" x14ac:dyDescent="0.25">
      <c r="A27" s="323" t="str">
        <f t="shared" si="19"/>
        <v>Motorcycle or Moped</v>
      </c>
      <c r="B27" s="864"/>
      <c r="J27" s="847"/>
      <c r="K27" s="864">
        <f>VehicleCostData2023!AE24</f>
        <v>0</v>
      </c>
      <c r="L27" s="323">
        <f>VehicleCostData2023!AF24</f>
        <v>0</v>
      </c>
      <c r="M27" s="323">
        <f>VehicleCostData2023!AG24</f>
        <v>0</v>
      </c>
      <c r="N27" s="323">
        <f>VehicleCostData2023!AH24</f>
        <v>0</v>
      </c>
      <c r="O27" s="323">
        <f>VehicleCostData2023!AI24</f>
        <v>0</v>
      </c>
      <c r="P27" s="323">
        <f>VehicleCostData2023!AJ24</f>
        <v>0</v>
      </c>
      <c r="Q27" s="323">
        <f>VehicleCostData2023!AK24</f>
        <v>0</v>
      </c>
      <c r="R27" s="894">
        <f>VehicleCostData2023!AL24</f>
        <v>0</v>
      </c>
    </row>
    <row r="28" spans="1:45" x14ac:dyDescent="0.2">
      <c r="A28" s="323" t="str">
        <f t="shared" si="19"/>
        <v>Motorcycle or Moped</v>
      </c>
      <c r="B28" s="848" t="s">
        <v>832</v>
      </c>
      <c r="C28" s="457" t="s">
        <v>831</v>
      </c>
      <c r="D28" s="456">
        <v>0.08</v>
      </c>
      <c r="E28" s="455"/>
      <c r="J28" s="847"/>
      <c r="K28" s="864">
        <f>VehicleCostData2023!AE25</f>
        <v>0</v>
      </c>
      <c r="L28" s="323">
        <f>VehicleCostData2023!AF25</f>
        <v>0</v>
      </c>
      <c r="M28" s="323">
        <f>VehicleCostData2023!AG25</f>
        <v>0</v>
      </c>
      <c r="N28" s="323">
        <f>VehicleCostData2023!AH25</f>
        <v>0</v>
      </c>
      <c r="O28" s="323">
        <f>VehicleCostData2023!AI25</f>
        <v>0</v>
      </c>
      <c r="P28" s="323">
        <f>VehicleCostData2023!AJ25</f>
        <v>0</v>
      </c>
      <c r="Q28" s="323">
        <f>VehicleCostData2023!AK25</f>
        <v>0</v>
      </c>
      <c r="R28" s="894">
        <f>VehicleCostData2023!AL25</f>
        <v>0</v>
      </c>
      <c r="AB28" s="453" t="s">
        <v>816</v>
      </c>
      <c r="AC28" s="323" t="s">
        <v>834</v>
      </c>
    </row>
    <row r="29" spans="1:45" x14ac:dyDescent="0.2">
      <c r="A29" s="323" t="str">
        <f>B29</f>
        <v xml:space="preserve">Van / LCV </v>
      </c>
      <c r="B29" s="850" t="s">
        <v>701</v>
      </c>
      <c r="C29" s="352">
        <v>2010</v>
      </c>
      <c r="D29" s="352">
        <v>2020</v>
      </c>
      <c r="E29" s="355"/>
      <c r="F29" s="352">
        <v>2030</v>
      </c>
      <c r="G29" s="352"/>
      <c r="H29" s="352">
        <v>2040</v>
      </c>
      <c r="I29" s="352"/>
      <c r="J29" s="851">
        <v>2050</v>
      </c>
      <c r="K29" s="898">
        <f>VehicleCostData2023!AE26</f>
        <v>2010</v>
      </c>
      <c r="L29" s="354">
        <f>VehicleCostData2023!AF26</f>
        <v>2020</v>
      </c>
      <c r="M29" s="354">
        <f>VehicleCostData2023!AG26</f>
        <v>0</v>
      </c>
      <c r="N29" s="354">
        <f>VehicleCostData2023!AH26</f>
        <v>2030</v>
      </c>
      <c r="O29" s="354">
        <f>VehicleCostData2023!AI26</f>
        <v>0</v>
      </c>
      <c r="P29" s="354">
        <f>VehicleCostData2023!AJ26</f>
        <v>2040</v>
      </c>
      <c r="Q29" s="354">
        <f>VehicleCostData2023!AK26</f>
        <v>0</v>
      </c>
      <c r="R29" s="899">
        <f>VehicleCostData2023!AL26</f>
        <v>2050</v>
      </c>
      <c r="S29" s="323">
        <f>C29</f>
        <v>2010</v>
      </c>
      <c r="T29" s="323">
        <f>D29</f>
        <v>2020</v>
      </c>
      <c r="V29" s="323">
        <f>F29</f>
        <v>2030</v>
      </c>
      <c r="X29" s="323">
        <f>H29</f>
        <v>2040</v>
      </c>
      <c r="Z29" s="323">
        <f>J29</f>
        <v>2050</v>
      </c>
      <c r="AB29" s="352" t="s">
        <v>701</v>
      </c>
      <c r="AC29" s="352">
        <v>2010</v>
      </c>
      <c r="AD29" s="352">
        <v>2020</v>
      </c>
      <c r="AE29" s="352">
        <v>2030</v>
      </c>
      <c r="AF29" s="352">
        <v>2040</v>
      </c>
      <c r="AG29" s="352">
        <v>2050</v>
      </c>
    </row>
    <row r="30" spans="1:45" x14ac:dyDescent="0.2">
      <c r="A30" s="323" t="str">
        <f t="shared" ref="A30:A45" si="21">A29</f>
        <v xml:space="preserve">Van / LCV </v>
      </c>
      <c r="B30" s="852" t="s">
        <v>791</v>
      </c>
      <c r="C30" s="443"/>
      <c r="D30" s="449" t="s">
        <v>193</v>
      </c>
      <c r="E30" s="463"/>
      <c r="F30" s="449" t="s">
        <v>193</v>
      </c>
      <c r="G30" s="449"/>
      <c r="H30" s="449" t="s">
        <v>193</v>
      </c>
      <c r="I30" s="449"/>
      <c r="J30" s="853" t="s">
        <v>193</v>
      </c>
      <c r="K30" s="864" t="s">
        <v>1356</v>
      </c>
      <c r="L30" s="323" t="s">
        <v>1356</v>
      </c>
      <c r="M30" s="323" t="s">
        <v>1356</v>
      </c>
      <c r="N30" s="323" t="s">
        <v>1356</v>
      </c>
      <c r="O30" s="323" t="s">
        <v>1356</v>
      </c>
      <c r="P30" s="323" t="s">
        <v>1356</v>
      </c>
      <c r="Q30" s="323" t="s">
        <v>1356</v>
      </c>
      <c r="R30" s="894" t="s">
        <v>1356</v>
      </c>
      <c r="AB30" s="448" t="s">
        <v>659</v>
      </c>
      <c r="AC30" s="447" t="s">
        <v>663</v>
      </c>
      <c r="AD30" s="447" t="s">
        <v>663</v>
      </c>
      <c r="AE30" s="447" t="s">
        <v>663</v>
      </c>
      <c r="AF30" s="447" t="s">
        <v>663</v>
      </c>
      <c r="AG30" s="447" t="s">
        <v>663</v>
      </c>
    </row>
    <row r="31" spans="1:45" ht="15" x14ac:dyDescent="0.2">
      <c r="A31" s="323" t="str">
        <f t="shared" si="21"/>
        <v xml:space="preserve">Van / LCV </v>
      </c>
      <c r="B31" s="854" t="s">
        <v>680</v>
      </c>
      <c r="C31" s="443">
        <v>11305.478439259858</v>
      </c>
      <c r="D31" s="443">
        <v>12289.794448140692</v>
      </c>
      <c r="E31" s="333">
        <f t="shared" ref="E31:E43" si="22">AVERAGE(D31,F31)</f>
        <v>12516.277438952329</v>
      </c>
      <c r="F31" s="443">
        <v>12742.760429763966</v>
      </c>
      <c r="G31" s="333">
        <f t="shared" ref="G31:G43" si="23">AVERAGE(F31,H31)</f>
        <v>13021.038161305632</v>
      </c>
      <c r="H31" s="443">
        <v>13299.315892847299</v>
      </c>
      <c r="I31" s="333">
        <f t="shared" ref="I31:I43" si="24">AVERAGE(H31,J31)</f>
        <v>13438.741884494142</v>
      </c>
      <c r="J31" s="855">
        <v>13578.167876140986</v>
      </c>
      <c r="K31" s="902">
        <f>VehicleCostData2023!AE28</f>
        <v>322554.53757929691</v>
      </c>
      <c r="L31" s="792">
        <f>VehicleCostData2023!AF28</f>
        <v>350637.87759734597</v>
      </c>
      <c r="M31" s="792">
        <f>VehicleCostData2023!AG28</f>
        <v>357099.62238446943</v>
      </c>
      <c r="N31" s="792">
        <f>VehicleCostData2023!AH28</f>
        <v>363561.36717159278</v>
      </c>
      <c r="O31" s="792">
        <f>VehicleCostData2023!AI28</f>
        <v>371500.85823323019</v>
      </c>
      <c r="P31" s="792">
        <f>VehicleCostData2023!AJ28</f>
        <v>379440.3492948676</v>
      </c>
      <c r="Q31" s="792">
        <f>VehicleCostData2023!AK28</f>
        <v>383418.28676153941</v>
      </c>
      <c r="R31" s="903">
        <f>VehicleCostData2023!AL28</f>
        <v>387396.22422821133</v>
      </c>
      <c r="S31" s="331">
        <f t="shared" ref="S31:S43" si="25">C31/C$31</f>
        <v>1</v>
      </c>
      <c r="T31" s="331">
        <f t="shared" ref="T31:T43" si="26">D31/D$31</f>
        <v>1</v>
      </c>
      <c r="U31" s="331">
        <f t="shared" ref="U31:U43" si="27">E31/E$31</f>
        <v>1</v>
      </c>
      <c r="V31" s="331">
        <f t="shared" ref="V31:V43" si="28">F31/F$31</f>
        <v>1</v>
      </c>
      <c r="W31" s="331">
        <f t="shared" ref="W31:W43" si="29">G31/G$31</f>
        <v>1</v>
      </c>
      <c r="X31" s="331">
        <f t="shared" ref="X31:X43" si="30">H31/H$31</f>
        <v>1</v>
      </c>
      <c r="Y31" s="331">
        <f t="shared" ref="Y31:Y43" si="31">I31/I$31</f>
        <v>1</v>
      </c>
      <c r="Z31" s="331">
        <f t="shared" ref="Z31:Z43" si="32">J31/J$31</f>
        <v>1</v>
      </c>
      <c r="AB31" s="460" t="s">
        <v>680</v>
      </c>
      <c r="AC31" s="440">
        <v>2.8454207298952694</v>
      </c>
      <c r="AD31" s="440">
        <v>2.3296805874954902</v>
      </c>
      <c r="AE31" s="440">
        <v>2.0623539773065218</v>
      </c>
      <c r="AF31" s="440">
        <v>1.8329916444732148</v>
      </c>
      <c r="AG31" s="440">
        <v>1.6746537880884433</v>
      </c>
    </row>
    <row r="32" spans="1:45" ht="15" x14ac:dyDescent="0.2">
      <c r="A32" s="323" t="str">
        <f t="shared" si="21"/>
        <v xml:space="preserve">Van / LCV </v>
      </c>
      <c r="B32" s="854" t="s">
        <v>687</v>
      </c>
      <c r="C32" s="443">
        <v>12067.578439259856</v>
      </c>
      <c r="D32" s="443">
        <v>13322.531671240238</v>
      </c>
      <c r="E32" s="333">
        <f t="shared" si="22"/>
        <v>13559.916920694781</v>
      </c>
      <c r="F32" s="443">
        <v>13797.302170149324</v>
      </c>
      <c r="G32" s="333">
        <f t="shared" si="23"/>
        <v>14084.66938951456</v>
      </c>
      <c r="H32" s="443">
        <v>14372.036608879796</v>
      </c>
      <c r="I32" s="333">
        <f t="shared" si="24"/>
        <v>14513.120679970814</v>
      </c>
      <c r="J32" s="855">
        <v>14654.204751061832</v>
      </c>
      <c r="K32" s="902">
        <f>VehicleCostData2023!AE29</f>
        <v>449299.91329948109</v>
      </c>
      <c r="L32" s="792">
        <f>VehicleCostData2023!AF29</f>
        <v>496024.31464990409</v>
      </c>
      <c r="M32" s="792">
        <f>VehicleCostData2023!AG29</f>
        <v>504862.6389695133</v>
      </c>
      <c r="N32" s="792">
        <f>VehicleCostData2023!AH29</f>
        <v>513700.96328912245</v>
      </c>
      <c r="O32" s="792">
        <f>VehicleCostData2023!AI29</f>
        <v>524400.21562013379</v>
      </c>
      <c r="P32" s="792">
        <f>VehicleCostData2023!AJ29</f>
        <v>535099.46795114526</v>
      </c>
      <c r="Q32" s="792">
        <f>VehicleCostData2023!AK29</f>
        <v>540352.30813181528</v>
      </c>
      <c r="R32" s="903">
        <f>VehicleCostData2023!AL29</f>
        <v>545605.14831248531</v>
      </c>
      <c r="S32" s="331">
        <f t="shared" si="25"/>
        <v>1.0674097964181242</v>
      </c>
      <c r="T32" s="331">
        <f t="shared" si="26"/>
        <v>1.084032098946601</v>
      </c>
      <c r="U32" s="331">
        <f t="shared" si="27"/>
        <v>1.0833825781533497</v>
      </c>
      <c r="V32" s="331">
        <f t="shared" si="28"/>
        <v>1.0827561458286703</v>
      </c>
      <c r="W32" s="331">
        <f t="shared" si="29"/>
        <v>1.0816855933476717</v>
      </c>
      <c r="X32" s="331">
        <f t="shared" si="30"/>
        <v>1.0806598418050535</v>
      </c>
      <c r="Y32" s="331">
        <f t="shared" si="31"/>
        <v>1.0799463822365925</v>
      </c>
      <c r="Z32" s="331">
        <f t="shared" si="32"/>
        <v>1.0792475748375165</v>
      </c>
      <c r="AB32" s="460" t="s">
        <v>687</v>
      </c>
      <c r="AC32" s="440">
        <v>2.9031215330752671</v>
      </c>
      <c r="AD32" s="440">
        <v>2.4869210927283421</v>
      </c>
      <c r="AE32" s="440">
        <v>2.1950138474685241</v>
      </c>
      <c r="AF32" s="440">
        <v>1.9626838778588267</v>
      </c>
      <c r="AG32" s="440">
        <v>1.7998752123887785</v>
      </c>
    </row>
    <row r="33" spans="1:43" ht="15" x14ac:dyDescent="0.25">
      <c r="A33" s="323" t="str">
        <f t="shared" si="21"/>
        <v xml:space="preserve">Van / LCV </v>
      </c>
      <c r="B33" s="854" t="s">
        <v>688</v>
      </c>
      <c r="C33" s="443">
        <v>13782.736415022977</v>
      </c>
      <c r="D33" s="443">
        <v>13427.805704040664</v>
      </c>
      <c r="E33" s="333">
        <f t="shared" si="22"/>
        <v>13342.505844101395</v>
      </c>
      <c r="F33" s="443">
        <v>13257.205984162127</v>
      </c>
      <c r="G33" s="333">
        <f t="shared" si="23"/>
        <v>13379.130824979849</v>
      </c>
      <c r="H33" s="443">
        <v>13501.055665797574</v>
      </c>
      <c r="I33" s="333">
        <f t="shared" si="24"/>
        <v>13550.4912530031</v>
      </c>
      <c r="J33" s="855">
        <v>13599.926840208624</v>
      </c>
      <c r="K33" s="902">
        <f>VehicleCostData2023!AE30</f>
        <v>462611.03749439324</v>
      </c>
      <c r="L33" s="792">
        <f>VehicleCostData2023!AF30</f>
        <v>450697.95583180117</v>
      </c>
      <c r="M33" s="792">
        <f>VehicleCostData2023!AG30</f>
        <v>447834.90632433031</v>
      </c>
      <c r="N33" s="792">
        <f>VehicleCostData2023!AH30</f>
        <v>444971.85681685951</v>
      </c>
      <c r="O33" s="792">
        <f>VehicleCostData2023!AI30</f>
        <v>449064.20650770509</v>
      </c>
      <c r="P33" s="792">
        <f>VehicleCostData2023!AJ30</f>
        <v>453156.55619855074</v>
      </c>
      <c r="Q33" s="792">
        <f>VehicleCostData2023!AK30</f>
        <v>454815.83833220351</v>
      </c>
      <c r="R33" s="903">
        <f>VehicleCostData2023!AL30</f>
        <v>456475.12046585622</v>
      </c>
      <c r="S33" s="331">
        <f t="shared" si="25"/>
        <v>1.2191201362306343</v>
      </c>
      <c r="T33" s="331">
        <f t="shared" si="26"/>
        <v>1.0925980707571672</v>
      </c>
      <c r="U33" s="331">
        <f t="shared" si="27"/>
        <v>1.0660123115022788</v>
      </c>
      <c r="V33" s="331">
        <f t="shared" si="28"/>
        <v>1.0403715943051508</v>
      </c>
      <c r="W33" s="331">
        <f t="shared" si="29"/>
        <v>1.0275010839564509</v>
      </c>
      <c r="X33" s="331">
        <f t="shared" si="30"/>
        <v>1.0151691842329105</v>
      </c>
      <c r="Y33" s="331">
        <f t="shared" si="31"/>
        <v>1.0083154635656701</v>
      </c>
      <c r="Z33" s="331">
        <f t="shared" si="32"/>
        <v>1.0016024963210148</v>
      </c>
      <c r="AB33" s="460" t="s">
        <v>688</v>
      </c>
      <c r="AC33" s="440">
        <v>2.1741726994604185</v>
      </c>
      <c r="AD33" s="440">
        <v>1.8493575989035749</v>
      </c>
      <c r="AE33" s="440">
        <v>1.6855443145895808</v>
      </c>
      <c r="AF33" s="440">
        <v>1.5284648640407557</v>
      </c>
      <c r="AG33" s="440">
        <v>1.386769162504049</v>
      </c>
      <c r="AK33" s="472"/>
      <c r="AL33" s="467"/>
      <c r="AM33" s="466"/>
      <c r="AN33" s="466"/>
      <c r="AO33" s="466"/>
    </row>
    <row r="34" spans="1:43" ht="15" x14ac:dyDescent="0.25">
      <c r="A34" s="323" t="str">
        <f t="shared" si="21"/>
        <v xml:space="preserve">Van / LCV </v>
      </c>
      <c r="B34" s="854" t="s">
        <v>689</v>
      </c>
      <c r="C34" s="443">
        <v>14581.175917305238</v>
      </c>
      <c r="D34" s="443">
        <v>14391.269995327921</v>
      </c>
      <c r="E34" s="333">
        <f t="shared" si="22"/>
        <v>14294.563247962416</v>
      </c>
      <c r="F34" s="443">
        <v>14197.856500596912</v>
      </c>
      <c r="G34" s="333">
        <f t="shared" si="23"/>
        <v>14327.249958258559</v>
      </c>
      <c r="H34" s="443">
        <v>14456.643415920207</v>
      </c>
      <c r="I34" s="333">
        <f t="shared" si="24"/>
        <v>14506.008189654398</v>
      </c>
      <c r="J34" s="855">
        <v>14555.372963388589</v>
      </c>
      <c r="K34" s="902">
        <f>VehicleCostData2023!AE31</f>
        <v>684967.98910243902</v>
      </c>
      <c r="L34" s="792">
        <f>VehicleCostData2023!AF31</f>
        <v>676046.93374770158</v>
      </c>
      <c r="M34" s="792">
        <f>VehicleCostData2023!AG31</f>
        <v>671504.019880448</v>
      </c>
      <c r="N34" s="792">
        <f>VehicleCostData2023!AH31</f>
        <v>666961.10601319466</v>
      </c>
      <c r="O34" s="792">
        <f>VehicleCostData2023!AI31</f>
        <v>673039.51676690637</v>
      </c>
      <c r="P34" s="792">
        <f>VehicleCostData2023!AJ31</f>
        <v>679117.92752061808</v>
      </c>
      <c r="Q34" s="792">
        <f>VehicleCostData2023!AK31</f>
        <v>681436.89616820682</v>
      </c>
      <c r="R34" s="903">
        <f>VehicleCostData2023!AL31</f>
        <v>683755.86481579533</v>
      </c>
      <c r="S34" s="331">
        <f t="shared" si="25"/>
        <v>1.2897442594441701</v>
      </c>
      <c r="T34" s="331">
        <f t="shared" si="26"/>
        <v>1.1709935472114554</v>
      </c>
      <c r="U34" s="331">
        <f t="shared" si="27"/>
        <v>1.1420778516362879</v>
      </c>
      <c r="V34" s="331">
        <f t="shared" si="28"/>
        <v>1.1141900201964245</v>
      </c>
      <c r="W34" s="331">
        <f t="shared" si="29"/>
        <v>1.1003154879642831</v>
      </c>
      <c r="X34" s="331">
        <f t="shared" si="30"/>
        <v>1.0870215830947627</v>
      </c>
      <c r="Y34" s="331">
        <f t="shared" si="31"/>
        <v>1.0794171295448189</v>
      </c>
      <c r="Z34" s="331">
        <f t="shared" si="32"/>
        <v>1.0719688470610758</v>
      </c>
      <c r="AB34" s="460" t="s">
        <v>689</v>
      </c>
      <c r="AC34" s="440">
        <v>2.4252993644945193</v>
      </c>
      <c r="AD34" s="440">
        <v>2.161460571136546</v>
      </c>
      <c r="AE34" s="440">
        <v>1.9679702241767287</v>
      </c>
      <c r="AF34" s="440">
        <v>1.7987528433147613</v>
      </c>
      <c r="AG34" s="440">
        <v>1.6393124698954793</v>
      </c>
      <c r="AL34" s="467"/>
      <c r="AM34" s="466"/>
      <c r="AN34" s="466"/>
      <c r="AO34" s="466"/>
    </row>
    <row r="35" spans="1:43" ht="15" x14ac:dyDescent="0.25">
      <c r="A35" s="323" t="str">
        <f t="shared" si="21"/>
        <v xml:space="preserve">Van / LCV </v>
      </c>
      <c r="B35" s="854" t="s">
        <v>691</v>
      </c>
      <c r="C35" s="443">
        <v>17244.006666903901</v>
      </c>
      <c r="D35" s="443">
        <v>14975.578208305285</v>
      </c>
      <c r="E35" s="333">
        <f t="shared" si="22"/>
        <v>14582.535049386763</v>
      </c>
      <c r="F35" s="443">
        <v>14189.491890468238</v>
      </c>
      <c r="G35" s="333">
        <f t="shared" si="23"/>
        <v>14227.836500369689</v>
      </c>
      <c r="H35" s="443">
        <v>14266.18111027114</v>
      </c>
      <c r="I35" s="333">
        <f t="shared" si="24"/>
        <v>14253.68100490546</v>
      </c>
      <c r="J35" s="855">
        <v>14241.180899539781</v>
      </c>
      <c r="K35" s="902">
        <f>VehicleCostData2023!AE32</f>
        <v>690226.79021380132</v>
      </c>
      <c r="L35" s="792">
        <f>VehicleCostData2023!AF32</f>
        <v>599428.28125629551</v>
      </c>
      <c r="M35" s="792">
        <f>VehicleCostData2023!AG32</f>
        <v>583695.92141462921</v>
      </c>
      <c r="N35" s="792">
        <f>VehicleCostData2023!AH32</f>
        <v>567963.56157296279</v>
      </c>
      <c r="O35" s="792">
        <f>VehicleCostData2023!AI32</f>
        <v>569498.38335339481</v>
      </c>
      <c r="P35" s="792">
        <f>VehicleCostData2023!AJ32</f>
        <v>571033.20513382694</v>
      </c>
      <c r="Q35" s="792">
        <f>VehicleCostData2023!AK32</f>
        <v>570532.86273831816</v>
      </c>
      <c r="R35" s="903">
        <f>VehicleCostData2023!AL32</f>
        <v>570032.52034280938</v>
      </c>
      <c r="S35" s="331">
        <f t="shared" si="25"/>
        <v>1.5252788070447043</v>
      </c>
      <c r="T35" s="331">
        <f t="shared" si="26"/>
        <v>1.2185377283157834</v>
      </c>
      <c r="U35" s="331">
        <f t="shared" si="27"/>
        <v>1.1650856351269399</v>
      </c>
      <c r="V35" s="331">
        <f t="shared" si="28"/>
        <v>1.1135335996214024</v>
      </c>
      <c r="W35" s="331">
        <f t="shared" si="29"/>
        <v>1.0926806545003667</v>
      </c>
      <c r="X35" s="331">
        <f t="shared" si="30"/>
        <v>1.0727003723510204</v>
      </c>
      <c r="Y35" s="331">
        <f t="shared" si="31"/>
        <v>1.0606410278146357</v>
      </c>
      <c r="Z35" s="331">
        <f t="shared" si="32"/>
        <v>1.048829343505453</v>
      </c>
      <c r="AB35" s="460" t="s">
        <v>691</v>
      </c>
      <c r="AC35" s="440">
        <v>1.7283270367921819</v>
      </c>
      <c r="AD35" s="440">
        <v>1.3635224134985264</v>
      </c>
      <c r="AE35" s="440">
        <v>1.2812468302816669</v>
      </c>
      <c r="AF35" s="440">
        <v>1.1987809320242737</v>
      </c>
      <c r="AG35" s="440">
        <v>1.1284948346768437</v>
      </c>
      <c r="AL35" s="467"/>
      <c r="AM35" s="466"/>
      <c r="AN35" s="466"/>
      <c r="AO35" s="466"/>
    </row>
    <row r="36" spans="1:43" ht="15" x14ac:dyDescent="0.25">
      <c r="A36" s="323" t="str">
        <f t="shared" si="21"/>
        <v xml:space="preserve">Van / LCV </v>
      </c>
      <c r="B36" s="854" t="s">
        <v>695</v>
      </c>
      <c r="C36" s="443">
        <v>17948.50016215329</v>
      </c>
      <c r="D36" s="443">
        <v>15887.386898316114</v>
      </c>
      <c r="E36" s="333">
        <f t="shared" si="22"/>
        <v>15492.43721685409</v>
      </c>
      <c r="F36" s="443">
        <v>15097.487535392065</v>
      </c>
      <c r="G36" s="333">
        <f t="shared" si="23"/>
        <v>15144.921633117086</v>
      </c>
      <c r="H36" s="443">
        <v>15192.355730842108</v>
      </c>
      <c r="I36" s="333">
        <f t="shared" si="24"/>
        <v>15181.513704920602</v>
      </c>
      <c r="J36" s="855">
        <v>15170.671678999097</v>
      </c>
      <c r="K36" s="902">
        <f>VehicleCostData2023!AE33</f>
        <v>1015790.5770333009</v>
      </c>
      <c r="L36" s="792">
        <f>VehicleCostData2023!AF33</f>
        <v>899142.42188444315</v>
      </c>
      <c r="M36" s="792">
        <f>VehicleCostData2023!AG33</f>
        <v>876790.35005632567</v>
      </c>
      <c r="N36" s="792">
        <f>VehicleCostData2023!AH33</f>
        <v>854438.27822820819</v>
      </c>
      <c r="O36" s="792">
        <f>VehicleCostData2023!AI33</f>
        <v>857122.79833093833</v>
      </c>
      <c r="P36" s="792">
        <f>VehicleCostData2023!AJ33</f>
        <v>859807.31843366823</v>
      </c>
      <c r="Q36" s="792">
        <f>VehicleCostData2023!AK33</f>
        <v>859193.71686988755</v>
      </c>
      <c r="R36" s="903">
        <f>VehicleCostData2023!AL33</f>
        <v>858580.11530610698</v>
      </c>
      <c r="S36" s="331">
        <f t="shared" si="25"/>
        <v>1.5875931530526484</v>
      </c>
      <c r="T36" s="331">
        <f t="shared" si="26"/>
        <v>1.2927300749704318</v>
      </c>
      <c r="U36" s="331">
        <f t="shared" si="27"/>
        <v>1.2377831421856753</v>
      </c>
      <c r="V36" s="331">
        <f t="shared" si="28"/>
        <v>1.1847894040390208</v>
      </c>
      <c r="W36" s="331">
        <f t="shared" si="29"/>
        <v>1.163111684759742</v>
      </c>
      <c r="X36" s="331">
        <f t="shared" si="30"/>
        <v>1.1423411439540987</v>
      </c>
      <c r="Y36" s="331">
        <f t="shared" si="31"/>
        <v>1.129682661919216</v>
      </c>
      <c r="Z36" s="331">
        <f t="shared" si="32"/>
        <v>1.1172841444725687</v>
      </c>
      <c r="AB36" s="460" t="s">
        <v>695</v>
      </c>
      <c r="AC36" s="440">
        <v>1.902863724208097</v>
      </c>
      <c r="AD36" s="440">
        <v>1.5491487128746424</v>
      </c>
      <c r="AE36" s="440">
        <v>1.4578924137184786</v>
      </c>
      <c r="AF36" s="440">
        <v>1.3765063392938943</v>
      </c>
      <c r="AG36" s="440">
        <v>1.3055185599564534</v>
      </c>
      <c r="AL36" s="467"/>
      <c r="AM36" s="466"/>
      <c r="AN36" s="466"/>
      <c r="AO36" s="466"/>
    </row>
    <row r="37" spans="1:43" ht="15" x14ac:dyDescent="0.25">
      <c r="A37" s="323" t="str">
        <f t="shared" si="21"/>
        <v xml:space="preserve">Van / LCV </v>
      </c>
      <c r="B37" s="854" t="s">
        <v>839</v>
      </c>
      <c r="C37" s="443">
        <v>21872.524729385099</v>
      </c>
      <c r="D37" s="443">
        <v>16676.133179824523</v>
      </c>
      <c r="E37" s="333">
        <f t="shared" si="22"/>
        <v>15889.36787814397</v>
      </c>
      <c r="F37" s="443">
        <v>15102.602576463418</v>
      </c>
      <c r="G37" s="333">
        <f t="shared" si="23"/>
        <v>15085.19053170866</v>
      </c>
      <c r="H37" s="443">
        <v>15067.778486953905</v>
      </c>
      <c r="I37" s="333">
        <f t="shared" si="24"/>
        <v>15004.514134513698</v>
      </c>
      <c r="J37" s="855">
        <v>14941.24978207349</v>
      </c>
      <c r="K37" s="902">
        <f>VehicleCostData2023!AE34</f>
        <v>1045664.6625434359</v>
      </c>
      <c r="L37" s="792">
        <f>VehicleCostData2023!AF34</f>
        <v>797239.61407087301</v>
      </c>
      <c r="M37" s="792">
        <f>VehicleCostData2023!AG34</f>
        <v>759626.55001625046</v>
      </c>
      <c r="N37" s="792">
        <f>VehicleCostData2023!AH34</f>
        <v>722013.48596162768</v>
      </c>
      <c r="O37" s="792">
        <f>VehicleCostData2023!AI34</f>
        <v>721181.06445894623</v>
      </c>
      <c r="P37" s="792">
        <f>VehicleCostData2023!AJ34</f>
        <v>720348.64295626467</v>
      </c>
      <c r="Q37" s="792">
        <f>VehicleCostData2023!AK34</f>
        <v>717324.14996499429</v>
      </c>
      <c r="R37" s="903">
        <f>VehicleCostData2023!AL34</f>
        <v>714299.65697372344</v>
      </c>
      <c r="S37" s="331">
        <f t="shared" si="25"/>
        <v>1.9346836886999574</v>
      </c>
      <c r="T37" s="331">
        <f t="shared" si="26"/>
        <v>1.3569090394630183</v>
      </c>
      <c r="U37" s="331">
        <f t="shared" si="27"/>
        <v>1.2694962983717613</v>
      </c>
      <c r="V37" s="331">
        <f t="shared" si="28"/>
        <v>1.1851908116539207</v>
      </c>
      <c r="W37" s="331">
        <f t="shared" si="29"/>
        <v>1.158524408333049</v>
      </c>
      <c r="X37" s="331">
        <f t="shared" si="30"/>
        <v>1.132973952070552</v>
      </c>
      <c r="Y37" s="331">
        <f t="shared" si="31"/>
        <v>1.1165118181059919</v>
      </c>
      <c r="Z37" s="331">
        <f t="shared" si="32"/>
        <v>1.1003877635308705</v>
      </c>
      <c r="AB37" s="460" t="s">
        <v>839</v>
      </c>
      <c r="AC37" s="440">
        <v>1.2758197830107005</v>
      </c>
      <c r="AD37" s="440">
        <v>1.1299521054321982</v>
      </c>
      <c r="AE37" s="440">
        <v>1.0618914797279004</v>
      </c>
      <c r="AF37" s="440">
        <v>0.99656622146728668</v>
      </c>
      <c r="AG37" s="440">
        <v>0.93895711684713434</v>
      </c>
      <c r="AL37" s="467"/>
      <c r="AM37" s="466"/>
      <c r="AN37" s="466"/>
      <c r="AO37" s="466"/>
      <c r="AQ37" s="471"/>
    </row>
    <row r="38" spans="1:43" ht="15" x14ac:dyDescent="0.25">
      <c r="A38" s="323" t="str">
        <f t="shared" si="21"/>
        <v xml:space="preserve">Van / LCV </v>
      </c>
      <c r="B38" s="854" t="s">
        <v>838</v>
      </c>
      <c r="C38" s="443">
        <v>22530.287595513764</v>
      </c>
      <c r="D38" s="443">
        <v>17434.836796625434</v>
      </c>
      <c r="E38" s="333">
        <f t="shared" si="22"/>
        <v>16624.647547676945</v>
      </c>
      <c r="F38" s="443">
        <v>15814.458298728454</v>
      </c>
      <c r="G38" s="333">
        <f t="shared" si="23"/>
        <v>15806.135741797267</v>
      </c>
      <c r="H38" s="443">
        <v>15797.81318486608</v>
      </c>
      <c r="I38" s="333">
        <f t="shared" si="24"/>
        <v>15736.206911870046</v>
      </c>
      <c r="J38" s="855">
        <v>15674.600638874013</v>
      </c>
      <c r="K38" s="902">
        <f>VehicleCostData2023!AE35</f>
        <v>1545357.5502665255</v>
      </c>
      <c r="L38" s="792">
        <f>VehicleCostData2023!AF35</f>
        <v>1195859.4211063094</v>
      </c>
      <c r="M38" s="792">
        <f>VehicleCostData2023!AG35</f>
        <v>1140288.3562586235</v>
      </c>
      <c r="N38" s="792">
        <f>VehicleCostData2023!AH35</f>
        <v>1084717.2914109372</v>
      </c>
      <c r="O38" s="792">
        <f>VehicleCostData2023!AI35</f>
        <v>1084146.445338218</v>
      </c>
      <c r="P38" s="792">
        <f>VehicleCostData2023!AJ35</f>
        <v>1083575.5992654988</v>
      </c>
      <c r="Q38" s="792">
        <f>VehicleCostData2023!AK35</f>
        <v>1079350.0109895125</v>
      </c>
      <c r="R38" s="903">
        <f>VehicleCostData2023!AL35</f>
        <v>1075124.4227135263</v>
      </c>
      <c r="S38" s="331">
        <f t="shared" si="25"/>
        <v>1.9928645847728288</v>
      </c>
      <c r="T38" s="331">
        <f t="shared" si="26"/>
        <v>1.4186434826225371</v>
      </c>
      <c r="U38" s="331">
        <f t="shared" si="27"/>
        <v>1.3282421733429157</v>
      </c>
      <c r="V38" s="331">
        <f t="shared" si="28"/>
        <v>1.2410543528535429</v>
      </c>
      <c r="W38" s="331">
        <f t="shared" si="29"/>
        <v>1.2138921294899554</v>
      </c>
      <c r="X38" s="331">
        <f t="shared" si="30"/>
        <v>1.1878666024740818</v>
      </c>
      <c r="Y38" s="331">
        <f t="shared" si="31"/>
        <v>1.170958341719976</v>
      </c>
      <c r="Z38" s="331">
        <f t="shared" si="32"/>
        <v>1.1543973223675335</v>
      </c>
      <c r="AB38" s="460" t="s">
        <v>838</v>
      </c>
      <c r="AC38" s="440">
        <v>1.3726349581761412</v>
      </c>
      <c r="AD38" s="440">
        <v>1.2547494611459762</v>
      </c>
      <c r="AE38" s="440">
        <v>1.1811373360677029</v>
      </c>
      <c r="AF38" s="440">
        <v>1.1171068754070992</v>
      </c>
      <c r="AG38" s="440">
        <v>1.0596566745051081</v>
      </c>
      <c r="AK38" s="470">
        <f>zar.2012</f>
        <v>1.1636030437253695</v>
      </c>
      <c r="AL38" s="467"/>
      <c r="AM38" s="466"/>
      <c r="AN38" s="466"/>
      <c r="AO38" s="466"/>
    </row>
    <row r="39" spans="1:43" ht="15" x14ac:dyDescent="0.25">
      <c r="A39" s="323" t="str">
        <f t="shared" si="21"/>
        <v xml:space="preserve">Van / LCV </v>
      </c>
      <c r="B39" s="854" t="s">
        <v>692</v>
      </c>
      <c r="C39" s="443">
        <v>30266.705966079498</v>
      </c>
      <c r="D39" s="443">
        <v>20700.397697957917</v>
      </c>
      <c r="E39" s="333">
        <f t="shared" si="22"/>
        <v>19045.56947060291</v>
      </c>
      <c r="F39" s="443">
        <v>17390.7412432479</v>
      </c>
      <c r="G39" s="333">
        <f t="shared" si="23"/>
        <v>17563.206557000587</v>
      </c>
      <c r="H39" s="443">
        <v>17735.671870753275</v>
      </c>
      <c r="I39" s="333">
        <f t="shared" si="24"/>
        <v>17824.297653410675</v>
      </c>
      <c r="J39" s="855">
        <v>17912.923436068075</v>
      </c>
      <c r="K39" s="902">
        <f>VehicleCostData2023!AE36</f>
        <v>1200355.9594665694</v>
      </c>
      <c r="L39" s="792">
        <f>VehicleCostData2023!AF36</f>
        <v>820963.00033176108</v>
      </c>
      <c r="M39" s="792">
        <f>VehicleCostData2023!AG36</f>
        <v>755333.69376548787</v>
      </c>
      <c r="N39" s="792">
        <f>VehicleCostData2023!AH36</f>
        <v>689704.38719921454</v>
      </c>
      <c r="O39" s="792">
        <f>VehicleCostData2023!AI36</f>
        <v>696544.23846668703</v>
      </c>
      <c r="P39" s="792">
        <f>VehicleCostData2023!AJ36</f>
        <v>703384.08973415976</v>
      </c>
      <c r="Q39" s="792">
        <f>VehicleCostData2023!AK36</f>
        <v>706898.92502857279</v>
      </c>
      <c r="R39" s="903">
        <f>VehicleCostData2023!AL36</f>
        <v>710413.76032298582</v>
      </c>
      <c r="S39" s="331">
        <f t="shared" si="25"/>
        <v>2.6771716145133779</v>
      </c>
      <c r="T39" s="331">
        <f t="shared" si="26"/>
        <v>1.6843567063149421</v>
      </c>
      <c r="U39" s="331">
        <f t="shared" si="27"/>
        <v>1.5216640541484443</v>
      </c>
      <c r="V39" s="331">
        <f t="shared" si="28"/>
        <v>1.3647546258993764</v>
      </c>
      <c r="W39" s="331">
        <f t="shared" si="29"/>
        <v>1.3488330453705932</v>
      </c>
      <c r="X39" s="331">
        <f t="shared" si="30"/>
        <v>1.3335777579576074</v>
      </c>
      <c r="Y39" s="331">
        <f t="shared" si="31"/>
        <v>1.3263367811220979</v>
      </c>
      <c r="Z39" s="331">
        <f t="shared" si="32"/>
        <v>1.3192445107078068</v>
      </c>
      <c r="AB39" s="460" t="s">
        <v>692</v>
      </c>
      <c r="AC39" s="440">
        <v>0.71204570298567482</v>
      </c>
      <c r="AD39" s="440">
        <v>0.65747551719774433</v>
      </c>
      <c r="AE39" s="440">
        <v>0.61881416451317972</v>
      </c>
      <c r="AF39" s="440">
        <v>0.58917428402300132</v>
      </c>
      <c r="AG39" s="440">
        <v>0.55797401529936719</v>
      </c>
      <c r="AK39" s="470">
        <f>zar.base</f>
        <v>2015</v>
      </c>
      <c r="AL39" s="467"/>
      <c r="AM39" s="466"/>
      <c r="AN39" s="466"/>
      <c r="AO39" s="466"/>
    </row>
    <row r="40" spans="1:43" ht="15" x14ac:dyDescent="0.25">
      <c r="A40" s="323" t="str">
        <f t="shared" si="21"/>
        <v xml:space="preserve">Van / LCV </v>
      </c>
      <c r="B40" s="854" t="s">
        <v>699</v>
      </c>
      <c r="C40" s="443">
        <v>89397.233323383392</v>
      </c>
      <c r="D40" s="443">
        <v>35742.45176358601</v>
      </c>
      <c r="E40" s="333">
        <f t="shared" si="22"/>
        <v>27438.425753122989</v>
      </c>
      <c r="F40" s="443">
        <v>19134.399742659967</v>
      </c>
      <c r="G40" s="333">
        <f t="shared" si="23"/>
        <v>18221.158014073364</v>
      </c>
      <c r="H40" s="443">
        <v>17307.916285486757</v>
      </c>
      <c r="I40" s="333">
        <f t="shared" si="24"/>
        <v>17072.587033819684</v>
      </c>
      <c r="J40" s="855">
        <v>16837.25778215261</v>
      </c>
      <c r="K40" s="902">
        <f>VehicleCostData2023!AE37</f>
        <v>4486535.6914122794</v>
      </c>
      <c r="L40" s="792">
        <f>VehicleCostData2023!AF37</f>
        <v>1793789.1316594642</v>
      </c>
      <c r="M40" s="792">
        <f>VehicleCostData2023!AG37</f>
        <v>1377038.9964110029</v>
      </c>
      <c r="N40" s="792">
        <f>VehicleCostData2023!AH37</f>
        <v>960288.86116254178</v>
      </c>
      <c r="O40" s="792">
        <f>VehicleCostData2023!AI37</f>
        <v>914456.44042789342</v>
      </c>
      <c r="P40" s="792">
        <f>VehicleCostData2023!AJ37</f>
        <v>868624.01969324483</v>
      </c>
      <c r="Q40" s="792">
        <f>VehicleCostData2023!AK37</f>
        <v>856813.66441056633</v>
      </c>
      <c r="R40" s="903">
        <f>VehicleCostData2023!AL37</f>
        <v>845003.30912788771</v>
      </c>
      <c r="S40" s="331">
        <f t="shared" si="25"/>
        <v>7.9074259266143905</v>
      </c>
      <c r="T40" s="331">
        <f t="shared" si="26"/>
        <v>2.9083034638543888</v>
      </c>
      <c r="U40" s="331">
        <f t="shared" si="27"/>
        <v>2.1922193629018594</v>
      </c>
      <c r="V40" s="331">
        <f t="shared" si="28"/>
        <v>1.5015898515965738</v>
      </c>
      <c r="W40" s="331">
        <f t="shared" si="29"/>
        <v>1.3993629223989856</v>
      </c>
      <c r="X40" s="331">
        <f t="shared" si="30"/>
        <v>1.3014140294836807</v>
      </c>
      <c r="Y40" s="331">
        <f t="shared" si="31"/>
        <v>1.2704006952851989</v>
      </c>
      <c r="Z40" s="331">
        <f t="shared" si="32"/>
        <v>1.2400242754207191</v>
      </c>
      <c r="AB40" s="460" t="s">
        <v>699</v>
      </c>
      <c r="AC40" s="440">
        <v>1.4019884160257075</v>
      </c>
      <c r="AD40" s="440">
        <v>1.2516481278662279</v>
      </c>
      <c r="AE40" s="440">
        <v>1.1410975435913393</v>
      </c>
      <c r="AF40" s="440">
        <v>1.0541211751644466</v>
      </c>
      <c r="AG40" s="440">
        <v>0.97008183815697979</v>
      </c>
      <c r="AL40" s="467"/>
      <c r="AM40" s="466"/>
      <c r="AN40" s="466"/>
      <c r="AO40" s="466"/>
    </row>
    <row r="41" spans="1:43" ht="15" x14ac:dyDescent="0.25">
      <c r="A41" s="323" t="str">
        <f t="shared" si="21"/>
        <v xml:space="preserve">Van / LCV </v>
      </c>
      <c r="B41" s="854" t="s">
        <v>837</v>
      </c>
      <c r="C41" s="443">
        <v>93147.376244808911</v>
      </c>
      <c r="D41" s="443">
        <v>37446.557579359069</v>
      </c>
      <c r="E41" s="333">
        <f t="shared" si="22"/>
        <v>28874.627869843178</v>
      </c>
      <c r="F41" s="443">
        <v>20302.698160327291</v>
      </c>
      <c r="G41" s="333">
        <f t="shared" si="23"/>
        <v>19342.312720809401</v>
      </c>
      <c r="H41" s="443">
        <v>18381.927281291511</v>
      </c>
      <c r="I41" s="333">
        <f t="shared" si="24"/>
        <v>18103.33880463173</v>
      </c>
      <c r="J41" s="855">
        <v>17824.750327971949</v>
      </c>
      <c r="K41" s="902">
        <f>VehicleCostData2023!AE38</f>
        <v>4908206.2049649227</v>
      </c>
      <c r="L41" s="792">
        <f>VehicleCostData2023!AF38</f>
        <v>1973168.0448254102</v>
      </c>
      <c r="M41" s="792">
        <f>VehicleCostData2023!AG38</f>
        <v>1521488.1340762998</v>
      </c>
      <c r="N41" s="792">
        <f>VehicleCostData2023!AH38</f>
        <v>1069808.2233271901</v>
      </c>
      <c r="O41" s="792">
        <f>VehicleCostData2023!AI38</f>
        <v>1019202.7209133487</v>
      </c>
      <c r="P41" s="792">
        <f>VehicleCostData2023!AJ38</f>
        <v>968597.21849950729</v>
      </c>
      <c r="Q41" s="792">
        <f>VehicleCostData2023!AK38</f>
        <v>953917.58129556128</v>
      </c>
      <c r="R41" s="903">
        <f>VehicleCostData2023!AL38</f>
        <v>939237.94409161515</v>
      </c>
      <c r="S41" s="331">
        <f t="shared" si="25"/>
        <v>8.2391361626361252</v>
      </c>
      <c r="T41" s="331">
        <f t="shared" si="26"/>
        <v>3.0469637012541178</v>
      </c>
      <c r="U41" s="331">
        <f t="shared" si="27"/>
        <v>2.3069661095863436</v>
      </c>
      <c r="V41" s="331">
        <f t="shared" si="28"/>
        <v>1.5932731586874349</v>
      </c>
      <c r="W41" s="331">
        <f t="shared" si="29"/>
        <v>1.4854662494031066</v>
      </c>
      <c r="X41" s="331">
        <f t="shared" si="30"/>
        <v>1.3821708897957501</v>
      </c>
      <c r="Y41" s="331">
        <f t="shared" si="31"/>
        <v>1.3471007152477332</v>
      </c>
      <c r="Z41" s="331">
        <f t="shared" si="32"/>
        <v>1.3127507695123499</v>
      </c>
      <c r="AB41" s="460" t="s">
        <v>837</v>
      </c>
      <c r="AC41" s="440">
        <v>1.1881061749832973</v>
      </c>
      <c r="AD41" s="440">
        <v>0.99615390527877989</v>
      </c>
      <c r="AE41" s="440">
        <v>0.91651569058773064</v>
      </c>
      <c r="AF41" s="440">
        <v>0.85419401197362499</v>
      </c>
      <c r="AG41" s="440">
        <v>0.79287547432820638</v>
      </c>
      <c r="AL41" s="467"/>
      <c r="AM41" s="466"/>
      <c r="AN41" s="466"/>
      <c r="AO41" s="466"/>
    </row>
    <row r="42" spans="1:43" ht="15" x14ac:dyDescent="0.25">
      <c r="A42" s="323" t="str">
        <f t="shared" si="21"/>
        <v xml:space="preserve">Van / LCV </v>
      </c>
      <c r="B42" s="854" t="s">
        <v>836</v>
      </c>
      <c r="C42" s="443">
        <v>63892.000362104511</v>
      </c>
      <c r="D42" s="443">
        <v>28828.821424319947</v>
      </c>
      <c r="E42" s="333">
        <f t="shared" si="22"/>
        <v>23564.877441733282</v>
      </c>
      <c r="F42" s="443">
        <v>18300.933459146618</v>
      </c>
      <c r="G42" s="333">
        <f t="shared" si="23"/>
        <v>17735.79136497252</v>
      </c>
      <c r="H42" s="443">
        <v>17170.649270798422</v>
      </c>
      <c r="I42" s="333">
        <f t="shared" si="24"/>
        <v>16943.796547064114</v>
      </c>
      <c r="J42" s="855">
        <v>16716.943823329806</v>
      </c>
      <c r="K42" s="902">
        <f>VehicleCostData2023!AE39</f>
        <v>3180394.3466892294</v>
      </c>
      <c r="L42" s="792">
        <f>VehicleCostData2023!AF39</f>
        <v>1435031.3053275712</v>
      </c>
      <c r="M42" s="792">
        <f>VehicleCostData2023!AG39</f>
        <v>1173004.485246398</v>
      </c>
      <c r="N42" s="792">
        <f>VehicleCostData2023!AH39</f>
        <v>910977.66516522481</v>
      </c>
      <c r="O42" s="792">
        <f>VehicleCostData2023!AI39</f>
        <v>882846.21347798873</v>
      </c>
      <c r="P42" s="792">
        <f>VehicleCostData2023!AJ39</f>
        <v>854714.76179075264</v>
      </c>
      <c r="Q42" s="792">
        <f>VehicleCostData2023!AK39</f>
        <v>843422.56376898638</v>
      </c>
      <c r="R42" s="903">
        <f>VehicleCostData2023!AL39</f>
        <v>832130.36574722012</v>
      </c>
      <c r="S42" s="331">
        <f t="shared" si="25"/>
        <v>5.6514194162920681</v>
      </c>
      <c r="T42" s="331">
        <f t="shared" si="26"/>
        <v>2.3457529372007864</v>
      </c>
      <c r="U42" s="331">
        <f t="shared" si="27"/>
        <v>1.8827385024557088</v>
      </c>
      <c r="V42" s="331">
        <f t="shared" si="28"/>
        <v>1.4361828082712849</v>
      </c>
      <c r="W42" s="331">
        <f t="shared" si="29"/>
        <v>1.362087350122176</v>
      </c>
      <c r="X42" s="331">
        <f t="shared" si="30"/>
        <v>1.2910926704157184</v>
      </c>
      <c r="Y42" s="331">
        <f t="shared" si="31"/>
        <v>1.2608171726710642</v>
      </c>
      <c r="Z42" s="331">
        <f t="shared" si="32"/>
        <v>1.231163436468049</v>
      </c>
      <c r="AB42" s="460" t="s">
        <v>836</v>
      </c>
      <c r="AC42" s="440">
        <v>0.97422393394088724</v>
      </c>
      <c r="AD42" s="440">
        <v>0.88326110925176804</v>
      </c>
      <c r="AE42" s="440">
        <v>0.81728184856288022</v>
      </c>
      <c r="AF42" s="440">
        <v>0.76585410265675047</v>
      </c>
      <c r="AG42" s="440">
        <v>0.71457498798525998</v>
      </c>
      <c r="AL42" s="467"/>
      <c r="AM42" s="466"/>
      <c r="AN42" s="466"/>
      <c r="AO42" s="466"/>
    </row>
    <row r="43" spans="1:43" ht="15" x14ac:dyDescent="0.25">
      <c r="A43" s="323" t="str">
        <f t="shared" si="21"/>
        <v xml:space="preserve">Van / LCV </v>
      </c>
      <c r="B43" s="854" t="s">
        <v>700</v>
      </c>
      <c r="C43" s="469">
        <v>13192.267722867144</v>
      </c>
      <c r="D43" s="469">
        <v>13865.866014584546</v>
      </c>
      <c r="E43" s="333">
        <f t="shared" si="22"/>
        <v>14011.820937842185</v>
      </c>
      <c r="F43" s="469">
        <v>14157.775861099826</v>
      </c>
      <c r="G43" s="333">
        <f t="shared" si="23"/>
        <v>14366.961685106786</v>
      </c>
      <c r="H43" s="469">
        <v>14576.147509113745</v>
      </c>
      <c r="I43" s="333">
        <f t="shared" si="24"/>
        <v>14667.876634420591</v>
      </c>
      <c r="J43" s="856">
        <v>14759.605759727438</v>
      </c>
      <c r="K43" s="902">
        <f>VehicleCostData2023!AE40</f>
        <v>519120.41439989489</v>
      </c>
      <c r="L43" s="792">
        <f>VehicleCostData2023!AF40</f>
        <v>545626.74611489451</v>
      </c>
      <c r="M43" s="792">
        <f>VehicleCostData2023!AG40</f>
        <v>551370.12411759188</v>
      </c>
      <c r="N43" s="792">
        <f>VehicleCostData2023!AH40</f>
        <v>557113.50212028937</v>
      </c>
      <c r="O43" s="792">
        <f>VehicleCostData2023!AI40</f>
        <v>565345.03849646868</v>
      </c>
      <c r="P43" s="792">
        <f>VehicleCostData2023!AJ40</f>
        <v>573576.57487264799</v>
      </c>
      <c r="Q43" s="792">
        <f>VehicleCostData2023!AK40</f>
        <v>577186.14849123731</v>
      </c>
      <c r="R43" s="903">
        <f>VehicleCostData2023!AL40</f>
        <v>580795.72210982675</v>
      </c>
      <c r="S43" s="331">
        <f t="shared" si="25"/>
        <v>1.166891590987883</v>
      </c>
      <c r="T43" s="331">
        <f t="shared" si="26"/>
        <v>1.12824230487291</v>
      </c>
      <c r="U43" s="331">
        <f t="shared" si="27"/>
        <v>1.1194878833730166</v>
      </c>
      <c r="V43" s="331">
        <f t="shared" si="28"/>
        <v>1.1110446546598123</v>
      </c>
      <c r="W43" s="331">
        <f t="shared" si="29"/>
        <v>1.1033653006102699</v>
      </c>
      <c r="X43" s="331">
        <f t="shared" si="30"/>
        <v>1.0960073154554633</v>
      </c>
      <c r="Y43" s="331">
        <f t="shared" si="31"/>
        <v>1.0914620401590305</v>
      </c>
      <c r="Z43" s="331">
        <f t="shared" si="32"/>
        <v>1.0870101102271998</v>
      </c>
      <c r="AB43" s="460" t="s">
        <v>700</v>
      </c>
      <c r="AC43" s="468">
        <v>3.3385897630365569</v>
      </c>
      <c r="AD43" s="468">
        <v>2.7334614100613899</v>
      </c>
      <c r="AE43" s="468">
        <v>2.4198016848800807</v>
      </c>
      <c r="AF43" s="468">
        <v>2.1506862151085344</v>
      </c>
      <c r="AG43" s="468">
        <v>1.9649052018216842</v>
      </c>
      <c r="AL43" s="467"/>
      <c r="AM43" s="466"/>
      <c r="AN43" s="466"/>
      <c r="AO43" s="466"/>
    </row>
    <row r="44" spans="1:43" x14ac:dyDescent="0.2">
      <c r="A44" s="323" t="str">
        <f t="shared" si="21"/>
        <v xml:space="preserve">Van / LCV </v>
      </c>
      <c r="B44" s="857"/>
      <c r="C44" s="458"/>
      <c r="D44" s="458"/>
      <c r="E44" s="459"/>
      <c r="F44" s="458"/>
      <c r="G44" s="458"/>
      <c r="H44" s="458"/>
      <c r="I44" s="458"/>
      <c r="J44" s="858"/>
      <c r="K44" s="904">
        <f>VehicleCostData2023!AE41</f>
        <v>0</v>
      </c>
      <c r="L44" s="458">
        <f>VehicleCostData2023!AF41</f>
        <v>0</v>
      </c>
      <c r="M44" s="458">
        <f>VehicleCostData2023!AG41</f>
        <v>0</v>
      </c>
      <c r="N44" s="458">
        <f>VehicleCostData2023!AH41</f>
        <v>0</v>
      </c>
      <c r="O44" s="458">
        <f>VehicleCostData2023!AI41</f>
        <v>0</v>
      </c>
      <c r="P44" s="458">
        <f>VehicleCostData2023!AJ41</f>
        <v>0</v>
      </c>
      <c r="Q44" s="458">
        <f>VehicleCostData2023!AK41</f>
        <v>0</v>
      </c>
      <c r="R44" s="905">
        <f>VehicleCostData2023!AL41</f>
        <v>0</v>
      </c>
      <c r="AB44" s="465"/>
      <c r="AE44" s="464"/>
      <c r="AF44" s="464"/>
    </row>
    <row r="45" spans="1:43" x14ac:dyDescent="0.2">
      <c r="A45" s="323" t="str">
        <f t="shared" si="21"/>
        <v xml:space="preserve">Van / LCV </v>
      </c>
      <c r="B45" s="848" t="s">
        <v>832</v>
      </c>
      <c r="C45" s="457" t="s">
        <v>831</v>
      </c>
      <c r="D45" s="456">
        <v>0.08</v>
      </c>
      <c r="E45" s="455"/>
      <c r="F45" s="454"/>
      <c r="G45" s="454"/>
      <c r="H45" s="454"/>
      <c r="I45" s="454"/>
      <c r="J45" s="849"/>
      <c r="K45" s="906">
        <f>VehicleCostData2023!AE42</f>
        <v>0</v>
      </c>
      <c r="L45" s="454">
        <f>VehicleCostData2023!AF42</f>
        <v>0</v>
      </c>
      <c r="M45" s="454">
        <f>VehicleCostData2023!AG42</f>
        <v>0</v>
      </c>
      <c r="N45" s="454">
        <f>VehicleCostData2023!AH42</f>
        <v>0</v>
      </c>
      <c r="O45" s="454">
        <f>VehicleCostData2023!AI42</f>
        <v>0</v>
      </c>
      <c r="P45" s="454">
        <f>VehicleCostData2023!AJ42</f>
        <v>0</v>
      </c>
      <c r="Q45" s="454">
        <f>VehicleCostData2023!AK42</f>
        <v>0</v>
      </c>
      <c r="R45" s="897">
        <f>VehicleCostData2023!AL42</f>
        <v>0</v>
      </c>
      <c r="AB45" s="453" t="s">
        <v>816</v>
      </c>
      <c r="AC45" s="323" t="s">
        <v>834</v>
      </c>
      <c r="AE45" s="464"/>
      <c r="AF45" s="464"/>
    </row>
    <row r="46" spans="1:43" x14ac:dyDescent="0.2">
      <c r="A46" s="323" t="str">
        <f>B46</f>
        <v>Small Rigid Truck</v>
      </c>
      <c r="B46" s="850" t="s">
        <v>725</v>
      </c>
      <c r="C46" s="352">
        <v>2010</v>
      </c>
      <c r="D46" s="352">
        <v>2020</v>
      </c>
      <c r="E46" s="355"/>
      <c r="F46" s="352">
        <v>2030</v>
      </c>
      <c r="G46" s="352"/>
      <c r="H46" s="352">
        <v>2040</v>
      </c>
      <c r="I46" s="352"/>
      <c r="J46" s="851">
        <v>2050</v>
      </c>
      <c r="K46" s="898">
        <f>VehicleCostData2023!AE43</f>
        <v>2010</v>
      </c>
      <c r="L46" s="354">
        <f>VehicleCostData2023!AF43</f>
        <v>2020</v>
      </c>
      <c r="M46" s="354">
        <f>VehicleCostData2023!AG43</f>
        <v>0</v>
      </c>
      <c r="N46" s="354">
        <f>VehicleCostData2023!AH43</f>
        <v>2030</v>
      </c>
      <c r="O46" s="354">
        <f>VehicleCostData2023!AI43</f>
        <v>0</v>
      </c>
      <c r="P46" s="354">
        <f>VehicleCostData2023!AJ43</f>
        <v>2040</v>
      </c>
      <c r="Q46" s="354">
        <f>VehicleCostData2023!AK43</f>
        <v>0</v>
      </c>
      <c r="R46" s="899">
        <f>VehicleCostData2023!AL43</f>
        <v>2050</v>
      </c>
      <c r="S46" s="323">
        <f>S29</f>
        <v>2010</v>
      </c>
      <c r="T46" s="323">
        <f>T29</f>
        <v>2020</v>
      </c>
      <c r="V46" s="323">
        <f>V29</f>
        <v>2030</v>
      </c>
      <c r="X46" s="323">
        <f>X29</f>
        <v>2040</v>
      </c>
      <c r="Z46" s="323">
        <f>Z29</f>
        <v>2050</v>
      </c>
      <c r="AB46" s="352" t="s">
        <v>835</v>
      </c>
      <c r="AC46" s="352">
        <v>2010</v>
      </c>
      <c r="AD46" s="352">
        <v>2020</v>
      </c>
      <c r="AE46" s="352">
        <v>2030</v>
      </c>
      <c r="AF46" s="352">
        <v>2040</v>
      </c>
      <c r="AG46" s="352">
        <v>2050</v>
      </c>
    </row>
    <row r="47" spans="1:43" ht="15" x14ac:dyDescent="0.2">
      <c r="A47" s="323" t="str">
        <f>A46</f>
        <v>Small Rigid Truck</v>
      </c>
      <c r="B47" s="852" t="s">
        <v>791</v>
      </c>
      <c r="C47" s="449" t="s">
        <v>193</v>
      </c>
      <c r="D47" s="449" t="s">
        <v>193</v>
      </c>
      <c r="E47" s="463"/>
      <c r="F47" s="449" t="s">
        <v>193</v>
      </c>
      <c r="G47" s="449"/>
      <c r="H47" s="449" t="s">
        <v>193</v>
      </c>
      <c r="I47" s="449"/>
      <c r="J47" s="853" t="s">
        <v>193</v>
      </c>
      <c r="K47" s="864" t="s">
        <v>1356</v>
      </c>
      <c r="L47" s="323" t="s">
        <v>1356</v>
      </c>
      <c r="M47" s="323" t="s">
        <v>1356</v>
      </c>
      <c r="N47" s="323" t="s">
        <v>1356</v>
      </c>
      <c r="O47" s="323" t="s">
        <v>1356</v>
      </c>
      <c r="P47" s="323" t="s">
        <v>1356</v>
      </c>
      <c r="Q47" s="323" t="s">
        <v>1356</v>
      </c>
      <c r="R47" s="894" t="s">
        <v>1356</v>
      </c>
      <c r="S47" s="331"/>
      <c r="T47" s="331"/>
      <c r="U47" s="331"/>
      <c r="V47" s="331"/>
      <c r="W47" s="331"/>
      <c r="X47" s="331"/>
      <c r="Y47" s="331"/>
      <c r="Z47" s="331"/>
      <c r="AB47" s="448" t="s">
        <v>659</v>
      </c>
      <c r="AC47" s="447" t="s">
        <v>663</v>
      </c>
      <c r="AD47" s="447" t="s">
        <v>663</v>
      </c>
      <c r="AE47" s="447" t="s">
        <v>663</v>
      </c>
      <c r="AF47" s="447" t="s">
        <v>663</v>
      </c>
      <c r="AG47" s="447" t="s">
        <v>663</v>
      </c>
    </row>
    <row r="48" spans="1:43" ht="15" x14ac:dyDescent="0.2">
      <c r="A48" s="323" t="str">
        <f>A47</f>
        <v>Small Rigid Truck</v>
      </c>
      <c r="B48" s="854" t="s">
        <v>687</v>
      </c>
      <c r="C48" s="443">
        <v>29319.790828640387</v>
      </c>
      <c r="D48" s="443">
        <v>35280.157533348094</v>
      </c>
      <c r="E48" s="333">
        <f>AVERAGE(D48,F48)</f>
        <v>36396.413713979826</v>
      </c>
      <c r="F48" s="443">
        <v>37512.669894611565</v>
      </c>
      <c r="G48" s="333">
        <f>AVERAGE(F48,H48)</f>
        <v>38512.295901471109</v>
      </c>
      <c r="H48" s="443">
        <v>39511.921908330653</v>
      </c>
      <c r="I48" s="333">
        <f>AVERAGE(H48,J48)</f>
        <v>40168.269988600499</v>
      </c>
      <c r="J48" s="855">
        <v>40824.618068870353</v>
      </c>
      <c r="K48" s="902">
        <f>VehicleCostData2023!AE45</f>
        <v>396204.1631410002</v>
      </c>
      <c r="L48" s="792">
        <f>VehicleCostData2023!AF45</f>
        <v>476747.78352540621</v>
      </c>
      <c r="M48" s="792">
        <f>VehicleCostData2023!AG45</f>
        <v>491831.97524024436</v>
      </c>
      <c r="N48" s="792">
        <f>VehicleCostData2023!AH45</f>
        <v>506916.16695508256</v>
      </c>
      <c r="O48" s="792">
        <f>VehicleCostData2023!AI45</f>
        <v>520424.31194208184</v>
      </c>
      <c r="P48" s="792">
        <f>VehicleCostData2023!AJ45</f>
        <v>533932.45692908112</v>
      </c>
      <c r="Q48" s="792">
        <f>VehicleCostData2023!AK45</f>
        <v>542801.8190398945</v>
      </c>
      <c r="R48" s="903">
        <f>VehicleCostData2023!AL45</f>
        <v>551671.18115070788</v>
      </c>
      <c r="S48" s="331">
        <f t="shared" ref="S48:S56" si="33">C48/C$48</f>
        <v>1</v>
      </c>
      <c r="T48" s="331">
        <f t="shared" ref="T48:T56" si="34">D48/D$48</f>
        <v>1</v>
      </c>
      <c r="U48" s="331">
        <f t="shared" ref="U48:U56" si="35">E48/E$48</f>
        <v>1</v>
      </c>
      <c r="V48" s="331">
        <f t="shared" ref="V48:V56" si="36">F48/F$48</f>
        <v>1</v>
      </c>
      <c r="W48" s="331">
        <f t="shared" ref="W48:W56" si="37">G48/G$48</f>
        <v>1</v>
      </c>
      <c r="X48" s="331">
        <f t="shared" ref="X48:X56" si="38">H48/H$48</f>
        <v>1</v>
      </c>
      <c r="Y48" s="331">
        <f t="shared" ref="Y48:Y56" si="39">I48/I$48</f>
        <v>1</v>
      </c>
      <c r="Z48" s="331">
        <f t="shared" ref="Z48:Z56" si="40">J48/J$48</f>
        <v>1</v>
      </c>
      <c r="AB48" s="460" t="s">
        <v>687</v>
      </c>
      <c r="AC48" s="440">
        <v>9.3808428425650323</v>
      </c>
      <c r="AD48" s="440">
        <v>8.8624002557856656</v>
      </c>
      <c r="AE48" s="440">
        <v>8.1665144450675626</v>
      </c>
      <c r="AF48" s="440">
        <v>7.6608632465051718</v>
      </c>
      <c r="AG48" s="440">
        <v>7.3657118810820803</v>
      </c>
    </row>
    <row r="49" spans="1:33" ht="15" x14ac:dyDescent="0.2">
      <c r="A49" s="323" t="str">
        <f>A48</f>
        <v>Small Rigid Truck</v>
      </c>
      <c r="B49" s="865" t="s">
        <v>680</v>
      </c>
      <c r="C49" s="443">
        <f>C48*'Vehicle data-proc2023'!$H$106</f>
        <v>23100.675181415263</v>
      </c>
      <c r="D49" s="443">
        <f>D48*'Vehicle data-proc2023'!$H$106</f>
        <v>27796.769229708309</v>
      </c>
      <c r="E49" s="333">
        <f>E48*'Vehicle data-proc2023'!$H$106</f>
        <v>28676.252702108533</v>
      </c>
      <c r="F49" s="443">
        <f>F48*'Vehicle data-proc2023'!$H$106</f>
        <v>29555.736174508762</v>
      </c>
      <c r="G49" s="333">
        <f>G48*'Vehicle data-proc2023'!$H$106</f>
        <v>30343.328276455155</v>
      </c>
      <c r="H49" s="443">
        <f>H48*'Vehicle data-proc2023'!$H$106</f>
        <v>31130.920378401548</v>
      </c>
      <c r="I49" s="333">
        <f>I48*'Vehicle data-proc2023'!$H$106</f>
        <v>31648.048344861953</v>
      </c>
      <c r="J49" s="855">
        <f>J48*'Vehicle data-proc2023'!$H$106</f>
        <v>32165.176311322364</v>
      </c>
      <c r="K49" s="902">
        <f>VehicleCostData2023!AE46</f>
        <v>312164.0168491315</v>
      </c>
      <c r="L49" s="792">
        <f>VehicleCostData2023!AF46</f>
        <v>375623.26945122989</v>
      </c>
      <c r="M49" s="792">
        <f>VehicleCostData2023!AG46</f>
        <v>387507.90448206</v>
      </c>
      <c r="N49" s="792">
        <f>VehicleCostData2023!AH46</f>
        <v>399392.53951289022</v>
      </c>
      <c r="O49" s="792">
        <f>VehicleCostData2023!AI46</f>
        <v>410035.42818395526</v>
      </c>
      <c r="P49" s="792">
        <f>VehicleCostData2023!AJ46</f>
        <v>420678.31685502018</v>
      </c>
      <c r="Q49" s="792">
        <f>VehicleCostData2023!AK46</f>
        <v>427666.36988669843</v>
      </c>
      <c r="R49" s="903">
        <f>VehicleCostData2023!AL46</f>
        <v>434654.42291837675</v>
      </c>
      <c r="S49" s="331">
        <f t="shared" si="33"/>
        <v>0.78788676619240683</v>
      </c>
      <c r="T49" s="331">
        <f t="shared" si="34"/>
        <v>0.78788676619240683</v>
      </c>
      <c r="U49" s="331">
        <f t="shared" si="35"/>
        <v>0.78788676619240683</v>
      </c>
      <c r="V49" s="331">
        <f t="shared" si="36"/>
        <v>0.78788676619240683</v>
      </c>
      <c r="W49" s="331">
        <f t="shared" si="37"/>
        <v>0.78788676619240683</v>
      </c>
      <c r="X49" s="331">
        <f t="shared" si="38"/>
        <v>0.78788676619240683</v>
      </c>
      <c r="Y49" s="331">
        <f t="shared" si="39"/>
        <v>0.78788676619240683</v>
      </c>
      <c r="Z49" s="331">
        <f t="shared" si="40"/>
        <v>0.78788676619240683</v>
      </c>
      <c r="AB49" s="462" t="s">
        <v>680</v>
      </c>
      <c r="AC49" s="461">
        <f>AC48/'Vehicle data-proc2023'!$G$106</f>
        <v>10.853867751728137</v>
      </c>
      <c r="AD49" s="461">
        <f>AD48/'Vehicle data-proc2023'!$G$106</f>
        <v>10.254016824875976</v>
      </c>
      <c r="AE49" s="461">
        <f>AE48/'Vehicle data-proc2023'!$G$106</f>
        <v>9.4488596885079232</v>
      </c>
      <c r="AF49" s="461">
        <f>AF48/'Vehicle data-proc2023'!$G$106</f>
        <v>8.8638087149646605</v>
      </c>
      <c r="AG49" s="461">
        <f>AG48/'Vehicle data-proc2023'!$G$106</f>
        <v>8.5223112673676962</v>
      </c>
    </row>
    <row r="50" spans="1:33" ht="15" x14ac:dyDescent="0.2">
      <c r="A50" s="323" t="str">
        <f>A48</f>
        <v>Small Rigid Truck</v>
      </c>
      <c r="B50" s="854" t="s">
        <v>829</v>
      </c>
      <c r="C50" s="443">
        <v>35669.354783651295</v>
      </c>
      <c r="D50" s="443">
        <v>39884.927570945212</v>
      </c>
      <c r="E50" s="333">
        <f t="shared" ref="E50:E56" si="41">AVERAGE(D50,F50)</f>
        <v>40227.826617070168</v>
      </c>
      <c r="F50" s="443">
        <v>40570.725663195117</v>
      </c>
      <c r="G50" s="333">
        <f t="shared" ref="G50:G56" si="42">AVERAGE(F50,H50)</f>
        <v>41186.286477136309</v>
      </c>
      <c r="H50" s="443">
        <v>41801.847291077502</v>
      </c>
      <c r="I50" s="333">
        <f t="shared" ref="I50:I56" si="43">AVERAGE(H50,J50)</f>
        <v>42208.318748892634</v>
      </c>
      <c r="J50" s="855">
        <v>42614.790206707767</v>
      </c>
      <c r="K50" s="902">
        <f>VehicleCostData2023!AE47</f>
        <v>482007.08335310238</v>
      </c>
      <c r="L50" s="792">
        <f>VehicleCostData2023!AF47</f>
        <v>538972.95661295648</v>
      </c>
      <c r="M50" s="792">
        <f>VehicleCostData2023!AG47</f>
        <v>543606.61960208917</v>
      </c>
      <c r="N50" s="792">
        <f>VehicleCostData2023!AH47</f>
        <v>548240.28259122185</v>
      </c>
      <c r="O50" s="792">
        <f>VehicleCostData2023!AI47</f>
        <v>556558.47826237674</v>
      </c>
      <c r="P50" s="792">
        <f>VehicleCostData2023!AJ47</f>
        <v>564876.67393353162</v>
      </c>
      <c r="Q50" s="792">
        <f>VehicleCostData2023!AK47</f>
        <v>570369.40356197883</v>
      </c>
      <c r="R50" s="903">
        <f>VehicleCostData2023!AL47</f>
        <v>575862.13319042593</v>
      </c>
      <c r="S50" s="331">
        <f t="shared" si="33"/>
        <v>1.2165623892790012</v>
      </c>
      <c r="T50" s="331">
        <f t="shared" si="34"/>
        <v>1.1305201098732205</v>
      </c>
      <c r="U50" s="331">
        <f t="shared" si="35"/>
        <v>1.1052689677944478</v>
      </c>
      <c r="V50" s="331">
        <f t="shared" si="36"/>
        <v>1.0815206109609068</v>
      </c>
      <c r="W50" s="331">
        <f t="shared" si="37"/>
        <v>1.0694321258464121</v>
      </c>
      <c r="X50" s="331">
        <f t="shared" si="38"/>
        <v>1.0579553024036537</v>
      </c>
      <c r="Y50" s="331">
        <f t="shared" si="39"/>
        <v>1.0507875684183334</v>
      </c>
      <c r="Z50" s="331">
        <f t="shared" si="40"/>
        <v>1.0438503095073033</v>
      </c>
      <c r="AB50" s="460" t="s">
        <v>829</v>
      </c>
      <c r="AC50" s="440">
        <v>8.0370670492087761</v>
      </c>
      <c r="AD50" s="440">
        <v>8.0706644168506614</v>
      </c>
      <c r="AE50" s="440">
        <v>7.4344594207826038</v>
      </c>
      <c r="AF50" s="440">
        <v>6.9720113833657038</v>
      </c>
      <c r="AG50" s="440">
        <v>6.7013644209760415</v>
      </c>
    </row>
    <row r="51" spans="1:33" ht="15" x14ac:dyDescent="0.2">
      <c r="A51" s="323" t="str">
        <f t="shared" ref="A51:A58" si="44">A50</f>
        <v>Small Rigid Truck</v>
      </c>
      <c r="B51" s="854" t="s">
        <v>828</v>
      </c>
      <c r="C51" s="443">
        <v>36209.955757295749</v>
      </c>
      <c r="D51" s="443">
        <v>38227.4132830854</v>
      </c>
      <c r="E51" s="333">
        <f t="shared" si="41"/>
        <v>38919.452372247106</v>
      </c>
      <c r="F51" s="443">
        <v>39611.491461408819</v>
      </c>
      <c r="G51" s="333">
        <f t="shared" si="42"/>
        <v>40485.614094740085</v>
      </c>
      <c r="H51" s="443">
        <v>41359.736728071344</v>
      </c>
      <c r="I51" s="333">
        <f t="shared" si="43"/>
        <v>41811.402311297265</v>
      </c>
      <c r="J51" s="855">
        <v>42263.067894523185</v>
      </c>
      <c r="K51" s="902">
        <f>VehicleCostData2023!AE48</f>
        <v>489312.33179801231</v>
      </c>
      <c r="L51" s="792">
        <f>VehicleCostData2023!AF48</f>
        <v>516574.63647643448</v>
      </c>
      <c r="M51" s="792">
        <f>VehicleCostData2023!AG48</f>
        <v>525926.2982868707</v>
      </c>
      <c r="N51" s="792">
        <f>VehicleCostData2023!AH48</f>
        <v>535277.96009730699</v>
      </c>
      <c r="O51" s="792">
        <f>VehicleCostData2023!AI48</f>
        <v>547090.1530438991</v>
      </c>
      <c r="P51" s="792">
        <f>VehicleCostData2023!AJ48</f>
        <v>558902.3459904911</v>
      </c>
      <c r="Q51" s="792">
        <f>VehicleCostData2023!AK48</f>
        <v>565005.7928215923</v>
      </c>
      <c r="R51" s="903">
        <f>VehicleCostData2023!AL48</f>
        <v>571109.23965269362</v>
      </c>
      <c r="S51" s="331">
        <f t="shared" si="33"/>
        <v>1.2350004803555712</v>
      </c>
      <c r="T51" s="331">
        <f t="shared" si="34"/>
        <v>1.0835386221547183</v>
      </c>
      <c r="U51" s="331">
        <f t="shared" si="35"/>
        <v>1.0693210786671046</v>
      </c>
      <c r="V51" s="331">
        <f t="shared" si="36"/>
        <v>1.0559496717427392</v>
      </c>
      <c r="W51" s="331">
        <f t="shared" si="37"/>
        <v>1.0512386537099077</v>
      </c>
      <c r="X51" s="331">
        <f t="shared" si="38"/>
        <v>1.046766007080792</v>
      </c>
      <c r="Y51" s="331">
        <f t="shared" si="39"/>
        <v>1.0409062258136355</v>
      </c>
      <c r="Z51" s="331">
        <f t="shared" si="40"/>
        <v>1.0352348630237322</v>
      </c>
      <c r="AB51" s="460" t="s">
        <v>828</v>
      </c>
      <c r="AC51" s="440">
        <v>8.5098356991622346</v>
      </c>
      <c r="AD51" s="440">
        <v>8.5454093825477599</v>
      </c>
      <c r="AE51" s="440">
        <v>7.8138799454751222</v>
      </c>
      <c r="AF51" s="440">
        <v>7.2632202758226097</v>
      </c>
      <c r="AG51" s="440">
        <v>6.9818150541375985</v>
      </c>
    </row>
    <row r="52" spans="1:33" ht="15" x14ac:dyDescent="0.2">
      <c r="A52" s="323" t="str">
        <f t="shared" si="44"/>
        <v>Small Rigid Truck</v>
      </c>
      <c r="B52" s="854" t="s">
        <v>689</v>
      </c>
      <c r="C52" s="443">
        <v>37168.384735655469</v>
      </c>
      <c r="D52" s="443">
        <v>38999.227156820401</v>
      </c>
      <c r="E52" s="333">
        <f t="shared" si="41"/>
        <v>39111.830061309956</v>
      </c>
      <c r="F52" s="443">
        <v>39224.432965799504</v>
      </c>
      <c r="G52" s="333">
        <f t="shared" si="42"/>
        <v>39512.013612509909</v>
      </c>
      <c r="H52" s="443">
        <v>39799.594259220306</v>
      </c>
      <c r="I52" s="333">
        <f t="shared" si="43"/>
        <v>40104.585122615928</v>
      </c>
      <c r="J52" s="855">
        <v>40409.575986011558</v>
      </c>
      <c r="K52" s="902">
        <f>VehicleCostData2023!AE49</f>
        <v>502263.77314766083</v>
      </c>
      <c r="L52" s="792">
        <f>VehicleCostData2023!AF49</f>
        <v>527004.31081248343</v>
      </c>
      <c r="M52" s="792">
        <f>VehicleCostData2023!AG49</f>
        <v>528525.93624976149</v>
      </c>
      <c r="N52" s="792">
        <f>VehicleCostData2023!AH49</f>
        <v>530047.56168703933</v>
      </c>
      <c r="O52" s="792">
        <f>VehicleCostData2023!AI49</f>
        <v>533933.696145889</v>
      </c>
      <c r="P52" s="792">
        <f>VehicleCostData2023!AJ49</f>
        <v>537819.83060473856</v>
      </c>
      <c r="Q52" s="792">
        <f>VehicleCostData2023!AK49</f>
        <v>541941.2327833405</v>
      </c>
      <c r="R52" s="903">
        <f>VehicleCostData2023!AL49</f>
        <v>546062.63496194268</v>
      </c>
      <c r="S52" s="331">
        <f t="shared" si="33"/>
        <v>1.2676892871741894</v>
      </c>
      <c r="T52" s="331">
        <f t="shared" si="34"/>
        <v>1.1054153349501603</v>
      </c>
      <c r="U52" s="331">
        <f t="shared" si="35"/>
        <v>1.0746067007774214</v>
      </c>
      <c r="V52" s="331">
        <f t="shared" si="36"/>
        <v>1.0456315979640207</v>
      </c>
      <c r="W52" s="331">
        <f t="shared" si="37"/>
        <v>1.0259584033524372</v>
      </c>
      <c r="X52" s="331">
        <f t="shared" si="38"/>
        <v>1.0072806468781008</v>
      </c>
      <c r="Y52" s="331">
        <f t="shared" si="39"/>
        <v>0.99841454795034379</v>
      </c>
      <c r="Z52" s="331">
        <f t="shared" si="40"/>
        <v>0.98983353421314002</v>
      </c>
      <c r="AB52" s="460" t="s">
        <v>689</v>
      </c>
      <c r="AC52" s="440">
        <v>7.5642983992553194</v>
      </c>
      <c r="AD52" s="440">
        <v>7.6095190777654445</v>
      </c>
      <c r="AE52" s="440">
        <v>7.0105984075176906</v>
      </c>
      <c r="AF52" s="440">
        <v>6.6384041817577639</v>
      </c>
      <c r="AG52" s="440">
        <v>6.3333149572026954</v>
      </c>
    </row>
    <row r="53" spans="1:33" ht="15" x14ac:dyDescent="0.2">
      <c r="A53" s="323" t="str">
        <f t="shared" si="44"/>
        <v>Small Rigid Truck</v>
      </c>
      <c r="B53" s="854" t="s">
        <v>692</v>
      </c>
      <c r="C53" s="443">
        <v>98258.953517306407</v>
      </c>
      <c r="D53" s="443">
        <v>64495.792840614806</v>
      </c>
      <c r="E53" s="333">
        <f t="shared" si="41"/>
        <v>58565.260766379783</v>
      </c>
      <c r="F53" s="443">
        <v>52634.728692144752</v>
      </c>
      <c r="G53" s="333">
        <f t="shared" si="42"/>
        <v>53056.923719918734</v>
      </c>
      <c r="H53" s="443">
        <v>53479.118747692715</v>
      </c>
      <c r="I53" s="333">
        <f t="shared" si="43"/>
        <v>53610.51498168605</v>
      </c>
      <c r="J53" s="855">
        <v>53741.911215679378</v>
      </c>
      <c r="K53" s="902">
        <f>VehicleCostData2023!AE50</f>
        <v>1327792.7757726812</v>
      </c>
      <c r="L53" s="792">
        <f>VehicleCostData2023!AF50</f>
        <v>871544.47239677189</v>
      </c>
      <c r="M53" s="792">
        <f>VehicleCostData2023!AG50</f>
        <v>791404.01330598292</v>
      </c>
      <c r="N53" s="792">
        <f>VehicleCostData2023!AH50</f>
        <v>711263.55421519373</v>
      </c>
      <c r="O53" s="792">
        <f>VehicleCostData2023!AI50</f>
        <v>716968.75957082282</v>
      </c>
      <c r="P53" s="792">
        <f>VehicleCostData2023!AJ50</f>
        <v>722673.96492645168</v>
      </c>
      <c r="Q53" s="792">
        <f>VehicleCostData2023!AK50</f>
        <v>724449.54836200469</v>
      </c>
      <c r="R53" s="903">
        <f>VehicleCostData2023!AL50</f>
        <v>726225.13179755735</v>
      </c>
      <c r="S53" s="331">
        <f t="shared" si="33"/>
        <v>3.3512842602316359</v>
      </c>
      <c r="T53" s="331">
        <f t="shared" si="34"/>
        <v>1.8281038790615101</v>
      </c>
      <c r="U53" s="331">
        <f t="shared" si="35"/>
        <v>1.6090942702930351</v>
      </c>
      <c r="V53" s="331">
        <f t="shared" si="36"/>
        <v>1.4031187020283344</v>
      </c>
      <c r="W53" s="331">
        <f t="shared" si="37"/>
        <v>1.3776619253149238</v>
      </c>
      <c r="X53" s="331">
        <f t="shared" si="38"/>
        <v>1.3534932284935812</v>
      </c>
      <c r="Y53" s="331">
        <f t="shared" si="39"/>
        <v>1.3346483430055707</v>
      </c>
      <c r="Z53" s="331">
        <f t="shared" si="40"/>
        <v>1.3164094058398244</v>
      </c>
      <c r="AB53" s="460" t="s">
        <v>692</v>
      </c>
      <c r="AC53" s="440">
        <v>2.8650268656617239</v>
      </c>
      <c r="AD53" s="440">
        <v>2.7764842570841308</v>
      </c>
      <c r="AE53" s="440">
        <v>2.6226991149666841</v>
      </c>
      <c r="AF53" s="440">
        <v>2.4751373976939441</v>
      </c>
      <c r="AG53" s="440">
        <v>2.3434027526508525</v>
      </c>
    </row>
    <row r="54" spans="1:33" ht="15" x14ac:dyDescent="0.2">
      <c r="A54" s="323" t="str">
        <f t="shared" si="44"/>
        <v>Small Rigid Truck</v>
      </c>
      <c r="B54" s="854" t="s">
        <v>699</v>
      </c>
      <c r="C54" s="443">
        <v>186705.6549520159</v>
      </c>
      <c r="D54" s="443">
        <v>79994.586312453306</v>
      </c>
      <c r="E54" s="333">
        <f t="shared" si="41"/>
        <v>63025.263123564284</v>
      </c>
      <c r="F54" s="443">
        <v>46055.939934675262</v>
      </c>
      <c r="G54" s="333">
        <f t="shared" si="42"/>
        <v>43953.965599473762</v>
      </c>
      <c r="H54" s="443">
        <v>41851.991264272263</v>
      </c>
      <c r="I54" s="333">
        <f t="shared" si="43"/>
        <v>41106.818849390285</v>
      </c>
      <c r="J54" s="855">
        <v>40361.6464345083</v>
      </c>
      <c r="K54" s="902">
        <f>VehicleCostData2023!AE51</f>
        <v>2522990.6381765995</v>
      </c>
      <c r="L54" s="792">
        <f>VehicleCostData2023!AF51</f>
        <v>1080982.7502171779</v>
      </c>
      <c r="M54" s="792">
        <f>VehicleCostData2023!AG51</f>
        <v>851672.91194386315</v>
      </c>
      <c r="N54" s="792">
        <f>VehicleCostData2023!AH51</f>
        <v>622363.07367054839</v>
      </c>
      <c r="O54" s="792">
        <f>VehicleCostData2023!AI51</f>
        <v>593958.67654201027</v>
      </c>
      <c r="P54" s="792">
        <f>VehicleCostData2023!AJ51</f>
        <v>565554.27941347216</v>
      </c>
      <c r="Q54" s="792">
        <f>VehicleCostData2023!AK51</f>
        <v>555484.61640804331</v>
      </c>
      <c r="R54" s="903">
        <f>VehicleCostData2023!AL51</f>
        <v>545414.95340261445</v>
      </c>
      <c r="S54" s="331">
        <f t="shared" si="33"/>
        <v>6.3679054207179622</v>
      </c>
      <c r="T54" s="331">
        <f t="shared" si="34"/>
        <v>2.267410122441758</v>
      </c>
      <c r="U54" s="331">
        <f t="shared" si="35"/>
        <v>1.7316338807127127</v>
      </c>
      <c r="V54" s="331">
        <f t="shared" si="36"/>
        <v>1.2277435880747822</v>
      </c>
      <c r="W54" s="331">
        <f t="shared" si="37"/>
        <v>1.1412969434988889</v>
      </c>
      <c r="X54" s="331">
        <f t="shared" si="38"/>
        <v>1.0592243870437554</v>
      </c>
      <c r="Y54" s="331">
        <f t="shared" si="39"/>
        <v>1.0233654290079244</v>
      </c>
      <c r="Z54" s="331">
        <f t="shared" si="40"/>
        <v>0.98865949869803982</v>
      </c>
      <c r="AB54" s="460" t="s">
        <v>699</v>
      </c>
      <c r="AC54" s="440">
        <v>4.4231993715479234</v>
      </c>
      <c r="AD54" s="440">
        <v>4.1444713824617345</v>
      </c>
      <c r="AE54" s="440">
        <v>3.7921216006621576</v>
      </c>
      <c r="AF54" s="440">
        <v>3.4723007013294853</v>
      </c>
      <c r="AG54" s="440">
        <v>3.1945713779251985</v>
      </c>
    </row>
    <row r="55" spans="1:33" ht="15" x14ac:dyDescent="0.2">
      <c r="A55" s="323" t="str">
        <f t="shared" si="44"/>
        <v>Small Rigid Truck</v>
      </c>
      <c r="B55" s="854" t="s">
        <v>827</v>
      </c>
      <c r="C55" s="443">
        <v>46317.339930537317</v>
      </c>
      <c r="D55" s="443">
        <v>45451.674961545068</v>
      </c>
      <c r="E55" s="333">
        <f t="shared" si="41"/>
        <v>45628.700300804441</v>
      </c>
      <c r="F55" s="443">
        <v>45805.725640063807</v>
      </c>
      <c r="G55" s="333">
        <f t="shared" si="42"/>
        <v>46283.513838402505</v>
      </c>
      <c r="H55" s="443">
        <v>46761.302036741195</v>
      </c>
      <c r="I55" s="333">
        <f t="shared" si="43"/>
        <v>47093.283384632814</v>
      </c>
      <c r="J55" s="855">
        <v>47425.264732524425</v>
      </c>
      <c r="K55" s="902">
        <f>VehicleCostData2023!AE52</f>
        <v>625895.42378896789</v>
      </c>
      <c r="L55" s="792">
        <f>VehicleCostData2023!AF52</f>
        <v>614197.52094223199</v>
      </c>
      <c r="M55" s="792">
        <f>VehicleCostData2023!AG52</f>
        <v>616589.69954971026</v>
      </c>
      <c r="N55" s="792">
        <f>VehicleCostData2023!AH52</f>
        <v>618981.87815718842</v>
      </c>
      <c r="O55" s="792">
        <f>VehicleCostData2023!AI52</f>
        <v>625438.32508028566</v>
      </c>
      <c r="P55" s="792">
        <f>VehicleCostData2023!AJ52</f>
        <v>631894.77200338279</v>
      </c>
      <c r="Q55" s="792">
        <f>VehicleCostData2023!AK52</f>
        <v>636380.90196551534</v>
      </c>
      <c r="R55" s="903">
        <f>VehicleCostData2023!AL52</f>
        <v>640867.03192764765</v>
      </c>
      <c r="S55" s="331">
        <f t="shared" si="33"/>
        <v>1.5797295485919105</v>
      </c>
      <c r="T55" s="331">
        <f t="shared" si="34"/>
        <v>1.2883070297682906</v>
      </c>
      <c r="U55" s="331">
        <f t="shared" si="35"/>
        <v>1.2536592385001522</v>
      </c>
      <c r="V55" s="331">
        <f t="shared" si="36"/>
        <v>1.2210734604801745</v>
      </c>
      <c r="W55" s="331">
        <f t="shared" si="37"/>
        <v>1.2017853715294742</v>
      </c>
      <c r="X55" s="331">
        <f t="shared" si="38"/>
        <v>1.1834732348689445</v>
      </c>
      <c r="Y55" s="331">
        <f t="shared" si="39"/>
        <v>1.1724000908676822</v>
      </c>
      <c r="Z55" s="331">
        <f t="shared" si="40"/>
        <v>1.1616829985407067</v>
      </c>
      <c r="AB55" s="460" t="s">
        <v>827</v>
      </c>
      <c r="AC55" s="440">
        <v>9.3808428425650323</v>
      </c>
      <c r="AD55" s="440">
        <v>8.8624002557856656</v>
      </c>
      <c r="AE55" s="440">
        <v>8.1665144450675626</v>
      </c>
      <c r="AF55" s="440">
        <v>7.6608632465051718</v>
      </c>
      <c r="AG55" s="440">
        <v>7.3657118810820803</v>
      </c>
    </row>
    <row r="56" spans="1:33" ht="15" x14ac:dyDescent="0.2">
      <c r="A56" s="323" t="str">
        <f t="shared" si="44"/>
        <v>Small Rigid Truck</v>
      </c>
      <c r="B56" s="854" t="s">
        <v>700</v>
      </c>
      <c r="C56" s="443">
        <v>44275.919735739342</v>
      </c>
      <c r="D56" s="443">
        <v>43586.340712469508</v>
      </c>
      <c r="E56" s="333">
        <f t="shared" si="41"/>
        <v>43737.618689486233</v>
      </c>
      <c r="F56" s="443">
        <v>43888.896666502958</v>
      </c>
      <c r="G56" s="333">
        <f t="shared" si="42"/>
        <v>44371.661420226636</v>
      </c>
      <c r="H56" s="443">
        <v>44854.426173950313</v>
      </c>
      <c r="I56" s="333">
        <f t="shared" si="43"/>
        <v>45190.948956767446</v>
      </c>
      <c r="J56" s="855">
        <v>45527.471739584573</v>
      </c>
      <c r="K56" s="902">
        <f>VehicleCostData2023!AE53</f>
        <v>598309.30679972272</v>
      </c>
      <c r="L56" s="792">
        <f>VehicleCostData2023!AF53</f>
        <v>588990.88834881992</v>
      </c>
      <c r="M56" s="792">
        <f>VehicleCostData2023!AG53</f>
        <v>591035.13773094804</v>
      </c>
      <c r="N56" s="792">
        <f>VehicleCostData2023!AH53</f>
        <v>593079.38711307617</v>
      </c>
      <c r="O56" s="792">
        <f>VehicleCostData2023!AI53</f>
        <v>599603.08321858256</v>
      </c>
      <c r="P56" s="792">
        <f>VehicleCostData2023!AJ53</f>
        <v>606126.77932408883</v>
      </c>
      <c r="Q56" s="792">
        <f>VehicleCostData2023!AK53</f>
        <v>610674.27859934629</v>
      </c>
      <c r="R56" s="903">
        <f>VehicleCostData2023!AL53</f>
        <v>615221.77787460363</v>
      </c>
      <c r="S56" s="331">
        <f t="shared" si="33"/>
        <v>1.5101035336339914</v>
      </c>
      <c r="T56" s="331">
        <f t="shared" si="34"/>
        <v>1.2354349798826749</v>
      </c>
      <c r="U56" s="331">
        <f t="shared" si="35"/>
        <v>1.2017013278615045</v>
      </c>
      <c r="V56" s="331">
        <f t="shared" si="36"/>
        <v>1.1699752854116976</v>
      </c>
      <c r="W56" s="331">
        <f t="shared" si="37"/>
        <v>1.1521427217360913</v>
      </c>
      <c r="X56" s="331">
        <f t="shared" si="38"/>
        <v>1.1352124626591058</v>
      </c>
      <c r="Y56" s="331">
        <f t="shared" si="39"/>
        <v>1.1250409581889473</v>
      </c>
      <c r="Z56" s="331">
        <f t="shared" si="40"/>
        <v>1.1151965136031547</v>
      </c>
      <c r="AB56" s="460" t="s">
        <v>700</v>
      </c>
      <c r="AC56" s="440">
        <v>10.787969268949785</v>
      </c>
      <c r="AD56" s="440">
        <v>10.191760294153514</v>
      </c>
      <c r="AE56" s="440">
        <v>9.3914916118276945</v>
      </c>
      <c r="AF56" s="440">
        <v>8.8099927334809465</v>
      </c>
      <c r="AG56" s="440">
        <v>8.4705686632443875</v>
      </c>
    </row>
    <row r="57" spans="1:33" x14ac:dyDescent="0.2">
      <c r="A57" s="323" t="str">
        <f t="shared" si="44"/>
        <v>Small Rigid Truck</v>
      </c>
      <c r="B57" s="857"/>
      <c r="C57" s="458"/>
      <c r="D57" s="458"/>
      <c r="E57" s="459"/>
      <c r="F57" s="458"/>
      <c r="G57" s="458"/>
      <c r="H57" s="458"/>
      <c r="I57" s="458"/>
      <c r="J57" s="858"/>
      <c r="K57" s="904">
        <f>VehicleCostData2023!AE54</f>
        <v>0</v>
      </c>
      <c r="L57" s="458">
        <f>VehicleCostData2023!AF54</f>
        <v>0</v>
      </c>
      <c r="M57" s="458">
        <f>VehicleCostData2023!AG54</f>
        <v>0</v>
      </c>
      <c r="N57" s="458">
        <f>VehicleCostData2023!AH54</f>
        <v>0</v>
      </c>
      <c r="O57" s="458">
        <f>VehicleCostData2023!AI54</f>
        <v>0</v>
      </c>
      <c r="P57" s="458">
        <f>VehicleCostData2023!AJ54</f>
        <v>0</v>
      </c>
      <c r="Q57" s="458">
        <f>VehicleCostData2023!AK54</f>
        <v>0</v>
      </c>
      <c r="R57" s="905">
        <f>VehicleCostData2023!AL54</f>
        <v>0</v>
      </c>
    </row>
    <row r="58" spans="1:33" x14ac:dyDescent="0.2">
      <c r="A58" s="323" t="str">
        <f t="shared" si="44"/>
        <v>Small Rigid Truck</v>
      </c>
      <c r="B58" s="848" t="s">
        <v>832</v>
      </c>
      <c r="C58" s="457" t="s">
        <v>831</v>
      </c>
      <c r="D58" s="456">
        <v>0.08</v>
      </c>
      <c r="E58" s="455"/>
      <c r="F58" s="454"/>
      <c r="G58" s="454"/>
      <c r="H58" s="454"/>
      <c r="I58" s="454"/>
      <c r="J58" s="849"/>
      <c r="K58" s="906">
        <f>VehicleCostData2023!AE55</f>
        <v>0</v>
      </c>
      <c r="L58" s="454">
        <f>VehicleCostData2023!AF55</f>
        <v>0</v>
      </c>
      <c r="M58" s="454">
        <f>VehicleCostData2023!AG55</f>
        <v>0</v>
      </c>
      <c r="N58" s="454">
        <f>VehicleCostData2023!AH55</f>
        <v>0</v>
      </c>
      <c r="O58" s="454">
        <f>VehicleCostData2023!AI55</f>
        <v>0</v>
      </c>
      <c r="P58" s="454">
        <f>VehicleCostData2023!AJ55</f>
        <v>0</v>
      </c>
      <c r="Q58" s="454">
        <f>VehicleCostData2023!AK55</f>
        <v>0</v>
      </c>
      <c r="R58" s="897">
        <f>VehicleCostData2023!AL55</f>
        <v>0</v>
      </c>
      <c r="T58" s="454"/>
      <c r="U58" s="454"/>
      <c r="V58" s="454"/>
      <c r="W58" s="454"/>
      <c r="X58" s="454"/>
      <c r="Y58" s="454"/>
      <c r="Z58" s="454"/>
      <c r="AA58" s="454"/>
      <c r="AB58" s="453" t="s">
        <v>816</v>
      </c>
      <c r="AC58" s="323" t="s">
        <v>834</v>
      </c>
    </row>
    <row r="59" spans="1:33" x14ac:dyDescent="0.2">
      <c r="A59" s="323" t="str">
        <f>B59</f>
        <v>Large Rigid Truck</v>
      </c>
      <c r="B59" s="850" t="s">
        <v>735</v>
      </c>
      <c r="C59" s="352">
        <v>2010</v>
      </c>
      <c r="D59" s="352">
        <v>2020</v>
      </c>
      <c r="E59" s="355"/>
      <c r="F59" s="352">
        <v>2030</v>
      </c>
      <c r="G59" s="352"/>
      <c r="H59" s="352">
        <v>2040</v>
      </c>
      <c r="I59" s="352"/>
      <c r="J59" s="851">
        <v>2050</v>
      </c>
      <c r="K59" s="898">
        <f>VehicleCostData2023!AE56</f>
        <v>2010</v>
      </c>
      <c r="L59" s="354">
        <f>VehicleCostData2023!AF56</f>
        <v>2020</v>
      </c>
      <c r="M59" s="354">
        <f>VehicleCostData2023!AG56</f>
        <v>0</v>
      </c>
      <c r="N59" s="354">
        <f>VehicleCostData2023!AH56</f>
        <v>2030</v>
      </c>
      <c r="O59" s="354">
        <f>VehicleCostData2023!AI56</f>
        <v>0</v>
      </c>
      <c r="P59" s="354">
        <f>VehicleCostData2023!AJ56</f>
        <v>2040</v>
      </c>
      <c r="Q59" s="354">
        <f>VehicleCostData2023!AK56</f>
        <v>0</v>
      </c>
      <c r="R59" s="899">
        <f>VehicleCostData2023!AL56</f>
        <v>2050</v>
      </c>
      <c r="S59" s="323">
        <f>C59</f>
        <v>2010</v>
      </c>
      <c r="T59" s="323">
        <f>D59</f>
        <v>2020</v>
      </c>
      <c r="V59" s="323">
        <f>F59</f>
        <v>2030</v>
      </c>
      <c r="X59" s="323">
        <f>H59</f>
        <v>2040</v>
      </c>
      <c r="Z59" s="323">
        <f>J59</f>
        <v>2050</v>
      </c>
      <c r="AB59" s="452" t="s">
        <v>735</v>
      </c>
      <c r="AC59" s="352">
        <v>2010</v>
      </c>
      <c r="AD59" s="352">
        <v>2020</v>
      </c>
      <c r="AE59" s="352">
        <v>2030</v>
      </c>
      <c r="AF59" s="352">
        <v>2040</v>
      </c>
      <c r="AG59" s="352">
        <v>2050</v>
      </c>
    </row>
    <row r="60" spans="1:33" x14ac:dyDescent="0.2">
      <c r="A60" s="323" t="str">
        <f t="shared" ref="A60:A70" si="45">A59</f>
        <v>Large Rigid Truck</v>
      </c>
      <c r="B60" s="852" t="s">
        <v>791</v>
      </c>
      <c r="C60" s="449" t="s">
        <v>193</v>
      </c>
      <c r="D60" s="450"/>
      <c r="E60" s="451"/>
      <c r="F60" s="450"/>
      <c r="G60" s="450"/>
      <c r="H60" s="450"/>
      <c r="I60" s="449"/>
      <c r="J60" s="853" t="s">
        <v>193</v>
      </c>
      <c r="K60" s="864" t="s">
        <v>1356</v>
      </c>
      <c r="L60" s="323" t="s">
        <v>1356</v>
      </c>
      <c r="M60" s="323" t="s">
        <v>1356</v>
      </c>
      <c r="N60" s="323" t="s">
        <v>1356</v>
      </c>
      <c r="O60" s="323" t="s">
        <v>1356</v>
      </c>
      <c r="P60" s="323" t="s">
        <v>1356</v>
      </c>
      <c r="Q60" s="323" t="s">
        <v>1356</v>
      </c>
      <c r="R60" s="894" t="s">
        <v>1356</v>
      </c>
      <c r="AB60" s="448" t="s">
        <v>659</v>
      </c>
      <c r="AC60" s="447" t="s">
        <v>663</v>
      </c>
      <c r="AD60" s="447" t="s">
        <v>663</v>
      </c>
      <c r="AE60" s="447" t="s">
        <v>663</v>
      </c>
      <c r="AF60" s="447" t="s">
        <v>663</v>
      </c>
      <c r="AG60" s="447" t="s">
        <v>663</v>
      </c>
    </row>
    <row r="61" spans="1:33" ht="15" x14ac:dyDescent="0.2">
      <c r="A61" s="323" t="str">
        <f t="shared" si="45"/>
        <v>Large Rigid Truck</v>
      </c>
      <c r="B61" s="854" t="s">
        <v>687</v>
      </c>
      <c r="C61" s="443">
        <v>48009.385894341649</v>
      </c>
      <c r="D61" s="443">
        <v>57940.419801900251</v>
      </c>
      <c r="E61" s="333">
        <f>AVERAGE(D61,F61)</f>
        <v>59814.257149154539</v>
      </c>
      <c r="F61" s="443">
        <v>61688.094496408827</v>
      </c>
      <c r="G61" s="333">
        <f>AVERAGE(F61,H61)</f>
        <v>62890.784139991294</v>
      </c>
      <c r="H61" s="443">
        <v>64093.473783573761</v>
      </c>
      <c r="I61" s="333">
        <f>AVERAGE(H61,J61)</f>
        <v>65128.994301691499</v>
      </c>
      <c r="J61" s="855">
        <v>66164.514819809236</v>
      </c>
      <c r="K61" s="902">
        <f>VehicleCostData2023!AE58</f>
        <v>685854.55456102896</v>
      </c>
      <c r="L61" s="792">
        <f>VehicleCostData2023!AF58</f>
        <v>827727.74685699318</v>
      </c>
      <c r="M61" s="792">
        <f>VehicleCostData2023!AG58</f>
        <v>854497.09320833592</v>
      </c>
      <c r="N61" s="792">
        <f>VehicleCostData2023!AH58</f>
        <v>881266.43955967901</v>
      </c>
      <c r="O61" s="792">
        <f>VehicleCostData2023!AI58</f>
        <v>898447.87511458865</v>
      </c>
      <c r="P61" s="792">
        <f>VehicleCostData2023!AJ58</f>
        <v>915629.31066949805</v>
      </c>
      <c r="Q61" s="792">
        <f>VehicleCostData2023!AK58</f>
        <v>930422.59432564571</v>
      </c>
      <c r="R61" s="903">
        <f>VehicleCostData2023!AL58</f>
        <v>945215.87798179325</v>
      </c>
      <c r="S61" s="331">
        <f t="shared" ref="S61:Z68" si="46">C61/C$61</f>
        <v>1</v>
      </c>
      <c r="T61" s="331">
        <f t="shared" si="46"/>
        <v>1</v>
      </c>
      <c r="U61" s="331">
        <f t="shared" si="46"/>
        <v>1</v>
      </c>
      <c r="V61" s="331">
        <f t="shared" si="46"/>
        <v>1</v>
      </c>
      <c r="W61" s="331">
        <f t="shared" si="46"/>
        <v>1</v>
      </c>
      <c r="X61" s="331">
        <f t="shared" si="46"/>
        <v>1</v>
      </c>
      <c r="Y61" s="331">
        <f t="shared" si="46"/>
        <v>1</v>
      </c>
      <c r="Z61" s="331">
        <f t="shared" si="46"/>
        <v>1</v>
      </c>
      <c r="AB61" s="442" t="s">
        <v>687</v>
      </c>
      <c r="AC61" s="441">
        <v>12.405066687804799</v>
      </c>
      <c r="AD61" s="441">
        <v>11.079673113362597</v>
      </c>
      <c r="AE61" s="441">
        <v>9.2713390042129831</v>
      </c>
      <c r="AF61" s="440">
        <v>8.5519347392531859</v>
      </c>
      <c r="AG61" s="440">
        <v>8.0369288469360249</v>
      </c>
    </row>
    <row r="62" spans="1:33" ht="15" x14ac:dyDescent="0.2">
      <c r="A62" s="323" t="str">
        <f t="shared" si="45"/>
        <v>Large Rigid Truck</v>
      </c>
      <c r="B62" s="854" t="s">
        <v>829</v>
      </c>
      <c r="C62" s="443">
        <v>55112.329329017077</v>
      </c>
      <c r="D62" s="443">
        <v>63355.677808306173</v>
      </c>
      <c r="E62" s="333">
        <f>AVERAGE(D62,F62)</f>
        <v>64211.520496007477</v>
      </c>
      <c r="F62" s="443">
        <v>65067.363183708781</v>
      </c>
      <c r="G62" s="333">
        <f>AVERAGE(F62,H62)</f>
        <v>65771.712375082017</v>
      </c>
      <c r="H62" s="443">
        <v>66476.061566455261</v>
      </c>
      <c r="I62" s="333">
        <f>AVERAGE(H62,J62)</f>
        <v>67187.356351186958</v>
      </c>
      <c r="J62" s="855">
        <v>67898.65113591867</v>
      </c>
      <c r="K62" s="902">
        <f>VehicleCostData2023!AE59</f>
        <v>787326.09006833192</v>
      </c>
      <c r="L62" s="792">
        <f>VehicleCostData2023!AF59</f>
        <v>905089.27312167943</v>
      </c>
      <c r="M62" s="792">
        <f>VehicleCostData2023!AG59</f>
        <v>917315.70748265041</v>
      </c>
      <c r="N62" s="792">
        <f>VehicleCostData2023!AH59</f>
        <v>929542.14184362139</v>
      </c>
      <c r="O62" s="792">
        <f>VehicleCostData2023!AI59</f>
        <v>939604.36388428381</v>
      </c>
      <c r="P62" s="792">
        <f>VehicleCostData2023!AJ59</f>
        <v>949666.58592494624</v>
      </c>
      <c r="Q62" s="792">
        <f>VehicleCostData2023!AK59</f>
        <v>959828.03162261436</v>
      </c>
      <c r="R62" s="903">
        <f>VehicleCostData2023!AL59</f>
        <v>969989.47732028249</v>
      </c>
      <c r="S62" s="331">
        <f t="shared" si="46"/>
        <v>1.1479490583426224</v>
      </c>
      <c r="T62" s="331">
        <f t="shared" si="46"/>
        <v>1.0934625262454229</v>
      </c>
      <c r="U62" s="331">
        <f t="shared" si="46"/>
        <v>1.0735153048191803</v>
      </c>
      <c r="V62" s="331">
        <f t="shared" si="46"/>
        <v>1.0547799168524596</v>
      </c>
      <c r="W62" s="331">
        <f t="shared" si="46"/>
        <v>1.0458084324195727</v>
      </c>
      <c r="X62" s="331">
        <f t="shared" si="46"/>
        <v>1.0371736409689207</v>
      </c>
      <c r="Y62" s="331">
        <f t="shared" si="46"/>
        <v>1.031604388668443</v>
      </c>
      <c r="Z62" s="331">
        <f t="shared" si="46"/>
        <v>1.0262094616854991</v>
      </c>
      <c r="AA62" s="423"/>
      <c r="AB62" s="442" t="s">
        <v>829</v>
      </c>
      <c r="AC62" s="441">
        <v>11.592916086655798</v>
      </c>
      <c r="AD62" s="441">
        <v>10.668979752918897</v>
      </c>
      <c r="AE62" s="441">
        <v>8.9261323241626958</v>
      </c>
      <c r="AF62" s="440">
        <v>8.2320162814163229</v>
      </c>
      <c r="AG62" s="440">
        <v>7.7349392758744928</v>
      </c>
    </row>
    <row r="63" spans="1:33" ht="15" x14ac:dyDescent="0.2">
      <c r="A63" s="323" t="str">
        <f t="shared" si="45"/>
        <v>Large Rigid Truck</v>
      </c>
      <c r="B63" s="854" t="s">
        <v>828</v>
      </c>
      <c r="C63" s="443">
        <v>53843.390822997011</v>
      </c>
      <c r="D63" s="443">
        <v>60435.722060242377</v>
      </c>
      <c r="E63" s="333">
        <f>AVERAGE(D63,F63)</f>
        <v>61828.41076555739</v>
      </c>
      <c r="F63" s="443">
        <v>63221.099470872403</v>
      </c>
      <c r="G63" s="333">
        <f>AVERAGE(F63,H63)</f>
        <v>64515.295789043499</v>
      </c>
      <c r="H63" s="443">
        <v>65809.492107214595</v>
      </c>
      <c r="I63" s="333">
        <f>AVERAGE(H63,J63)</f>
        <v>66611.295610428439</v>
      </c>
      <c r="J63" s="855">
        <v>67413.099113642267</v>
      </c>
      <c r="K63" s="902">
        <f>VehicleCostData2023!AE60</f>
        <v>769198.23365860654</v>
      </c>
      <c r="L63" s="792">
        <f>VehicleCostData2023!AF60</f>
        <v>863375.24342478567</v>
      </c>
      <c r="M63" s="792">
        <f>VehicleCostData2023!AG60</f>
        <v>883270.97576612735</v>
      </c>
      <c r="N63" s="792">
        <f>VehicleCostData2023!AH60</f>
        <v>903166.70810746902</v>
      </c>
      <c r="O63" s="792">
        <f>VehicleCostData2023!AI60</f>
        <v>921655.39365881612</v>
      </c>
      <c r="P63" s="792">
        <f>VehicleCostData2023!AJ60</f>
        <v>940144.07921016309</v>
      </c>
      <c r="Q63" s="792">
        <f>VehicleCostData2023!AK60</f>
        <v>951598.51825990353</v>
      </c>
      <c r="R63" s="903">
        <f>VehicleCostData2023!AL60</f>
        <v>963052.95730964374</v>
      </c>
      <c r="S63" s="331">
        <f t="shared" si="46"/>
        <v>1.1215180077807025</v>
      </c>
      <c r="T63" s="331">
        <f t="shared" si="46"/>
        <v>1.0430666927660108</v>
      </c>
      <c r="U63" s="331">
        <f t="shared" si="46"/>
        <v>1.0336734703798176</v>
      </c>
      <c r="V63" s="331">
        <f t="shared" si="46"/>
        <v>1.0248509049757213</v>
      </c>
      <c r="W63" s="331">
        <f t="shared" si="46"/>
        <v>1.0258306788707887</v>
      </c>
      <c r="X63" s="331">
        <f t="shared" si="46"/>
        <v>1.0267736825973166</v>
      </c>
      <c r="Y63" s="331">
        <f t="shared" si="46"/>
        <v>1.0227594687224957</v>
      </c>
      <c r="Z63" s="331">
        <f t="shared" si="46"/>
        <v>1.0188709053067704</v>
      </c>
      <c r="AA63" s="423"/>
      <c r="AB63" s="442" t="s">
        <v>828</v>
      </c>
      <c r="AC63" s="441">
        <v>11.906238143051901</v>
      </c>
      <c r="AD63" s="441">
        <v>10.876510016936766</v>
      </c>
      <c r="AE63" s="441">
        <v>9.0326739114615631</v>
      </c>
      <c r="AF63" s="440">
        <v>8.1823161499090808</v>
      </c>
      <c r="AG63" s="440">
        <v>7.6892867494321644</v>
      </c>
    </row>
    <row r="64" spans="1:33" ht="15" x14ac:dyDescent="0.2">
      <c r="A64" s="323" t="str">
        <f t="shared" si="45"/>
        <v>Large Rigid Truck</v>
      </c>
      <c r="B64" s="854" t="s">
        <v>689</v>
      </c>
      <c r="C64" s="443">
        <v>60548.534703667669</v>
      </c>
      <c r="D64" s="443">
        <v>64511.724805744314</v>
      </c>
      <c r="E64" s="333">
        <f>AVERAGE(D64,F64)</f>
        <v>64827.694446534362</v>
      </c>
      <c r="F64" s="443">
        <v>65143.664087324411</v>
      </c>
      <c r="G64" s="333">
        <f>AVERAGE(F64,H64)</f>
        <v>65658.689390066094</v>
      </c>
      <c r="H64" s="443">
        <v>66173.714692807771</v>
      </c>
      <c r="I64" s="333">
        <f>AVERAGE(H64,J64)</f>
        <v>66632.412207673493</v>
      </c>
      <c r="J64" s="855">
        <v>67091.109722539215</v>
      </c>
      <c r="K64" s="902">
        <f>VehicleCostData2023!AE61</f>
        <v>864986.86714927107</v>
      </c>
      <c r="L64" s="792">
        <f>VehicleCostData2023!AF61</f>
        <v>921604.37915166514</v>
      </c>
      <c r="M64" s="792">
        <f>VehicleCostData2023!AG61</f>
        <v>926118.27186663973</v>
      </c>
      <c r="N64" s="792">
        <f>VehicleCostData2023!AH61</f>
        <v>930632.1645816142</v>
      </c>
      <c r="O64" s="792">
        <f>VehicleCostData2023!AI61</f>
        <v>937989.73525283556</v>
      </c>
      <c r="P64" s="792">
        <f>VehicleCostData2023!AJ61</f>
        <v>945347.3059240568</v>
      </c>
      <c r="Q64" s="792">
        <f>VehicleCostData2023!AK61</f>
        <v>951900.18665510486</v>
      </c>
      <c r="R64" s="903">
        <f>VehicleCostData2023!AL61</f>
        <v>958453.06738615292</v>
      </c>
      <c r="S64" s="331">
        <f t="shared" si="46"/>
        <v>1.2611811956295795</v>
      </c>
      <c r="T64" s="331">
        <f t="shared" si="46"/>
        <v>1.1134148669669899</v>
      </c>
      <c r="U64" s="331">
        <f t="shared" si="46"/>
        <v>1.0838167610253551</v>
      </c>
      <c r="V64" s="331">
        <f t="shared" si="46"/>
        <v>1.0560167990132481</v>
      </c>
      <c r="W64" s="331">
        <f t="shared" si="46"/>
        <v>1.0440113013047128</v>
      </c>
      <c r="X64" s="331">
        <f t="shared" si="46"/>
        <v>1.0324563607873465</v>
      </c>
      <c r="Y64" s="331">
        <f t="shared" si="46"/>
        <v>1.0230836960113008</v>
      </c>
      <c r="Z64" s="331">
        <f t="shared" si="46"/>
        <v>1.0140044086358593</v>
      </c>
      <c r="AA64" s="423"/>
      <c r="AB64" s="442" t="s">
        <v>689</v>
      </c>
      <c r="AC64" s="441">
        <v>11.279594030259696</v>
      </c>
      <c r="AD64" s="441">
        <v>10.250985135870808</v>
      </c>
      <c r="AE64" s="441">
        <v>8.4878494853495958</v>
      </c>
      <c r="AF64" s="440">
        <v>7.6889868112501585</v>
      </c>
      <c r="AG64" s="440">
        <v>7.1728144576780375</v>
      </c>
    </row>
    <row r="65" spans="1:33" ht="15" x14ac:dyDescent="0.2">
      <c r="A65" s="323" t="str">
        <f t="shared" si="45"/>
        <v>Large Rigid Truck</v>
      </c>
      <c r="B65" s="854" t="s">
        <v>692</v>
      </c>
      <c r="C65" s="445"/>
      <c r="D65" s="445"/>
      <c r="E65" s="446"/>
      <c r="F65" s="445"/>
      <c r="G65" s="445"/>
      <c r="H65" s="445"/>
      <c r="I65" s="445"/>
      <c r="J65" s="866"/>
      <c r="K65" s="902">
        <f>VehicleCostData2023!AE62</f>
        <v>3566821.7975551309</v>
      </c>
      <c r="L65" s="792">
        <f>VehicleCostData2023!AF62</f>
        <v>2719661.6032872326</v>
      </c>
      <c r="M65" s="792">
        <f>VehicleCostData2023!AG62</f>
        <v>1903763.1223010626</v>
      </c>
      <c r="N65" s="792">
        <f>VehicleCostData2023!AH62</f>
        <v>1631796.9619723395</v>
      </c>
      <c r="O65" s="792">
        <f>VehicleCostData2023!AI62</f>
        <v>1359830.8016436163</v>
      </c>
      <c r="P65" s="792">
        <f>VehicleCostData2023!AJ62</f>
        <v>1269175.4148673753</v>
      </c>
      <c r="Q65" s="792">
        <f>VehicleCostData2023!AK62</f>
        <v>1178520.028091134</v>
      </c>
      <c r="R65" s="903">
        <f>VehicleCostData2023!AL62</f>
        <v>1087864.641314893</v>
      </c>
      <c r="S65" s="331">
        <f t="shared" si="46"/>
        <v>0</v>
      </c>
      <c r="T65" s="331">
        <f t="shared" si="46"/>
        <v>0</v>
      </c>
      <c r="U65" s="331">
        <f t="shared" si="46"/>
        <v>0</v>
      </c>
      <c r="V65" s="331">
        <f t="shared" si="46"/>
        <v>0</v>
      </c>
      <c r="W65" s="331">
        <f t="shared" si="46"/>
        <v>0</v>
      </c>
      <c r="X65" s="331">
        <f t="shared" si="46"/>
        <v>0</v>
      </c>
      <c r="Y65" s="331">
        <f t="shared" si="46"/>
        <v>0</v>
      </c>
      <c r="Z65" s="331">
        <f t="shared" si="46"/>
        <v>0</v>
      </c>
      <c r="AA65" s="423"/>
      <c r="AB65" s="442" t="s">
        <v>692</v>
      </c>
      <c r="AC65" s="444"/>
      <c r="AD65" s="444"/>
      <c r="AE65" s="444"/>
      <c r="AF65" s="444"/>
      <c r="AG65" s="444"/>
    </row>
    <row r="66" spans="1:33" ht="15" x14ac:dyDescent="0.2">
      <c r="A66" s="323" t="str">
        <f t="shared" si="45"/>
        <v>Large Rigid Truck</v>
      </c>
      <c r="B66" s="854" t="s">
        <v>699</v>
      </c>
      <c r="C66" s="443">
        <v>292693.65031210642</v>
      </c>
      <c r="D66" s="443">
        <v>126916.39701735262</v>
      </c>
      <c r="E66" s="333">
        <f>AVERAGE(D66,F66)</f>
        <v>100600.3377548374</v>
      </c>
      <c r="F66" s="443">
        <v>74284.278492322177</v>
      </c>
      <c r="G66" s="333">
        <f>AVERAGE(F66,H66)</f>
        <v>70838.136827571143</v>
      </c>
      <c r="H66" s="443">
        <v>67391.995162820094</v>
      </c>
      <c r="I66" s="333">
        <f>AVERAGE(H66,J66)</f>
        <v>66131.629714834795</v>
      </c>
      <c r="J66" s="855">
        <v>64871.264266849503</v>
      </c>
      <c r="K66" s="902">
        <f>VehicleCostData2023!AE63</f>
        <v>4181375.5668412126</v>
      </c>
      <c r="L66" s="792">
        <f>VehicleCostData2023!AF63</f>
        <v>1813107.7355248218</v>
      </c>
      <c r="M66" s="792">
        <f>VehicleCostData2023!AG63</f>
        <v>1437160.6416999607</v>
      </c>
      <c r="N66" s="792">
        <f>VehicleCostData2023!AH63</f>
        <v>1061213.5478750996</v>
      </c>
      <c r="O66" s="792">
        <f>VehicleCostData2023!AI63</f>
        <v>1011982.5087271776</v>
      </c>
      <c r="P66" s="792">
        <f>VehicleCostData2023!AJ63</f>
        <v>962751.46957925544</v>
      </c>
      <c r="Q66" s="792">
        <f>VehicleCostData2023!AK63</f>
        <v>944746.08653156378</v>
      </c>
      <c r="R66" s="903">
        <f>VehicleCostData2023!AL63</f>
        <v>926740.70348387223</v>
      </c>
      <c r="S66" s="331">
        <f t="shared" si="46"/>
        <v>6.0965922571111886</v>
      </c>
      <c r="T66" s="331">
        <f t="shared" si="46"/>
        <v>2.1904638843018911</v>
      </c>
      <c r="U66" s="331">
        <f t="shared" si="46"/>
        <v>1.6818789123131217</v>
      </c>
      <c r="V66" s="331">
        <f t="shared" si="46"/>
        <v>1.2041914910606719</v>
      </c>
      <c r="W66" s="331">
        <f t="shared" si="46"/>
        <v>1.1263675242129196</v>
      </c>
      <c r="X66" s="331">
        <f t="shared" si="46"/>
        <v>1.0514642316062404</v>
      </c>
      <c r="Y66" s="331">
        <f t="shared" si="46"/>
        <v>1.0153946091735868</v>
      </c>
      <c r="Z66" s="331">
        <f t="shared" si="46"/>
        <v>0.98045401592557979</v>
      </c>
      <c r="AA66" s="423"/>
      <c r="AB66" s="442" t="s">
        <v>699</v>
      </c>
      <c r="AC66" s="441">
        <v>5.8799360656642294</v>
      </c>
      <c r="AD66" s="441">
        <v>5.1384619025703593</v>
      </c>
      <c r="AE66" s="441">
        <v>4.3850309801444771</v>
      </c>
      <c r="AF66" s="440">
        <v>3.8570288709298688</v>
      </c>
      <c r="AG66" s="440">
        <v>3.5111901737732367</v>
      </c>
    </row>
    <row r="67" spans="1:33" ht="15" x14ac:dyDescent="0.2">
      <c r="A67" s="323" t="str">
        <f t="shared" si="45"/>
        <v>Large Rigid Truck</v>
      </c>
      <c r="B67" s="854" t="s">
        <v>827</v>
      </c>
      <c r="C67" s="443">
        <v>68809.385894341656</v>
      </c>
      <c r="D67" s="443">
        <v>70106.798675499071</v>
      </c>
      <c r="E67" s="333">
        <f>AVERAGE(D67,F67)</f>
        <v>70569.517955277915</v>
      </c>
      <c r="F67" s="443">
        <v>71032.23723505676</v>
      </c>
      <c r="G67" s="333">
        <f>AVERAGE(F67,H67)</f>
        <v>71565.952590109926</v>
      </c>
      <c r="H67" s="443">
        <v>72099.667945163092</v>
      </c>
      <c r="I67" s="333">
        <f>AVERAGE(H67,J67)</f>
        <v>72698.573202554719</v>
      </c>
      <c r="J67" s="855">
        <v>73297.478459946346</v>
      </c>
      <c r="K67" s="902">
        <f>VehicleCostData2023!AE64</f>
        <v>983000.09119141463</v>
      </c>
      <c r="L67" s="792">
        <f>VehicleCostData2023!AF64</f>
        <v>1001534.7266283445</v>
      </c>
      <c r="M67" s="792">
        <f>VehicleCostData2023!AG64</f>
        <v>1008145.0616619556</v>
      </c>
      <c r="N67" s="792">
        <f>VehicleCostData2023!AH64</f>
        <v>1014755.3966955666</v>
      </c>
      <c r="O67" s="792">
        <f>VehicleCostData2023!AI64</f>
        <v>1022379.9705217757</v>
      </c>
      <c r="P67" s="792">
        <f>VehicleCostData2023!AJ64</f>
        <v>1030004.5443479848</v>
      </c>
      <c r="Q67" s="792">
        <f>VehicleCostData2023!AK64</f>
        <v>1038560.4108911769</v>
      </c>
      <c r="R67" s="903">
        <f>VehicleCostData2023!AL64</f>
        <v>1047116.277434369</v>
      </c>
      <c r="S67" s="331">
        <f t="shared" si="46"/>
        <v>1.433248616130528</v>
      </c>
      <c r="T67" s="331">
        <f t="shared" si="46"/>
        <v>1.2099808547331203</v>
      </c>
      <c r="U67" s="331">
        <f t="shared" si="46"/>
        <v>1.1798109902009442</v>
      </c>
      <c r="V67" s="331">
        <f t="shared" si="46"/>
        <v>1.1514740050722738</v>
      </c>
      <c r="W67" s="331">
        <f t="shared" si="46"/>
        <v>1.1379402176129367</v>
      </c>
      <c r="X67" s="331">
        <f t="shared" si="46"/>
        <v>1.1249143428958785</v>
      </c>
      <c r="Y67" s="331">
        <f t="shared" si="46"/>
        <v>1.1162244094511777</v>
      </c>
      <c r="Z67" s="331">
        <f t="shared" si="46"/>
        <v>1.1078064829699552</v>
      </c>
      <c r="AA67" s="423"/>
      <c r="AB67" s="442" t="s">
        <v>827</v>
      </c>
      <c r="AC67" s="441">
        <v>12.405066687804799</v>
      </c>
      <c r="AD67" s="441">
        <v>11.079673113362597</v>
      </c>
      <c r="AE67" s="441">
        <v>9.2713390042129831</v>
      </c>
      <c r="AF67" s="440">
        <v>8.5519347392531859</v>
      </c>
      <c r="AG67" s="440">
        <v>8.0369288469360249</v>
      </c>
    </row>
    <row r="68" spans="1:33" ht="15" x14ac:dyDescent="0.2">
      <c r="A68" s="323" t="str">
        <f t="shared" si="45"/>
        <v>Large Rigid Truck</v>
      </c>
      <c r="B68" s="854" t="s">
        <v>700</v>
      </c>
      <c r="C68" s="443">
        <v>65490.011555435871</v>
      </c>
      <c r="D68" s="443">
        <v>66913.111037795607</v>
      </c>
      <c r="E68" s="333">
        <f>AVERAGE(D68,F68)</f>
        <v>67298.356045769819</v>
      </c>
      <c r="F68" s="443">
        <v>67683.601053744045</v>
      </c>
      <c r="G68" s="333">
        <f>AVERAGE(F68,H68)</f>
        <v>68223.882646024198</v>
      </c>
      <c r="H68" s="443">
        <v>68764.164238304336</v>
      </c>
      <c r="I68" s="333">
        <f>AVERAGE(H68,J68)</f>
        <v>69365.534458309019</v>
      </c>
      <c r="J68" s="855">
        <v>69966.904678313702</v>
      </c>
      <c r="K68" s="902">
        <f>VehicleCostData2023!AE65</f>
        <v>935580.03017164103</v>
      </c>
      <c r="L68" s="792">
        <f>VehicleCostData2023!AF65</f>
        <v>955910.20610261254</v>
      </c>
      <c r="M68" s="792">
        <f>VehicleCostData2023!AG65</f>
        <v>961413.7558443757</v>
      </c>
      <c r="N68" s="792">
        <f>VehicleCostData2023!AH65</f>
        <v>966917.30558613921</v>
      </c>
      <c r="O68" s="792">
        <f>VehicleCostData2023!AI65</f>
        <v>974635.68364717788</v>
      </c>
      <c r="P68" s="792">
        <f>VehicleCostData2023!AJ65</f>
        <v>982354.06170821632</v>
      </c>
      <c r="Q68" s="792">
        <f>VehicleCostData2023!AK65</f>
        <v>990945.14232056367</v>
      </c>
      <c r="R68" s="903">
        <f>VehicleCostData2023!AL65</f>
        <v>999536.2229329109</v>
      </c>
      <c r="S68" s="331">
        <f t="shared" si="46"/>
        <v>1.3641085036906184</v>
      </c>
      <c r="T68" s="331">
        <f t="shared" si="46"/>
        <v>1.1548606528322234</v>
      </c>
      <c r="U68" s="331">
        <f t="shared" si="46"/>
        <v>1.125122324564739</v>
      </c>
      <c r="V68" s="331">
        <f t="shared" si="46"/>
        <v>1.0971906590125626</v>
      </c>
      <c r="W68" s="331">
        <f t="shared" si="46"/>
        <v>1.0847993641510612</v>
      </c>
      <c r="X68" s="331">
        <f t="shared" si="46"/>
        <v>1.0728731051542351</v>
      </c>
      <c r="Y68" s="331">
        <f t="shared" si="46"/>
        <v>1.0650484504181494</v>
      </c>
      <c r="Z68" s="331">
        <f t="shared" si="46"/>
        <v>1.057468718222446</v>
      </c>
      <c r="AA68" s="423"/>
      <c r="AB68" s="442" t="s">
        <v>700</v>
      </c>
      <c r="AC68" s="441">
        <v>14.265826690975519</v>
      </c>
      <c r="AD68" s="441">
        <v>12.741624080366986</v>
      </c>
      <c r="AE68" s="441">
        <v>10.662039854844934</v>
      </c>
      <c r="AF68" s="440">
        <v>9.8347249501411635</v>
      </c>
      <c r="AG68" s="440">
        <v>9.2424681739764267</v>
      </c>
    </row>
    <row r="69" spans="1:33" ht="15" x14ac:dyDescent="0.2">
      <c r="A69" s="323" t="str">
        <f t="shared" si="45"/>
        <v>Large Rigid Truck</v>
      </c>
      <c r="B69" s="864"/>
      <c r="E69" s="333"/>
      <c r="J69" s="847"/>
      <c r="K69" s="864">
        <f>VehicleCostData2023!AE66</f>
        <v>0</v>
      </c>
      <c r="L69" s="323">
        <f>VehicleCostData2023!AF66</f>
        <v>0</v>
      </c>
      <c r="M69" s="323">
        <f>VehicleCostData2023!AG66</f>
        <v>0</v>
      </c>
      <c r="N69" s="323">
        <f>VehicleCostData2023!AH66</f>
        <v>0</v>
      </c>
      <c r="O69" s="323">
        <f>VehicleCostData2023!AI66</f>
        <v>0</v>
      </c>
      <c r="P69" s="323">
        <f>VehicleCostData2023!AJ66</f>
        <v>0</v>
      </c>
      <c r="Q69" s="323">
        <f>VehicleCostData2023!AK66</f>
        <v>0</v>
      </c>
      <c r="R69" s="894">
        <f>VehicleCostData2023!AL66</f>
        <v>0</v>
      </c>
      <c r="Z69" s="423"/>
      <c r="AA69" s="423"/>
    </row>
    <row r="70" spans="1:33" ht="15" x14ac:dyDescent="0.2">
      <c r="A70" s="323" t="str">
        <f t="shared" si="45"/>
        <v>Large Rigid Truck</v>
      </c>
      <c r="B70" s="867" t="s">
        <v>832</v>
      </c>
      <c r="C70" s="360" t="s">
        <v>831</v>
      </c>
      <c r="D70" s="359">
        <v>0.08</v>
      </c>
      <c r="E70" s="358"/>
      <c r="J70" s="847"/>
      <c r="K70" s="864">
        <f>VehicleCostData2023!AE67</f>
        <v>0</v>
      </c>
      <c r="L70" s="323">
        <f>VehicleCostData2023!AF67</f>
        <v>0</v>
      </c>
      <c r="M70" s="323">
        <f>VehicleCostData2023!AG67</f>
        <v>0</v>
      </c>
      <c r="N70" s="323">
        <f>VehicleCostData2023!AH67</f>
        <v>0</v>
      </c>
      <c r="O70" s="323">
        <f>VehicleCostData2023!AI67</f>
        <v>0</v>
      </c>
      <c r="P70" s="323">
        <f>VehicleCostData2023!AJ67</f>
        <v>0</v>
      </c>
      <c r="Q70" s="323">
        <f>VehicleCostData2023!AK67</f>
        <v>0</v>
      </c>
      <c r="R70" s="894">
        <f>VehicleCostData2023!AL67</f>
        <v>0</v>
      </c>
      <c r="Z70" s="423"/>
      <c r="AA70" s="423"/>
      <c r="AB70" s="438" t="s">
        <v>816</v>
      </c>
    </row>
    <row r="71" spans="1:33" ht="15" x14ac:dyDescent="0.2">
      <c r="A71" s="323" t="str">
        <f>B71</f>
        <v>Articulated Truck</v>
      </c>
      <c r="B71" s="868" t="s">
        <v>747</v>
      </c>
      <c r="C71" s="352">
        <v>2010</v>
      </c>
      <c r="D71" s="352">
        <v>2020</v>
      </c>
      <c r="E71" s="355"/>
      <c r="F71" s="352">
        <v>2030</v>
      </c>
      <c r="G71" s="352"/>
      <c r="H71" s="352">
        <v>2040</v>
      </c>
      <c r="I71" s="352"/>
      <c r="J71" s="851">
        <v>2050</v>
      </c>
      <c r="K71" s="898">
        <f>VehicleCostData2023!AE68</f>
        <v>2010</v>
      </c>
      <c r="L71" s="354">
        <f>VehicleCostData2023!AF68</f>
        <v>2020</v>
      </c>
      <c r="M71" s="354">
        <f>VehicleCostData2023!AG68</f>
        <v>0</v>
      </c>
      <c r="N71" s="354">
        <f>VehicleCostData2023!AH68</f>
        <v>2030</v>
      </c>
      <c r="O71" s="354">
        <f>VehicleCostData2023!AI68</f>
        <v>0</v>
      </c>
      <c r="P71" s="354">
        <f>VehicleCostData2023!AJ68</f>
        <v>2040</v>
      </c>
      <c r="Q71" s="354">
        <f>VehicleCostData2023!AK68</f>
        <v>0</v>
      </c>
      <c r="R71" s="899">
        <f>VehicleCostData2023!AL68</f>
        <v>2050</v>
      </c>
      <c r="S71" s="323">
        <f>C71</f>
        <v>2010</v>
      </c>
      <c r="T71" s="323">
        <f>D71</f>
        <v>2020</v>
      </c>
      <c r="V71" s="323">
        <f>F71</f>
        <v>2030</v>
      </c>
      <c r="X71" s="323">
        <f>H71</f>
        <v>2040</v>
      </c>
      <c r="Z71" s="323">
        <f>J71</f>
        <v>2050</v>
      </c>
      <c r="AA71" s="423"/>
      <c r="AB71" s="436" t="s">
        <v>833</v>
      </c>
      <c r="AC71" s="352">
        <v>2010</v>
      </c>
      <c r="AD71" s="352">
        <v>2020</v>
      </c>
      <c r="AE71" s="352">
        <v>2030</v>
      </c>
      <c r="AF71" s="352">
        <v>2040</v>
      </c>
      <c r="AG71" s="352">
        <v>2050</v>
      </c>
    </row>
    <row r="72" spans="1:33" ht="15" x14ac:dyDescent="0.2">
      <c r="A72" s="323" t="str">
        <f t="shared" ref="A72:A82" si="47">A71</f>
        <v>Articulated Truck</v>
      </c>
      <c r="B72" s="869" t="s">
        <v>791</v>
      </c>
      <c r="C72" s="434" t="s">
        <v>193</v>
      </c>
      <c r="D72" s="433" t="s">
        <v>193</v>
      </c>
      <c r="E72" s="432"/>
      <c r="F72" s="431" t="s">
        <v>193</v>
      </c>
      <c r="G72" s="431"/>
      <c r="H72" s="430" t="s">
        <v>193</v>
      </c>
      <c r="I72" s="430"/>
      <c r="J72" s="870" t="s">
        <v>193</v>
      </c>
      <c r="K72" s="864" t="s">
        <v>1356</v>
      </c>
      <c r="L72" s="323" t="s">
        <v>1356</v>
      </c>
      <c r="M72" s="323" t="s">
        <v>1356</v>
      </c>
      <c r="N72" s="323" t="s">
        <v>1356</v>
      </c>
      <c r="O72" s="323" t="s">
        <v>1356</v>
      </c>
      <c r="P72" s="323" t="s">
        <v>1356</v>
      </c>
      <c r="Q72" s="323" t="s">
        <v>1356</v>
      </c>
      <c r="R72" s="894" t="s">
        <v>1356</v>
      </c>
      <c r="Z72" s="423"/>
      <c r="AA72" s="423"/>
      <c r="AB72" s="428" t="s">
        <v>659</v>
      </c>
      <c r="AC72" s="427" t="s">
        <v>663</v>
      </c>
      <c r="AD72" s="426" t="s">
        <v>663</v>
      </c>
      <c r="AE72" s="426" t="s">
        <v>663</v>
      </c>
      <c r="AF72" s="425" t="s">
        <v>663</v>
      </c>
      <c r="AG72" s="424" t="s">
        <v>663</v>
      </c>
    </row>
    <row r="73" spans="1:33" ht="15" x14ac:dyDescent="0.2">
      <c r="A73" s="323" t="str">
        <f t="shared" si="47"/>
        <v>Articulated Truck</v>
      </c>
      <c r="B73" s="871" t="s">
        <v>687</v>
      </c>
      <c r="C73" s="410">
        <v>61438.455349959782</v>
      </c>
      <c r="D73" s="409">
        <v>76189.319195648335</v>
      </c>
      <c r="E73" s="333">
        <f>AVERAGE(D73,F73)</f>
        <v>78158.609203405707</v>
      </c>
      <c r="F73" s="408">
        <v>80127.899211163094</v>
      </c>
      <c r="G73" s="333">
        <f>AVERAGE(F73,H73)</f>
        <v>81664.896234069121</v>
      </c>
      <c r="H73" s="407">
        <v>83201.893256975149</v>
      </c>
      <c r="I73" s="333">
        <f>AVERAGE(H73,J73)</f>
        <v>84156.77422554222</v>
      </c>
      <c r="J73" s="872">
        <v>85111.655194109291</v>
      </c>
      <c r="K73" s="902">
        <f>VehicleCostData2023!AE70</f>
        <v>877700.13388008508</v>
      </c>
      <c r="L73" s="792">
        <f>VehicleCostData2023!AF70</f>
        <v>1088428.6604757041</v>
      </c>
      <c r="M73" s="792">
        <f>VehicleCostData2023!AG70</f>
        <v>1116561.6285591619</v>
      </c>
      <c r="N73" s="792">
        <f>VehicleCostData2023!AH70</f>
        <v>1144694.5966426195</v>
      </c>
      <c r="O73" s="792">
        <f>VehicleCostData2023!AI70</f>
        <v>1166651.8949681348</v>
      </c>
      <c r="P73" s="792">
        <f>VehicleCostData2023!AJ70</f>
        <v>1188609.1932936499</v>
      </c>
      <c r="Q73" s="792">
        <f>VehicleCostData2023!AK70</f>
        <v>1202250.4729966791</v>
      </c>
      <c r="R73" s="903">
        <f>VehicleCostData2023!AL70</f>
        <v>1215891.7526997081</v>
      </c>
      <c r="S73" s="331">
        <f t="shared" ref="S73:Z80" si="48">C73/C$73</f>
        <v>1</v>
      </c>
      <c r="T73" s="331">
        <f t="shared" si="48"/>
        <v>1</v>
      </c>
      <c r="U73" s="331">
        <f t="shared" si="48"/>
        <v>1</v>
      </c>
      <c r="V73" s="331">
        <f t="shared" si="48"/>
        <v>1</v>
      </c>
      <c r="W73" s="331">
        <f t="shared" si="48"/>
        <v>1</v>
      </c>
      <c r="X73" s="331">
        <f t="shared" si="48"/>
        <v>1</v>
      </c>
      <c r="Y73" s="331">
        <f t="shared" si="48"/>
        <v>1</v>
      </c>
      <c r="Z73" s="331">
        <f t="shared" si="48"/>
        <v>1</v>
      </c>
      <c r="AA73" s="423"/>
      <c r="AB73" s="405" t="s">
        <v>687</v>
      </c>
      <c r="AC73" s="404">
        <v>13.986475102643237</v>
      </c>
      <c r="AD73" s="403">
        <v>11.823955736426605</v>
      </c>
      <c r="AE73" s="402">
        <v>9.4051912571814107</v>
      </c>
      <c r="AF73" s="401">
        <v>8.5108552099213703</v>
      </c>
      <c r="AG73" s="400">
        <v>7.9094469544802353</v>
      </c>
    </row>
    <row r="74" spans="1:33" ht="15" x14ac:dyDescent="0.2">
      <c r="A74" s="323" t="str">
        <f t="shared" si="47"/>
        <v>Articulated Truck</v>
      </c>
      <c r="B74" s="871" t="s">
        <v>829</v>
      </c>
      <c r="C74" s="410">
        <v>71519.017709285879</v>
      </c>
      <c r="D74" s="409">
        <v>82868.061177701951</v>
      </c>
      <c r="E74" s="333">
        <f>AVERAGE(D74,F74)</f>
        <v>83553.372707554401</v>
      </c>
      <c r="F74" s="408">
        <v>84238.684237406866</v>
      </c>
      <c r="G74" s="333">
        <f>AVERAGE(F74,H74)</f>
        <v>85152.604738545953</v>
      </c>
      <c r="H74" s="407">
        <v>86066.525239685056</v>
      </c>
      <c r="I74" s="333">
        <f>AVERAGE(H74,J74)</f>
        <v>86618.501260388264</v>
      </c>
      <c r="J74" s="872">
        <v>87170.477281091473</v>
      </c>
      <c r="K74" s="902">
        <f>VehicleCostData2023!AE71</f>
        <v>1021709.4661780667</v>
      </c>
      <c r="L74" s="792">
        <f>VehicleCostData2023!AF71</f>
        <v>1183840.1205849929</v>
      </c>
      <c r="M74" s="792">
        <f>VehicleCostData2023!AG71</f>
        <v>1193630.3735800406</v>
      </c>
      <c r="N74" s="792">
        <f>VehicleCostData2023!AH71</f>
        <v>1203420.6265750888</v>
      </c>
      <c r="O74" s="792">
        <f>VehicleCostData2023!AI71</f>
        <v>1216476.7514668431</v>
      </c>
      <c r="P74" s="792">
        <f>VehicleCostData2023!AJ71</f>
        <v>1229532.8763585973</v>
      </c>
      <c r="Q74" s="792">
        <f>VehicleCostData2023!AK71</f>
        <v>1237418.3191893164</v>
      </c>
      <c r="R74" s="903">
        <f>VehicleCostData2023!AL71</f>
        <v>1245303.7620200356</v>
      </c>
      <c r="S74" s="331">
        <f t="shared" si="48"/>
        <v>1.1640757779782414</v>
      </c>
      <c r="T74" s="331">
        <f t="shared" si="48"/>
        <v>1.0876598196776521</v>
      </c>
      <c r="U74" s="331">
        <f t="shared" si="48"/>
        <v>1.069023279189999</v>
      </c>
      <c r="V74" s="331">
        <f t="shared" si="48"/>
        <v>1.0513027929936178</v>
      </c>
      <c r="W74" s="331">
        <f t="shared" si="48"/>
        <v>1.0427075605959299</v>
      </c>
      <c r="X74" s="331">
        <f t="shared" si="48"/>
        <v>1.0344298894000199</v>
      </c>
      <c r="Y74" s="331">
        <f t="shared" si="48"/>
        <v>1.0292516800637885</v>
      </c>
      <c r="Z74" s="331">
        <f t="shared" si="48"/>
        <v>1.024189661008081</v>
      </c>
      <c r="AB74" s="405" t="s">
        <v>829</v>
      </c>
      <c r="AC74" s="404">
        <v>13.43635651388575</v>
      </c>
      <c r="AD74" s="403">
        <v>11.499496833579821</v>
      </c>
      <c r="AE74" s="402">
        <v>9.2372475409011443</v>
      </c>
      <c r="AF74" s="401">
        <v>8.420943246552639</v>
      </c>
      <c r="AG74" s="400">
        <v>7.8443809051712092</v>
      </c>
    </row>
    <row r="75" spans="1:33" ht="15" x14ac:dyDescent="0.2">
      <c r="A75" s="323" t="str">
        <f t="shared" si="47"/>
        <v>Articulated Truck</v>
      </c>
      <c r="B75" s="871" t="s">
        <v>828</v>
      </c>
      <c r="C75" s="410">
        <v>72430.316493429389</v>
      </c>
      <c r="D75" s="409">
        <v>80647.640586419409</v>
      </c>
      <c r="E75" s="333">
        <f>AVERAGE(D75,F75)</f>
        <v>81820.543046750536</v>
      </c>
      <c r="F75" s="408">
        <v>82993.445507081677</v>
      </c>
      <c r="G75" s="333">
        <f>AVERAGE(F75,H75)</f>
        <v>84278.475675657799</v>
      </c>
      <c r="H75" s="407">
        <v>85563.505844233921</v>
      </c>
      <c r="I75" s="333">
        <f>AVERAGE(H75,J75)</f>
        <v>86191.612305198825</v>
      </c>
      <c r="J75" s="872">
        <v>86819.718766163729</v>
      </c>
      <c r="K75" s="902">
        <f>VehicleCostData2023!AE72</f>
        <v>1034728.1376321503</v>
      </c>
      <c r="L75" s="792">
        <f>VehicleCostData2023!AF72</f>
        <v>1152119.5403858675</v>
      </c>
      <c r="M75" s="792">
        <f>VehicleCostData2023!AG72</f>
        <v>1168875.4409142421</v>
      </c>
      <c r="N75" s="792">
        <f>VehicleCostData2023!AH72</f>
        <v>1185631.3414426169</v>
      </c>
      <c r="O75" s="792">
        <f>VehicleCostData2023!AI72</f>
        <v>1203989.0808189525</v>
      </c>
      <c r="P75" s="792">
        <f>VehicleCostData2023!AJ72</f>
        <v>1222346.8201952886</v>
      </c>
      <c r="Q75" s="792">
        <f>VehicleCostData2023!AK72</f>
        <v>1231319.8505512709</v>
      </c>
      <c r="R75" s="903">
        <f>VehicleCostData2023!AL72</f>
        <v>1240292.8809072529</v>
      </c>
      <c r="S75" s="331">
        <f t="shared" si="48"/>
        <v>1.1789084878657647</v>
      </c>
      <c r="T75" s="331">
        <f t="shared" si="48"/>
        <v>1.0585163568573497</v>
      </c>
      <c r="U75" s="331">
        <f t="shared" si="48"/>
        <v>1.0468525973103582</v>
      </c>
      <c r="V75" s="331">
        <f t="shared" si="48"/>
        <v>1.0357621543074147</v>
      </c>
      <c r="W75" s="331">
        <f t="shared" si="48"/>
        <v>1.0320037073713728</v>
      </c>
      <c r="X75" s="331">
        <f t="shared" si="48"/>
        <v>1.0283841207791362</v>
      </c>
      <c r="Y75" s="331">
        <f t="shared" si="48"/>
        <v>1.0241791358851657</v>
      </c>
      <c r="Z75" s="331">
        <f t="shared" si="48"/>
        <v>1.0200685037573169</v>
      </c>
      <c r="AB75" s="405" t="s">
        <v>828</v>
      </c>
      <c r="AC75" s="404">
        <v>13.67208206676094</v>
      </c>
      <c r="AD75" s="403">
        <v>11.614948912943206</v>
      </c>
      <c r="AE75" s="402">
        <v>9.2610945034038004</v>
      </c>
      <c r="AF75" s="401">
        <v>8.3678593497915177</v>
      </c>
      <c r="AG75" s="400">
        <v>7.7956092782623534</v>
      </c>
    </row>
    <row r="76" spans="1:33" ht="15" x14ac:dyDescent="0.2">
      <c r="A76" s="323" t="str">
        <f t="shared" si="47"/>
        <v>Articulated Truck</v>
      </c>
      <c r="B76" s="871" t="s">
        <v>689</v>
      </c>
      <c r="C76" s="410">
        <v>78558.735528526551</v>
      </c>
      <c r="D76" s="409">
        <v>83540.115075807422</v>
      </c>
      <c r="E76" s="333">
        <f>AVERAGE(D76,F76)</f>
        <v>83801.904253179775</v>
      </c>
      <c r="F76" s="408">
        <v>84063.693430552128</v>
      </c>
      <c r="G76" s="333">
        <f>AVERAGE(F76,H76)</f>
        <v>84674.578944708279</v>
      </c>
      <c r="H76" s="407">
        <v>85285.464458864444</v>
      </c>
      <c r="I76" s="333">
        <f>AVERAGE(H76,J76)</f>
        <v>85777.229217547516</v>
      </c>
      <c r="J76" s="872">
        <v>86268.993976230602</v>
      </c>
      <c r="K76" s="902">
        <f>VehicleCostData2023!AE73</f>
        <v>1122277.7704629104</v>
      </c>
      <c r="L76" s="792">
        <f>VehicleCostData2023!AF73</f>
        <v>1193440.9771329297</v>
      </c>
      <c r="M76" s="792">
        <f>VehicleCostData2023!AG73</f>
        <v>1197180.8562480418</v>
      </c>
      <c r="N76" s="792">
        <f>VehicleCostData2023!AH73</f>
        <v>1200920.7353631542</v>
      </c>
      <c r="O76" s="792">
        <f>VehicleCostData2023!AI73</f>
        <v>1209647.7499748685</v>
      </c>
      <c r="P76" s="792">
        <f>VehicleCostData2023!AJ73</f>
        <v>1218374.764586583</v>
      </c>
      <c r="Q76" s="792">
        <f>VehicleCostData2023!AK73</f>
        <v>1225400.0387747944</v>
      </c>
      <c r="R76" s="903">
        <f>VehicleCostData2023!AL73</f>
        <v>1232425.3129630059</v>
      </c>
      <c r="S76" s="331">
        <f t="shared" si="48"/>
        <v>1.2786573991980736</v>
      </c>
      <c r="T76" s="331">
        <f t="shared" si="48"/>
        <v>1.0964806610396767</v>
      </c>
      <c r="U76" s="331">
        <f t="shared" si="48"/>
        <v>1.0722031150156157</v>
      </c>
      <c r="V76" s="331">
        <f t="shared" si="48"/>
        <v>1.0491188993863041</v>
      </c>
      <c r="W76" s="331">
        <f t="shared" si="48"/>
        <v>1.0368540566317841</v>
      </c>
      <c r="X76" s="331">
        <f t="shared" si="48"/>
        <v>1.0250423532485498</v>
      </c>
      <c r="Y76" s="331">
        <f t="shared" si="48"/>
        <v>1.0192551937371368</v>
      </c>
      <c r="Z76" s="331">
        <f t="shared" si="48"/>
        <v>1.0135978883207222</v>
      </c>
      <c r="AB76" s="405" t="s">
        <v>689</v>
      </c>
      <c r="AC76" s="404">
        <v>13.153485850435521</v>
      </c>
      <c r="AD76" s="403">
        <v>11.272115210081623</v>
      </c>
      <c r="AE76" s="402">
        <v>8.9327235364230297</v>
      </c>
      <c r="AF76" s="401">
        <v>8.0537072234893508</v>
      </c>
      <c r="AG76" s="400">
        <v>7.3994338105065527</v>
      </c>
    </row>
    <row r="77" spans="1:33" ht="15" x14ac:dyDescent="0.2">
      <c r="A77" s="323" t="str">
        <f t="shared" si="47"/>
        <v>Articulated Truck</v>
      </c>
      <c r="B77" s="871" t="s">
        <v>692</v>
      </c>
      <c r="C77" s="422"/>
      <c r="D77" s="421"/>
      <c r="E77" s="420"/>
      <c r="F77" s="419"/>
      <c r="G77" s="419"/>
      <c r="H77" s="418"/>
      <c r="I77" s="418"/>
      <c r="J77" s="873"/>
      <c r="K77" s="902">
        <f>VehicleCostData2023!AE74</f>
        <v>6464323.715992094</v>
      </c>
      <c r="L77" s="792">
        <f>VehicleCostData2023!AF74</f>
        <v>4928974.3080670405</v>
      </c>
      <c r="M77" s="792">
        <f>VehicleCostData2023!AG74</f>
        <v>3450282.015646928</v>
      </c>
      <c r="N77" s="792">
        <f>VehicleCostData2023!AH74</f>
        <v>2957384.5848402241</v>
      </c>
      <c r="O77" s="792">
        <f>VehicleCostData2023!AI74</f>
        <v>2464487.1540335203</v>
      </c>
      <c r="P77" s="792">
        <f>VehicleCostData2023!AJ74</f>
        <v>2300188.0104312855</v>
      </c>
      <c r="Q77" s="792">
        <f>VehicleCostData2023!AK74</f>
        <v>2135888.8668290512</v>
      </c>
      <c r="R77" s="903">
        <f>VehicleCostData2023!AL74</f>
        <v>1971589.7232268164</v>
      </c>
      <c r="S77" s="331">
        <f t="shared" si="48"/>
        <v>0</v>
      </c>
      <c r="T77" s="331">
        <f t="shared" si="48"/>
        <v>0</v>
      </c>
      <c r="U77" s="331">
        <f t="shared" si="48"/>
        <v>0</v>
      </c>
      <c r="V77" s="331">
        <f t="shared" si="48"/>
        <v>0</v>
      </c>
      <c r="W77" s="331">
        <f t="shared" si="48"/>
        <v>0</v>
      </c>
      <c r="X77" s="331">
        <f t="shared" si="48"/>
        <v>0</v>
      </c>
      <c r="Y77" s="331">
        <f t="shared" si="48"/>
        <v>0</v>
      </c>
      <c r="Z77" s="331">
        <f t="shared" si="48"/>
        <v>0</v>
      </c>
      <c r="AB77" s="405" t="s">
        <v>692</v>
      </c>
      <c r="AC77" s="416"/>
      <c r="AD77" s="415"/>
      <c r="AE77" s="414"/>
      <c r="AF77" s="413"/>
      <c r="AG77" s="412"/>
    </row>
    <row r="78" spans="1:33" ht="15" x14ac:dyDescent="0.2">
      <c r="A78" s="323" t="str">
        <f t="shared" si="47"/>
        <v>Articulated Truck</v>
      </c>
      <c r="B78" s="871" t="s">
        <v>699</v>
      </c>
      <c r="C78" s="410">
        <v>411104.05539837579</v>
      </c>
      <c r="D78" s="409">
        <v>172512.54514941739</v>
      </c>
      <c r="E78" s="333">
        <f>AVERAGE(D78,F78)</f>
        <v>135113.44057992334</v>
      </c>
      <c r="F78" s="408">
        <v>97714.336010429295</v>
      </c>
      <c r="G78" s="333">
        <f>AVERAGE(F78,H78)</f>
        <v>92795.30512626053</v>
      </c>
      <c r="H78" s="407">
        <v>87876.274242091749</v>
      </c>
      <c r="I78" s="333">
        <f>AVERAGE(H78,J78)</f>
        <v>86198.094543665356</v>
      </c>
      <c r="J78" s="872">
        <v>84519.914845238978</v>
      </c>
      <c r="K78" s="902">
        <f>VehicleCostData2023!AE75</f>
        <v>5872968.0361672165</v>
      </c>
      <c r="L78" s="792">
        <f>VehicleCostData2023!AF75</f>
        <v>2464487.1540335203</v>
      </c>
      <c r="M78" s="792">
        <f>VehicleCostData2023!AG75</f>
        <v>1930209.4138028375</v>
      </c>
      <c r="N78" s="792">
        <f>VehicleCostData2023!AH75</f>
        <v>1395931.6735721545</v>
      </c>
      <c r="O78" s="792">
        <f>VehicleCostData2023!AI75</f>
        <v>1325659.1701213</v>
      </c>
      <c r="P78" s="792">
        <f>VehicleCostData2023!AJ75</f>
        <v>1255386.6666704458</v>
      </c>
      <c r="Q78" s="792">
        <f>VehicleCostData2023!AK75</f>
        <v>1231412.4547929876</v>
      </c>
      <c r="R78" s="903">
        <f>VehicleCostData2023!AL75</f>
        <v>1207438.2429155295</v>
      </c>
      <c r="S78" s="331">
        <f t="shared" si="48"/>
        <v>6.6913149599332318</v>
      </c>
      <c r="T78" s="331">
        <f t="shared" si="48"/>
        <v>2.2642615391590306</v>
      </c>
      <c r="U78" s="331">
        <f t="shared" si="48"/>
        <v>1.7287083528865539</v>
      </c>
      <c r="V78" s="331">
        <f t="shared" si="48"/>
        <v>1.2194795691937488</v>
      </c>
      <c r="W78" s="331">
        <f t="shared" si="48"/>
        <v>1.1362936758076476</v>
      </c>
      <c r="X78" s="331">
        <f t="shared" si="48"/>
        <v>1.0561811853328797</v>
      </c>
      <c r="Y78" s="331">
        <f t="shared" si="48"/>
        <v>1.0242561616329584</v>
      </c>
      <c r="Z78" s="331">
        <f t="shared" si="48"/>
        <v>0.99304748159907397</v>
      </c>
      <c r="AB78" s="405" t="s">
        <v>699</v>
      </c>
      <c r="AC78" s="404">
        <v>6.6431339955944022</v>
      </c>
      <c r="AD78" s="403">
        <v>5.6245758340445899</v>
      </c>
      <c r="AE78" s="402">
        <v>4.7019783134372828</v>
      </c>
      <c r="AF78" s="401">
        <v>4.1837822653388725</v>
      </c>
      <c r="AG78" s="400">
        <v>3.7701290991767111</v>
      </c>
    </row>
    <row r="79" spans="1:33" ht="15" x14ac:dyDescent="0.2">
      <c r="A79" s="323" t="str">
        <f t="shared" si="47"/>
        <v>Articulated Truck</v>
      </c>
      <c r="B79" s="871" t="s">
        <v>827</v>
      </c>
      <c r="C79" s="410">
        <v>90125.971437475877</v>
      </c>
      <c r="D79" s="409">
        <v>92868.139856750626</v>
      </c>
      <c r="E79" s="333">
        <f>AVERAGE(D79,F79)</f>
        <v>92758.712838742562</v>
      </c>
      <c r="F79" s="408">
        <v>92649.285820734483</v>
      </c>
      <c r="G79" s="333">
        <f>AVERAGE(F79,H79)</f>
        <v>93307.676951982314</v>
      </c>
      <c r="H79" s="407">
        <v>93966.068083230144</v>
      </c>
      <c r="I79" s="333">
        <f>AVERAGE(H79,J79)</f>
        <v>94354.744617523102</v>
      </c>
      <c r="J79" s="872">
        <v>94743.421151816074</v>
      </c>
      <c r="K79" s="902">
        <f>VehicleCostData2023!AE76</f>
        <v>1287525.4878424788</v>
      </c>
      <c r="L79" s="792">
        <f>VehicleCostData2023!AF76</f>
        <v>1326699.6756538388</v>
      </c>
      <c r="M79" s="792">
        <f>VehicleCostData2023!AG76</f>
        <v>1325136.4184428838</v>
      </c>
      <c r="N79" s="792">
        <f>VehicleCostData2023!AH76</f>
        <v>1323573.161231928</v>
      </c>
      <c r="O79" s="792">
        <f>VehicleCostData2023!AI76</f>
        <v>1332978.8336361262</v>
      </c>
      <c r="P79" s="792">
        <f>VehicleCostData2023!AJ76</f>
        <v>1342384.5060403245</v>
      </c>
      <c r="Q79" s="792">
        <f>VehicleCostData2023!AK76</f>
        <v>1347937.0780286957</v>
      </c>
      <c r="R79" s="903">
        <f>VehicleCostData2023!AL76</f>
        <v>1353489.6500170669</v>
      </c>
      <c r="S79" s="331">
        <f t="shared" si="48"/>
        <v>1.4669309461657043</v>
      </c>
      <c r="T79" s="331">
        <f t="shared" si="48"/>
        <v>1.2189128454904861</v>
      </c>
      <c r="U79" s="331">
        <f t="shared" si="48"/>
        <v>1.1868009651673876</v>
      </c>
      <c r="V79" s="331">
        <f t="shared" si="48"/>
        <v>1.1562675014925008</v>
      </c>
      <c r="W79" s="331">
        <f t="shared" si="48"/>
        <v>1.1425677525450162</v>
      </c>
      <c r="X79" s="331">
        <f t="shared" si="48"/>
        <v>1.1293741573044385</v>
      </c>
      <c r="Y79" s="331">
        <f t="shared" si="48"/>
        <v>1.121178247215727</v>
      </c>
      <c r="Z79" s="331">
        <f t="shared" si="48"/>
        <v>1.113166239520782</v>
      </c>
      <c r="AB79" s="405" t="s">
        <v>827</v>
      </c>
      <c r="AC79" s="404">
        <v>13.986475102643237</v>
      </c>
      <c r="AD79" s="403">
        <v>11.823955736426605</v>
      </c>
      <c r="AE79" s="402">
        <v>9.4051912571814071</v>
      </c>
      <c r="AF79" s="401">
        <v>8.5108552099213703</v>
      </c>
      <c r="AG79" s="400">
        <v>7.9094469544802353</v>
      </c>
    </row>
    <row r="80" spans="1:33" ht="15" x14ac:dyDescent="0.2">
      <c r="A80" s="323" t="str">
        <f t="shared" si="47"/>
        <v>Articulated Truck</v>
      </c>
      <c r="B80" s="871" t="s">
        <v>700</v>
      </c>
      <c r="C80" s="410">
        <v>85180.268886612539</v>
      </c>
      <c r="D80" s="409">
        <v>88358.582298485853</v>
      </c>
      <c r="E80" s="333">
        <f>AVERAGE(D80,F80)</f>
        <v>88103.600633371505</v>
      </c>
      <c r="F80" s="408">
        <v>87848.618968257142</v>
      </c>
      <c r="G80" s="333">
        <f>AVERAGE(F80,H80)</f>
        <v>88508.458237651677</v>
      </c>
      <c r="H80" s="407">
        <v>89168.297507046198</v>
      </c>
      <c r="I80" s="333">
        <f>AVERAGE(H80,J80)</f>
        <v>89556.413228877951</v>
      </c>
      <c r="J80" s="872">
        <v>89944.528950709704</v>
      </c>
      <c r="K80" s="902">
        <f>VehicleCostData2023!AE77</f>
        <v>1216871.9571458176</v>
      </c>
      <c r="L80" s="792">
        <f>VehicleCostData2023!AF77</f>
        <v>1262276.8438934449</v>
      </c>
      <c r="M80" s="792">
        <f>VehicleCostData2023!AG77</f>
        <v>1258634.2158304008</v>
      </c>
      <c r="N80" s="792">
        <f>VehicleCostData2023!AH77</f>
        <v>1254991.587767357</v>
      </c>
      <c r="O80" s="792">
        <f>VehicleCostData2023!AI77</f>
        <v>1264417.9480459164</v>
      </c>
      <c r="P80" s="792">
        <f>VehicleCostData2023!AJ77</f>
        <v>1273844.308324476</v>
      </c>
      <c r="Q80" s="792">
        <f>VehicleCostData2023!AK77</f>
        <v>1279388.8686340137</v>
      </c>
      <c r="R80" s="903">
        <f>VehicleCostData2023!AL77</f>
        <v>1284933.4289435516</v>
      </c>
      <c r="S80" s="331">
        <f t="shared" si="48"/>
        <v>1.3864324615815442</v>
      </c>
      <c r="T80" s="331">
        <f t="shared" si="48"/>
        <v>1.1597240037227237</v>
      </c>
      <c r="U80" s="331">
        <f t="shared" si="48"/>
        <v>1.1272411514396863</v>
      </c>
      <c r="V80" s="331">
        <f t="shared" si="48"/>
        <v>1.0963549504367691</v>
      </c>
      <c r="W80" s="331">
        <f t="shared" si="48"/>
        <v>1.0838005351034481</v>
      </c>
      <c r="X80" s="331">
        <f t="shared" si="48"/>
        <v>1.0717099577487181</v>
      </c>
      <c r="Y80" s="331">
        <f t="shared" si="48"/>
        <v>1.0641616679468318</v>
      </c>
      <c r="Z80" s="331">
        <f t="shared" si="48"/>
        <v>1.0567827490321784</v>
      </c>
      <c r="AB80" s="405" t="s">
        <v>700</v>
      </c>
      <c r="AC80" s="404">
        <v>16.084446368039721</v>
      </c>
      <c r="AD80" s="403">
        <v>13.597549096890598</v>
      </c>
      <c r="AE80" s="402">
        <v>10.815969945758619</v>
      </c>
      <c r="AF80" s="401">
        <v>9.7874834914095743</v>
      </c>
      <c r="AG80" s="400">
        <v>9.0958639976522715</v>
      </c>
    </row>
    <row r="81" spans="1:33" ht="15" x14ac:dyDescent="0.25">
      <c r="A81" s="323" t="str">
        <f t="shared" si="47"/>
        <v>Articulated Truck</v>
      </c>
      <c r="B81" s="864"/>
      <c r="E81" s="323"/>
      <c r="J81" s="847"/>
      <c r="K81" s="864">
        <f>VehicleCostData2023!AE78</f>
        <v>0</v>
      </c>
      <c r="L81" s="323">
        <f>VehicleCostData2023!AF78</f>
        <v>0</v>
      </c>
      <c r="M81" s="323">
        <f>VehicleCostData2023!AG78</f>
        <v>0</v>
      </c>
      <c r="N81" s="323">
        <f>VehicleCostData2023!AH78</f>
        <v>0</v>
      </c>
      <c r="O81" s="323">
        <f>VehicleCostData2023!AI78</f>
        <v>0</v>
      </c>
      <c r="P81" s="323">
        <f>VehicleCostData2023!AJ78</f>
        <v>0</v>
      </c>
      <c r="Q81" s="323">
        <f>VehicleCostData2023!AK78</f>
        <v>0</v>
      </c>
      <c r="R81" s="894">
        <f>VehicleCostData2023!AL78</f>
        <v>0</v>
      </c>
      <c r="T81" s="331"/>
      <c r="U81" s="331"/>
      <c r="V81" s="331"/>
      <c r="W81" s="331"/>
      <c r="X81" s="331"/>
      <c r="Y81" s="331"/>
      <c r="Z81" s="331"/>
    </row>
    <row r="82" spans="1:33" x14ac:dyDescent="0.2">
      <c r="A82" s="323" t="str">
        <f t="shared" si="47"/>
        <v>Articulated Truck</v>
      </c>
      <c r="B82" s="874" t="s">
        <v>832</v>
      </c>
      <c r="C82" s="360" t="s">
        <v>831</v>
      </c>
      <c r="D82" s="359">
        <v>0.08</v>
      </c>
      <c r="E82" s="358"/>
      <c r="J82" s="847"/>
      <c r="K82" s="864">
        <f>VehicleCostData2023!AE79</f>
        <v>0</v>
      </c>
      <c r="L82" s="323">
        <f>VehicleCostData2023!AF79</f>
        <v>0</v>
      </c>
      <c r="M82" s="323">
        <f>VehicleCostData2023!AG79</f>
        <v>0</v>
      </c>
      <c r="N82" s="323">
        <f>VehicleCostData2023!AH79</f>
        <v>0</v>
      </c>
      <c r="O82" s="323">
        <f>VehicleCostData2023!AI79</f>
        <v>0</v>
      </c>
      <c r="P82" s="323">
        <f>VehicleCostData2023!AJ79</f>
        <v>0</v>
      </c>
      <c r="Q82" s="323">
        <f>VehicleCostData2023!AK79</f>
        <v>0</v>
      </c>
      <c r="R82" s="894">
        <f>VehicleCostData2023!AL79</f>
        <v>0</v>
      </c>
      <c r="AB82" s="357" t="s">
        <v>816</v>
      </c>
    </row>
    <row r="83" spans="1:33" x14ac:dyDescent="0.2">
      <c r="A83" s="323" t="str">
        <f>B83</f>
        <v>Construction Truck</v>
      </c>
      <c r="B83" s="875" t="s">
        <v>733</v>
      </c>
      <c r="C83" s="352">
        <v>2010</v>
      </c>
      <c r="D83" s="352">
        <v>2020</v>
      </c>
      <c r="E83" s="355"/>
      <c r="F83" s="352">
        <v>2030</v>
      </c>
      <c r="G83" s="352"/>
      <c r="H83" s="352">
        <v>2040</v>
      </c>
      <c r="I83" s="352"/>
      <c r="J83" s="851">
        <v>2050</v>
      </c>
      <c r="K83" s="898">
        <f>VehicleCostData2023!AE80</f>
        <v>2010</v>
      </c>
      <c r="L83" s="354">
        <f>VehicleCostData2023!AF80</f>
        <v>2020</v>
      </c>
      <c r="M83" s="354">
        <f>VehicleCostData2023!AG80</f>
        <v>0</v>
      </c>
      <c r="N83" s="354">
        <f>VehicleCostData2023!AH80</f>
        <v>2030</v>
      </c>
      <c r="O83" s="354">
        <f>VehicleCostData2023!AI80</f>
        <v>0</v>
      </c>
      <c r="P83" s="354">
        <f>VehicleCostData2023!AJ80</f>
        <v>2040</v>
      </c>
      <c r="Q83" s="354">
        <f>VehicleCostData2023!AK80</f>
        <v>0</v>
      </c>
      <c r="R83" s="899">
        <f>VehicleCostData2023!AL80</f>
        <v>2050</v>
      </c>
      <c r="S83" s="323">
        <f>C83</f>
        <v>2010</v>
      </c>
      <c r="T83" s="323">
        <f>D83</f>
        <v>2020</v>
      </c>
      <c r="V83" s="323">
        <f>F83</f>
        <v>2030</v>
      </c>
      <c r="X83" s="323">
        <f>H83</f>
        <v>2040</v>
      </c>
      <c r="Z83" s="323">
        <f>J83</f>
        <v>2050</v>
      </c>
      <c r="AB83" s="353" t="s">
        <v>830</v>
      </c>
      <c r="AC83" s="352">
        <v>2010</v>
      </c>
      <c r="AD83" s="352">
        <v>2020</v>
      </c>
      <c r="AE83" s="352">
        <v>2030</v>
      </c>
      <c r="AF83" s="352">
        <v>2040</v>
      </c>
      <c r="AG83" s="352">
        <v>2050</v>
      </c>
    </row>
    <row r="84" spans="1:33" x14ac:dyDescent="0.2">
      <c r="A84" s="323" t="str">
        <f t="shared" ref="A84:A94" si="49">A83</f>
        <v>Construction Truck</v>
      </c>
      <c r="B84" s="876" t="s">
        <v>791</v>
      </c>
      <c r="C84" s="396" t="s">
        <v>193</v>
      </c>
      <c r="D84" s="395" t="s">
        <v>193</v>
      </c>
      <c r="E84" s="394"/>
      <c r="F84" s="393" t="s">
        <v>193</v>
      </c>
      <c r="G84" s="393"/>
      <c r="H84" s="392" t="s">
        <v>193</v>
      </c>
      <c r="I84" s="392"/>
      <c r="J84" s="877" t="s">
        <v>193</v>
      </c>
      <c r="K84" s="864" t="s">
        <v>1356</v>
      </c>
      <c r="L84" s="323" t="s">
        <v>1356</v>
      </c>
      <c r="M84" s="323" t="s">
        <v>1356</v>
      </c>
      <c r="N84" s="323" t="s">
        <v>1356</v>
      </c>
      <c r="O84" s="323" t="s">
        <v>1356</v>
      </c>
      <c r="P84" s="323" t="s">
        <v>1356</v>
      </c>
      <c r="Q84" s="323" t="s">
        <v>1356</v>
      </c>
      <c r="R84" s="894" t="s">
        <v>1356</v>
      </c>
      <c r="AB84" s="390" t="s">
        <v>659</v>
      </c>
      <c r="AC84" s="389" t="s">
        <v>663</v>
      </c>
      <c r="AD84" s="388" t="s">
        <v>663</v>
      </c>
      <c r="AE84" s="387" t="s">
        <v>663</v>
      </c>
      <c r="AF84" s="386" t="s">
        <v>663</v>
      </c>
      <c r="AG84" s="385" t="s">
        <v>663</v>
      </c>
    </row>
    <row r="85" spans="1:33" ht="15" x14ac:dyDescent="0.2">
      <c r="A85" s="323" t="str">
        <f t="shared" si="49"/>
        <v>Construction Truck</v>
      </c>
      <c r="B85" s="878" t="s">
        <v>687</v>
      </c>
      <c r="C85" s="372">
        <v>50097.906660086221</v>
      </c>
      <c r="D85" s="371">
        <v>60945.499708674783</v>
      </c>
      <c r="E85" s="333">
        <f>AVERAGE(D85,F85)</f>
        <v>62625.099522765391</v>
      </c>
      <c r="F85" s="370">
        <v>64304.699336856007</v>
      </c>
      <c r="G85" s="333">
        <f>AVERAGE(F85,H85)</f>
        <v>65668.155002490399</v>
      </c>
      <c r="H85" s="369">
        <v>67031.610668124791</v>
      </c>
      <c r="I85" s="333">
        <f>AVERAGE(H85,J85)</f>
        <v>68287.47516906797</v>
      </c>
      <c r="J85" s="879">
        <v>69543.339670011163</v>
      </c>
      <c r="K85" s="902">
        <f>VehicleCostData2023!AE82</f>
        <v>715690.83454664785</v>
      </c>
      <c r="L85" s="792">
        <f>VehicleCostData2023!AF82</f>
        <v>870657.84692986368</v>
      </c>
      <c r="M85" s="792">
        <f>VehicleCostData2023!AG82</f>
        <v>894652.34635689482</v>
      </c>
      <c r="N85" s="792">
        <f>VehicleCostData2023!AH82</f>
        <v>918646.84578392608</v>
      </c>
      <c r="O85" s="792">
        <f>VehicleCostData2023!AI82</f>
        <v>938124.95950684301</v>
      </c>
      <c r="P85" s="792">
        <f>VehicleCostData2023!AJ82</f>
        <v>957603.07322975982</v>
      </c>
      <c r="Q85" s="792">
        <f>VehicleCostData2023!AK82</f>
        <v>975544.15645417396</v>
      </c>
      <c r="R85" s="903">
        <f>VehicleCostData2023!AL82</f>
        <v>993485.23967858823</v>
      </c>
      <c r="S85" s="331">
        <f t="shared" ref="S85:Z92" si="50">C85/C$85</f>
        <v>1</v>
      </c>
      <c r="T85" s="331">
        <f t="shared" si="50"/>
        <v>1</v>
      </c>
      <c r="U85" s="331">
        <f t="shared" si="50"/>
        <v>1</v>
      </c>
      <c r="V85" s="331">
        <f t="shared" si="50"/>
        <v>1</v>
      </c>
      <c r="W85" s="331">
        <f t="shared" si="50"/>
        <v>1</v>
      </c>
      <c r="X85" s="331">
        <f t="shared" si="50"/>
        <v>1</v>
      </c>
      <c r="Y85" s="331">
        <f t="shared" si="50"/>
        <v>1</v>
      </c>
      <c r="Z85" s="331">
        <f t="shared" si="50"/>
        <v>1</v>
      </c>
      <c r="AB85" s="367" t="s">
        <v>687</v>
      </c>
      <c r="AC85" s="366">
        <v>13.15733229927832</v>
      </c>
      <c r="AD85" s="365">
        <v>12.08372523506852</v>
      </c>
      <c r="AE85" s="364">
        <v>11.084387942527147</v>
      </c>
      <c r="AF85" s="363">
        <v>10.395192174875143</v>
      </c>
      <c r="AG85" s="362">
        <v>9.891747987713071</v>
      </c>
    </row>
    <row r="86" spans="1:33" ht="15" x14ac:dyDescent="0.2">
      <c r="A86" s="323" t="str">
        <f t="shared" si="49"/>
        <v>Construction Truck</v>
      </c>
      <c r="B86" s="878" t="s">
        <v>829</v>
      </c>
      <c r="C86" s="372">
        <v>59302.385710933137</v>
      </c>
      <c r="D86" s="371">
        <v>68478.720611592405</v>
      </c>
      <c r="E86" s="333">
        <f>AVERAGE(D86,F86)</f>
        <v>68925.362076589052</v>
      </c>
      <c r="F86" s="370">
        <v>69372.003541585713</v>
      </c>
      <c r="G86" s="333">
        <f>AVERAGE(F86,H86)</f>
        <v>70119.022104089701</v>
      </c>
      <c r="H86" s="369">
        <v>70866.040666593675</v>
      </c>
      <c r="I86" s="333">
        <f>AVERAGE(H86,J86)</f>
        <v>71725.11939513449</v>
      </c>
      <c r="J86" s="879">
        <v>72584.198123675305</v>
      </c>
      <c r="K86" s="902">
        <f>VehicleCostData2023!AE83</f>
        <v>847184.57815083291</v>
      </c>
      <c r="L86" s="792">
        <f>VehicleCostData2023!AF83</f>
        <v>978276.25884105102</v>
      </c>
      <c r="M86" s="792">
        <f>VehicleCostData2023!AG83</f>
        <v>984656.90873517632</v>
      </c>
      <c r="N86" s="792">
        <f>VehicleCostData2023!AH83</f>
        <v>991037.55862930208</v>
      </c>
      <c r="O86" s="792">
        <f>VehicleCostData2023!AI83</f>
        <v>1001709.3486114226</v>
      </c>
      <c r="P86" s="792">
        <f>VehicleCostData2023!AJ83</f>
        <v>1012381.138593543</v>
      </c>
      <c r="Q86" s="792">
        <f>VehicleCostData2023!AK83</f>
        <v>1024653.8025262357</v>
      </c>
      <c r="R86" s="903">
        <f>VehicleCostData2023!AL83</f>
        <v>1036926.4664589285</v>
      </c>
      <c r="S86" s="331">
        <f t="shared" si="50"/>
        <v>1.1837298135688425</v>
      </c>
      <c r="T86" s="331">
        <f t="shared" si="50"/>
        <v>1.1236058599720591</v>
      </c>
      <c r="U86" s="331">
        <f t="shared" si="50"/>
        <v>1.1006028349948314</v>
      </c>
      <c r="V86" s="331">
        <f t="shared" si="50"/>
        <v>1.0788014601885465</v>
      </c>
      <c r="W86" s="331">
        <f t="shared" si="50"/>
        <v>1.0677781658618322</v>
      </c>
      <c r="X86" s="331">
        <f t="shared" si="50"/>
        <v>1.0572033099048335</v>
      </c>
      <c r="Y86" s="331">
        <f t="shared" si="50"/>
        <v>1.0503407721189795</v>
      </c>
      <c r="Z86" s="331">
        <f t="shared" si="50"/>
        <v>1.0437260917881319</v>
      </c>
      <c r="AB86" s="367" t="s">
        <v>829</v>
      </c>
      <c r="AC86" s="366">
        <v>12.462092656713056</v>
      </c>
      <c r="AD86" s="365">
        <v>11.69168083818934</v>
      </c>
      <c r="AE86" s="364">
        <v>10.732892215978326</v>
      </c>
      <c r="AF86" s="363">
        <v>10.07939749594583</v>
      </c>
      <c r="AG86" s="362">
        <v>9.5947575238489726</v>
      </c>
    </row>
    <row r="87" spans="1:33" ht="15" x14ac:dyDescent="0.2">
      <c r="A87" s="323" t="str">
        <f t="shared" si="49"/>
        <v>Construction Truck</v>
      </c>
      <c r="B87" s="878" t="s">
        <v>828</v>
      </c>
      <c r="C87" s="372">
        <v>59123.565849994855</v>
      </c>
      <c r="D87" s="371">
        <v>65687.206724330608</v>
      </c>
      <c r="E87" s="333">
        <f>AVERAGE(D87,F87)</f>
        <v>66680.005444193113</v>
      </c>
      <c r="F87" s="370">
        <v>67672.804164055618</v>
      </c>
      <c r="G87" s="333">
        <f>AVERAGE(F87,H87)</f>
        <v>69715.727189696074</v>
      </c>
      <c r="H87" s="369">
        <v>71758.650215336529</v>
      </c>
      <c r="I87" s="333">
        <f>AVERAGE(H87,J87)</f>
        <v>74042.050948476477</v>
      </c>
      <c r="J87" s="879">
        <v>76325.45168161644</v>
      </c>
      <c r="K87" s="902">
        <f>VehicleCostData2023!AE84</f>
        <v>844629.98567301198</v>
      </c>
      <c r="L87" s="792">
        <f>VehicleCostData2023!AF84</f>
        <v>938397.12941597495</v>
      </c>
      <c r="M87" s="792">
        <f>VehicleCostData2023!AG84</f>
        <v>952580.09616498952</v>
      </c>
      <c r="N87" s="792">
        <f>VehicleCostData2023!AH84</f>
        <v>966763.06291400432</v>
      </c>
      <c r="O87" s="792">
        <f>VehicleCostData2023!AI84</f>
        <v>995947.94073845143</v>
      </c>
      <c r="P87" s="792">
        <f>VehicleCostData2023!AJ84</f>
        <v>1025132.8185628987</v>
      </c>
      <c r="Q87" s="792">
        <f>VehicleCostData2023!AK84</f>
        <v>1057753.12318747</v>
      </c>
      <c r="R87" s="903">
        <f>VehicleCostData2023!AL84</f>
        <v>1090373.4278120417</v>
      </c>
      <c r="S87" s="331">
        <f t="shared" si="50"/>
        <v>1.1801604057260844</v>
      </c>
      <c r="T87" s="331">
        <f t="shared" si="50"/>
        <v>1.0778024142606366</v>
      </c>
      <c r="U87" s="331">
        <f t="shared" si="50"/>
        <v>1.0647488938513174</v>
      </c>
      <c r="V87" s="331">
        <f t="shared" si="50"/>
        <v>1.0523772735419539</v>
      </c>
      <c r="W87" s="331">
        <f t="shared" si="50"/>
        <v>1.0616367581372155</v>
      </c>
      <c r="X87" s="331">
        <f t="shared" si="50"/>
        <v>1.0705195578637583</v>
      </c>
      <c r="Y87" s="331">
        <f t="shared" si="50"/>
        <v>1.0842698571760221</v>
      </c>
      <c r="Z87" s="331">
        <f t="shared" si="50"/>
        <v>1.0975235305607547</v>
      </c>
      <c r="AB87" s="367" t="s">
        <v>828</v>
      </c>
      <c r="AC87" s="366">
        <v>12.7279506333896</v>
      </c>
      <c r="AD87" s="365">
        <v>11.89708271394221</v>
      </c>
      <c r="AE87" s="364">
        <v>10.881546604623942</v>
      </c>
      <c r="AF87" s="363">
        <v>9.9942692572103038</v>
      </c>
      <c r="AG87" s="362">
        <v>9.2303903880598703</v>
      </c>
    </row>
    <row r="88" spans="1:33" ht="15" x14ac:dyDescent="0.2">
      <c r="A88" s="323" t="str">
        <f t="shared" si="49"/>
        <v>Construction Truck</v>
      </c>
      <c r="B88" s="878" t="s">
        <v>689</v>
      </c>
      <c r="C88" s="372">
        <v>62278.245223873986</v>
      </c>
      <c r="D88" s="371">
        <v>66182.547813496509</v>
      </c>
      <c r="E88" s="333">
        <f>AVERAGE(D88,F88)</f>
        <v>66579.786422146251</v>
      </c>
      <c r="F88" s="370">
        <v>66977.02503079598</v>
      </c>
      <c r="G88" s="333">
        <f>AVERAGE(F88,H88)</f>
        <v>68506.597627981813</v>
      </c>
      <c r="H88" s="369">
        <v>70036.170225167647</v>
      </c>
      <c r="I88" s="333">
        <f>AVERAGE(H88,J88)</f>
        <v>72054.017365560925</v>
      </c>
      <c r="J88" s="879">
        <v>74071.864505954203</v>
      </c>
      <c r="K88" s="902">
        <f>VehicleCostData2023!AE85</f>
        <v>889697.24026186403</v>
      </c>
      <c r="L88" s="792">
        <f>VehicleCostData2023!AF85</f>
        <v>945473.49450036336</v>
      </c>
      <c r="M88" s="792">
        <f>VehicleCostData2023!AG85</f>
        <v>951148.38293966802</v>
      </c>
      <c r="N88" s="792">
        <f>VehicleCostData2023!AH85</f>
        <v>956823.27137897245</v>
      </c>
      <c r="O88" s="792">
        <f>VehicleCostData2023!AI85</f>
        <v>978674.50552348769</v>
      </c>
      <c r="P88" s="792">
        <f>VehicleCostData2023!AJ85</f>
        <v>1000525.7396680029</v>
      </c>
      <c r="Q88" s="792">
        <f>VehicleCostData2023!AK85</f>
        <v>1029352.387330034</v>
      </c>
      <c r="R88" s="903">
        <f>VehicleCostData2023!AL85</f>
        <v>1058179.0349920653</v>
      </c>
      <c r="S88" s="331">
        <f t="shared" si="50"/>
        <v>1.2431306890012639</v>
      </c>
      <c r="T88" s="331">
        <f t="shared" si="50"/>
        <v>1.0859300215742804</v>
      </c>
      <c r="U88" s="331">
        <f t="shared" si="50"/>
        <v>1.0631485926492341</v>
      </c>
      <c r="V88" s="331">
        <f t="shared" si="50"/>
        <v>1.0415572379856901</v>
      </c>
      <c r="W88" s="331">
        <f t="shared" si="50"/>
        <v>1.0432240349280983</v>
      </c>
      <c r="X88" s="331">
        <f t="shared" si="50"/>
        <v>1.0448230249444326</v>
      </c>
      <c r="Y88" s="331">
        <f t="shared" si="50"/>
        <v>1.0551571453940514</v>
      </c>
      <c r="Z88" s="331">
        <f t="shared" si="50"/>
        <v>1.0651180236300308</v>
      </c>
      <c r="AB88" s="367" t="s">
        <v>689</v>
      </c>
      <c r="AC88" s="366">
        <v>12.163002432951942</v>
      </c>
      <c r="AD88" s="365">
        <v>11.39314389185083</v>
      </c>
      <c r="AE88" s="364">
        <v>10.373287774461328</v>
      </c>
      <c r="AF88" s="363">
        <v>9.511403737380931</v>
      </c>
      <c r="AG88" s="362">
        <v>8.72991432574036</v>
      </c>
    </row>
    <row r="89" spans="1:33" ht="15" x14ac:dyDescent="0.2">
      <c r="A89" s="323" t="str">
        <f t="shared" si="49"/>
        <v>Construction Truck</v>
      </c>
      <c r="B89" s="878" t="s">
        <v>692</v>
      </c>
      <c r="C89" s="384"/>
      <c r="D89" s="383"/>
      <c r="E89" s="382"/>
      <c r="F89" s="381"/>
      <c r="G89" s="381"/>
      <c r="H89" s="380"/>
      <c r="I89" s="380"/>
      <c r="J89" s="880"/>
      <c r="K89" s="902">
        <f>VehicleCostData2023!AE86</f>
        <v>4672524.4059478566</v>
      </c>
      <c r="L89" s="792">
        <f>VehicleCostData2023!AF86</f>
        <v>3562747.4369449359</v>
      </c>
      <c r="M89" s="792">
        <f>VehicleCostData2023!AG86</f>
        <v>2493923.2058614548</v>
      </c>
      <c r="N89" s="792">
        <f>VehicleCostData2023!AH86</f>
        <v>2137648.4621669613</v>
      </c>
      <c r="O89" s="792">
        <f>VehicleCostData2023!AI86</f>
        <v>1781373.718472468</v>
      </c>
      <c r="P89" s="792">
        <f>VehicleCostData2023!AJ86</f>
        <v>1662615.4705743035</v>
      </c>
      <c r="Q89" s="792">
        <f>VehicleCostData2023!AK86</f>
        <v>1543857.2226761389</v>
      </c>
      <c r="R89" s="903">
        <f>VehicleCostData2023!AL86</f>
        <v>1425098.9747779744</v>
      </c>
      <c r="S89" s="331">
        <f t="shared" si="50"/>
        <v>0</v>
      </c>
      <c r="T89" s="331">
        <f t="shared" si="50"/>
        <v>0</v>
      </c>
      <c r="U89" s="331">
        <f t="shared" si="50"/>
        <v>0</v>
      </c>
      <c r="V89" s="331">
        <f t="shared" si="50"/>
        <v>0</v>
      </c>
      <c r="W89" s="331">
        <f t="shared" si="50"/>
        <v>0</v>
      </c>
      <c r="X89" s="331">
        <f t="shared" si="50"/>
        <v>0</v>
      </c>
      <c r="Y89" s="331">
        <f t="shared" si="50"/>
        <v>0</v>
      </c>
      <c r="Z89" s="331">
        <f t="shared" si="50"/>
        <v>0</v>
      </c>
      <c r="AB89" s="367" t="s">
        <v>692</v>
      </c>
      <c r="AC89" s="378"/>
      <c r="AD89" s="377"/>
      <c r="AE89" s="376"/>
      <c r="AF89" s="375"/>
      <c r="AG89" s="374"/>
    </row>
    <row r="90" spans="1:33" ht="15" x14ac:dyDescent="0.2">
      <c r="A90" s="323" t="str">
        <f t="shared" si="49"/>
        <v>Construction Truck</v>
      </c>
      <c r="B90" s="878" t="s">
        <v>699</v>
      </c>
      <c r="C90" s="372">
        <v>280150.74119966</v>
      </c>
      <c r="D90" s="371">
        <v>124695.03585482571</v>
      </c>
      <c r="E90" s="333">
        <f>AVERAGE(D90,F90)</f>
        <v>100092.50443407503</v>
      </c>
      <c r="F90" s="370">
        <v>75489.973013324343</v>
      </c>
      <c r="G90" s="333">
        <f>AVERAGE(F90,H90)</f>
        <v>73424.01925307895</v>
      </c>
      <c r="H90" s="369">
        <v>71358.065492833557</v>
      </c>
      <c r="I90" s="333">
        <f>AVERAGE(H90,J90)</f>
        <v>71926.66931525823</v>
      </c>
      <c r="J90" s="879">
        <v>72495.273137682903</v>
      </c>
      <c r="K90" s="902">
        <f>VehicleCostData2023!AE87</f>
        <v>4002189.5351525573</v>
      </c>
      <c r="L90" s="792">
        <f>VehicleCostData2023!AF87</f>
        <v>1781373.718472468</v>
      </c>
      <c r="M90" s="792">
        <f>VehicleCostData2023!AG87</f>
        <v>1429905.8145549258</v>
      </c>
      <c r="N90" s="792">
        <f>VehicleCostData2023!AH87</f>
        <v>1078437.9106373833</v>
      </c>
      <c r="O90" s="792">
        <f>VehicleCostData2023!AI87</f>
        <v>1048924.0193517257</v>
      </c>
      <c r="P90" s="792">
        <f>VehicleCostData2023!AJ87</f>
        <v>1019410.128066068</v>
      </c>
      <c r="Q90" s="792">
        <f>VehicleCostData2023!AK87</f>
        <v>1027533.1130633982</v>
      </c>
      <c r="R90" s="903">
        <f>VehicleCostData2023!AL87</f>
        <v>1035656.0980607284</v>
      </c>
      <c r="S90" s="331">
        <f t="shared" si="50"/>
        <v>5.5920648162103834</v>
      </c>
      <c r="T90" s="331">
        <f t="shared" si="50"/>
        <v>2.0460089169976405</v>
      </c>
      <c r="U90" s="331">
        <f t="shared" si="50"/>
        <v>1.5982809639717943</v>
      </c>
      <c r="V90" s="331">
        <f t="shared" si="50"/>
        <v>1.1739417770678782</v>
      </c>
      <c r="W90" s="331">
        <f t="shared" si="50"/>
        <v>1.1181069309819107</v>
      </c>
      <c r="X90" s="331">
        <f t="shared" si="50"/>
        <v>1.0645435009182334</v>
      </c>
      <c r="Y90" s="331">
        <f t="shared" si="50"/>
        <v>1.0532922638767981</v>
      </c>
      <c r="Z90" s="331">
        <f t="shared" si="50"/>
        <v>1.042447392973632</v>
      </c>
      <c r="AB90" s="367" t="s">
        <v>699</v>
      </c>
      <c r="AC90" s="366">
        <v>6.2365059907747922</v>
      </c>
      <c r="AD90" s="365">
        <v>5.4621669343951371</v>
      </c>
      <c r="AE90" s="364">
        <v>4.9686983257104593</v>
      </c>
      <c r="AF90" s="363">
        <v>4.4308869983856987</v>
      </c>
      <c r="AG90" s="362">
        <v>3.9662332203875681</v>
      </c>
    </row>
    <row r="91" spans="1:33" ht="15" x14ac:dyDescent="0.2">
      <c r="A91" s="323" t="str">
        <f t="shared" si="49"/>
        <v>Construction Truck</v>
      </c>
      <c r="B91" s="878" t="s">
        <v>827</v>
      </c>
      <c r="C91" s="372">
        <v>74699.19366137321</v>
      </c>
      <c r="D91" s="371">
        <v>76307.057760250711</v>
      </c>
      <c r="E91" s="333">
        <f>AVERAGE(D91,F91)</f>
        <v>76507.066819256201</v>
      </c>
      <c r="F91" s="370">
        <v>76707.07587826169</v>
      </c>
      <c r="G91" s="333">
        <f>AVERAGE(F91,H91)</f>
        <v>77262.357043163385</v>
      </c>
      <c r="H91" s="369">
        <v>77817.63820806508</v>
      </c>
      <c r="I91" s="333">
        <f>AVERAGE(H91,J91)</f>
        <v>78543.353131423515</v>
      </c>
      <c r="J91" s="879">
        <v>79269.06805478195</v>
      </c>
      <c r="K91" s="902">
        <f>VehicleCostData2023!AE88</f>
        <v>1067140.9608829722</v>
      </c>
      <c r="L91" s="792">
        <f>VehicleCostData2023!AF88</f>
        <v>1090110.6551372844</v>
      </c>
      <c r="M91" s="792">
        <f>VehicleCostData2023!AG88</f>
        <v>1092967.9531742616</v>
      </c>
      <c r="N91" s="792">
        <f>VehicleCostData2023!AH88</f>
        <v>1095825.2512112383</v>
      </c>
      <c r="O91" s="792">
        <f>VehicleCostData2023!AI88</f>
        <v>1103757.910813424</v>
      </c>
      <c r="P91" s="792">
        <f>VehicleCostData2023!AJ88</f>
        <v>1111690.5704156097</v>
      </c>
      <c r="Q91" s="792">
        <f>VehicleCostData2023!AK88</f>
        <v>1122058.0199512839</v>
      </c>
      <c r="R91" s="903">
        <f>VehicleCostData2023!AL88</f>
        <v>1132425.4694869579</v>
      </c>
      <c r="S91" s="331">
        <f t="shared" si="50"/>
        <v>1.4910641709683894</v>
      </c>
      <c r="T91" s="331">
        <f t="shared" si="50"/>
        <v>1.2520540175239454</v>
      </c>
      <c r="U91" s="331">
        <f t="shared" si="50"/>
        <v>1.2216677881916094</v>
      </c>
      <c r="V91" s="331">
        <f t="shared" si="50"/>
        <v>1.1928688986855631</v>
      </c>
      <c r="W91" s="331">
        <f t="shared" si="50"/>
        <v>1.1765574507192</v>
      </c>
      <c r="X91" s="331">
        <f t="shared" si="50"/>
        <v>1.1609095683727815</v>
      </c>
      <c r="Y91" s="331">
        <f t="shared" si="50"/>
        <v>1.1501868085906495</v>
      </c>
      <c r="Z91" s="331">
        <f t="shared" si="50"/>
        <v>1.139851327688894</v>
      </c>
      <c r="AB91" s="367" t="s">
        <v>827</v>
      </c>
      <c r="AC91" s="366">
        <v>13.15733229927832</v>
      </c>
      <c r="AD91" s="365">
        <v>12.08372523506852</v>
      </c>
      <c r="AE91" s="364">
        <v>11.084387942527147</v>
      </c>
      <c r="AF91" s="363">
        <v>10.395192174875143</v>
      </c>
      <c r="AG91" s="362">
        <v>9.891747987713071</v>
      </c>
    </row>
    <row r="92" spans="1:33" ht="15" x14ac:dyDescent="0.2">
      <c r="A92" s="323" t="str">
        <f t="shared" si="49"/>
        <v>Construction Truck</v>
      </c>
      <c r="B92" s="878" t="s">
        <v>700</v>
      </c>
      <c r="C92" s="372">
        <v>71568.477704220408</v>
      </c>
      <c r="D92" s="371">
        <v>73333.990007705113</v>
      </c>
      <c r="E92" s="333">
        <f>AVERAGE(D92,F92)</f>
        <v>73500.021619370556</v>
      </c>
      <c r="F92" s="370">
        <v>73666.053231035985</v>
      </c>
      <c r="G92" s="333">
        <f>AVERAGE(F92,H92)</f>
        <v>74232.374570268861</v>
      </c>
      <c r="H92" s="369">
        <v>74798.695909501737</v>
      </c>
      <c r="I92" s="333">
        <f>AVERAGE(H92,J92)</f>
        <v>75529.475056817842</v>
      </c>
      <c r="J92" s="879">
        <v>76260.254204133933</v>
      </c>
      <c r="K92" s="902">
        <f>VehicleCostData2023!AE89</f>
        <v>1022416.0439057859</v>
      </c>
      <c r="L92" s="792">
        <f>VehicleCostData2023!AF89</f>
        <v>1047637.8756772528</v>
      </c>
      <c r="M92" s="792">
        <f>VehicleCostData2023!AG89</f>
        <v>1050009.7772323459</v>
      </c>
      <c r="N92" s="792">
        <f>VehicleCostData2023!AH89</f>
        <v>1052381.6787874387</v>
      </c>
      <c r="O92" s="792">
        <f>VehicleCostData2023!AI89</f>
        <v>1060472.056587996</v>
      </c>
      <c r="P92" s="792">
        <f>VehicleCostData2023!AJ89</f>
        <v>1068562.4343885533</v>
      </c>
      <c r="Q92" s="792">
        <f>VehicleCostData2023!AK89</f>
        <v>1079002.2306331466</v>
      </c>
      <c r="R92" s="903">
        <f>VehicleCostData2023!AL89</f>
        <v>1089442.0268777397</v>
      </c>
      <c r="S92" s="331">
        <f t="shared" si="50"/>
        <v>1.4285722193905583</v>
      </c>
      <c r="T92" s="331">
        <f t="shared" si="50"/>
        <v>1.2032716173999471</v>
      </c>
      <c r="U92" s="331">
        <f t="shared" si="50"/>
        <v>1.1736511746803999</v>
      </c>
      <c r="V92" s="331">
        <f t="shared" si="50"/>
        <v>1.1455780680217651</v>
      </c>
      <c r="W92" s="331">
        <f t="shared" si="50"/>
        <v>1.1304166314319881</v>
      </c>
      <c r="X92" s="331">
        <f t="shared" si="50"/>
        <v>1.1158719768771779</v>
      </c>
      <c r="Y92" s="331">
        <f t="shared" si="50"/>
        <v>1.1060516569080923</v>
      </c>
      <c r="Z92" s="331">
        <f t="shared" si="50"/>
        <v>1.0965860219827677</v>
      </c>
      <c r="AB92" s="367" t="s">
        <v>700</v>
      </c>
      <c r="AC92" s="366">
        <v>15.130932144170067</v>
      </c>
      <c r="AD92" s="365">
        <v>13.896284020328794</v>
      </c>
      <c r="AE92" s="364">
        <v>12.747046133906222</v>
      </c>
      <c r="AF92" s="363">
        <v>11.954471001106414</v>
      </c>
      <c r="AG92" s="362">
        <v>11.375510185870032</v>
      </c>
    </row>
    <row r="93" spans="1:33" x14ac:dyDescent="0.25">
      <c r="A93" s="323" t="str">
        <f t="shared" si="49"/>
        <v>Construction Truck</v>
      </c>
      <c r="B93" s="864"/>
      <c r="J93" s="847"/>
      <c r="K93" s="864">
        <f>VehicleCostData2023!AE90</f>
        <v>0</v>
      </c>
      <c r="L93" s="323">
        <f>VehicleCostData2023!AF90</f>
        <v>0</v>
      </c>
      <c r="M93" s="323">
        <f>VehicleCostData2023!AG90</f>
        <v>0</v>
      </c>
      <c r="N93" s="323">
        <f>VehicleCostData2023!AH90</f>
        <v>0</v>
      </c>
      <c r="O93" s="323">
        <f>VehicleCostData2023!AI90</f>
        <v>0</v>
      </c>
      <c r="P93" s="323">
        <f>VehicleCostData2023!AJ90</f>
        <v>0</v>
      </c>
      <c r="Q93" s="323">
        <f>VehicleCostData2023!AK90</f>
        <v>0</v>
      </c>
      <c r="R93" s="894">
        <f>VehicleCostData2023!AL90</f>
        <v>0</v>
      </c>
    </row>
    <row r="94" spans="1:33" x14ac:dyDescent="0.2">
      <c r="A94" s="323" t="str">
        <f t="shared" si="49"/>
        <v>Construction Truck</v>
      </c>
      <c r="B94" s="881" t="s">
        <v>832</v>
      </c>
      <c r="C94" s="360" t="s">
        <v>831</v>
      </c>
      <c r="D94" s="359">
        <v>0.08</v>
      </c>
      <c r="E94" s="358"/>
      <c r="J94" s="847"/>
      <c r="K94" s="864">
        <f>VehicleCostData2023!AE91</f>
        <v>0</v>
      </c>
      <c r="L94" s="323">
        <f>VehicleCostData2023!AF91</f>
        <v>0</v>
      </c>
      <c r="M94" s="323">
        <f>VehicleCostData2023!AG91</f>
        <v>0</v>
      </c>
      <c r="N94" s="323">
        <f>VehicleCostData2023!AH91</f>
        <v>0</v>
      </c>
      <c r="O94" s="323">
        <f>VehicleCostData2023!AI91</f>
        <v>0</v>
      </c>
      <c r="P94" s="323">
        <f>VehicleCostData2023!AJ91</f>
        <v>0</v>
      </c>
      <c r="Q94" s="323">
        <f>VehicleCostData2023!AK91</f>
        <v>0</v>
      </c>
      <c r="R94" s="894">
        <f>VehicleCostData2023!AL91</f>
        <v>0</v>
      </c>
      <c r="AB94" s="357" t="s">
        <v>816</v>
      </c>
    </row>
    <row r="95" spans="1:33" x14ac:dyDescent="0.2">
      <c r="A95" s="323" t="str">
        <f>B95</f>
        <v>Bus</v>
      </c>
      <c r="B95" s="882" t="s">
        <v>60</v>
      </c>
      <c r="C95" s="352">
        <v>2010</v>
      </c>
      <c r="D95" s="352">
        <v>2020</v>
      </c>
      <c r="E95" s="355"/>
      <c r="F95" s="352">
        <v>2030</v>
      </c>
      <c r="G95" s="352"/>
      <c r="H95" s="352">
        <v>2040</v>
      </c>
      <c r="I95" s="352"/>
      <c r="J95" s="851">
        <v>2050</v>
      </c>
      <c r="K95" s="898">
        <f>VehicleCostData2023!AE92</f>
        <v>2010</v>
      </c>
      <c r="L95" s="354">
        <f>VehicleCostData2023!AF92</f>
        <v>2020</v>
      </c>
      <c r="M95" s="354">
        <f>VehicleCostData2023!AG92</f>
        <v>0</v>
      </c>
      <c r="N95" s="354">
        <f>VehicleCostData2023!AH92</f>
        <v>2030</v>
      </c>
      <c r="O95" s="354">
        <f>VehicleCostData2023!AI92</f>
        <v>0</v>
      </c>
      <c r="P95" s="354">
        <f>VehicleCostData2023!AJ92</f>
        <v>2040</v>
      </c>
      <c r="Q95" s="354">
        <f>VehicleCostData2023!AK92</f>
        <v>0</v>
      </c>
      <c r="R95" s="899">
        <f>VehicleCostData2023!AL92</f>
        <v>2050</v>
      </c>
      <c r="S95" s="323">
        <f>C95</f>
        <v>2010</v>
      </c>
      <c r="T95" s="323">
        <f>D95</f>
        <v>2020</v>
      </c>
      <c r="V95" s="323">
        <f>F95</f>
        <v>2030</v>
      </c>
      <c r="X95" s="323">
        <f>H95</f>
        <v>2040</v>
      </c>
      <c r="Z95" s="323">
        <f>J95</f>
        <v>2050</v>
      </c>
      <c r="AB95" s="353" t="s">
        <v>830</v>
      </c>
      <c r="AC95" s="352">
        <v>2010</v>
      </c>
      <c r="AD95" s="352">
        <v>2020</v>
      </c>
      <c r="AE95" s="352">
        <v>2030</v>
      </c>
      <c r="AF95" s="352">
        <v>2040</v>
      </c>
      <c r="AG95" s="352">
        <v>2050</v>
      </c>
    </row>
    <row r="96" spans="1:33" x14ac:dyDescent="0.2">
      <c r="A96" s="323" t="str">
        <f t="shared" ref="A96:A104" si="51">A95</f>
        <v>Bus</v>
      </c>
      <c r="B96" s="883" t="s">
        <v>791</v>
      </c>
      <c r="C96" s="350" t="s">
        <v>193</v>
      </c>
      <c r="D96" s="349" t="s">
        <v>193</v>
      </c>
      <c r="E96" s="348"/>
      <c r="F96" s="347" t="s">
        <v>193</v>
      </c>
      <c r="G96" s="347"/>
      <c r="H96" s="346" t="s">
        <v>193</v>
      </c>
      <c r="I96" s="346"/>
      <c r="J96" s="884" t="s">
        <v>193</v>
      </c>
      <c r="K96" s="864" t="s">
        <v>1356</v>
      </c>
      <c r="L96" s="323" t="s">
        <v>1356</v>
      </c>
      <c r="M96" s="323" t="s">
        <v>1356</v>
      </c>
      <c r="N96" s="323" t="s">
        <v>1356</v>
      </c>
      <c r="O96" s="323" t="s">
        <v>1356</v>
      </c>
      <c r="P96" s="323" t="s">
        <v>1356</v>
      </c>
      <c r="Q96" s="323" t="s">
        <v>1356</v>
      </c>
      <c r="R96" s="894" t="s">
        <v>1356</v>
      </c>
      <c r="AB96" s="344" t="s">
        <v>659</v>
      </c>
      <c r="AC96" s="343" t="s">
        <v>663</v>
      </c>
      <c r="AD96" s="342" t="s">
        <v>663</v>
      </c>
      <c r="AE96" s="341" t="s">
        <v>663</v>
      </c>
      <c r="AF96" s="340" t="s">
        <v>663</v>
      </c>
      <c r="AG96" s="339" t="s">
        <v>663</v>
      </c>
    </row>
    <row r="97" spans="1:33" ht="15" x14ac:dyDescent="0.2">
      <c r="A97" s="323" t="str">
        <f t="shared" si="51"/>
        <v>Bus</v>
      </c>
      <c r="B97" s="885" t="s">
        <v>687</v>
      </c>
      <c r="C97" s="337">
        <v>104585.67980691875</v>
      </c>
      <c r="D97" s="336">
        <v>113077.07610471442</v>
      </c>
      <c r="E97" s="333">
        <f t="shared" ref="E97:E104" si="52">AVERAGE(D97,F97)</f>
        <v>115188.39593625024</v>
      </c>
      <c r="F97" s="335">
        <v>117299.71576778605</v>
      </c>
      <c r="G97" s="333">
        <f t="shared" ref="G97:G104" si="53">AVERAGE(F97,H97)</f>
        <v>118657.16814124331</v>
      </c>
      <c r="H97" s="334">
        <v>120014.62051470055</v>
      </c>
      <c r="I97" s="333">
        <f t="shared" ref="I97:I104" si="54">AVERAGE(H97,J97)</f>
        <v>121564.25896065209</v>
      </c>
      <c r="J97" s="886">
        <v>123113.89740660363</v>
      </c>
      <c r="K97" s="902">
        <f>VehicleCostData2023!AE94</f>
        <v>1494094.612984641</v>
      </c>
      <c r="L97" s="792">
        <f>VehicleCostData2023!AF94</f>
        <v>1615401.3682562639</v>
      </c>
      <c r="M97" s="792">
        <f>VehicleCostData2023!AG94</f>
        <v>1645563.3521187683</v>
      </c>
      <c r="N97" s="792">
        <f>VehicleCostData2023!AH94</f>
        <v>1675725.3359812722</v>
      </c>
      <c r="O97" s="792">
        <f>VehicleCostData2023!AI94</f>
        <v>1695117.6876140197</v>
      </c>
      <c r="P97" s="792">
        <f>VehicleCostData2023!AJ94</f>
        <v>1714510.0392467668</v>
      </c>
      <c r="Q97" s="792">
        <f>VehicleCostData2023!AK94</f>
        <v>1736647.9309585623</v>
      </c>
      <c r="R97" s="903">
        <f>VehicleCostData2023!AL94</f>
        <v>1758785.822670358</v>
      </c>
      <c r="S97" s="331">
        <f t="shared" ref="S97:Z104" si="55">C97/C$97</f>
        <v>1</v>
      </c>
      <c r="T97" s="331">
        <f t="shared" si="55"/>
        <v>1</v>
      </c>
      <c r="U97" s="331">
        <f t="shared" si="55"/>
        <v>1</v>
      </c>
      <c r="V97" s="331">
        <f t="shared" si="55"/>
        <v>1</v>
      </c>
      <c r="W97" s="331">
        <f t="shared" si="55"/>
        <v>1</v>
      </c>
      <c r="X97" s="331">
        <f t="shared" si="55"/>
        <v>1</v>
      </c>
      <c r="Y97" s="331">
        <f t="shared" si="55"/>
        <v>1</v>
      </c>
      <c r="Z97" s="331">
        <f t="shared" si="55"/>
        <v>1</v>
      </c>
      <c r="AB97" s="330" t="s">
        <v>687</v>
      </c>
      <c r="AC97" s="329">
        <v>13.994490402622045</v>
      </c>
      <c r="AD97" s="328">
        <v>13.191801941531427</v>
      </c>
      <c r="AE97" s="327">
        <v>11.734984998533537</v>
      </c>
      <c r="AF97" s="326">
        <v>11.220071176529693</v>
      </c>
      <c r="AG97" s="325">
        <v>10.791662866044483</v>
      </c>
    </row>
    <row r="98" spans="1:33" ht="15" x14ac:dyDescent="0.2">
      <c r="A98" s="323" t="str">
        <f t="shared" si="51"/>
        <v>Bus</v>
      </c>
      <c r="B98" s="885" t="s">
        <v>829</v>
      </c>
      <c r="C98" s="337">
        <v>112781.74324159419</v>
      </c>
      <c r="D98" s="336">
        <v>119843.62290240868</v>
      </c>
      <c r="E98" s="333">
        <f t="shared" si="52"/>
        <v>120931.82437835461</v>
      </c>
      <c r="F98" s="335">
        <v>122020.02585430053</v>
      </c>
      <c r="G98" s="333">
        <f t="shared" si="53"/>
        <v>122869.25200041107</v>
      </c>
      <c r="H98" s="334">
        <v>123718.47814652159</v>
      </c>
      <c r="I98" s="333">
        <f t="shared" si="54"/>
        <v>124937.38050446415</v>
      </c>
      <c r="J98" s="886">
        <v>126156.2828624067</v>
      </c>
      <c r="K98" s="902">
        <f>VehicleCostData2023!AE95</f>
        <v>1611182.2893093191</v>
      </c>
      <c r="L98" s="792">
        <f>VehicleCostData2023!AF95</f>
        <v>1712067.1941858542</v>
      </c>
      <c r="M98" s="792">
        <f>VehicleCostData2023!AG95</f>
        <v>1727613.0697402738</v>
      </c>
      <c r="N98" s="792">
        <f>VehicleCostData2023!AH95</f>
        <v>1743158.9452946933</v>
      </c>
      <c r="O98" s="792">
        <f>VehicleCostData2023!AI95</f>
        <v>1755290.8567805865</v>
      </c>
      <c r="P98" s="792">
        <f>VehicleCostData2023!AJ95</f>
        <v>1767422.768266479</v>
      </c>
      <c r="Q98" s="792">
        <f>VehicleCostData2023!AK95</f>
        <v>1784835.8161150792</v>
      </c>
      <c r="R98" s="903">
        <f>VehicleCostData2023!AL95</f>
        <v>1802248.8639636789</v>
      </c>
      <c r="S98" s="331">
        <f t="shared" si="55"/>
        <v>1.0783669757638583</v>
      </c>
      <c r="T98" s="331">
        <f t="shared" si="55"/>
        <v>1.0598401287934625</v>
      </c>
      <c r="U98" s="331">
        <f t="shared" si="55"/>
        <v>1.0498611721729592</v>
      </c>
      <c r="V98" s="331">
        <f t="shared" si="55"/>
        <v>1.0402414452210533</v>
      </c>
      <c r="W98" s="331">
        <f t="shared" si="55"/>
        <v>1.0354979300884202</v>
      </c>
      <c r="X98" s="331">
        <f t="shared" si="55"/>
        <v>1.0308617201465662</v>
      </c>
      <c r="Y98" s="331">
        <f t="shared" si="55"/>
        <v>1.0277476420508092</v>
      </c>
      <c r="Z98" s="331">
        <f t="shared" si="55"/>
        <v>1.0247119579502475</v>
      </c>
      <c r="AB98" s="330" t="s">
        <v>829</v>
      </c>
      <c r="AC98" s="329">
        <v>11.31113245814023</v>
      </c>
      <c r="AD98" s="328">
        <v>11.053344322508508</v>
      </c>
      <c r="AE98" s="327">
        <v>9.8702835330130654</v>
      </c>
      <c r="AF98" s="326">
        <v>9.4345222548033352</v>
      </c>
      <c r="AG98" s="325">
        <v>9.071868202881431</v>
      </c>
    </row>
    <row r="99" spans="1:33" ht="15" x14ac:dyDescent="0.2">
      <c r="A99" s="323" t="str">
        <f t="shared" si="51"/>
        <v>Bus</v>
      </c>
      <c r="B99" s="885" t="s">
        <v>828</v>
      </c>
      <c r="C99" s="337">
        <v>113443.27980691874</v>
      </c>
      <c r="D99" s="336">
        <v>117649.86503170698</v>
      </c>
      <c r="E99" s="333">
        <f t="shared" si="52"/>
        <v>118979.95394617732</v>
      </c>
      <c r="F99" s="335">
        <v>120310.04286064766</v>
      </c>
      <c r="G99" s="333">
        <f t="shared" si="53"/>
        <v>121286.87552080402</v>
      </c>
      <c r="H99" s="334">
        <v>122263.7081809604</v>
      </c>
      <c r="I99" s="333">
        <f t="shared" si="54"/>
        <v>123565.6368522952</v>
      </c>
      <c r="J99" s="886">
        <v>124867.56552362998</v>
      </c>
      <c r="K99" s="902">
        <f>VehicleCostData2023!AE96</f>
        <v>1620632.8968912417</v>
      </c>
      <c r="L99" s="792">
        <f>VehicleCostData2023!AF96</f>
        <v>1680727.5134297586</v>
      </c>
      <c r="M99" s="792">
        <f>VehicleCostData2023!AG96</f>
        <v>1699728.954980548</v>
      </c>
      <c r="N99" s="792">
        <f>VehicleCostData2023!AH96</f>
        <v>1718730.3965313372</v>
      </c>
      <c r="O99" s="792">
        <f>VehicleCostData2023!AI96</f>
        <v>1732685.2746563493</v>
      </c>
      <c r="P99" s="792">
        <f>VehicleCostData2023!AJ96</f>
        <v>1746640.152781361</v>
      </c>
      <c r="Q99" s="792">
        <f>VehicleCostData2023!AK96</f>
        <v>1765239.3015168547</v>
      </c>
      <c r="R99" s="903">
        <f>VehicleCostData2023!AL96</f>
        <v>1783838.4502523479</v>
      </c>
      <c r="S99" s="331">
        <f t="shared" si="55"/>
        <v>1.084692283076923</v>
      </c>
      <c r="T99" s="331">
        <f t="shared" si="55"/>
        <v>1.0404395752394406</v>
      </c>
      <c r="U99" s="331">
        <f t="shared" si="55"/>
        <v>1.0329161455814133</v>
      </c>
      <c r="V99" s="331">
        <f t="shared" si="55"/>
        <v>1.0256635497635906</v>
      </c>
      <c r="W99" s="331">
        <f t="shared" si="55"/>
        <v>1.0221622293937644</v>
      </c>
      <c r="X99" s="331">
        <f t="shared" si="55"/>
        <v>1.0187401139679007</v>
      </c>
      <c r="Y99" s="331">
        <f t="shared" si="55"/>
        <v>1.0164635387798555</v>
      </c>
      <c r="Z99" s="331">
        <f t="shared" si="55"/>
        <v>1.014244274236844</v>
      </c>
      <c r="AB99" s="330" t="s">
        <v>828</v>
      </c>
      <c r="AC99" s="329">
        <v>12.018078236773993</v>
      </c>
      <c r="AD99" s="328">
        <v>11.74417834266529</v>
      </c>
      <c r="AE99" s="327">
        <v>10.487176253826384</v>
      </c>
      <c r="AF99" s="326">
        <v>10.024179895728546</v>
      </c>
      <c r="AG99" s="325">
        <v>9.6388599655615206</v>
      </c>
    </row>
    <row r="100" spans="1:33" ht="15" x14ac:dyDescent="0.2">
      <c r="A100" s="323" t="str">
        <f t="shared" si="51"/>
        <v>Bus</v>
      </c>
      <c r="B100" s="885" t="s">
        <v>689</v>
      </c>
      <c r="C100" s="337">
        <v>116351.42843540911</v>
      </c>
      <c r="D100" s="336">
        <v>119377.37392363261</v>
      </c>
      <c r="E100" s="333">
        <f t="shared" si="52"/>
        <v>119821.79555029134</v>
      </c>
      <c r="F100" s="335">
        <v>120266.21717695009</v>
      </c>
      <c r="G100" s="333">
        <f t="shared" si="53"/>
        <v>120754.76021338374</v>
      </c>
      <c r="H100" s="334">
        <v>121243.30324981739</v>
      </c>
      <c r="I100" s="333">
        <f t="shared" si="54"/>
        <v>122275.5039036619</v>
      </c>
      <c r="J100" s="886">
        <v>123307.70455750641</v>
      </c>
      <c r="K100" s="902">
        <f>VehicleCostData2023!AE97</f>
        <v>1662178.2519303618</v>
      </c>
      <c r="L100" s="792">
        <f>VehicleCostData2023!AF97</f>
        <v>1705406.4344261531</v>
      </c>
      <c r="M100" s="792">
        <f>VehicleCostData2023!AG97</f>
        <v>1711755.37205806</v>
      </c>
      <c r="N100" s="792">
        <f>VehicleCostData2023!AH97</f>
        <v>1718104.309689967</v>
      </c>
      <c r="O100" s="792">
        <f>VehicleCostData2023!AI97</f>
        <v>1725083.5588595874</v>
      </c>
      <c r="P100" s="792">
        <f>VehicleCostData2023!AJ97</f>
        <v>1732062.8080292086</v>
      </c>
      <c r="Q100" s="792">
        <f>VehicleCostData2023!AK97</f>
        <v>1746808.6646252116</v>
      </c>
      <c r="R100" s="903">
        <f>VehicleCostData2023!AL97</f>
        <v>1761554.5212212147</v>
      </c>
      <c r="S100" s="331">
        <f t="shared" si="55"/>
        <v>1.1124986580401039</v>
      </c>
      <c r="T100" s="331">
        <f t="shared" si="55"/>
        <v>1.0557168440850366</v>
      </c>
      <c r="U100" s="331">
        <f t="shared" si="55"/>
        <v>1.0402245345668795</v>
      </c>
      <c r="V100" s="331">
        <f t="shared" si="55"/>
        <v>1.0252899283663799</v>
      </c>
      <c r="W100" s="331">
        <f t="shared" si="55"/>
        <v>1.0176777526802558</v>
      </c>
      <c r="X100" s="331">
        <f t="shared" si="55"/>
        <v>1.0102377754464202</v>
      </c>
      <c r="Y100" s="331">
        <f t="shared" si="55"/>
        <v>1.005850773484664</v>
      </c>
      <c r="Z100" s="331">
        <f t="shared" si="55"/>
        <v>1.001574210182484</v>
      </c>
      <c r="AB100" s="330" t="s">
        <v>689</v>
      </c>
      <c r="AC100" s="329">
        <v>9.8972409008726991</v>
      </c>
      <c r="AD100" s="328">
        <v>9.7369274546123403</v>
      </c>
      <c r="AE100" s="327">
        <v>8.8490586509521663</v>
      </c>
      <c r="AF100" s="326">
        <v>8.4852977340198574</v>
      </c>
      <c r="AG100" s="325">
        <v>8.0973329655812751</v>
      </c>
    </row>
    <row r="101" spans="1:33" ht="15" x14ac:dyDescent="0.2">
      <c r="A101" s="323" t="str">
        <f t="shared" si="51"/>
        <v>Bus</v>
      </c>
      <c r="B101" s="885" t="s">
        <v>692</v>
      </c>
      <c r="C101" s="337">
        <v>210032.009662809</v>
      </c>
      <c r="D101" s="336">
        <v>160147.05094959697</v>
      </c>
      <c r="E101" s="333">
        <f t="shared" si="52"/>
        <v>151867.75591154594</v>
      </c>
      <c r="F101" s="335">
        <v>143588.46087349489</v>
      </c>
      <c r="G101" s="333">
        <f t="shared" si="53"/>
        <v>144564.87323401903</v>
      </c>
      <c r="H101" s="334">
        <v>145541.28559454315</v>
      </c>
      <c r="I101" s="333">
        <f t="shared" si="54"/>
        <v>146467.9438683865</v>
      </c>
      <c r="J101" s="886">
        <v>147394.60214222985</v>
      </c>
      <c r="K101" s="902">
        <f>VehicleCostData2023!AE98</f>
        <v>6089818.753990707</v>
      </c>
      <c r="L101" s="792">
        <f>VehicleCostData2023!AF98</f>
        <v>4643418.4762355024</v>
      </c>
      <c r="M101" s="792">
        <f>VehicleCostData2023!AG98</f>
        <v>4403362.6567749837</v>
      </c>
      <c r="N101" s="792">
        <f>VehicleCostData2023!AH98</f>
        <v>4163306.8373144628</v>
      </c>
      <c r="O101" s="792">
        <f>VehicleCostData2023!AI98</f>
        <v>4191617.6377219548</v>
      </c>
      <c r="P101" s="792">
        <f>VehicleCostData2023!AJ98</f>
        <v>4219928.4381294465</v>
      </c>
      <c r="Q101" s="792">
        <f>VehicleCostData2023!AK98</f>
        <v>4246796.6328567723</v>
      </c>
      <c r="R101" s="903">
        <f>VehicleCostData2023!AL98</f>
        <v>4273664.8275840972</v>
      </c>
      <c r="S101" s="331">
        <f t="shared" si="55"/>
        <v>2.008229138545166</v>
      </c>
      <c r="T101" s="331">
        <f t="shared" si="55"/>
        <v>1.4162645203285382</v>
      </c>
      <c r="U101" s="331">
        <f t="shared" si="55"/>
        <v>1.3184292973017482</v>
      </c>
      <c r="V101" s="331">
        <f t="shared" si="55"/>
        <v>1.2241160171074217</v>
      </c>
      <c r="W101" s="331">
        <f t="shared" si="55"/>
        <v>1.2183408343433288</v>
      </c>
      <c r="X101" s="331">
        <f t="shared" si="55"/>
        <v>1.2126962945878401</v>
      </c>
      <c r="Y101" s="331">
        <f t="shared" si="55"/>
        <v>1.2048602535042412</v>
      </c>
      <c r="Z101" s="331">
        <f t="shared" si="55"/>
        <v>1.1972214774050671</v>
      </c>
      <c r="AB101" s="330" t="s">
        <v>692</v>
      </c>
      <c r="AC101" s="329">
        <v>4.2967374340531439</v>
      </c>
      <c r="AD101" s="328">
        <v>4.1516717578834097</v>
      </c>
      <c r="AE101" s="327">
        <v>3.9381110207044951</v>
      </c>
      <c r="AF101" s="326">
        <v>3.7593629578837526</v>
      </c>
      <c r="AG101" s="325">
        <v>3.5746569593351674</v>
      </c>
    </row>
    <row r="102" spans="1:33" ht="15" x14ac:dyDescent="0.2">
      <c r="A102" s="323" t="str">
        <f t="shared" si="51"/>
        <v>Bus</v>
      </c>
      <c r="B102" s="885" t="s">
        <v>699</v>
      </c>
      <c r="C102" s="337">
        <v>277340.96449320531</v>
      </c>
      <c r="D102" s="336">
        <v>162518.18115955184</v>
      </c>
      <c r="E102" s="333">
        <f t="shared" si="52"/>
        <v>144863.97068257336</v>
      </c>
      <c r="F102" s="335">
        <v>127209.76020559487</v>
      </c>
      <c r="G102" s="333">
        <f t="shared" si="53"/>
        <v>125207.46042029635</v>
      </c>
      <c r="H102" s="334">
        <v>123205.16063499784</v>
      </c>
      <c r="I102" s="333">
        <f t="shared" si="54"/>
        <v>122962.68940722018</v>
      </c>
      <c r="J102" s="886">
        <v>122720.21817944253</v>
      </c>
      <c r="K102" s="902">
        <f>VehicleCostData2023!AE99</f>
        <v>3962049.5059577962</v>
      </c>
      <c r="L102" s="792">
        <f>VehicleCostData2023!AF99</f>
        <v>2321709.2381177512</v>
      </c>
      <c r="M102" s="792">
        <f>VehicleCostData2023!AG99</f>
        <v>2069503.9570616197</v>
      </c>
      <c r="N102" s="792">
        <f>VehicleCostData2023!AH99</f>
        <v>1817298.6760054873</v>
      </c>
      <c r="O102" s="792">
        <f>VehicleCostData2023!AI99</f>
        <v>1788694.1354190726</v>
      </c>
      <c r="P102" s="792">
        <f>VehicleCostData2023!AJ99</f>
        <v>1760089.5948326574</v>
      </c>
      <c r="Q102" s="792">
        <f>VehicleCostData2023!AK99</f>
        <v>1756625.6889146084</v>
      </c>
      <c r="R102" s="903">
        <f>VehicleCostData2023!AL99</f>
        <v>1753161.7829965593</v>
      </c>
      <c r="S102" s="331">
        <f t="shared" si="55"/>
        <v>2.6518062989619553</v>
      </c>
      <c r="T102" s="331">
        <f t="shared" si="55"/>
        <v>1.4372336706783322</v>
      </c>
      <c r="U102" s="331">
        <f t="shared" si="55"/>
        <v>1.2576264258662544</v>
      </c>
      <c r="V102" s="331">
        <f t="shared" si="55"/>
        <v>1.0844848120299573</v>
      </c>
      <c r="W102" s="331">
        <f t="shared" si="55"/>
        <v>1.0552035109354365</v>
      </c>
      <c r="X102" s="331">
        <f t="shared" si="55"/>
        <v>1.0265845953319201</v>
      </c>
      <c r="Y102" s="331">
        <f t="shared" si="55"/>
        <v>1.0115036315651029</v>
      </c>
      <c r="Z102" s="331">
        <f t="shared" si="55"/>
        <v>0.99680231691584809</v>
      </c>
      <c r="AB102" s="330" t="s">
        <v>699</v>
      </c>
      <c r="AC102" s="329">
        <v>6.6335595473101172</v>
      </c>
      <c r="AD102" s="328">
        <v>6.1972203681762217</v>
      </c>
      <c r="AE102" s="327">
        <v>5.6940560898496049</v>
      </c>
      <c r="AF102" s="326">
        <v>5.273904651666518</v>
      </c>
      <c r="AG102" s="325">
        <v>4.8730406223495022</v>
      </c>
    </row>
    <row r="103" spans="1:33" ht="15" x14ac:dyDescent="0.2">
      <c r="A103" s="323" t="str">
        <f t="shared" si="51"/>
        <v>Bus</v>
      </c>
      <c r="B103" s="885" t="s">
        <v>827</v>
      </c>
      <c r="C103" s="337">
        <v>118745.67980691875</v>
      </c>
      <c r="D103" s="336">
        <v>121980.88232500074</v>
      </c>
      <c r="E103" s="333">
        <f t="shared" si="52"/>
        <v>123266.32101324902</v>
      </c>
      <c r="F103" s="335">
        <v>124551.75970149731</v>
      </c>
      <c r="G103" s="333">
        <f t="shared" si="53"/>
        <v>125552.84139797505</v>
      </c>
      <c r="H103" s="334">
        <v>126553.92309445278</v>
      </c>
      <c r="I103" s="333">
        <f t="shared" si="54"/>
        <v>127857.69303261595</v>
      </c>
      <c r="J103" s="886">
        <v>129161.46297077912</v>
      </c>
      <c r="K103" s="902">
        <f>VehicleCostData2023!AE100</f>
        <v>1696382.1513830191</v>
      </c>
      <c r="L103" s="792">
        <f>VehicleCostData2023!AF100</f>
        <v>1742599.7469764536</v>
      </c>
      <c r="M103" s="792">
        <f>VehicleCostData2023!AG100</f>
        <v>1760963.3224007324</v>
      </c>
      <c r="N103" s="792">
        <f>VehicleCostData2023!AH100</f>
        <v>1779326.8978250111</v>
      </c>
      <c r="O103" s="792">
        <f>VehicleCostData2023!AI100</f>
        <v>1793628.1938784118</v>
      </c>
      <c r="P103" s="792">
        <f>VehicleCostData2023!AJ100</f>
        <v>1807929.4899318123</v>
      </c>
      <c r="Q103" s="792">
        <f>VehicleCostData2023!AK100</f>
        <v>1826554.9427163345</v>
      </c>
      <c r="R103" s="903">
        <f>VehicleCostData2023!AL100</f>
        <v>1845180.3955008567</v>
      </c>
      <c r="S103" s="331">
        <f t="shared" si="55"/>
        <v>1.1353913846153847</v>
      </c>
      <c r="T103" s="331">
        <f t="shared" si="55"/>
        <v>1.0787410368839128</v>
      </c>
      <c r="U103" s="331">
        <f t="shared" si="55"/>
        <v>1.0701279413724054</v>
      </c>
      <c r="V103" s="331">
        <f t="shared" si="55"/>
        <v>1.061824906277419</v>
      </c>
      <c r="W103" s="331">
        <f t="shared" si="55"/>
        <v>1.0581142577793825</v>
      </c>
      <c r="X103" s="331">
        <f t="shared" si="55"/>
        <v>1.054487549531111</v>
      </c>
      <c r="Y103" s="331">
        <f t="shared" si="55"/>
        <v>1.0517704309290523</v>
      </c>
      <c r="Z103" s="331">
        <f t="shared" si="55"/>
        <v>1.0491217132392652</v>
      </c>
      <c r="AB103" s="330" t="s">
        <v>827</v>
      </c>
      <c r="AC103" s="329">
        <v>13.994490402622045</v>
      </c>
      <c r="AD103" s="328">
        <v>13.191801941531427</v>
      </c>
      <c r="AE103" s="327">
        <v>11.734984998533537</v>
      </c>
      <c r="AF103" s="326">
        <v>11.220071176529693</v>
      </c>
      <c r="AG103" s="325">
        <v>10.791662866044483</v>
      </c>
    </row>
    <row r="104" spans="1:33" ht="15" x14ac:dyDescent="0.2">
      <c r="A104" s="323" t="str">
        <f t="shared" si="51"/>
        <v>Bus</v>
      </c>
      <c r="B104" s="885" t="s">
        <v>700</v>
      </c>
      <c r="C104" s="337">
        <v>116405.99579555681</v>
      </c>
      <c r="D104" s="336">
        <v>119894.70049649201</v>
      </c>
      <c r="E104" s="333">
        <f t="shared" si="52"/>
        <v>121154.48362723406</v>
      </c>
      <c r="F104" s="335">
        <v>122414.26675797613</v>
      </c>
      <c r="G104" s="333">
        <f t="shared" si="53"/>
        <v>123434.96810514023</v>
      </c>
      <c r="H104" s="334">
        <v>124455.66945230431</v>
      </c>
      <c r="I104" s="333">
        <f t="shared" si="54"/>
        <v>125768.60854731036</v>
      </c>
      <c r="J104" s="886">
        <v>127081.54764231641</v>
      </c>
      <c r="K104" s="902">
        <f>VehicleCostData2023!AE101</f>
        <v>1662957.7926762076</v>
      </c>
      <c r="L104" s="792">
        <f>VehicleCostData2023!AF101</f>
        <v>1712796.8806812237</v>
      </c>
      <c r="M104" s="792">
        <f>VehicleCostData2023!AG101</f>
        <v>1730793.9448361397</v>
      </c>
      <c r="N104" s="792">
        <f>VehicleCostData2023!AH101</f>
        <v>1748791.0089910564</v>
      </c>
      <c r="O104" s="792">
        <f>VehicleCostData2023!AI101</f>
        <v>1763372.5882959811</v>
      </c>
      <c r="P104" s="792">
        <f>VehicleCostData2023!AJ101</f>
        <v>1777954.1676009053</v>
      </c>
      <c r="Q104" s="792">
        <f>VehicleCostData2023!AK101</f>
        <v>1796710.6095215103</v>
      </c>
      <c r="R104" s="903">
        <f>VehicleCostData2023!AL101</f>
        <v>1815467.0514421153</v>
      </c>
      <c r="S104" s="331">
        <f t="shared" si="55"/>
        <v>1.1130204059529007</v>
      </c>
      <c r="T104" s="331">
        <f t="shared" si="55"/>
        <v>1.0602918347965078</v>
      </c>
      <c r="U104" s="331">
        <f t="shared" si="55"/>
        <v>1.0517941728634341</v>
      </c>
      <c r="V104" s="331">
        <f t="shared" si="55"/>
        <v>1.043602415885774</v>
      </c>
      <c r="W104" s="331">
        <f t="shared" si="55"/>
        <v>1.0402655822546656</v>
      </c>
      <c r="X104" s="331">
        <f t="shared" si="55"/>
        <v>1.0370042326389706</v>
      </c>
      <c r="Y104" s="331">
        <f t="shared" si="55"/>
        <v>1.0345854087591577</v>
      </c>
      <c r="Z104" s="331">
        <f t="shared" si="55"/>
        <v>1.0322274765017712</v>
      </c>
      <c r="AB104" s="330" t="s">
        <v>700</v>
      </c>
      <c r="AC104" s="329">
        <v>16.093663963015352</v>
      </c>
      <c r="AD104" s="328">
        <v>15.170572232761142</v>
      </c>
      <c r="AE104" s="327">
        <v>13.495232748313567</v>
      </c>
      <c r="AF104" s="326">
        <v>12.90308185300915</v>
      </c>
      <c r="AG104" s="325">
        <v>12.410412295951149</v>
      </c>
    </row>
    <row r="105" spans="1:33" x14ac:dyDescent="0.25">
      <c r="B105" s="864"/>
      <c r="J105" s="847"/>
      <c r="K105" s="864"/>
      <c r="R105" s="894"/>
    </row>
    <row r="106" spans="1:33" ht="13.5" thickBot="1" x14ac:dyDescent="0.3">
      <c r="B106" s="887"/>
      <c r="C106" s="888"/>
      <c r="D106" s="888"/>
      <c r="E106" s="889"/>
      <c r="F106" s="888"/>
      <c r="G106" s="888"/>
      <c r="H106" s="888"/>
      <c r="I106" s="888"/>
      <c r="J106" s="890"/>
      <c r="K106" s="907"/>
      <c r="L106" s="908"/>
      <c r="M106" s="908"/>
      <c r="N106" s="908"/>
      <c r="O106" s="908"/>
      <c r="P106" s="908"/>
      <c r="Q106" s="908"/>
      <c r="R106" s="909"/>
    </row>
    <row r="107" spans="1:33" ht="13.5" thickTop="1" x14ac:dyDescent="0.25"/>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24C24-CA11-46F4-89D6-963969E5B627}">
  <sheetPr codeName="Sheet10">
    <tabColor rgb="FFFF0066"/>
  </sheetPr>
  <dimension ref="B1:AL131"/>
  <sheetViews>
    <sheetView tabSelected="1" topLeftCell="A24" zoomScale="70" zoomScaleNormal="70" workbookViewId="0">
      <selection activeCell="E55" sqref="E55"/>
    </sheetView>
  </sheetViews>
  <sheetFormatPr defaultRowHeight="15" x14ac:dyDescent="0.25"/>
  <cols>
    <col min="1" max="2" width="9.140625" style="805"/>
    <col min="3" max="3" width="17" style="805" customWidth="1"/>
    <col min="4" max="4" width="21.7109375" style="805" customWidth="1"/>
    <col min="5" max="16" width="15.5703125" style="805" customWidth="1"/>
    <col min="17" max="17" width="9.140625" style="805"/>
    <col min="18" max="18" width="13.5703125" style="805" customWidth="1"/>
    <col min="19" max="19" width="14.5703125" style="805" customWidth="1"/>
    <col min="20" max="20" width="27.28515625" style="805" customWidth="1"/>
    <col min="21" max="21" width="25.5703125" style="812" customWidth="1"/>
    <col min="22" max="38" width="21.85546875" style="812" customWidth="1"/>
    <col min="39" max="16384" width="9.140625" style="805"/>
  </cols>
  <sheetData>
    <row r="1" spans="2:38" x14ac:dyDescent="0.25">
      <c r="B1" s="805" t="s">
        <v>1314</v>
      </c>
      <c r="R1" s="323"/>
      <c r="S1" s="352" t="s">
        <v>681</v>
      </c>
      <c r="V1" s="821">
        <v>2010</v>
      </c>
      <c r="W1" s="821">
        <v>2020</v>
      </c>
      <c r="X1" s="821">
        <v>2025</v>
      </c>
      <c r="Y1" s="821">
        <v>2030</v>
      </c>
      <c r="Z1" s="821">
        <v>2035</v>
      </c>
      <c r="AA1" s="821">
        <v>2040</v>
      </c>
      <c r="AB1" s="821">
        <v>2045</v>
      </c>
      <c r="AC1" s="821">
        <v>2050</v>
      </c>
      <c r="AE1" s="821">
        <v>2010</v>
      </c>
      <c r="AF1" s="821">
        <v>2020</v>
      </c>
      <c r="AG1" s="821">
        <v>2025</v>
      </c>
      <c r="AH1" s="821">
        <v>2030</v>
      </c>
      <c r="AI1" s="821">
        <v>2035</v>
      </c>
      <c r="AJ1" s="821">
        <v>2040</v>
      </c>
      <c r="AK1" s="821">
        <v>2045</v>
      </c>
      <c r="AL1" s="821">
        <v>2050</v>
      </c>
    </row>
    <row r="2" spans="2:38" ht="15.75" thickBot="1" x14ac:dyDescent="0.3">
      <c r="B2" s="805" t="s">
        <v>1313</v>
      </c>
      <c r="R2" s="323"/>
      <c r="S2" s="448" t="s">
        <v>1321</v>
      </c>
      <c r="T2" s="819" t="s">
        <v>1351</v>
      </c>
      <c r="U2" s="819" t="s">
        <v>1350</v>
      </c>
      <c r="V2" s="822" t="s">
        <v>1349</v>
      </c>
      <c r="W2" s="823"/>
      <c r="X2" s="823"/>
      <c r="Y2" s="823"/>
      <c r="Z2" s="823"/>
      <c r="AA2" s="823"/>
      <c r="AB2" s="823"/>
      <c r="AC2" s="823"/>
      <c r="AD2" s="815" t="s">
        <v>1353</v>
      </c>
      <c r="AE2" s="840" t="s">
        <v>1354</v>
      </c>
      <c r="AF2" s="823"/>
      <c r="AG2" s="823"/>
      <c r="AH2" s="823"/>
      <c r="AI2" s="823"/>
      <c r="AJ2" s="823"/>
      <c r="AK2" s="823"/>
      <c r="AL2" s="823"/>
    </row>
    <row r="3" spans="2:38" x14ac:dyDescent="0.25">
      <c r="B3" s="809" t="s">
        <v>1312</v>
      </c>
      <c r="R3" s="323" t="str">
        <f>S1</f>
        <v>Passenger Car</v>
      </c>
      <c r="S3" s="256" t="s">
        <v>680</v>
      </c>
      <c r="T3" s="808">
        <f>D25</f>
        <v>268575.65087087487</v>
      </c>
      <c r="U3" s="820">
        <f t="shared" ref="U3:U34" si="0">$D$24/$D$23*T3</f>
        <v>240363.2913501834</v>
      </c>
      <c r="V3" s="824">
        <v>320262.66919658618</v>
      </c>
      <c r="W3" s="825">
        <v>346795.75846684008</v>
      </c>
      <c r="X3" s="825">
        <v>352701.48057385266</v>
      </c>
      <c r="Y3" s="825">
        <v>358607.20268086524</v>
      </c>
      <c r="Z3" s="825">
        <v>362536.77263877826</v>
      </c>
      <c r="AA3" s="825">
        <v>366466.34259669122</v>
      </c>
      <c r="AB3" s="825">
        <v>368757.27234685927</v>
      </c>
      <c r="AC3" s="826">
        <v>371048.20209702745</v>
      </c>
      <c r="AD3" s="812">
        <f>U3/W3</f>
        <v>0.69309755232535941</v>
      </c>
      <c r="AE3" s="824">
        <f>V3*$AD3</f>
        <v>221973.27212134015</v>
      </c>
      <c r="AF3" s="825">
        <f t="shared" ref="AF3:AF15" si="1">W3*$AD3</f>
        <v>240363.2913501834</v>
      </c>
      <c r="AG3" s="825">
        <f t="shared" ref="AG3:AG15" si="2">X3*$AD3</f>
        <v>244456.53288726759</v>
      </c>
      <c r="AH3" s="825">
        <f t="shared" ref="AH3:AH15" si="3">Y3*$AD3</f>
        <v>248549.77442435178</v>
      </c>
      <c r="AI3" s="825">
        <f t="shared" ref="AI3:AI15" si="4">Z3*$AD3</f>
        <v>251273.34974387253</v>
      </c>
      <c r="AJ3" s="825">
        <f t="shared" ref="AJ3:AJ15" si="5">AA3*$AD3</f>
        <v>253996.92506339328</v>
      </c>
      <c r="AK3" s="825">
        <f t="shared" ref="AK3:AK15" si="6">AB3*$AD3</f>
        <v>255584.76286578411</v>
      </c>
      <c r="AL3" s="826">
        <f t="shared" ref="AL3:AL15" si="7">AC3*$AD3</f>
        <v>257172.600668175</v>
      </c>
    </row>
    <row r="4" spans="2:38" x14ac:dyDescent="0.25">
      <c r="B4" s="810">
        <v>43831</v>
      </c>
      <c r="C4" s="808">
        <v>327723</v>
      </c>
      <c r="E4" s="810">
        <v>43831</v>
      </c>
      <c r="F4" s="810">
        <v>43862</v>
      </c>
      <c r="G4" s="810">
        <v>43891</v>
      </c>
      <c r="H4" s="810">
        <v>43922</v>
      </c>
      <c r="I4" s="810">
        <v>43952</v>
      </c>
      <c r="J4" s="810">
        <v>43983</v>
      </c>
      <c r="K4" s="810">
        <v>44013</v>
      </c>
      <c r="L4" s="810">
        <v>44044</v>
      </c>
      <c r="M4" s="810">
        <v>44075</v>
      </c>
      <c r="N4" s="810">
        <v>44105</v>
      </c>
      <c r="O4" s="810">
        <v>44136</v>
      </c>
      <c r="P4" s="810">
        <v>44166</v>
      </c>
      <c r="R4" s="323" t="str">
        <f t="shared" ref="R4:R17" si="8">R3</f>
        <v>Passenger Car</v>
      </c>
      <c r="S4" s="256" t="s">
        <v>687</v>
      </c>
      <c r="T4" s="808">
        <f>D29</f>
        <v>402863.47630631231</v>
      </c>
      <c r="U4" s="820">
        <f t="shared" si="0"/>
        <v>360544.93702527508</v>
      </c>
      <c r="V4" s="827">
        <v>330565.03764846618</v>
      </c>
      <c r="W4" s="828">
        <v>362874.06927397067</v>
      </c>
      <c r="X4" s="828">
        <v>368516.17150263488</v>
      </c>
      <c r="Y4" s="828">
        <v>374158.27373129909</v>
      </c>
      <c r="Z4" s="828">
        <v>378274.98804105673</v>
      </c>
      <c r="AA4" s="828">
        <v>382391.70235081442</v>
      </c>
      <c r="AB4" s="828">
        <v>384737.65217329492</v>
      </c>
      <c r="AC4" s="829">
        <v>387083.60199577553</v>
      </c>
      <c r="AD4" s="812">
        <f t="shared" ref="AD4:AD66" si="9">U4/W4</f>
        <v>0.99358143100895679</v>
      </c>
      <c r="AE4" s="827">
        <f t="shared" ref="AE4:AE15" si="10">V4*$AD4</f>
        <v>328443.28314829268</v>
      </c>
      <c r="AF4" s="828">
        <f t="shared" si="1"/>
        <v>360544.93702527508</v>
      </c>
      <c r="AG4" s="828">
        <f t="shared" si="2"/>
        <v>366150.82503153011</v>
      </c>
      <c r="AH4" s="828">
        <f t="shared" si="3"/>
        <v>371756.71303778514</v>
      </c>
      <c r="AI4" s="828">
        <f t="shared" si="4"/>
        <v>375847.00393272919</v>
      </c>
      <c r="AJ4" s="828">
        <f t="shared" si="5"/>
        <v>379937.29482767323</v>
      </c>
      <c r="AK4" s="828">
        <f t="shared" si="6"/>
        <v>382268.18700936862</v>
      </c>
      <c r="AL4" s="829">
        <f t="shared" si="7"/>
        <v>384599.07919106411</v>
      </c>
    </row>
    <row r="5" spans="2:38" x14ac:dyDescent="0.25">
      <c r="B5" s="810">
        <v>44197</v>
      </c>
      <c r="C5" s="808">
        <v>358390</v>
      </c>
      <c r="E5" s="808">
        <f t="shared" ref="E5:P5" si="11">_xlfn.FORECAST.LINEAR(E4,$C$4:$C$5,$B$4:$B$5)</f>
        <v>327723</v>
      </c>
      <c r="F5" s="808">
        <f t="shared" si="11"/>
        <v>330320.47814207664</v>
      </c>
      <c r="G5" s="808">
        <f t="shared" si="11"/>
        <v>332750.37704918068</v>
      </c>
      <c r="H5" s="808">
        <f t="shared" si="11"/>
        <v>335347.85519125685</v>
      </c>
      <c r="I5" s="808">
        <f t="shared" si="11"/>
        <v>337861.54371584719</v>
      </c>
      <c r="J5" s="808">
        <f t="shared" si="11"/>
        <v>340459.02185792383</v>
      </c>
      <c r="K5" s="808">
        <f t="shared" si="11"/>
        <v>342972.7103825137</v>
      </c>
      <c r="L5" s="808">
        <f t="shared" si="11"/>
        <v>345570.18852459034</v>
      </c>
      <c r="M5" s="808">
        <f t="shared" si="11"/>
        <v>348167.66666666698</v>
      </c>
      <c r="N5" s="808">
        <f t="shared" si="11"/>
        <v>350681.35519125685</v>
      </c>
      <c r="O5" s="808">
        <f t="shared" si="11"/>
        <v>353278.83333333349</v>
      </c>
      <c r="P5" s="808">
        <f t="shared" si="11"/>
        <v>355792.52185792383</v>
      </c>
      <c r="R5" s="323" t="str">
        <f t="shared" si="8"/>
        <v>Passenger Car</v>
      </c>
      <c r="S5" s="256" t="s">
        <v>688</v>
      </c>
      <c r="T5" s="808">
        <f>D33</f>
        <v>492130.96953029517</v>
      </c>
      <c r="U5" s="820">
        <f t="shared" si="0"/>
        <v>440435.38283569069</v>
      </c>
      <c r="V5" s="827">
        <v>394510.70272290101</v>
      </c>
      <c r="W5" s="828">
        <v>374543.90974527999</v>
      </c>
      <c r="X5" s="828">
        <v>371312.21028277103</v>
      </c>
      <c r="Y5" s="828">
        <v>368080.51082026208</v>
      </c>
      <c r="Z5" s="828">
        <v>368595.17976320512</v>
      </c>
      <c r="AA5" s="828">
        <v>369109.84870614816</v>
      </c>
      <c r="AB5" s="828">
        <v>369271.49063353211</v>
      </c>
      <c r="AC5" s="829">
        <v>369433.13256091613</v>
      </c>
      <c r="AD5" s="812">
        <f t="shared" si="9"/>
        <v>1.1759245615159575</v>
      </c>
      <c r="AE5" s="827">
        <f t="shared" si="10"/>
        <v>463914.82511277962</v>
      </c>
      <c r="AF5" s="828">
        <f t="shared" si="1"/>
        <v>440435.38283569075</v>
      </c>
      <c r="AG5" s="828">
        <f t="shared" si="2"/>
        <v>436635.14806228853</v>
      </c>
      <c r="AH5" s="828">
        <f t="shared" si="3"/>
        <v>432834.91328888631</v>
      </c>
      <c r="AI5" s="828">
        <f t="shared" si="4"/>
        <v>433440.12513994251</v>
      </c>
      <c r="AJ5" s="828">
        <f t="shared" si="5"/>
        <v>434045.33699099865</v>
      </c>
      <c r="AK5" s="828">
        <f t="shared" si="6"/>
        <v>434235.41570358025</v>
      </c>
      <c r="AL5" s="829">
        <f t="shared" si="7"/>
        <v>434425.49441616191</v>
      </c>
    </row>
    <row r="6" spans="2:38" x14ac:dyDescent="0.25">
      <c r="C6" s="805" t="s">
        <v>1311</v>
      </c>
      <c r="E6" s="805">
        <f>'[6]CPI-hist'!B23</f>
        <v>91.9</v>
      </c>
      <c r="F6" s="805">
        <f>'[6]CPI-hist'!C23</f>
        <v>92.8</v>
      </c>
      <c r="G6" s="805">
        <f>'[6]CPI-hist'!D23</f>
        <v>93.1</v>
      </c>
      <c r="H6" s="805">
        <f>'[6]CPI-hist'!E23</f>
        <v>92.6</v>
      </c>
      <c r="I6" s="805">
        <f>'[6]CPI-hist'!F23</f>
        <v>92</v>
      </c>
      <c r="J6" s="805">
        <f>'[6]CPI-hist'!G23</f>
        <v>92.5</v>
      </c>
      <c r="K6" s="805">
        <f>'[6]CPI-hist'!H23</f>
        <v>93.7</v>
      </c>
      <c r="L6" s="805">
        <f>'[6]CPI-hist'!I23</f>
        <v>93.9</v>
      </c>
      <c r="M6" s="805">
        <f>'[6]CPI-hist'!J23</f>
        <v>94</v>
      </c>
      <c r="N6" s="805">
        <f>'[6]CPI-hist'!K23</f>
        <v>94.3</v>
      </c>
      <c r="O6" s="805">
        <f>'[6]CPI-hist'!L23</f>
        <v>94.3</v>
      </c>
      <c r="P6" s="805">
        <f>'[6]CPI-hist'!M23</f>
        <v>94.4</v>
      </c>
      <c r="R6" s="323" t="str">
        <f t="shared" si="8"/>
        <v>Passenger Car</v>
      </c>
      <c r="S6" s="256" t="s">
        <v>689</v>
      </c>
      <c r="T6" s="808">
        <f>D35</f>
        <v>738196.45429544279</v>
      </c>
      <c r="U6" s="820">
        <f t="shared" si="0"/>
        <v>660653.07425353606</v>
      </c>
      <c r="V6" s="827">
        <v>395481.43398802093</v>
      </c>
      <c r="W6" s="828">
        <v>386013.68604714214</v>
      </c>
      <c r="X6" s="828">
        <v>382958.30177482724</v>
      </c>
      <c r="Y6" s="828">
        <v>379902.91750251234</v>
      </c>
      <c r="Z6" s="828">
        <v>380663.70247783005</v>
      </c>
      <c r="AA6" s="828">
        <v>381424.48745314771</v>
      </c>
      <c r="AB6" s="828">
        <v>381675.02828246955</v>
      </c>
      <c r="AC6" s="829">
        <v>381925.56911179138</v>
      </c>
      <c r="AD6" s="812">
        <f t="shared" si="9"/>
        <v>1.7114757795734046</v>
      </c>
      <c r="AE6" s="827">
        <f t="shared" si="10"/>
        <v>676856.89554145606</v>
      </c>
      <c r="AF6" s="828">
        <f t="shared" si="1"/>
        <v>660653.07425353606</v>
      </c>
      <c r="AG6" s="828">
        <f t="shared" si="2"/>
        <v>655423.85807417962</v>
      </c>
      <c r="AH6" s="828">
        <f t="shared" si="3"/>
        <v>650194.64189482306</v>
      </c>
      <c r="AI6" s="828">
        <f t="shared" si="4"/>
        <v>651496.70695354277</v>
      </c>
      <c r="AJ6" s="828">
        <f t="shared" si="5"/>
        <v>652798.77201226226</v>
      </c>
      <c r="AK6" s="828">
        <f t="shared" si="6"/>
        <v>653227.5665734408</v>
      </c>
      <c r="AL6" s="829">
        <f t="shared" si="7"/>
        <v>653656.36113461934</v>
      </c>
    </row>
    <row r="7" spans="2:38" x14ac:dyDescent="0.25">
      <c r="C7" s="805" t="s">
        <v>1310</v>
      </c>
      <c r="E7" s="805">
        <f t="shared" ref="E7:P7" si="12">E6/$E6</f>
        <v>1</v>
      </c>
      <c r="F7" s="805">
        <f t="shared" si="12"/>
        <v>1.0097932535364527</v>
      </c>
      <c r="G7" s="805">
        <f t="shared" si="12"/>
        <v>1.0130576713819368</v>
      </c>
      <c r="H7" s="805">
        <f t="shared" si="12"/>
        <v>1.0076169749727963</v>
      </c>
      <c r="I7" s="805">
        <f t="shared" si="12"/>
        <v>1.001088139281828</v>
      </c>
      <c r="J7" s="805">
        <f t="shared" si="12"/>
        <v>1.0065288356909683</v>
      </c>
      <c r="K7" s="805">
        <f t="shared" si="12"/>
        <v>1.0195865070729053</v>
      </c>
      <c r="L7" s="805">
        <f t="shared" si="12"/>
        <v>1.0217627856365614</v>
      </c>
      <c r="M7" s="805">
        <f t="shared" si="12"/>
        <v>1.0228509249183895</v>
      </c>
      <c r="N7" s="805">
        <f t="shared" si="12"/>
        <v>1.0261153427638736</v>
      </c>
      <c r="O7" s="805">
        <f t="shared" si="12"/>
        <v>1.0261153427638736</v>
      </c>
      <c r="P7" s="805">
        <f t="shared" si="12"/>
        <v>1.0272034820457019</v>
      </c>
      <c r="R7" s="323" t="str">
        <f t="shared" si="8"/>
        <v>Passenger Car</v>
      </c>
      <c r="S7" s="256" t="s">
        <v>691</v>
      </c>
      <c r="T7" s="808">
        <f>D37</f>
        <v>654534.18947529257</v>
      </c>
      <c r="U7" s="820">
        <f t="shared" si="0"/>
        <v>585779.0591714686</v>
      </c>
      <c r="V7" s="827">
        <v>526171.82631130482</v>
      </c>
      <c r="W7" s="828">
        <v>427333.54114544444</v>
      </c>
      <c r="X7" s="828">
        <v>414093.61090799741</v>
      </c>
      <c r="Y7" s="828">
        <v>400853.68067055038</v>
      </c>
      <c r="Z7" s="828">
        <v>399527.55714761006</v>
      </c>
      <c r="AA7" s="828">
        <v>398201.43362466968</v>
      </c>
      <c r="AB7" s="828">
        <v>396667.52129939443</v>
      </c>
      <c r="AC7" s="829">
        <v>395133.6089741193</v>
      </c>
      <c r="AD7" s="812">
        <f t="shared" si="9"/>
        <v>1.3707771629657703</v>
      </c>
      <c r="AE7" s="827">
        <f t="shared" si="10"/>
        <v>721264.32330352848</v>
      </c>
      <c r="AF7" s="828">
        <f t="shared" si="1"/>
        <v>585779.0591714686</v>
      </c>
      <c r="AG7" s="828">
        <f t="shared" si="2"/>
        <v>567630.06516271632</v>
      </c>
      <c r="AH7" s="828">
        <f t="shared" si="3"/>
        <v>549481.07115396392</v>
      </c>
      <c r="AI7" s="828">
        <f t="shared" si="4"/>
        <v>547663.25131344562</v>
      </c>
      <c r="AJ7" s="828">
        <f t="shared" si="5"/>
        <v>545845.43147292722</v>
      </c>
      <c r="AK7" s="828">
        <f t="shared" si="6"/>
        <v>543742.77948744816</v>
      </c>
      <c r="AL7" s="829">
        <f t="shared" si="7"/>
        <v>541640.12750196934</v>
      </c>
    </row>
    <row r="8" spans="2:38" x14ac:dyDescent="0.25">
      <c r="C8" s="805" t="s">
        <v>1309</v>
      </c>
      <c r="E8" s="808">
        <f t="shared" ref="E8:P8" si="13">E5/E7</f>
        <v>327723</v>
      </c>
      <c r="F8" s="808">
        <f t="shared" si="13"/>
        <v>327116.93902216427</v>
      </c>
      <c r="G8" s="808">
        <f t="shared" si="13"/>
        <v>328461.43556197319</v>
      </c>
      <c r="H8" s="808">
        <f t="shared" si="13"/>
        <v>332812.82820816967</v>
      </c>
      <c r="I8" s="808">
        <f t="shared" si="13"/>
        <v>337494.30290746043</v>
      </c>
      <c r="J8" s="808">
        <f t="shared" si="13"/>
        <v>338250.63901344006</v>
      </c>
      <c r="K8" s="808">
        <f t="shared" si="13"/>
        <v>336384.1204285273</v>
      </c>
      <c r="L8" s="808">
        <f t="shared" si="13"/>
        <v>338209.80112257565</v>
      </c>
      <c r="M8" s="808">
        <f t="shared" si="13"/>
        <v>340389.45283687976</v>
      </c>
      <c r="N8" s="808">
        <f t="shared" si="13"/>
        <v>341756.27298066288</v>
      </c>
      <c r="O8" s="808">
        <f t="shared" si="13"/>
        <v>344287.64351360925</v>
      </c>
      <c r="P8" s="808">
        <f t="shared" si="13"/>
        <v>346370.05041041522</v>
      </c>
      <c r="R8" s="323" t="str">
        <f t="shared" si="8"/>
        <v>Passenger Car</v>
      </c>
      <c r="S8" s="256" t="s">
        <v>695</v>
      </c>
      <c r="T8" s="808">
        <f>D38</f>
        <v>981801.28421293898</v>
      </c>
      <c r="U8" s="820">
        <f t="shared" si="0"/>
        <v>878668.58875720296</v>
      </c>
      <c r="V8" s="827">
        <v>532428.30225914449</v>
      </c>
      <c r="W8" s="828">
        <v>440029.45085484016</v>
      </c>
      <c r="X8" s="828">
        <v>426660.11179427273</v>
      </c>
      <c r="Y8" s="828">
        <v>413290.77273370523</v>
      </c>
      <c r="Z8" s="828">
        <v>412151.79356260953</v>
      </c>
      <c r="AA8" s="828">
        <v>411012.81439151382</v>
      </c>
      <c r="AB8" s="828">
        <v>409533.92213855108</v>
      </c>
      <c r="AC8" s="829">
        <v>408055.02988558827</v>
      </c>
      <c r="AD8" s="812">
        <f t="shared" si="9"/>
        <v>1.9968404093185663</v>
      </c>
      <c r="AE8" s="827">
        <f t="shared" si="10"/>
        <v>1063174.3490159395</v>
      </c>
      <c r="AF8" s="828">
        <f t="shared" si="1"/>
        <v>878668.58875720296</v>
      </c>
      <c r="AG8" s="828">
        <f t="shared" si="2"/>
        <v>851972.15227518079</v>
      </c>
      <c r="AH8" s="828">
        <f t="shared" si="3"/>
        <v>825275.71579315851</v>
      </c>
      <c r="AI8" s="828">
        <f t="shared" si="4"/>
        <v>823001.35615894245</v>
      </c>
      <c r="AJ8" s="828">
        <f t="shared" si="5"/>
        <v>820726.99652472639</v>
      </c>
      <c r="AK8" s="828">
        <f t="shared" si="6"/>
        <v>817773.88471298222</v>
      </c>
      <c r="AL8" s="829">
        <f t="shared" si="7"/>
        <v>814820.77290123794</v>
      </c>
    </row>
    <row r="9" spans="2:38" x14ac:dyDescent="0.25">
      <c r="C9" s="805" t="s">
        <v>1308</v>
      </c>
      <c r="E9" s="808">
        <f>AVERAGE(E8:P8)</f>
        <v>336604.70716715645</v>
      </c>
      <c r="R9" s="323" t="str">
        <f t="shared" si="8"/>
        <v>Passenger Car</v>
      </c>
      <c r="S9" s="256" t="s">
        <v>839</v>
      </c>
      <c r="T9" s="808">
        <f>D40</f>
        <v>870530.4720021392</v>
      </c>
      <c r="U9" s="820">
        <f t="shared" si="0"/>
        <v>779086.14869805332</v>
      </c>
      <c r="V9" s="827">
        <v>706853.58881499863</v>
      </c>
      <c r="W9" s="828">
        <v>487918.3911366309</v>
      </c>
      <c r="X9" s="828">
        <v>459639.29374443309</v>
      </c>
      <c r="Y9" s="828">
        <v>431360.19635223533</v>
      </c>
      <c r="Z9" s="828">
        <v>428119.37781269115</v>
      </c>
      <c r="AA9" s="828">
        <v>424878.55927314708</v>
      </c>
      <c r="AB9" s="828">
        <v>421601.55996549304</v>
      </c>
      <c r="AC9" s="829">
        <v>418324.56065783888</v>
      </c>
      <c r="AD9" s="812">
        <f t="shared" si="9"/>
        <v>1.5967550370116859</v>
      </c>
      <c r="AE9" s="827">
        <f t="shared" si="10"/>
        <v>1128672.0283701362</v>
      </c>
      <c r="AF9" s="828">
        <f t="shared" si="1"/>
        <v>779086.14869805332</v>
      </c>
      <c r="AG9" s="828">
        <f t="shared" si="2"/>
        <v>733931.35749491747</v>
      </c>
      <c r="AH9" s="828">
        <f t="shared" si="3"/>
        <v>688776.56629178161</v>
      </c>
      <c r="AI9" s="828">
        <f t="shared" si="4"/>
        <v>683601.77296472352</v>
      </c>
      <c r="AJ9" s="828">
        <f t="shared" si="5"/>
        <v>678426.97963766579</v>
      </c>
      <c r="AK9" s="828">
        <f t="shared" si="6"/>
        <v>673194.4144868853</v>
      </c>
      <c r="AL9" s="829">
        <f t="shared" si="7"/>
        <v>667961.8493361047</v>
      </c>
    </row>
    <row r="10" spans="2:38" x14ac:dyDescent="0.25">
      <c r="C10" s="805" t="s">
        <v>1307</v>
      </c>
      <c r="E10" s="805">
        <f>AVERAGE(E7:P7)</f>
        <v>1.0151432716721069</v>
      </c>
      <c r="R10" s="323" t="str">
        <f t="shared" si="8"/>
        <v>Passenger Car</v>
      </c>
      <c r="S10" s="256" t="s">
        <v>838</v>
      </c>
      <c r="T10" s="808">
        <f>D41</f>
        <v>1305795.708003209</v>
      </c>
      <c r="U10" s="820">
        <f t="shared" si="0"/>
        <v>1168629.22304708</v>
      </c>
      <c r="V10" s="827">
        <v>706989.87665374181</v>
      </c>
      <c r="W10" s="828">
        <v>495608.70952664141</v>
      </c>
      <c r="X10" s="828">
        <v>467425.66397272615</v>
      </c>
      <c r="Y10" s="828">
        <v>439242.61841881095</v>
      </c>
      <c r="Z10" s="828">
        <v>436188.94423111144</v>
      </c>
      <c r="AA10" s="828">
        <v>433135.27004341205</v>
      </c>
      <c r="AB10" s="828">
        <v>429913.29080807028</v>
      </c>
      <c r="AC10" s="829">
        <v>426691.31157272856</v>
      </c>
      <c r="AD10" s="812">
        <f t="shared" si="9"/>
        <v>2.3579674864133122</v>
      </c>
      <c r="AE10" s="827">
        <f t="shared" si="10"/>
        <v>1667059.1423728813</v>
      </c>
      <c r="AF10" s="828">
        <f t="shared" si="1"/>
        <v>1168629.22304708</v>
      </c>
      <c r="AG10" s="828">
        <f t="shared" si="2"/>
        <v>1102174.5179628425</v>
      </c>
      <c r="AH10" s="828">
        <f t="shared" si="3"/>
        <v>1035719.8128786053</v>
      </c>
      <c r="AI10" s="828">
        <f t="shared" si="4"/>
        <v>1028519.3484299103</v>
      </c>
      <c r="AJ10" s="828">
        <f t="shared" si="5"/>
        <v>1021318.8839812155</v>
      </c>
      <c r="AK10" s="828">
        <f t="shared" si="6"/>
        <v>1013721.5617023808</v>
      </c>
      <c r="AL10" s="829">
        <f t="shared" si="7"/>
        <v>1006124.2394235462</v>
      </c>
    </row>
    <row r="11" spans="2:38" x14ac:dyDescent="0.25">
      <c r="C11" s="805" t="s">
        <v>1306</v>
      </c>
      <c r="E11" s="808">
        <f>E9*E10</f>
        <v>341702.00369389867</v>
      </c>
      <c r="R11" s="323" t="str">
        <f t="shared" si="8"/>
        <v>Passenger Car</v>
      </c>
      <c r="S11" s="256" t="s">
        <v>692</v>
      </c>
      <c r="T11" s="808">
        <f>D44</f>
        <v>709148.3</v>
      </c>
      <c r="U11" s="820">
        <f t="shared" si="0"/>
        <v>634656.26496922225</v>
      </c>
      <c r="V11" s="827">
        <v>822704.66197061795</v>
      </c>
      <c r="W11" s="828">
        <v>558548.57595396275</v>
      </c>
      <c r="X11" s="828">
        <v>510538.78588041413</v>
      </c>
      <c r="Y11" s="828">
        <v>462528.99580686545</v>
      </c>
      <c r="Z11" s="828">
        <v>465643.43099478865</v>
      </c>
      <c r="AA11" s="828">
        <v>468757.86618271179</v>
      </c>
      <c r="AB11" s="828">
        <v>470350.94411613682</v>
      </c>
      <c r="AC11" s="829">
        <v>471944.02204956167</v>
      </c>
      <c r="AD11" s="812">
        <f t="shared" si="9"/>
        <v>1.1362597494502118</v>
      </c>
      <c r="AE11" s="827">
        <f t="shared" si="10"/>
        <v>934806.19308225554</v>
      </c>
      <c r="AF11" s="828">
        <f t="shared" si="1"/>
        <v>634656.26496922225</v>
      </c>
      <c r="AG11" s="828">
        <f t="shared" si="2"/>
        <v>580104.67292909464</v>
      </c>
      <c r="AH11" s="828">
        <f t="shared" si="3"/>
        <v>525553.08088896703</v>
      </c>
      <c r="AI11" s="828">
        <f t="shared" si="4"/>
        <v>529091.88823527552</v>
      </c>
      <c r="AJ11" s="828">
        <f t="shared" si="5"/>
        <v>532630.695581584</v>
      </c>
      <c r="AK11" s="828">
        <f t="shared" si="6"/>
        <v>534440.84591507213</v>
      </c>
      <c r="AL11" s="829">
        <f t="shared" si="7"/>
        <v>536250.99624856014</v>
      </c>
    </row>
    <row r="12" spans="2:38" x14ac:dyDescent="0.25">
      <c r="R12" s="323" t="str">
        <f t="shared" si="8"/>
        <v>Passenger Car</v>
      </c>
      <c r="S12" s="256" t="s">
        <v>699</v>
      </c>
      <c r="T12" s="808">
        <f>D46</f>
        <v>1063722.4500000002</v>
      </c>
      <c r="U12" s="820">
        <f t="shared" si="0"/>
        <v>951984.39745383337</v>
      </c>
      <c r="V12" s="827">
        <v>2484175.8049663589</v>
      </c>
      <c r="W12" s="828">
        <v>982112.7518947263</v>
      </c>
      <c r="X12" s="828">
        <v>749223.93872757931</v>
      </c>
      <c r="Y12" s="828">
        <v>516335.12556043221</v>
      </c>
      <c r="Z12" s="828">
        <v>488716.56129250687</v>
      </c>
      <c r="AA12" s="828">
        <v>461097.99702458159</v>
      </c>
      <c r="AB12" s="828">
        <v>454114.11403926561</v>
      </c>
      <c r="AC12" s="829">
        <v>447130.23105394962</v>
      </c>
      <c r="AD12" s="812">
        <f t="shared" si="9"/>
        <v>0.96932291696369055</v>
      </c>
      <c r="AE12" s="827">
        <f t="shared" si="10"/>
        <v>2407968.5375206149</v>
      </c>
      <c r="AF12" s="828">
        <f t="shared" si="1"/>
        <v>951984.39745383337</v>
      </c>
      <c r="AG12" s="828">
        <f t="shared" si="2"/>
        <v>726239.93374644255</v>
      </c>
      <c r="AH12" s="828">
        <f t="shared" si="3"/>
        <v>500495.47003905155</v>
      </c>
      <c r="AI12" s="828">
        <f t="shared" si="4"/>
        <v>473724.16276051704</v>
      </c>
      <c r="AJ12" s="828">
        <f t="shared" si="5"/>
        <v>446952.85548198252</v>
      </c>
      <c r="AK12" s="828">
        <f t="shared" si="6"/>
        <v>440183.21765492298</v>
      </c>
      <c r="AL12" s="829">
        <f t="shared" si="7"/>
        <v>433413.57982786337</v>
      </c>
    </row>
    <row r="13" spans="2:38" x14ac:dyDescent="0.25">
      <c r="R13" s="323" t="str">
        <f t="shared" si="8"/>
        <v>Passenger Car</v>
      </c>
      <c r="S13" s="256" t="s">
        <v>837</v>
      </c>
      <c r="T13" s="808">
        <f>D47</f>
        <v>1170094.6950000003</v>
      </c>
      <c r="U13" s="820">
        <f t="shared" si="0"/>
        <v>1047182.8371992168</v>
      </c>
      <c r="V13" s="827">
        <v>2631614.9920631466</v>
      </c>
      <c r="W13" s="828">
        <v>1040715.6985942443</v>
      </c>
      <c r="X13" s="828">
        <v>797544.7354478729</v>
      </c>
      <c r="Y13" s="828">
        <v>554373.77230150148</v>
      </c>
      <c r="Z13" s="828">
        <v>525072.61435889918</v>
      </c>
      <c r="AA13" s="828">
        <v>495771.45641629689</v>
      </c>
      <c r="AB13" s="828">
        <v>487246.68369685335</v>
      </c>
      <c r="AC13" s="829">
        <v>478721.91097740986</v>
      </c>
      <c r="AD13" s="812">
        <f t="shared" si="9"/>
        <v>1.0062141261188893</v>
      </c>
      <c r="AE13" s="827">
        <f t="shared" si="10"/>
        <v>2647968.179520187</v>
      </c>
      <c r="AF13" s="828">
        <f t="shared" si="1"/>
        <v>1047182.8371992169</v>
      </c>
      <c r="AG13" s="828">
        <f t="shared" si="2"/>
        <v>802500.77901940211</v>
      </c>
      <c r="AH13" s="828">
        <f t="shared" si="3"/>
        <v>557818.72083958739</v>
      </c>
      <c r="AI13" s="828">
        <f t="shared" si="4"/>
        <v>528335.48180610035</v>
      </c>
      <c r="AJ13" s="828">
        <f t="shared" si="5"/>
        <v>498852.24277261319</v>
      </c>
      <c r="AK13" s="828">
        <f t="shared" si="6"/>
        <v>490274.49604035617</v>
      </c>
      <c r="AL13" s="829">
        <f t="shared" si="7"/>
        <v>481696.74930809916</v>
      </c>
    </row>
    <row r="14" spans="2:38" x14ac:dyDescent="0.25">
      <c r="B14" s="805" t="s">
        <v>1315</v>
      </c>
      <c r="F14" s="805" t="s">
        <v>1305</v>
      </c>
      <c r="G14" s="809" t="s">
        <v>1304</v>
      </c>
      <c r="R14" s="323" t="str">
        <f t="shared" si="8"/>
        <v>Passenger Car</v>
      </c>
      <c r="S14" s="256" t="s">
        <v>836</v>
      </c>
      <c r="T14" s="808">
        <f>D48</f>
        <v>850977.9600000002</v>
      </c>
      <c r="U14" s="820">
        <f t="shared" si="0"/>
        <v>761587.51796306681</v>
      </c>
      <c r="V14" s="827">
        <v>1813155.306207042</v>
      </c>
      <c r="W14" s="828">
        <v>797976.63279271475</v>
      </c>
      <c r="X14" s="828">
        <v>649257.67906194751</v>
      </c>
      <c r="Y14" s="828">
        <v>500538.72533118032</v>
      </c>
      <c r="Z14" s="828">
        <v>482558.39640777424</v>
      </c>
      <c r="AA14" s="828">
        <v>464578.0674843684</v>
      </c>
      <c r="AB14" s="828">
        <v>457318.28142704588</v>
      </c>
      <c r="AC14" s="829">
        <v>450058.49536972342</v>
      </c>
      <c r="AD14" s="812">
        <f t="shared" si="9"/>
        <v>0.9543982701569903</v>
      </c>
      <c r="AE14" s="827">
        <f t="shared" si="10"/>
        <v>1730472.2877699689</v>
      </c>
      <c r="AF14" s="828">
        <f t="shared" si="1"/>
        <v>761587.51796306681</v>
      </c>
      <c r="AG14" s="828">
        <f t="shared" si="2"/>
        <v>619650.40578286513</v>
      </c>
      <c r="AH14" s="828">
        <f t="shared" si="3"/>
        <v>477713.29360266338</v>
      </c>
      <c r="AI14" s="828">
        <f t="shared" si="4"/>
        <v>460552.89878131094</v>
      </c>
      <c r="AJ14" s="828">
        <f t="shared" si="5"/>
        <v>443392.50395995867</v>
      </c>
      <c r="AK14" s="828">
        <f t="shared" si="6"/>
        <v>436463.77670514025</v>
      </c>
      <c r="AL14" s="829">
        <f t="shared" si="7"/>
        <v>429535.04945032188</v>
      </c>
    </row>
    <row r="15" spans="2:38" x14ac:dyDescent="0.25">
      <c r="B15" s="805" t="s">
        <v>390</v>
      </c>
      <c r="C15" s="805">
        <v>1</v>
      </c>
      <c r="D15" s="805">
        <v>179000</v>
      </c>
      <c r="R15" s="323" t="str">
        <f t="shared" si="8"/>
        <v>Passenger Car</v>
      </c>
      <c r="S15" s="256" t="s">
        <v>700</v>
      </c>
      <c r="T15" s="808">
        <f>D50</f>
        <v>443149.82393694361</v>
      </c>
      <c r="U15" s="820">
        <f t="shared" si="0"/>
        <v>396599.43072780268</v>
      </c>
      <c r="V15" s="827">
        <v>347145.65248339355</v>
      </c>
      <c r="W15" s="828">
        <v>365503.62501818576</v>
      </c>
      <c r="X15" s="828">
        <v>369197.8959029917</v>
      </c>
      <c r="Y15" s="828">
        <v>372892.16678779764</v>
      </c>
      <c r="Z15" s="828">
        <v>375736.74937961187</v>
      </c>
      <c r="AA15" s="828">
        <v>378581.33197142603</v>
      </c>
      <c r="AB15" s="828">
        <v>380157.85098815529</v>
      </c>
      <c r="AC15" s="829">
        <v>381734.37000488449</v>
      </c>
      <c r="AD15" s="812">
        <f t="shared" si="9"/>
        <v>1.0850766000147598</v>
      </c>
      <c r="AE15" s="827">
        <f t="shared" si="10"/>
        <v>376679.62430658605</v>
      </c>
      <c r="AF15" s="828">
        <f t="shared" si="1"/>
        <v>396599.43072780268</v>
      </c>
      <c r="AG15" s="828">
        <f t="shared" si="2"/>
        <v>400607.99761902145</v>
      </c>
      <c r="AH15" s="828">
        <f t="shared" si="3"/>
        <v>404616.56451024022</v>
      </c>
      <c r="AI15" s="828">
        <f t="shared" si="4"/>
        <v>407703.15451742715</v>
      </c>
      <c r="AJ15" s="828">
        <f t="shared" si="5"/>
        <v>410789.74452461401</v>
      </c>
      <c r="AK15" s="828">
        <f t="shared" si="6"/>
        <v>412500.38841914525</v>
      </c>
      <c r="AL15" s="829">
        <f t="shared" si="7"/>
        <v>414211.03231367638</v>
      </c>
    </row>
    <row r="16" spans="2:38" x14ac:dyDescent="0.25">
      <c r="B16" s="805" t="s">
        <v>1303</v>
      </c>
      <c r="C16" s="805">
        <v>47</v>
      </c>
      <c r="D16" s="805">
        <v>229900</v>
      </c>
      <c r="R16" s="323" t="str">
        <f t="shared" si="8"/>
        <v>Passenger Car</v>
      </c>
      <c r="S16" s="260"/>
      <c r="U16" s="820">
        <f t="shared" si="0"/>
        <v>0</v>
      </c>
      <c r="V16" s="830"/>
      <c r="W16" s="831"/>
      <c r="X16" s="831"/>
      <c r="Y16" s="831"/>
      <c r="Z16" s="831"/>
      <c r="AA16" s="831"/>
      <c r="AB16" s="831"/>
      <c r="AC16" s="832"/>
      <c r="AD16" s="812" t="e">
        <f t="shared" si="9"/>
        <v>#DIV/0!</v>
      </c>
      <c r="AE16" s="830"/>
      <c r="AF16" s="831"/>
      <c r="AG16" s="831"/>
      <c r="AH16" s="831"/>
      <c r="AI16" s="831"/>
      <c r="AJ16" s="831"/>
      <c r="AK16" s="831"/>
      <c r="AL16" s="832"/>
    </row>
    <row r="17" spans="2:38" x14ac:dyDescent="0.25">
      <c r="B17" s="805" t="s">
        <v>1302</v>
      </c>
      <c r="C17" s="805">
        <v>94</v>
      </c>
      <c r="D17" s="805">
        <v>273900</v>
      </c>
      <c r="R17" s="323" t="str">
        <f t="shared" si="8"/>
        <v>Passenger Car</v>
      </c>
      <c r="S17" s="260"/>
      <c r="U17" s="820">
        <f t="shared" si="0"/>
        <v>0</v>
      </c>
      <c r="V17" s="830"/>
      <c r="W17" s="831"/>
      <c r="X17" s="831"/>
      <c r="Y17" s="831"/>
      <c r="Z17" s="831"/>
      <c r="AA17" s="831"/>
      <c r="AB17" s="831"/>
      <c r="AC17" s="832"/>
      <c r="AD17" s="812" t="e">
        <f t="shared" si="9"/>
        <v>#DIV/0!</v>
      </c>
      <c r="AE17" s="830"/>
      <c r="AF17" s="831"/>
      <c r="AG17" s="831"/>
      <c r="AH17" s="831"/>
      <c r="AI17" s="831"/>
      <c r="AJ17" s="831"/>
      <c r="AK17" s="831"/>
      <c r="AL17" s="832"/>
    </row>
    <row r="18" spans="2:38" x14ac:dyDescent="0.25">
      <c r="B18" s="805" t="s">
        <v>1301</v>
      </c>
      <c r="C18" s="805">
        <f>+C16+C17</f>
        <v>141</v>
      </c>
      <c r="D18" s="805">
        <v>310000</v>
      </c>
      <c r="R18" s="323" t="str">
        <f>S18</f>
        <v>Motorcycle or Moped</v>
      </c>
      <c r="S18" s="504" t="s">
        <v>715</v>
      </c>
      <c r="U18" s="820">
        <f t="shared" si="0"/>
        <v>0</v>
      </c>
      <c r="V18" s="833">
        <v>2010</v>
      </c>
      <c r="W18" s="821">
        <v>2020</v>
      </c>
      <c r="X18" s="821"/>
      <c r="Y18" s="821">
        <v>2030</v>
      </c>
      <c r="Z18" s="821"/>
      <c r="AA18" s="821">
        <v>2040</v>
      </c>
      <c r="AB18" s="821"/>
      <c r="AC18" s="834">
        <v>2050</v>
      </c>
      <c r="AD18" s="812">
        <f t="shared" si="9"/>
        <v>0</v>
      </c>
      <c r="AE18" s="833">
        <v>2010</v>
      </c>
      <c r="AF18" s="821">
        <v>2020</v>
      </c>
      <c r="AG18" s="821"/>
      <c r="AH18" s="821">
        <v>2030</v>
      </c>
      <c r="AI18" s="821"/>
      <c r="AJ18" s="821">
        <v>2040</v>
      </c>
      <c r="AK18" s="821"/>
      <c r="AL18" s="834">
        <v>2050</v>
      </c>
    </row>
    <row r="19" spans="2:38" x14ac:dyDescent="0.25">
      <c r="B19" s="805" t="s">
        <v>388</v>
      </c>
      <c r="C19" s="805">
        <v>187</v>
      </c>
      <c r="D19" s="805">
        <v>412500</v>
      </c>
      <c r="R19" s="323" t="str">
        <f t="shared" ref="R19:R25" si="14">R18</f>
        <v>Motorcycle or Moped</v>
      </c>
      <c r="S19" s="448" t="s">
        <v>1321</v>
      </c>
      <c r="U19" s="820">
        <f t="shared" si="0"/>
        <v>0</v>
      </c>
      <c r="V19" s="835" t="s">
        <v>1343</v>
      </c>
      <c r="W19" s="823" t="s">
        <v>1343</v>
      </c>
      <c r="X19" s="823"/>
      <c r="Y19" s="823" t="s">
        <v>1343</v>
      </c>
      <c r="Z19" s="823"/>
      <c r="AA19" s="823" t="s">
        <v>1343</v>
      </c>
      <c r="AB19" s="823"/>
      <c r="AC19" s="836" t="s">
        <v>1343</v>
      </c>
      <c r="AD19" s="812" t="e">
        <f t="shared" si="9"/>
        <v>#VALUE!</v>
      </c>
      <c r="AE19" s="835"/>
      <c r="AF19" s="823"/>
      <c r="AG19" s="823"/>
      <c r="AH19" s="823"/>
      <c r="AI19" s="823"/>
      <c r="AJ19" s="823"/>
      <c r="AK19" s="823"/>
      <c r="AL19" s="836"/>
    </row>
    <row r="20" spans="2:38" x14ac:dyDescent="0.25">
      <c r="R20" s="323" t="str">
        <f t="shared" si="14"/>
        <v>Motorcycle or Moped</v>
      </c>
      <c r="S20" s="484" t="s">
        <v>680</v>
      </c>
      <c r="T20" s="808">
        <f>D55</f>
        <v>112801.77336576744</v>
      </c>
      <c r="U20" s="820">
        <f t="shared" si="0"/>
        <v>100952.58236707702</v>
      </c>
      <c r="V20" s="827">
        <v>140996.2012610439</v>
      </c>
      <c r="W20" s="828">
        <v>147551.34270646883</v>
      </c>
      <c r="X20" s="828">
        <v>149612.56096433167</v>
      </c>
      <c r="Y20" s="828">
        <v>151673.77922219451</v>
      </c>
      <c r="Z20" s="828">
        <v>154018.3082464562</v>
      </c>
      <c r="AA20" s="828">
        <v>156362.83727071786</v>
      </c>
      <c r="AB20" s="828">
        <v>157446.64112516472</v>
      </c>
      <c r="AC20" s="829">
        <v>158530.44497961161</v>
      </c>
      <c r="AD20" s="812">
        <f t="shared" si="9"/>
        <v>0.68418613152105956</v>
      </c>
      <c r="AE20" s="827">
        <f t="shared" ref="AE20:AE23" si="15">V20*$AD20</f>
        <v>96467.645499958366</v>
      </c>
      <c r="AF20" s="828">
        <f t="shared" ref="AF20:AF23" si="16">W20*$AD20</f>
        <v>100952.58236707702</v>
      </c>
      <c r="AG20" s="828">
        <f t="shared" ref="AG20:AG23" si="17">X20*$AD20</f>
        <v>102362.83931314477</v>
      </c>
      <c r="AH20" s="828">
        <f t="shared" ref="AH20:AH23" si="18">Y20*$AD20</f>
        <v>103773.09625921253</v>
      </c>
      <c r="AI20" s="828">
        <f t="shared" ref="AI20:AI23" si="19">Z20*$AD20</f>
        <v>105377.19050256097</v>
      </c>
      <c r="AJ20" s="828">
        <f t="shared" ref="AJ20:AJ23" si="20">AA20*$AD20</f>
        <v>106981.2847459094</v>
      </c>
      <c r="AK20" s="828">
        <f t="shared" ref="AK20:AK23" si="21">AB20*$AD20</f>
        <v>107722.80831241101</v>
      </c>
      <c r="AL20" s="829">
        <f t="shared" ref="AL20:AL23" si="22">AC20*$AD20</f>
        <v>108464.33187891265</v>
      </c>
    </row>
    <row r="21" spans="2:38" x14ac:dyDescent="0.25">
      <c r="B21" s="805" t="s">
        <v>1300</v>
      </c>
      <c r="C21" s="805" t="s">
        <v>1299</v>
      </c>
      <c r="D21" s="808">
        <f>1173.3*94+170766</f>
        <v>281056.2</v>
      </c>
      <c r="E21" s="805" t="s">
        <v>1295</v>
      </c>
      <c r="R21" s="323" t="str">
        <f t="shared" si="14"/>
        <v>Motorcycle or Moped</v>
      </c>
      <c r="S21" s="484" t="s">
        <v>688</v>
      </c>
      <c r="T21" s="808">
        <f>D56</f>
        <v>206695.00720272397</v>
      </c>
      <c r="U21" s="820">
        <f t="shared" si="0"/>
        <v>184982.86079099006</v>
      </c>
      <c r="V21" s="827">
        <v>174409.83751082345</v>
      </c>
      <c r="W21" s="828">
        <v>159379.68232781059</v>
      </c>
      <c r="X21" s="828">
        <v>156811.16859699812</v>
      </c>
      <c r="Y21" s="828">
        <v>154242.65486618562</v>
      </c>
      <c r="Z21" s="828">
        <v>154533.27622457623</v>
      </c>
      <c r="AA21" s="828">
        <v>154823.89758296681</v>
      </c>
      <c r="AB21" s="828">
        <v>155381.98002998158</v>
      </c>
      <c r="AC21" s="829">
        <v>155940.06247699639</v>
      </c>
      <c r="AD21" s="812">
        <f t="shared" si="9"/>
        <v>1.1606426747075522</v>
      </c>
      <c r="AE21" s="827">
        <f t="shared" si="15"/>
        <v>202427.5003038717</v>
      </c>
      <c r="AF21" s="828">
        <f t="shared" si="16"/>
        <v>184982.86079099006</v>
      </c>
      <c r="AG21" s="828">
        <f t="shared" si="17"/>
        <v>182001.73414443681</v>
      </c>
      <c r="AH21" s="828">
        <f t="shared" si="18"/>
        <v>179020.60749788352</v>
      </c>
      <c r="AI21" s="828">
        <f t="shared" si="19"/>
        <v>179357.91504861315</v>
      </c>
      <c r="AJ21" s="828">
        <f t="shared" si="20"/>
        <v>179695.22259934273</v>
      </c>
      <c r="AK21" s="828">
        <f t="shared" si="21"/>
        <v>180342.9569033533</v>
      </c>
      <c r="AL21" s="829">
        <f t="shared" si="22"/>
        <v>180990.69120736388</v>
      </c>
    </row>
    <row r="22" spans="2:38" x14ac:dyDescent="0.25">
      <c r="B22" s="805" t="s">
        <v>1298</v>
      </c>
      <c r="D22" s="805">
        <f>AVERAGE('[6]CPI-hist'!$B$26:$H$26)</f>
        <v>109.08571428571427</v>
      </c>
      <c r="R22" s="323" t="str">
        <f t="shared" si="14"/>
        <v>Motorcycle or Moped</v>
      </c>
      <c r="S22" s="484" t="s">
        <v>692</v>
      </c>
      <c r="T22" s="808">
        <f>D57</f>
        <v>297842.28600000002</v>
      </c>
      <c r="U22" s="820">
        <f t="shared" si="0"/>
        <v>266555.63128707331</v>
      </c>
      <c r="V22" s="827">
        <v>227296.16263597918</v>
      </c>
      <c r="W22" s="828">
        <v>181425.66913564043</v>
      </c>
      <c r="X22" s="828">
        <v>171406.95012050911</v>
      </c>
      <c r="Y22" s="828">
        <v>161388.23110537775</v>
      </c>
      <c r="Z22" s="828">
        <v>163855.32831374026</v>
      </c>
      <c r="AA22" s="828">
        <v>166322.4255221028</v>
      </c>
      <c r="AB22" s="828">
        <v>168760.32852405298</v>
      </c>
      <c r="AC22" s="829">
        <v>171198.23152600319</v>
      </c>
      <c r="AD22" s="812">
        <f t="shared" si="9"/>
        <v>1.4692277700118974</v>
      </c>
      <c r="AE22" s="827">
        <f t="shared" si="15"/>
        <v>333949.83416192123</v>
      </c>
      <c r="AF22" s="828">
        <f t="shared" si="16"/>
        <v>266555.63128707331</v>
      </c>
      <c r="AG22" s="828">
        <f t="shared" si="17"/>
        <v>251835.85109009614</v>
      </c>
      <c r="AH22" s="828">
        <f t="shared" si="18"/>
        <v>237116.07089311889</v>
      </c>
      <c r="AI22" s="828">
        <f t="shared" si="19"/>
        <v>240740.79862296392</v>
      </c>
      <c r="AJ22" s="828">
        <f t="shared" si="20"/>
        <v>244365.52635280899</v>
      </c>
      <c r="AK22" s="828">
        <f t="shared" si="21"/>
        <v>247947.36114386955</v>
      </c>
      <c r="AL22" s="829">
        <f t="shared" si="22"/>
        <v>251529.19593493018</v>
      </c>
    </row>
    <row r="23" spans="2:38" x14ac:dyDescent="0.25">
      <c r="B23" s="805" t="s">
        <v>1297</v>
      </c>
      <c r="D23" s="805">
        <f>AVERAGE('[6]CPI-hist'!$B$25:$M$25)</f>
        <v>104.24166666666667</v>
      </c>
      <c r="R23" s="323" t="str">
        <f t="shared" si="14"/>
        <v>Motorcycle or Moped</v>
      </c>
      <c r="S23" s="484" t="s">
        <v>699</v>
      </c>
      <c r="T23" s="808">
        <f>D58</f>
        <v>446763.42900000006</v>
      </c>
      <c r="U23" s="820">
        <f t="shared" si="0"/>
        <v>399833.44693060999</v>
      </c>
      <c r="V23" s="827">
        <v>1452431.4754462892</v>
      </c>
      <c r="W23" s="828">
        <v>537952.03122821182</v>
      </c>
      <c r="X23" s="841">
        <f>0.95*W23</f>
        <v>511054.42966680118</v>
      </c>
      <c r="Y23" s="841">
        <f t="shared" ref="Y23:AC23" si="23">0.95*X23</f>
        <v>485501.7081834611</v>
      </c>
      <c r="Z23" s="841">
        <f t="shared" si="23"/>
        <v>461226.622774288</v>
      </c>
      <c r="AA23" s="841">
        <f t="shared" si="23"/>
        <v>438165.29163557355</v>
      </c>
      <c r="AB23" s="841">
        <f t="shared" si="23"/>
        <v>416257.02705379488</v>
      </c>
      <c r="AC23" s="841">
        <f t="shared" si="23"/>
        <v>395444.17570110509</v>
      </c>
      <c r="AD23" s="812">
        <f t="shared" si="9"/>
        <v>0.74325111482103745</v>
      </c>
      <c r="AE23" s="827">
        <f t="shared" si="15"/>
        <v>1079521.3133266186</v>
      </c>
      <c r="AF23" s="828">
        <f t="shared" si="16"/>
        <v>399833.44693060999</v>
      </c>
      <c r="AG23" s="828">
        <f t="shared" si="17"/>
        <v>379841.77458407945</v>
      </c>
      <c r="AH23" s="828">
        <f t="shared" si="18"/>
        <v>360849.68585487548</v>
      </c>
      <c r="AI23" s="828">
        <f t="shared" si="19"/>
        <v>342807.20156213164</v>
      </c>
      <c r="AJ23" s="828">
        <f t="shared" si="20"/>
        <v>325666.84148402506</v>
      </c>
      <c r="AK23" s="828">
        <f t="shared" si="21"/>
        <v>309383.49940982379</v>
      </c>
      <c r="AL23" s="829">
        <f t="shared" si="22"/>
        <v>293914.32443933259</v>
      </c>
    </row>
    <row r="24" spans="2:38" x14ac:dyDescent="0.25">
      <c r="B24" s="812" t="s">
        <v>1352</v>
      </c>
      <c r="D24" s="805">
        <f>AVERAGE('[6]CPI-hist'!$B$23:$M$23)</f>
        <v>93.291666666666671</v>
      </c>
      <c r="R24" s="323"/>
      <c r="S24" s="323"/>
      <c r="U24" s="820">
        <f t="shared" si="0"/>
        <v>0</v>
      </c>
      <c r="V24" s="835"/>
      <c r="W24" s="823"/>
      <c r="X24" s="823"/>
      <c r="Y24" s="823"/>
      <c r="Z24" s="823"/>
      <c r="AA24" s="823"/>
      <c r="AB24" s="823"/>
      <c r="AC24" s="836"/>
      <c r="AD24" s="812" t="e">
        <f t="shared" si="9"/>
        <v>#DIV/0!</v>
      </c>
      <c r="AE24" s="835"/>
      <c r="AF24" s="823"/>
      <c r="AG24" s="823"/>
      <c r="AH24" s="823"/>
      <c r="AI24" s="823"/>
      <c r="AJ24" s="823"/>
      <c r="AK24" s="823"/>
      <c r="AL24" s="836"/>
    </row>
    <row r="25" spans="2:38" x14ac:dyDescent="0.25">
      <c r="B25" s="805" t="s">
        <v>1296</v>
      </c>
      <c r="D25" s="807">
        <f>D21*D23/D22</f>
        <v>268575.65087087487</v>
      </c>
      <c r="E25" s="806" t="s">
        <v>1295</v>
      </c>
      <c r="R25" s="323">
        <f t="shared" si="14"/>
        <v>0</v>
      </c>
      <c r="S25" s="453" t="s">
        <v>832</v>
      </c>
      <c r="U25" s="820">
        <f t="shared" si="0"/>
        <v>0</v>
      </c>
      <c r="V25" s="835"/>
      <c r="W25" s="823"/>
      <c r="X25" s="823"/>
      <c r="Y25" s="823"/>
      <c r="Z25" s="823"/>
      <c r="AA25" s="823"/>
      <c r="AB25" s="823"/>
      <c r="AC25" s="836"/>
      <c r="AD25" s="812" t="e">
        <f t="shared" si="9"/>
        <v>#DIV/0!</v>
      </c>
      <c r="AE25" s="835"/>
      <c r="AF25" s="823"/>
      <c r="AG25" s="823"/>
      <c r="AH25" s="823"/>
      <c r="AI25" s="823"/>
      <c r="AJ25" s="823"/>
      <c r="AK25" s="823"/>
      <c r="AL25" s="836"/>
    </row>
    <row r="26" spans="2:38" x14ac:dyDescent="0.25">
      <c r="R26" s="323" t="str">
        <f>S26</f>
        <v xml:space="preserve">Van / LCV </v>
      </c>
      <c r="S26" s="352" t="s">
        <v>701</v>
      </c>
      <c r="U26" s="820">
        <f t="shared" si="0"/>
        <v>0</v>
      </c>
      <c r="V26" s="833">
        <v>2010</v>
      </c>
      <c r="W26" s="821">
        <v>2020</v>
      </c>
      <c r="X26" s="821"/>
      <c r="Y26" s="821">
        <v>2030</v>
      </c>
      <c r="Z26" s="821"/>
      <c r="AA26" s="821">
        <v>2040</v>
      </c>
      <c r="AB26" s="821"/>
      <c r="AC26" s="834">
        <v>2050</v>
      </c>
      <c r="AD26" s="812">
        <f t="shared" si="9"/>
        <v>0</v>
      </c>
      <c r="AE26" s="833">
        <v>2010</v>
      </c>
      <c r="AF26" s="821">
        <v>2020</v>
      </c>
      <c r="AG26" s="821"/>
      <c r="AH26" s="821">
        <v>2030</v>
      </c>
      <c r="AI26" s="821"/>
      <c r="AJ26" s="821">
        <v>2040</v>
      </c>
      <c r="AK26" s="821"/>
      <c r="AL26" s="834">
        <v>2050</v>
      </c>
    </row>
    <row r="27" spans="2:38" x14ac:dyDescent="0.25">
      <c r="B27" s="805" t="s">
        <v>1316</v>
      </c>
      <c r="R27" s="323" t="str">
        <f t="shared" ref="R27:R42" si="24">R26</f>
        <v xml:space="preserve">Van / LCV </v>
      </c>
      <c r="S27" s="448" t="s">
        <v>1321</v>
      </c>
      <c r="U27" s="820">
        <f t="shared" si="0"/>
        <v>0</v>
      </c>
      <c r="V27" s="835" t="s">
        <v>1343</v>
      </c>
      <c r="W27" s="823" t="s">
        <v>1343</v>
      </c>
      <c r="X27" s="823"/>
      <c r="Y27" s="823" t="s">
        <v>1343</v>
      </c>
      <c r="Z27" s="823"/>
      <c r="AA27" s="823" t="s">
        <v>1343</v>
      </c>
      <c r="AB27" s="823"/>
      <c r="AC27" s="836" t="s">
        <v>1343</v>
      </c>
      <c r="AD27" s="812" t="e">
        <f t="shared" si="9"/>
        <v>#VALUE!</v>
      </c>
      <c r="AE27" s="835"/>
      <c r="AF27" s="823"/>
      <c r="AG27" s="823"/>
      <c r="AH27" s="823"/>
      <c r="AI27" s="823"/>
      <c r="AJ27" s="823"/>
      <c r="AK27" s="823"/>
      <c r="AL27" s="836"/>
    </row>
    <row r="28" spans="2:38" x14ac:dyDescent="0.25">
      <c r="B28" s="813" t="s">
        <v>1317</v>
      </c>
      <c r="C28" s="813" t="s">
        <v>1299</v>
      </c>
      <c r="D28" s="814">
        <v>649890</v>
      </c>
      <c r="E28" s="813" t="s">
        <v>1318</v>
      </c>
      <c r="R28" s="323" t="str">
        <f t="shared" si="24"/>
        <v xml:space="preserve">Van / LCV </v>
      </c>
      <c r="S28" s="256" t="s">
        <v>680</v>
      </c>
      <c r="T28" s="808">
        <f>D61</f>
        <v>391793.58739305055</v>
      </c>
      <c r="U28" s="820">
        <f t="shared" si="0"/>
        <v>350637.87759734597</v>
      </c>
      <c r="V28" s="827">
        <v>256661.9753328345</v>
      </c>
      <c r="W28" s="828">
        <v>279008.35302471276</v>
      </c>
      <c r="X28" s="828">
        <v>284150.0701234903</v>
      </c>
      <c r="Y28" s="828">
        <v>289291.78722226777</v>
      </c>
      <c r="Z28" s="828">
        <v>295609.37144945067</v>
      </c>
      <c r="AA28" s="828">
        <v>301926.95567663357</v>
      </c>
      <c r="AB28" s="828">
        <v>305092.2662489441</v>
      </c>
      <c r="AC28" s="829">
        <v>308257.57682125468</v>
      </c>
      <c r="AD28" s="812">
        <f t="shared" si="9"/>
        <v>1.2567289609651533</v>
      </c>
      <c r="AE28" s="827">
        <f t="shared" ref="AE28:AE40" si="25">V28*$AD28</f>
        <v>322554.53757929691</v>
      </c>
      <c r="AF28" s="828">
        <f t="shared" ref="AF28:AF40" si="26">W28*$AD28</f>
        <v>350637.87759734597</v>
      </c>
      <c r="AG28" s="828">
        <f t="shared" ref="AG28:AG40" si="27">X28*$AD28</f>
        <v>357099.62238446943</v>
      </c>
      <c r="AH28" s="828">
        <f t="shared" ref="AH28:AH40" si="28">Y28*$AD28</f>
        <v>363561.36717159278</v>
      </c>
      <c r="AI28" s="828">
        <f t="shared" ref="AI28:AI40" si="29">Z28*$AD28</f>
        <v>371500.85823323019</v>
      </c>
      <c r="AJ28" s="828">
        <f t="shared" ref="AJ28:AJ40" si="30">AA28*$AD28</f>
        <v>379440.3492948676</v>
      </c>
      <c r="AK28" s="828">
        <f t="shared" ref="AK28:AK40" si="31">AB28*$AD28</f>
        <v>383418.28676153941</v>
      </c>
      <c r="AL28" s="829">
        <f t="shared" ref="AL28:AL40" si="32">AC28*$AD28</f>
        <v>387396.22422821133</v>
      </c>
    </row>
    <row r="29" spans="2:38" x14ac:dyDescent="0.25">
      <c r="C29" s="805" t="s">
        <v>1319</v>
      </c>
      <c r="D29" s="811">
        <f>1.5*D25</f>
        <v>402863.47630631231</v>
      </c>
      <c r="E29" s="812" t="s">
        <v>1323</v>
      </c>
      <c r="R29" s="323" t="str">
        <f t="shared" si="24"/>
        <v xml:space="preserve">Van / LCV </v>
      </c>
      <c r="S29" s="256" t="s">
        <v>687</v>
      </c>
      <c r="T29" s="808">
        <f>D62</f>
        <v>554244.58704382763</v>
      </c>
      <c r="U29" s="820">
        <f t="shared" si="0"/>
        <v>496024.31464990409</v>
      </c>
      <c r="V29" s="827">
        <v>273963.5068382945</v>
      </c>
      <c r="W29" s="828">
        <v>302454.01055301359</v>
      </c>
      <c r="X29" s="828">
        <v>307843.23555284203</v>
      </c>
      <c r="Y29" s="828">
        <v>313232.46055267047</v>
      </c>
      <c r="Z29" s="828">
        <v>319756.39835543133</v>
      </c>
      <c r="AA29" s="828">
        <v>326280.33615819225</v>
      </c>
      <c r="AB29" s="828">
        <v>329483.28918391035</v>
      </c>
      <c r="AC29" s="829">
        <v>332686.24220962852</v>
      </c>
      <c r="AD29" s="812">
        <f t="shared" si="9"/>
        <v>1.6399991315802436</v>
      </c>
      <c r="AE29" s="827">
        <f t="shared" si="25"/>
        <v>449299.91329948109</v>
      </c>
      <c r="AF29" s="828">
        <f t="shared" si="26"/>
        <v>496024.31464990409</v>
      </c>
      <c r="AG29" s="828">
        <f t="shared" si="27"/>
        <v>504862.6389695133</v>
      </c>
      <c r="AH29" s="828">
        <f t="shared" si="28"/>
        <v>513700.96328912245</v>
      </c>
      <c r="AI29" s="828">
        <f t="shared" si="29"/>
        <v>524400.21562013379</v>
      </c>
      <c r="AJ29" s="828">
        <f t="shared" si="30"/>
        <v>535099.46795114526</v>
      </c>
      <c r="AK29" s="828">
        <f t="shared" si="31"/>
        <v>540352.30813181528</v>
      </c>
      <c r="AL29" s="829">
        <f t="shared" si="32"/>
        <v>545605.14831248531</v>
      </c>
    </row>
    <row r="30" spans="2:38" x14ac:dyDescent="0.25">
      <c r="D30" s="808"/>
      <c r="R30" s="323" t="str">
        <f t="shared" si="24"/>
        <v xml:space="preserve">Van / LCV </v>
      </c>
      <c r="S30" s="256" t="s">
        <v>688</v>
      </c>
      <c r="T30" s="808">
        <f t="shared" ref="T30:T40" si="33">D63</f>
        <v>503598.1</v>
      </c>
      <c r="U30" s="820">
        <f t="shared" si="0"/>
        <v>450697.95583180111</v>
      </c>
      <c r="V30" s="827">
        <v>312901.78233298892</v>
      </c>
      <c r="W30" s="828">
        <v>304843.98823993577</v>
      </c>
      <c r="X30" s="828">
        <v>302907.47306587646</v>
      </c>
      <c r="Y30" s="828">
        <v>300970.9578918172</v>
      </c>
      <c r="Z30" s="828">
        <v>303738.94959199568</v>
      </c>
      <c r="AA30" s="828">
        <v>306506.94129217422</v>
      </c>
      <c r="AB30" s="828">
        <v>307629.24987310497</v>
      </c>
      <c r="AC30" s="829">
        <v>308751.55845403566</v>
      </c>
      <c r="AD30" s="812">
        <f t="shared" si="9"/>
        <v>1.4784544659515051</v>
      </c>
      <c r="AE30" s="827">
        <f t="shared" si="25"/>
        <v>462611.03749439324</v>
      </c>
      <c r="AF30" s="828">
        <f t="shared" si="26"/>
        <v>450697.95583180117</v>
      </c>
      <c r="AG30" s="828">
        <f t="shared" si="27"/>
        <v>447834.90632433031</v>
      </c>
      <c r="AH30" s="828">
        <f t="shared" si="28"/>
        <v>444971.85681685951</v>
      </c>
      <c r="AI30" s="828">
        <f t="shared" si="29"/>
        <v>449064.20650770509</v>
      </c>
      <c r="AJ30" s="828">
        <f t="shared" si="30"/>
        <v>453156.55619855074</v>
      </c>
      <c r="AK30" s="828">
        <f t="shared" si="31"/>
        <v>454815.83833220351</v>
      </c>
      <c r="AL30" s="829">
        <f t="shared" si="32"/>
        <v>456475.12046585622</v>
      </c>
    </row>
    <row r="31" spans="2:38" x14ac:dyDescent="0.25">
      <c r="B31" s="812" t="s">
        <v>1320</v>
      </c>
      <c r="R31" s="323" t="str">
        <f t="shared" si="24"/>
        <v xml:space="preserve">Van / LCV </v>
      </c>
      <c r="S31" s="256" t="s">
        <v>689</v>
      </c>
      <c r="T31" s="808">
        <f t="shared" si="33"/>
        <v>755397.14999999991</v>
      </c>
      <c r="U31" s="820">
        <f t="shared" si="0"/>
        <v>676046.93374770158</v>
      </c>
      <c r="V31" s="827">
        <v>331028.30930312449</v>
      </c>
      <c r="W31" s="828">
        <v>326716.98101003445</v>
      </c>
      <c r="X31" s="828">
        <v>324521.50162893633</v>
      </c>
      <c r="Y31" s="828">
        <v>322326.02224783826</v>
      </c>
      <c r="Z31" s="828">
        <v>325263.56979321735</v>
      </c>
      <c r="AA31" s="828">
        <v>328201.11733859644</v>
      </c>
      <c r="AB31" s="828">
        <v>329321.81828075892</v>
      </c>
      <c r="AC31" s="829">
        <v>330442.51922292134</v>
      </c>
      <c r="AD31" s="812">
        <f t="shared" si="9"/>
        <v>2.0692127224539276</v>
      </c>
      <c r="AE31" s="827">
        <f t="shared" si="25"/>
        <v>684967.98910243902</v>
      </c>
      <c r="AF31" s="828">
        <f t="shared" si="26"/>
        <v>676046.93374770158</v>
      </c>
      <c r="AG31" s="828">
        <f t="shared" si="27"/>
        <v>671504.019880448</v>
      </c>
      <c r="AH31" s="828">
        <f t="shared" si="28"/>
        <v>666961.10601319466</v>
      </c>
      <c r="AI31" s="828">
        <f t="shared" si="29"/>
        <v>673039.51676690637</v>
      </c>
      <c r="AJ31" s="828">
        <f t="shared" si="30"/>
        <v>679117.92752061808</v>
      </c>
      <c r="AK31" s="828">
        <f t="shared" si="31"/>
        <v>681436.89616820682</v>
      </c>
      <c r="AL31" s="829">
        <f t="shared" si="32"/>
        <v>683755.86481579533</v>
      </c>
    </row>
    <row r="32" spans="2:38" x14ac:dyDescent="0.25">
      <c r="B32" s="812" t="s">
        <v>1322</v>
      </c>
      <c r="C32" s="812" t="s">
        <v>1299</v>
      </c>
      <c r="D32" s="805">
        <v>515000</v>
      </c>
      <c r="R32" s="323" t="str">
        <f t="shared" si="24"/>
        <v xml:space="preserve">Van / LCV </v>
      </c>
      <c r="S32" s="256" t="s">
        <v>691</v>
      </c>
      <c r="T32" s="808">
        <f t="shared" si="33"/>
        <v>669785.473</v>
      </c>
      <c r="U32" s="820">
        <f t="shared" si="0"/>
        <v>599428.28125629551</v>
      </c>
      <c r="V32" s="827">
        <v>391481.07154940313</v>
      </c>
      <c r="W32" s="828">
        <v>339982.20467586158</v>
      </c>
      <c r="X32" s="828">
        <v>331059.16492119117</v>
      </c>
      <c r="Y32" s="828">
        <v>322136.12516652065</v>
      </c>
      <c r="Z32" s="828">
        <v>323006.64147182775</v>
      </c>
      <c r="AA32" s="828">
        <v>323877.15777713485</v>
      </c>
      <c r="AB32" s="828">
        <v>323593.37485257658</v>
      </c>
      <c r="AC32" s="829">
        <v>323309.59192801826</v>
      </c>
      <c r="AD32" s="812">
        <f t="shared" si="9"/>
        <v>1.7631166367304116</v>
      </c>
      <c r="AE32" s="827">
        <f t="shared" si="25"/>
        <v>690226.79021380132</v>
      </c>
      <c r="AF32" s="828">
        <f t="shared" si="26"/>
        <v>599428.28125629551</v>
      </c>
      <c r="AG32" s="828">
        <f t="shared" si="27"/>
        <v>583695.92141462921</v>
      </c>
      <c r="AH32" s="828">
        <f t="shared" si="28"/>
        <v>567963.56157296279</v>
      </c>
      <c r="AI32" s="828">
        <f t="shared" si="29"/>
        <v>569498.38335339481</v>
      </c>
      <c r="AJ32" s="828">
        <f t="shared" si="30"/>
        <v>571033.20513382694</v>
      </c>
      <c r="AK32" s="828">
        <f t="shared" si="31"/>
        <v>570532.86273831816</v>
      </c>
      <c r="AL32" s="829">
        <f t="shared" si="32"/>
        <v>570032.52034280938</v>
      </c>
    </row>
    <row r="33" spans="2:38" x14ac:dyDescent="0.25">
      <c r="C33" s="812" t="s">
        <v>1319</v>
      </c>
      <c r="D33" s="811">
        <f>D32*$D$23/$D$22</f>
        <v>492130.96953029517</v>
      </c>
      <c r="F33" s="812" t="s">
        <v>1305</v>
      </c>
      <c r="G33" s="805" t="s">
        <v>1325</v>
      </c>
      <c r="R33" s="323" t="str">
        <f t="shared" si="24"/>
        <v xml:space="preserve">Van / LCV </v>
      </c>
      <c r="S33" s="256" t="s">
        <v>695</v>
      </c>
      <c r="T33" s="808">
        <f t="shared" si="33"/>
        <v>1004678.2094999999</v>
      </c>
      <c r="U33" s="820">
        <f t="shared" si="0"/>
        <v>899142.42188444315</v>
      </c>
      <c r="V33" s="827">
        <v>407474.79468737578</v>
      </c>
      <c r="W33" s="828">
        <v>360682.48912301363</v>
      </c>
      <c r="X33" s="828">
        <v>351716.16664973373</v>
      </c>
      <c r="Y33" s="828">
        <v>342749.84417645383</v>
      </c>
      <c r="Z33" s="828">
        <v>343826.71405733895</v>
      </c>
      <c r="AA33" s="828">
        <v>344903.58393822401</v>
      </c>
      <c r="AB33" s="828">
        <v>344657.44346707332</v>
      </c>
      <c r="AC33" s="829">
        <v>344411.30299592268</v>
      </c>
      <c r="AD33" s="812">
        <f t="shared" si="9"/>
        <v>2.4928918065045944</v>
      </c>
      <c r="AE33" s="827">
        <f t="shared" si="25"/>
        <v>1015790.5770333009</v>
      </c>
      <c r="AF33" s="828">
        <f t="shared" si="26"/>
        <v>899142.42188444315</v>
      </c>
      <c r="AG33" s="828">
        <f t="shared" si="27"/>
        <v>876790.35005632567</v>
      </c>
      <c r="AH33" s="828">
        <f t="shared" si="28"/>
        <v>854438.27822820819</v>
      </c>
      <c r="AI33" s="828">
        <f t="shared" si="29"/>
        <v>857122.79833093833</v>
      </c>
      <c r="AJ33" s="828">
        <f t="shared" si="30"/>
        <v>859807.31843366823</v>
      </c>
      <c r="AK33" s="828">
        <f t="shared" si="31"/>
        <v>859193.71686988755</v>
      </c>
      <c r="AL33" s="829">
        <f t="shared" si="32"/>
        <v>858580.11530610698</v>
      </c>
    </row>
    <row r="34" spans="2:38" x14ac:dyDescent="0.25">
      <c r="B34" s="812"/>
      <c r="R34" s="323" t="str">
        <f t="shared" si="24"/>
        <v xml:space="preserve">Van / LCV </v>
      </c>
      <c r="S34" s="256" t="s">
        <v>839</v>
      </c>
      <c r="T34" s="808">
        <f t="shared" si="33"/>
        <v>890814.67908999999</v>
      </c>
      <c r="U34" s="820">
        <f t="shared" si="0"/>
        <v>797239.61407087301</v>
      </c>
      <c r="V34" s="827">
        <v>496559.73718594579</v>
      </c>
      <c r="W34" s="828">
        <v>378588.95630492171</v>
      </c>
      <c r="X34" s="828">
        <v>360727.4622038473</v>
      </c>
      <c r="Y34" s="828">
        <v>342865.96810277284</v>
      </c>
      <c r="Z34" s="828">
        <v>342470.67215617938</v>
      </c>
      <c r="AA34" s="828">
        <v>342075.37620958587</v>
      </c>
      <c r="AB34" s="828">
        <v>340639.12087968597</v>
      </c>
      <c r="AC34" s="829">
        <v>339202.8655497859</v>
      </c>
      <c r="AD34" s="812">
        <f t="shared" si="9"/>
        <v>2.1058184629896157</v>
      </c>
      <c r="AE34" s="827">
        <f t="shared" si="25"/>
        <v>1045664.6625434359</v>
      </c>
      <c r="AF34" s="828">
        <f t="shared" si="26"/>
        <v>797239.61407087301</v>
      </c>
      <c r="AG34" s="828">
        <f t="shared" si="27"/>
        <v>759626.55001625046</v>
      </c>
      <c r="AH34" s="828">
        <f t="shared" si="28"/>
        <v>722013.48596162768</v>
      </c>
      <c r="AI34" s="828">
        <f t="shared" si="29"/>
        <v>721181.06445894623</v>
      </c>
      <c r="AJ34" s="828">
        <f t="shared" si="30"/>
        <v>720348.64295626467</v>
      </c>
      <c r="AK34" s="828">
        <f t="shared" si="31"/>
        <v>717324.14996499429</v>
      </c>
      <c r="AL34" s="829">
        <f t="shared" si="32"/>
        <v>714299.65697372344</v>
      </c>
    </row>
    <row r="35" spans="2:38" x14ac:dyDescent="0.25">
      <c r="B35" s="812" t="s">
        <v>689</v>
      </c>
      <c r="D35" s="811">
        <f>D33*1.5</f>
        <v>738196.45429544279</v>
      </c>
      <c r="E35" s="812" t="s">
        <v>1323</v>
      </c>
      <c r="R35" s="323" t="str">
        <f t="shared" si="24"/>
        <v xml:space="preserve">Van / LCV </v>
      </c>
      <c r="S35" s="256" t="s">
        <v>838</v>
      </c>
      <c r="T35" s="808">
        <f t="shared" si="33"/>
        <v>1336222.0186349999</v>
      </c>
      <c r="U35" s="820">
        <f t="shared" ref="U35:U66" si="34">$D$24/$D$23*T35</f>
        <v>1195859.4211063094</v>
      </c>
      <c r="V35" s="827">
        <v>511492.56089864328</v>
      </c>
      <c r="W35" s="828">
        <v>395813.38161575678</v>
      </c>
      <c r="X35" s="828">
        <v>377420.10669636662</v>
      </c>
      <c r="Y35" s="828">
        <v>359026.83177697641</v>
      </c>
      <c r="Z35" s="828">
        <v>358837.88940596086</v>
      </c>
      <c r="AA35" s="828">
        <v>358648.94703494536</v>
      </c>
      <c r="AB35" s="828">
        <v>357250.33415845298</v>
      </c>
      <c r="AC35" s="829">
        <v>355851.72128196061</v>
      </c>
      <c r="AD35" s="812">
        <f t="shared" si="9"/>
        <v>3.0212708226909122</v>
      </c>
      <c r="AE35" s="827">
        <f t="shared" si="25"/>
        <v>1545357.5502665255</v>
      </c>
      <c r="AF35" s="828">
        <f t="shared" si="26"/>
        <v>1195859.4211063094</v>
      </c>
      <c r="AG35" s="828">
        <f t="shared" si="27"/>
        <v>1140288.3562586235</v>
      </c>
      <c r="AH35" s="828">
        <f t="shared" si="28"/>
        <v>1084717.2914109372</v>
      </c>
      <c r="AI35" s="828">
        <f t="shared" si="29"/>
        <v>1084146.445338218</v>
      </c>
      <c r="AJ35" s="828">
        <f t="shared" si="30"/>
        <v>1083575.5992654988</v>
      </c>
      <c r="AK35" s="828">
        <f t="shared" si="31"/>
        <v>1079350.0109895125</v>
      </c>
      <c r="AL35" s="829">
        <f t="shared" si="32"/>
        <v>1075124.4227135263</v>
      </c>
    </row>
    <row r="36" spans="2:38" x14ac:dyDescent="0.25">
      <c r="B36" s="812"/>
      <c r="R36" s="323" t="str">
        <f t="shared" si="24"/>
        <v xml:space="preserve">Van / LCV </v>
      </c>
      <c r="S36" s="256" t="s">
        <v>692</v>
      </c>
      <c r="T36" s="808">
        <f t="shared" si="33"/>
        <v>917322.57</v>
      </c>
      <c r="U36" s="820">
        <f t="shared" si="34"/>
        <v>820963.00033176108</v>
      </c>
      <c r="V36" s="827">
        <v>687128.15488599741</v>
      </c>
      <c r="W36" s="828">
        <v>469949.59053506178</v>
      </c>
      <c r="X36" s="828">
        <v>432380.94769067498</v>
      </c>
      <c r="Y36" s="828">
        <v>394812.30484628811</v>
      </c>
      <c r="Z36" s="828">
        <v>398727.68873224943</v>
      </c>
      <c r="AA36" s="828">
        <v>402643.07261821086</v>
      </c>
      <c r="AB36" s="828">
        <v>404655.09436187055</v>
      </c>
      <c r="AC36" s="829">
        <v>406667.11610553024</v>
      </c>
      <c r="AD36" s="812">
        <f t="shared" si="9"/>
        <v>1.7469171521078515</v>
      </c>
      <c r="AE36" s="827">
        <f t="shared" si="25"/>
        <v>1200355.9594665694</v>
      </c>
      <c r="AF36" s="828">
        <f t="shared" si="26"/>
        <v>820963.00033176108</v>
      </c>
      <c r="AG36" s="828">
        <f t="shared" si="27"/>
        <v>755333.69376548787</v>
      </c>
      <c r="AH36" s="828">
        <f t="shared" si="28"/>
        <v>689704.38719921454</v>
      </c>
      <c r="AI36" s="828">
        <f t="shared" si="29"/>
        <v>696544.23846668703</v>
      </c>
      <c r="AJ36" s="828">
        <f t="shared" si="30"/>
        <v>703384.08973415976</v>
      </c>
      <c r="AK36" s="828">
        <f t="shared" si="31"/>
        <v>706898.92502857279</v>
      </c>
      <c r="AL36" s="829">
        <f t="shared" si="32"/>
        <v>710413.76032298582</v>
      </c>
    </row>
    <row r="37" spans="2:38" x14ac:dyDescent="0.25">
      <c r="B37" s="812" t="s">
        <v>1324</v>
      </c>
      <c r="D37" s="811">
        <f>D33*1.33</f>
        <v>654534.18947529257</v>
      </c>
      <c r="E37" s="812" t="s">
        <v>1326</v>
      </c>
      <c r="R37" s="323" t="str">
        <f t="shared" si="24"/>
        <v xml:space="preserve">Van / LCV </v>
      </c>
      <c r="S37" s="256" t="s">
        <v>699</v>
      </c>
      <c r="T37" s="808">
        <f t="shared" si="33"/>
        <v>2004333.0279524997</v>
      </c>
      <c r="U37" s="820">
        <f t="shared" si="34"/>
        <v>1793789.131659464</v>
      </c>
      <c r="V37" s="827">
        <v>2029535.5581229187</v>
      </c>
      <c r="W37" s="828">
        <v>811440.95954608021</v>
      </c>
      <c r="X37" s="828">
        <v>622919.2856946364</v>
      </c>
      <c r="Y37" s="828">
        <v>434397.61184319266</v>
      </c>
      <c r="Z37" s="828">
        <v>413664.79392003053</v>
      </c>
      <c r="AA37" s="828">
        <v>392931.97599686834</v>
      </c>
      <c r="AB37" s="828">
        <v>387589.42716879566</v>
      </c>
      <c r="AC37" s="829">
        <v>382246.87834072293</v>
      </c>
      <c r="AD37" s="812">
        <f t="shared" si="9"/>
        <v>2.210621870336579</v>
      </c>
      <c r="AE37" s="827">
        <f t="shared" si="25"/>
        <v>4486535.6914122794</v>
      </c>
      <c r="AF37" s="828">
        <f t="shared" si="26"/>
        <v>1793789.1316594642</v>
      </c>
      <c r="AG37" s="828">
        <f t="shared" si="27"/>
        <v>1377038.9964110029</v>
      </c>
      <c r="AH37" s="828">
        <f t="shared" si="28"/>
        <v>960288.86116254178</v>
      </c>
      <c r="AI37" s="828">
        <f t="shared" si="29"/>
        <v>914456.44042789342</v>
      </c>
      <c r="AJ37" s="828">
        <f t="shared" si="30"/>
        <v>868624.01969324483</v>
      </c>
      <c r="AK37" s="828">
        <f t="shared" si="31"/>
        <v>856813.66441056633</v>
      </c>
      <c r="AL37" s="829">
        <f t="shared" si="32"/>
        <v>845003.30912788771</v>
      </c>
    </row>
    <row r="38" spans="2:38" x14ac:dyDescent="0.25">
      <c r="B38" s="812" t="s">
        <v>695</v>
      </c>
      <c r="D38" s="811">
        <f>D35*1.33</f>
        <v>981801.28421293898</v>
      </c>
      <c r="E38" s="812" t="s">
        <v>1326</v>
      </c>
      <c r="R38" s="323" t="str">
        <f t="shared" si="24"/>
        <v xml:space="preserve">Van / LCV </v>
      </c>
      <c r="S38" s="256" t="s">
        <v>837</v>
      </c>
      <c r="T38" s="808">
        <f t="shared" si="33"/>
        <v>2204766.3307477497</v>
      </c>
      <c r="U38" s="820">
        <f t="shared" si="34"/>
        <v>1973168.0448254102</v>
      </c>
      <c r="V38" s="827">
        <v>2114672.9625383778</v>
      </c>
      <c r="W38" s="828">
        <v>850128.3240129943</v>
      </c>
      <c r="X38" s="828">
        <v>655524.58181147499</v>
      </c>
      <c r="Y38" s="828">
        <v>460920.8396099559</v>
      </c>
      <c r="Z38" s="828">
        <v>439117.74429542525</v>
      </c>
      <c r="AA38" s="828">
        <v>417314.64898089459</v>
      </c>
      <c r="AB38" s="828">
        <v>410990.01008050452</v>
      </c>
      <c r="AC38" s="829">
        <v>404665.37118011439</v>
      </c>
      <c r="AD38" s="812">
        <f t="shared" si="9"/>
        <v>2.3210237667545943</v>
      </c>
      <c r="AE38" s="827">
        <f t="shared" si="25"/>
        <v>4908206.2049649227</v>
      </c>
      <c r="AF38" s="828">
        <f t="shared" si="26"/>
        <v>1973168.0448254102</v>
      </c>
      <c r="AG38" s="828">
        <f t="shared" si="27"/>
        <v>1521488.1340762998</v>
      </c>
      <c r="AH38" s="828">
        <f t="shared" si="28"/>
        <v>1069808.2233271901</v>
      </c>
      <c r="AI38" s="828">
        <f t="shared" si="29"/>
        <v>1019202.7209133487</v>
      </c>
      <c r="AJ38" s="828">
        <f t="shared" si="30"/>
        <v>968597.21849950729</v>
      </c>
      <c r="AK38" s="828">
        <f t="shared" si="31"/>
        <v>953917.58129556128</v>
      </c>
      <c r="AL38" s="829">
        <f t="shared" si="32"/>
        <v>939237.94409161515</v>
      </c>
    </row>
    <row r="39" spans="2:38" x14ac:dyDescent="0.25">
      <c r="R39" s="323" t="str">
        <f t="shared" si="24"/>
        <v xml:space="preserve">Van / LCV </v>
      </c>
      <c r="S39" s="256" t="s">
        <v>836</v>
      </c>
      <c r="T39" s="808">
        <f t="shared" si="33"/>
        <v>1603466.4223619998</v>
      </c>
      <c r="U39" s="820">
        <f t="shared" si="34"/>
        <v>1435031.3053275712</v>
      </c>
      <c r="V39" s="827">
        <v>1450504.470819857</v>
      </c>
      <c r="W39" s="828">
        <v>654484.66361127386</v>
      </c>
      <c r="X39" s="828">
        <v>534980.27749698469</v>
      </c>
      <c r="Y39" s="828">
        <v>415475.89138269558</v>
      </c>
      <c r="Z39" s="828">
        <v>402645.7854288643</v>
      </c>
      <c r="AA39" s="828">
        <v>389815.67947503307</v>
      </c>
      <c r="AB39" s="828">
        <v>384665.56853580126</v>
      </c>
      <c r="AC39" s="829">
        <v>379515.4575965695</v>
      </c>
      <c r="AD39" s="812">
        <f t="shared" si="9"/>
        <v>2.1926125776720982</v>
      </c>
      <c r="AE39" s="827">
        <f t="shared" si="25"/>
        <v>3180394.3466892294</v>
      </c>
      <c r="AF39" s="828">
        <f t="shared" si="26"/>
        <v>1435031.3053275712</v>
      </c>
      <c r="AG39" s="828">
        <f t="shared" si="27"/>
        <v>1173004.485246398</v>
      </c>
      <c r="AH39" s="828">
        <f t="shared" si="28"/>
        <v>910977.66516522481</v>
      </c>
      <c r="AI39" s="828">
        <f t="shared" si="29"/>
        <v>882846.21347798873</v>
      </c>
      <c r="AJ39" s="828">
        <f t="shared" si="30"/>
        <v>854714.76179075264</v>
      </c>
      <c r="AK39" s="828">
        <f t="shared" si="31"/>
        <v>843422.56376898638</v>
      </c>
      <c r="AL39" s="829">
        <f t="shared" si="32"/>
        <v>832130.36574722012</v>
      </c>
    </row>
    <row r="40" spans="2:38" x14ac:dyDescent="0.25">
      <c r="B40" s="812" t="s">
        <v>839</v>
      </c>
      <c r="D40" s="811">
        <f>D37*1.33</f>
        <v>870530.4720021392</v>
      </c>
      <c r="E40" s="812" t="s">
        <v>1339</v>
      </c>
      <c r="R40" s="323" t="str">
        <f t="shared" si="24"/>
        <v xml:space="preserve">Van / LCV </v>
      </c>
      <c r="S40" s="256" t="s">
        <v>700</v>
      </c>
      <c r="T40" s="808">
        <f t="shared" si="33"/>
        <v>609669.0457482104</v>
      </c>
      <c r="U40" s="820">
        <f t="shared" si="34"/>
        <v>545626.74611489451</v>
      </c>
      <c r="V40" s="827">
        <v>299496.70074222406</v>
      </c>
      <c r="W40" s="828">
        <v>314789.02729539643</v>
      </c>
      <c r="X40" s="828">
        <v>318102.56056284037</v>
      </c>
      <c r="Y40" s="828">
        <v>321416.09383028437</v>
      </c>
      <c r="Z40" s="828">
        <v>326165.12299253611</v>
      </c>
      <c r="AA40" s="828">
        <v>330914.15215478779</v>
      </c>
      <c r="AB40" s="828">
        <v>332996.62735681463</v>
      </c>
      <c r="AC40" s="829">
        <v>335079.10255884152</v>
      </c>
      <c r="AD40" s="812">
        <f t="shared" si="9"/>
        <v>1.7333092922672972</v>
      </c>
      <c r="AE40" s="827">
        <f t="shared" si="25"/>
        <v>519120.41439989489</v>
      </c>
      <c r="AF40" s="828">
        <f t="shared" si="26"/>
        <v>545626.74611489451</v>
      </c>
      <c r="AG40" s="828">
        <f t="shared" si="27"/>
        <v>551370.12411759188</v>
      </c>
      <c r="AH40" s="828">
        <f t="shared" si="28"/>
        <v>557113.50212028937</v>
      </c>
      <c r="AI40" s="828">
        <f t="shared" si="29"/>
        <v>565345.03849646868</v>
      </c>
      <c r="AJ40" s="828">
        <f t="shared" si="30"/>
        <v>573576.57487264799</v>
      </c>
      <c r="AK40" s="828">
        <f t="shared" si="31"/>
        <v>577186.14849123731</v>
      </c>
      <c r="AL40" s="829">
        <f t="shared" si="32"/>
        <v>580795.72210982675</v>
      </c>
    </row>
    <row r="41" spans="2:38" x14ac:dyDescent="0.25">
      <c r="B41" s="812" t="s">
        <v>838</v>
      </c>
      <c r="D41" s="811">
        <f>D38*1.33</f>
        <v>1305795.708003209</v>
      </c>
      <c r="E41" s="812" t="s">
        <v>1339</v>
      </c>
      <c r="R41" s="323" t="str">
        <f t="shared" si="24"/>
        <v xml:space="preserve">Van / LCV </v>
      </c>
      <c r="S41" s="260"/>
      <c r="U41" s="820">
        <f t="shared" si="34"/>
        <v>0</v>
      </c>
      <c r="V41" s="830"/>
      <c r="W41" s="831"/>
      <c r="X41" s="831"/>
      <c r="Y41" s="831"/>
      <c r="Z41" s="831"/>
      <c r="AA41" s="831"/>
      <c r="AB41" s="831"/>
      <c r="AC41" s="832"/>
      <c r="AD41" s="812" t="e">
        <f t="shared" si="9"/>
        <v>#DIV/0!</v>
      </c>
      <c r="AE41" s="830"/>
      <c r="AF41" s="831"/>
      <c r="AG41" s="831"/>
      <c r="AH41" s="831"/>
      <c r="AI41" s="831"/>
      <c r="AJ41" s="831"/>
      <c r="AK41" s="831"/>
      <c r="AL41" s="832"/>
    </row>
    <row r="42" spans="2:38" x14ac:dyDescent="0.25">
      <c r="R42" s="323" t="str">
        <f t="shared" si="24"/>
        <v xml:space="preserve">Van / LCV </v>
      </c>
      <c r="S42" s="453" t="s">
        <v>832</v>
      </c>
      <c r="U42" s="820">
        <f t="shared" si="34"/>
        <v>0</v>
      </c>
      <c r="V42" s="837"/>
      <c r="W42" s="838"/>
      <c r="X42" s="838"/>
      <c r="Y42" s="838"/>
      <c r="Z42" s="838"/>
      <c r="AA42" s="838"/>
      <c r="AB42" s="838"/>
      <c r="AC42" s="839"/>
      <c r="AD42" s="812" t="e">
        <f t="shared" si="9"/>
        <v>#DIV/0!</v>
      </c>
      <c r="AE42" s="837"/>
      <c r="AF42" s="838"/>
      <c r="AG42" s="838"/>
      <c r="AH42" s="838"/>
      <c r="AI42" s="838"/>
      <c r="AJ42" s="838"/>
      <c r="AK42" s="838"/>
      <c r="AL42" s="839"/>
    </row>
    <row r="43" spans="2:38" x14ac:dyDescent="0.25">
      <c r="B43" s="812" t="s">
        <v>1327</v>
      </c>
      <c r="D43" s="812" t="s">
        <v>1328</v>
      </c>
      <c r="R43" s="323" t="str">
        <f>S43</f>
        <v>Small Rigid Truck</v>
      </c>
      <c r="S43" s="352" t="s">
        <v>725</v>
      </c>
      <c r="U43" s="820">
        <f t="shared" si="34"/>
        <v>0</v>
      </c>
      <c r="V43" s="833">
        <v>2010</v>
      </c>
      <c r="W43" s="821">
        <v>2020</v>
      </c>
      <c r="X43" s="821"/>
      <c r="Y43" s="821">
        <v>2030</v>
      </c>
      <c r="Z43" s="821"/>
      <c r="AA43" s="821">
        <v>2040</v>
      </c>
      <c r="AB43" s="821"/>
      <c r="AC43" s="834">
        <v>2050</v>
      </c>
      <c r="AD43" s="812">
        <f t="shared" si="9"/>
        <v>0</v>
      </c>
      <c r="AE43" s="833">
        <v>2010</v>
      </c>
      <c r="AF43" s="821">
        <v>2020</v>
      </c>
      <c r="AG43" s="821"/>
      <c r="AH43" s="821">
        <v>2030</v>
      </c>
      <c r="AI43" s="821"/>
      <c r="AJ43" s="821">
        <v>2040</v>
      </c>
      <c r="AK43" s="821"/>
      <c r="AL43" s="834">
        <v>2050</v>
      </c>
    </row>
    <row r="44" spans="2:38" x14ac:dyDescent="0.25">
      <c r="D44" s="987">
        <v>709148.3</v>
      </c>
      <c r="E44" s="819" t="s">
        <v>1461</v>
      </c>
      <c r="R44" s="323" t="str">
        <f>R43</f>
        <v>Small Rigid Truck</v>
      </c>
      <c r="S44" s="448" t="s">
        <v>1321</v>
      </c>
      <c r="U44" s="820">
        <f t="shared" si="34"/>
        <v>0</v>
      </c>
      <c r="V44" s="835" t="s">
        <v>1343</v>
      </c>
      <c r="W44" s="823" t="s">
        <v>1343</v>
      </c>
      <c r="X44" s="823"/>
      <c r="Y44" s="823" t="s">
        <v>1343</v>
      </c>
      <c r="Z44" s="823"/>
      <c r="AA44" s="823" t="s">
        <v>1343</v>
      </c>
      <c r="AB44" s="823"/>
      <c r="AC44" s="836" t="s">
        <v>1343</v>
      </c>
      <c r="AD44" s="812" t="e">
        <f t="shared" si="9"/>
        <v>#VALUE!</v>
      </c>
      <c r="AE44" s="835"/>
      <c r="AF44" s="823"/>
      <c r="AG44" s="823"/>
      <c r="AH44" s="823"/>
      <c r="AI44" s="823"/>
      <c r="AJ44" s="823"/>
      <c r="AK44" s="823"/>
      <c r="AL44" s="836"/>
    </row>
    <row r="45" spans="2:38" x14ac:dyDescent="0.25">
      <c r="R45" s="323" t="str">
        <f>R44</f>
        <v>Small Rigid Truck</v>
      </c>
      <c r="S45" s="256" t="s">
        <v>687</v>
      </c>
      <c r="T45" s="808">
        <f>D77</f>
        <v>532705.49567836581</v>
      </c>
      <c r="U45" s="820">
        <f t="shared" si="34"/>
        <v>476747.78352540615</v>
      </c>
      <c r="V45" s="827">
        <v>665630.86833121476</v>
      </c>
      <c r="W45" s="828">
        <v>800945.7513197927</v>
      </c>
      <c r="X45" s="828">
        <v>826287.49318747991</v>
      </c>
      <c r="Y45" s="828">
        <v>851629.23505516711</v>
      </c>
      <c r="Z45" s="828">
        <v>874323.18709736317</v>
      </c>
      <c r="AA45" s="828">
        <v>897017.13913955924</v>
      </c>
      <c r="AB45" s="828">
        <v>911917.84375750553</v>
      </c>
      <c r="AC45" s="829">
        <v>926818.54837545205</v>
      </c>
      <c r="AD45" s="812">
        <f t="shared" si="9"/>
        <v>0.59523105371346885</v>
      </c>
      <c r="AE45" s="827">
        <f t="shared" ref="AE45:AE53" si="35">V45*$AD45</f>
        <v>396204.1631410002</v>
      </c>
      <c r="AF45" s="828">
        <f t="shared" ref="AF45:AF53" si="36">W45*$AD45</f>
        <v>476747.78352540621</v>
      </c>
      <c r="AG45" s="828">
        <f t="shared" ref="AG45:AG53" si="37">X45*$AD45</f>
        <v>491831.97524024436</v>
      </c>
      <c r="AH45" s="828">
        <f t="shared" ref="AH45:AH53" si="38">Y45*$AD45</f>
        <v>506916.16695508256</v>
      </c>
      <c r="AI45" s="828">
        <f t="shared" ref="AI45:AI53" si="39">Z45*$AD45</f>
        <v>520424.31194208184</v>
      </c>
      <c r="AJ45" s="828">
        <f t="shared" ref="AJ45:AJ53" si="40">AA45*$AD45</f>
        <v>533932.45692908112</v>
      </c>
      <c r="AK45" s="828">
        <f t="shared" ref="AK45:AK53" si="41">AB45*$AD45</f>
        <v>542801.8190398945</v>
      </c>
      <c r="AL45" s="829">
        <f t="shared" ref="AL45:AL53" si="42">AC45*$AD45</f>
        <v>551671.18115070788</v>
      </c>
    </row>
    <row r="46" spans="2:38" x14ac:dyDescent="0.25">
      <c r="B46" s="812" t="s">
        <v>699</v>
      </c>
      <c r="D46" s="811">
        <f>D44*1.5</f>
        <v>1063722.4500000002</v>
      </c>
      <c r="E46" s="812" t="s">
        <v>1329</v>
      </c>
      <c r="R46" s="323" t="str">
        <f>R45</f>
        <v>Small Rigid Truck</v>
      </c>
      <c r="S46" s="462" t="s">
        <v>680</v>
      </c>
      <c r="T46" s="808">
        <f t="shared" ref="T46:T53" si="43">D78</f>
        <v>419711.61032295082</v>
      </c>
      <c r="U46" s="820">
        <f t="shared" si="34"/>
        <v>375623.26945122989</v>
      </c>
      <c r="V46" s="827">
        <v>524441.75232732459</v>
      </c>
      <c r="W46" s="828">
        <v>631054.55790289911</v>
      </c>
      <c r="X46" s="828">
        <v>651020.98095271387</v>
      </c>
      <c r="Y46" s="828">
        <v>670987.40400252875</v>
      </c>
      <c r="Z46" s="828">
        <v>688867.66848918016</v>
      </c>
      <c r="AA46" s="828">
        <v>706747.93297583144</v>
      </c>
      <c r="AB46" s="828">
        <v>718488.00095125346</v>
      </c>
      <c r="AC46" s="829">
        <v>730228.06892667571</v>
      </c>
      <c r="AD46" s="812">
        <f t="shared" si="9"/>
        <v>0.59523105371346885</v>
      </c>
      <c r="AE46" s="827">
        <f t="shared" si="35"/>
        <v>312164.0168491315</v>
      </c>
      <c r="AF46" s="828">
        <f t="shared" si="36"/>
        <v>375623.26945122989</v>
      </c>
      <c r="AG46" s="828">
        <f t="shared" si="37"/>
        <v>387507.90448206</v>
      </c>
      <c r="AH46" s="828">
        <f t="shared" si="38"/>
        <v>399392.53951289022</v>
      </c>
      <c r="AI46" s="828">
        <f t="shared" si="39"/>
        <v>410035.42818395526</v>
      </c>
      <c r="AJ46" s="828">
        <f t="shared" si="40"/>
        <v>420678.31685502018</v>
      </c>
      <c r="AK46" s="828">
        <f t="shared" si="41"/>
        <v>427666.36988669843</v>
      </c>
      <c r="AL46" s="829">
        <f t="shared" si="42"/>
        <v>434654.42291837675</v>
      </c>
    </row>
    <row r="47" spans="2:38" x14ac:dyDescent="0.25">
      <c r="B47" s="812" t="s">
        <v>837</v>
      </c>
      <c r="D47" s="811">
        <f>D46*1.1</f>
        <v>1170094.6950000003</v>
      </c>
      <c r="E47" s="812" t="s">
        <v>1330</v>
      </c>
      <c r="R47" s="323" t="str">
        <f>R45</f>
        <v>Small Rigid Truck</v>
      </c>
      <c r="S47" s="256" t="s">
        <v>829</v>
      </c>
      <c r="T47" s="808">
        <f t="shared" si="43"/>
        <v>602234.27550437453</v>
      </c>
      <c r="U47" s="820">
        <f t="shared" si="34"/>
        <v>538972.95661295648</v>
      </c>
      <c r="V47" s="827">
        <v>809781.47955487901</v>
      </c>
      <c r="W47" s="828">
        <v>905485.27878454118</v>
      </c>
      <c r="X47" s="828">
        <v>913269.92469678773</v>
      </c>
      <c r="Y47" s="828">
        <v>921054.57060903416</v>
      </c>
      <c r="Z47" s="828">
        <v>935029.30465434329</v>
      </c>
      <c r="AA47" s="828">
        <v>949004.03869965253</v>
      </c>
      <c r="AB47" s="828">
        <v>958231.93363923894</v>
      </c>
      <c r="AC47" s="829">
        <v>967459.82857882523</v>
      </c>
      <c r="AD47" s="812">
        <f t="shared" si="9"/>
        <v>0.59523105371346874</v>
      </c>
      <c r="AE47" s="827">
        <f t="shared" si="35"/>
        <v>482007.08335310238</v>
      </c>
      <c r="AF47" s="828">
        <f t="shared" si="36"/>
        <v>538972.95661295648</v>
      </c>
      <c r="AG47" s="828">
        <f t="shared" si="37"/>
        <v>543606.61960208917</v>
      </c>
      <c r="AH47" s="828">
        <f t="shared" si="38"/>
        <v>548240.28259122185</v>
      </c>
      <c r="AI47" s="828">
        <f t="shared" si="39"/>
        <v>556558.47826237674</v>
      </c>
      <c r="AJ47" s="828">
        <f t="shared" si="40"/>
        <v>564876.67393353162</v>
      </c>
      <c r="AK47" s="828">
        <f t="shared" si="41"/>
        <v>570369.40356197883</v>
      </c>
      <c r="AL47" s="829">
        <f t="shared" si="42"/>
        <v>575862.13319042593</v>
      </c>
    </row>
    <row r="48" spans="2:38" x14ac:dyDescent="0.25">
      <c r="B48" s="812" t="s">
        <v>836</v>
      </c>
      <c r="D48" s="811">
        <f>D46*0.8</f>
        <v>850977.9600000002</v>
      </c>
      <c r="E48" s="812" t="s">
        <v>1331</v>
      </c>
      <c r="R48" s="323" t="str">
        <f t="shared" ref="R48:R55" si="44">R47</f>
        <v>Small Rigid Truck</v>
      </c>
      <c r="S48" s="256" t="s">
        <v>828</v>
      </c>
      <c r="T48" s="808">
        <f t="shared" si="43"/>
        <v>577206.97880158271</v>
      </c>
      <c r="U48" s="820">
        <f t="shared" si="34"/>
        <v>516574.63647643442</v>
      </c>
      <c r="V48" s="827">
        <v>822054.4421285463</v>
      </c>
      <c r="W48" s="828">
        <v>867855.65580572386</v>
      </c>
      <c r="X48" s="828">
        <v>883566.63350437384</v>
      </c>
      <c r="Y48" s="828">
        <v>899277.61120302393</v>
      </c>
      <c r="Z48" s="828">
        <v>919122.33011158789</v>
      </c>
      <c r="AA48" s="828">
        <v>938967.04902015161</v>
      </c>
      <c r="AB48" s="828">
        <v>949220.9609977334</v>
      </c>
      <c r="AC48" s="829">
        <v>959474.87297531543</v>
      </c>
      <c r="AD48" s="812">
        <f t="shared" si="9"/>
        <v>0.59523105371346874</v>
      </c>
      <c r="AE48" s="827">
        <f t="shared" si="35"/>
        <v>489312.33179801231</v>
      </c>
      <c r="AF48" s="828">
        <f t="shared" si="36"/>
        <v>516574.63647643448</v>
      </c>
      <c r="AG48" s="828">
        <f t="shared" si="37"/>
        <v>525926.2982868707</v>
      </c>
      <c r="AH48" s="828">
        <f t="shared" si="38"/>
        <v>535277.96009730699</v>
      </c>
      <c r="AI48" s="828">
        <f t="shared" si="39"/>
        <v>547090.1530438991</v>
      </c>
      <c r="AJ48" s="828">
        <f t="shared" si="40"/>
        <v>558902.3459904911</v>
      </c>
      <c r="AK48" s="828">
        <f t="shared" si="41"/>
        <v>565005.7928215923</v>
      </c>
      <c r="AL48" s="829">
        <f t="shared" si="42"/>
        <v>571109.23965269362</v>
      </c>
    </row>
    <row r="49" spans="2:38" x14ac:dyDescent="0.25">
      <c r="R49" s="323" t="str">
        <f t="shared" si="44"/>
        <v>Small Rigid Truck</v>
      </c>
      <c r="S49" s="256" t="s">
        <v>689</v>
      </c>
      <c r="T49" s="808">
        <f t="shared" si="43"/>
        <v>588860.82393509196</v>
      </c>
      <c r="U49" s="820">
        <f t="shared" si="34"/>
        <v>527004.31081248343</v>
      </c>
      <c r="V49" s="827">
        <v>843813.12099593447</v>
      </c>
      <c r="W49" s="828">
        <v>885377.7159720764</v>
      </c>
      <c r="X49" s="828">
        <v>887934.07694784389</v>
      </c>
      <c r="Y49" s="828">
        <v>890490.43792361103</v>
      </c>
      <c r="Z49" s="828">
        <v>897019.22104842484</v>
      </c>
      <c r="AA49" s="828">
        <v>903548.00417323865</v>
      </c>
      <c r="AB49" s="828">
        <v>910472.04174300213</v>
      </c>
      <c r="AC49" s="829">
        <v>917396.07931276597</v>
      </c>
      <c r="AD49" s="812">
        <f t="shared" si="9"/>
        <v>0.59523105371346885</v>
      </c>
      <c r="AE49" s="827">
        <f t="shared" si="35"/>
        <v>502263.77314766083</v>
      </c>
      <c r="AF49" s="828">
        <f t="shared" si="36"/>
        <v>527004.31081248343</v>
      </c>
      <c r="AG49" s="828">
        <f t="shared" si="37"/>
        <v>528525.93624976149</v>
      </c>
      <c r="AH49" s="828">
        <f t="shared" si="38"/>
        <v>530047.56168703933</v>
      </c>
      <c r="AI49" s="828">
        <f t="shared" si="39"/>
        <v>533933.696145889</v>
      </c>
      <c r="AJ49" s="828">
        <f t="shared" si="40"/>
        <v>537819.83060473856</v>
      </c>
      <c r="AK49" s="828">
        <f t="shared" si="41"/>
        <v>541941.2327833405</v>
      </c>
      <c r="AL49" s="829">
        <f t="shared" si="42"/>
        <v>546062.63496194268</v>
      </c>
    </row>
    <row r="50" spans="2:38" x14ac:dyDescent="0.25">
      <c r="B50" s="812" t="s">
        <v>524</v>
      </c>
      <c r="D50" s="811">
        <f>D29*1.1</f>
        <v>443149.82393694361</v>
      </c>
      <c r="E50" s="812" t="s">
        <v>1338</v>
      </c>
      <c r="R50" s="323" t="str">
        <f t="shared" si="44"/>
        <v>Small Rigid Truck</v>
      </c>
      <c r="S50" s="256" t="s">
        <v>692</v>
      </c>
      <c r="T50" s="808">
        <f t="shared" si="43"/>
        <v>973840.98304700491</v>
      </c>
      <c r="U50" s="820">
        <f t="shared" si="34"/>
        <v>871544.47239677189</v>
      </c>
      <c r="V50" s="827">
        <v>2230718.2521627168</v>
      </c>
      <c r="W50" s="828">
        <v>1464212.0349055484</v>
      </c>
      <c r="X50" s="828">
        <v>1329574.4709027691</v>
      </c>
      <c r="Y50" s="828">
        <v>1194936.9068999893</v>
      </c>
      <c r="Z50" s="828">
        <v>1204521.7652840337</v>
      </c>
      <c r="AA50" s="828">
        <v>1214106.6236680776</v>
      </c>
      <c r="AB50" s="828">
        <v>1217089.6391281676</v>
      </c>
      <c r="AC50" s="829">
        <v>1220072.6545882572</v>
      </c>
      <c r="AD50" s="812">
        <f t="shared" si="9"/>
        <v>0.59523105371346874</v>
      </c>
      <c r="AE50" s="827">
        <f t="shared" si="35"/>
        <v>1327792.7757726812</v>
      </c>
      <c r="AF50" s="828">
        <f t="shared" si="36"/>
        <v>871544.47239677189</v>
      </c>
      <c r="AG50" s="828">
        <f t="shared" si="37"/>
        <v>791404.01330598292</v>
      </c>
      <c r="AH50" s="828">
        <f t="shared" si="38"/>
        <v>711263.55421519373</v>
      </c>
      <c r="AI50" s="828">
        <f t="shared" si="39"/>
        <v>716968.75957082282</v>
      </c>
      <c r="AJ50" s="828">
        <f t="shared" si="40"/>
        <v>722673.96492645168</v>
      </c>
      <c r="AK50" s="828">
        <f t="shared" si="41"/>
        <v>724449.54836200469</v>
      </c>
      <c r="AL50" s="829">
        <f t="shared" si="42"/>
        <v>726225.13179755735</v>
      </c>
    </row>
    <row r="51" spans="2:38" x14ac:dyDescent="0.25">
      <c r="D51" s="812"/>
      <c r="R51" s="323" t="str">
        <f t="shared" si="44"/>
        <v>Small Rigid Truck</v>
      </c>
      <c r="S51" s="256" t="s">
        <v>699</v>
      </c>
      <c r="T51" s="808">
        <f t="shared" si="43"/>
        <v>1207861.8331814809</v>
      </c>
      <c r="U51" s="820">
        <f t="shared" si="34"/>
        <v>1080982.7502171779</v>
      </c>
      <c r="V51" s="827">
        <v>4238674.4146435475</v>
      </c>
      <c r="W51" s="828">
        <v>1816072.504069217</v>
      </c>
      <c r="X51" s="828">
        <v>1430827.4184126148</v>
      </c>
      <c r="Y51" s="828">
        <v>1045582.3327560129</v>
      </c>
      <c r="Z51" s="828">
        <v>997862.38106442767</v>
      </c>
      <c r="AA51" s="828">
        <v>950142.42937284242</v>
      </c>
      <c r="AB51" s="828">
        <v>933225.19539688097</v>
      </c>
      <c r="AC51" s="829">
        <v>916307.9614209194</v>
      </c>
      <c r="AD51" s="812">
        <f t="shared" si="9"/>
        <v>0.59523105371346885</v>
      </c>
      <c r="AE51" s="827">
        <f t="shared" si="35"/>
        <v>2522990.6381765995</v>
      </c>
      <c r="AF51" s="828">
        <f t="shared" si="36"/>
        <v>1080982.7502171779</v>
      </c>
      <c r="AG51" s="828">
        <f t="shared" si="37"/>
        <v>851672.91194386315</v>
      </c>
      <c r="AH51" s="828">
        <f t="shared" si="38"/>
        <v>622363.07367054839</v>
      </c>
      <c r="AI51" s="828">
        <f t="shared" si="39"/>
        <v>593958.67654201027</v>
      </c>
      <c r="AJ51" s="828">
        <f t="shared" si="40"/>
        <v>565554.27941347216</v>
      </c>
      <c r="AK51" s="828">
        <f t="shared" si="41"/>
        <v>555484.61640804331</v>
      </c>
      <c r="AL51" s="829">
        <f t="shared" si="42"/>
        <v>545414.95340261445</v>
      </c>
    </row>
    <row r="52" spans="2:38" x14ac:dyDescent="0.25">
      <c r="E52" s="812"/>
      <c r="R52" s="323" t="str">
        <f t="shared" si="44"/>
        <v>Small Rigid Truck</v>
      </c>
      <c r="S52" s="256" t="s">
        <v>827</v>
      </c>
      <c r="T52" s="808">
        <f t="shared" si="43"/>
        <v>686288.23487864051</v>
      </c>
      <c r="U52" s="820">
        <f t="shared" si="34"/>
        <v>614197.52094223199</v>
      </c>
      <c r="V52" s="827">
        <v>1051516.7511577115</v>
      </c>
      <c r="W52" s="828">
        <v>1031864.0418883342</v>
      </c>
      <c r="X52" s="828">
        <v>1035882.9494916156</v>
      </c>
      <c r="Y52" s="828">
        <v>1039901.8570948968</v>
      </c>
      <c r="Z52" s="828">
        <v>1050748.8162426385</v>
      </c>
      <c r="AA52" s="828">
        <v>1061595.7753903801</v>
      </c>
      <c r="AB52" s="828">
        <v>1069132.5628851603</v>
      </c>
      <c r="AC52" s="829">
        <v>1076669.3503799401</v>
      </c>
      <c r="AD52" s="812">
        <f t="shared" si="9"/>
        <v>0.59523105371346874</v>
      </c>
      <c r="AE52" s="827">
        <f t="shared" si="35"/>
        <v>625895.42378896789</v>
      </c>
      <c r="AF52" s="828">
        <f t="shared" si="36"/>
        <v>614197.52094223199</v>
      </c>
      <c r="AG52" s="828">
        <f t="shared" si="37"/>
        <v>616589.69954971026</v>
      </c>
      <c r="AH52" s="828">
        <f t="shared" si="38"/>
        <v>618981.87815718842</v>
      </c>
      <c r="AI52" s="828">
        <f t="shared" si="39"/>
        <v>625438.32508028566</v>
      </c>
      <c r="AJ52" s="828">
        <f t="shared" si="40"/>
        <v>631894.77200338279</v>
      </c>
      <c r="AK52" s="828">
        <f t="shared" si="41"/>
        <v>636380.90196551534</v>
      </c>
      <c r="AL52" s="829">
        <f t="shared" si="42"/>
        <v>640867.03192764765</v>
      </c>
    </row>
    <row r="53" spans="2:38" x14ac:dyDescent="0.25">
      <c r="E53" s="812"/>
      <c r="R53" s="323" t="str">
        <f t="shared" si="44"/>
        <v>Small Rigid Truck</v>
      </c>
      <c r="S53" s="256" t="s">
        <v>700</v>
      </c>
      <c r="T53" s="808">
        <f t="shared" si="43"/>
        <v>658123.00333679223</v>
      </c>
      <c r="U53" s="820">
        <f t="shared" si="34"/>
        <v>588990.88834881992</v>
      </c>
      <c r="V53" s="827">
        <v>1005171.5263628296</v>
      </c>
      <c r="W53" s="828">
        <v>989516.39816888212</v>
      </c>
      <c r="X53" s="828">
        <v>992950.77775874839</v>
      </c>
      <c r="Y53" s="828">
        <v>996385.15734861477</v>
      </c>
      <c r="Z53" s="828">
        <v>1007345.0964593297</v>
      </c>
      <c r="AA53" s="828">
        <v>1018305.0355700447</v>
      </c>
      <c r="AB53" s="828">
        <v>1025944.9247305429</v>
      </c>
      <c r="AC53" s="829">
        <v>1033584.813891041</v>
      </c>
      <c r="AD53" s="812">
        <f t="shared" si="9"/>
        <v>0.59523105371346863</v>
      </c>
      <c r="AE53" s="827">
        <f t="shared" si="35"/>
        <v>598309.30679972272</v>
      </c>
      <c r="AF53" s="828">
        <f t="shared" si="36"/>
        <v>588990.88834881992</v>
      </c>
      <c r="AG53" s="828">
        <f t="shared" si="37"/>
        <v>591035.13773094804</v>
      </c>
      <c r="AH53" s="828">
        <f t="shared" si="38"/>
        <v>593079.38711307617</v>
      </c>
      <c r="AI53" s="828">
        <f t="shared" si="39"/>
        <v>599603.08321858256</v>
      </c>
      <c r="AJ53" s="828">
        <f t="shared" si="40"/>
        <v>606126.77932408883</v>
      </c>
      <c r="AK53" s="828">
        <f t="shared" si="41"/>
        <v>610674.27859934629</v>
      </c>
      <c r="AL53" s="829">
        <f t="shared" si="42"/>
        <v>615221.77787460363</v>
      </c>
    </row>
    <row r="54" spans="2:38" x14ac:dyDescent="0.25">
      <c r="B54" s="812" t="s">
        <v>1332</v>
      </c>
      <c r="R54" s="323" t="str">
        <f t="shared" si="44"/>
        <v>Small Rigid Truck</v>
      </c>
      <c r="S54" s="260"/>
      <c r="U54" s="820">
        <f t="shared" si="34"/>
        <v>0</v>
      </c>
      <c r="V54" s="830"/>
      <c r="W54" s="831"/>
      <c r="X54" s="831"/>
      <c r="Y54" s="831"/>
      <c r="Z54" s="831"/>
      <c r="AA54" s="831"/>
      <c r="AB54" s="831"/>
      <c r="AC54" s="832"/>
      <c r="AD54" s="812" t="e">
        <f t="shared" si="9"/>
        <v>#DIV/0!</v>
      </c>
      <c r="AE54" s="830"/>
      <c r="AF54" s="831"/>
      <c r="AG54" s="831"/>
      <c r="AH54" s="831"/>
      <c r="AI54" s="831"/>
      <c r="AJ54" s="831"/>
      <c r="AK54" s="831"/>
      <c r="AL54" s="832"/>
    </row>
    <row r="55" spans="2:38" x14ac:dyDescent="0.25">
      <c r="B55" s="805" t="s">
        <v>715</v>
      </c>
      <c r="C55" s="805" t="s">
        <v>680</v>
      </c>
      <c r="D55" s="811">
        <f>D25*0.42</f>
        <v>112801.77336576744</v>
      </c>
      <c r="R55" s="323" t="str">
        <f t="shared" si="44"/>
        <v>Small Rigid Truck</v>
      </c>
      <c r="S55" s="453" t="s">
        <v>832</v>
      </c>
      <c r="U55" s="820">
        <f t="shared" si="34"/>
        <v>0</v>
      </c>
      <c r="V55" s="837"/>
      <c r="W55" s="838"/>
      <c r="X55" s="838"/>
      <c r="Y55" s="838"/>
      <c r="Z55" s="838"/>
      <c r="AA55" s="838"/>
      <c r="AB55" s="838"/>
      <c r="AC55" s="839"/>
      <c r="AD55" s="812" t="e">
        <f t="shared" si="9"/>
        <v>#DIV/0!</v>
      </c>
      <c r="AE55" s="837"/>
      <c r="AF55" s="838"/>
      <c r="AG55" s="838"/>
      <c r="AH55" s="838"/>
      <c r="AI55" s="838"/>
      <c r="AJ55" s="838"/>
      <c r="AK55" s="838"/>
      <c r="AL55" s="839"/>
    </row>
    <row r="56" spans="2:38" x14ac:dyDescent="0.25">
      <c r="B56" s="805" t="s">
        <v>715</v>
      </c>
      <c r="C56" s="805" t="s">
        <v>688</v>
      </c>
      <c r="D56" s="811">
        <f>D33*0.42</f>
        <v>206695.00720272397</v>
      </c>
      <c r="R56" s="323" t="str">
        <f>S56</f>
        <v>Large Rigid Truck</v>
      </c>
      <c r="S56" s="352" t="s">
        <v>735</v>
      </c>
      <c r="U56" s="820">
        <f t="shared" si="34"/>
        <v>0</v>
      </c>
      <c r="V56" s="833">
        <v>2010</v>
      </c>
      <c r="W56" s="821">
        <v>2020</v>
      </c>
      <c r="X56" s="821"/>
      <c r="Y56" s="821">
        <v>2030</v>
      </c>
      <c r="Z56" s="821"/>
      <c r="AA56" s="821">
        <v>2040</v>
      </c>
      <c r="AB56" s="821"/>
      <c r="AC56" s="834">
        <v>2050</v>
      </c>
      <c r="AD56" s="812">
        <f t="shared" si="9"/>
        <v>0</v>
      </c>
      <c r="AE56" s="833">
        <v>2010</v>
      </c>
      <c r="AF56" s="821">
        <v>2020</v>
      </c>
      <c r="AG56" s="821"/>
      <c r="AH56" s="821">
        <v>2030</v>
      </c>
      <c r="AI56" s="821"/>
      <c r="AJ56" s="821">
        <v>2040</v>
      </c>
      <c r="AK56" s="821"/>
      <c r="AL56" s="834">
        <v>2050</v>
      </c>
    </row>
    <row r="57" spans="2:38" x14ac:dyDescent="0.25">
      <c r="B57" s="805" t="s">
        <v>715</v>
      </c>
      <c r="C57" s="805" t="s">
        <v>692</v>
      </c>
      <c r="D57" s="811">
        <f>D44*0.42</f>
        <v>297842.28600000002</v>
      </c>
      <c r="R57" s="323" t="str">
        <f t="shared" ref="R57:R67" si="45">R56</f>
        <v>Large Rigid Truck</v>
      </c>
      <c r="S57" s="448" t="s">
        <v>1321</v>
      </c>
      <c r="U57" s="820">
        <f t="shared" si="34"/>
        <v>0</v>
      </c>
      <c r="V57" s="835" t="s">
        <v>1343</v>
      </c>
      <c r="W57" s="823" t="s">
        <v>1343</v>
      </c>
      <c r="X57" s="823"/>
      <c r="Y57" s="823" t="s">
        <v>1343</v>
      </c>
      <c r="Z57" s="823"/>
      <c r="AA57" s="823" t="s">
        <v>1343</v>
      </c>
      <c r="AB57" s="823"/>
      <c r="AC57" s="836" t="s">
        <v>1343</v>
      </c>
      <c r="AD57" s="812" t="e">
        <f t="shared" si="9"/>
        <v>#VALUE!</v>
      </c>
      <c r="AE57" s="835"/>
      <c r="AF57" s="823"/>
      <c r="AG57" s="823"/>
      <c r="AH57" s="823"/>
      <c r="AI57" s="823"/>
      <c r="AJ57" s="823"/>
      <c r="AK57" s="823"/>
      <c r="AL57" s="836"/>
    </row>
    <row r="58" spans="2:38" x14ac:dyDescent="0.25">
      <c r="B58" s="805" t="s">
        <v>715</v>
      </c>
      <c r="C58" s="805" t="s">
        <v>699</v>
      </c>
      <c r="D58" s="811">
        <f>D46*0.42</f>
        <v>446763.42900000006</v>
      </c>
      <c r="R58" s="323" t="str">
        <f t="shared" si="45"/>
        <v>Large Rigid Truck</v>
      </c>
      <c r="S58" s="256" t="s">
        <v>687</v>
      </c>
      <c r="T58" s="808">
        <f>D88</f>
        <v>924881.32071765326</v>
      </c>
      <c r="U58" s="820">
        <f t="shared" si="34"/>
        <v>827727.74685699318</v>
      </c>
      <c r="V58" s="827">
        <v>1089930.327527541</v>
      </c>
      <c r="W58" s="828">
        <v>1315389.054772544</v>
      </c>
      <c r="X58" s="828">
        <v>1357929.7395903205</v>
      </c>
      <c r="Y58" s="828">
        <v>1400470.4244080975</v>
      </c>
      <c r="Z58" s="828">
        <v>1427774.4170071429</v>
      </c>
      <c r="AA58" s="828">
        <v>1455078.4096061881</v>
      </c>
      <c r="AB58" s="828">
        <v>1478587.2547298784</v>
      </c>
      <c r="AC58" s="829">
        <v>1502096.0998535685</v>
      </c>
      <c r="AD58" s="812">
        <f t="shared" si="9"/>
        <v>0.62926458438573762</v>
      </c>
      <c r="AE58" s="827">
        <f t="shared" ref="AE58:AE65" si="46">V58*$AD58</f>
        <v>685854.55456102896</v>
      </c>
      <c r="AF58" s="828">
        <f t="shared" ref="AF58:AF65" si="47">W58*$AD58</f>
        <v>827727.74685699318</v>
      </c>
      <c r="AG58" s="828">
        <f t="shared" ref="AG58:AG65" si="48">X58*$AD58</f>
        <v>854497.09320833592</v>
      </c>
      <c r="AH58" s="828">
        <f t="shared" ref="AH58:AH65" si="49">Y58*$AD58</f>
        <v>881266.43955967901</v>
      </c>
      <c r="AI58" s="828">
        <f t="shared" ref="AI58:AI65" si="50">Z58*$AD58</f>
        <v>898447.87511458865</v>
      </c>
      <c r="AJ58" s="828">
        <f t="shared" ref="AJ58:AJ65" si="51">AA58*$AD58</f>
        <v>915629.31066949805</v>
      </c>
      <c r="AK58" s="828">
        <f t="shared" ref="AK58:AK65" si="52">AB58*$AD58</f>
        <v>930422.59432564571</v>
      </c>
      <c r="AL58" s="829">
        <f t="shared" ref="AL58:AL65" si="53">AC58*$AD58</f>
        <v>945215.87798179325</v>
      </c>
    </row>
    <row r="59" spans="2:38" x14ac:dyDescent="0.25">
      <c r="R59" s="323" t="str">
        <f t="shared" si="45"/>
        <v>Large Rigid Truck</v>
      </c>
      <c r="S59" s="256" t="s">
        <v>829</v>
      </c>
      <c r="T59" s="808">
        <f t="shared" ref="T59:T65" si="54">D89</f>
        <v>1011323.0654291281</v>
      </c>
      <c r="U59" s="820">
        <f t="shared" si="34"/>
        <v>905089.27312167955</v>
      </c>
      <c r="V59" s="827">
        <v>1251184.4931443066</v>
      </c>
      <c r="W59" s="828">
        <v>1438328.6388271647</v>
      </c>
      <c r="X59" s="828">
        <v>1457758.3583193333</v>
      </c>
      <c r="Y59" s="828">
        <v>1477188.0778115019</v>
      </c>
      <c r="Z59" s="828">
        <v>1493178.5248990091</v>
      </c>
      <c r="AA59" s="828">
        <v>1509168.9719865166</v>
      </c>
      <c r="AB59" s="828">
        <v>1525317.1010085675</v>
      </c>
      <c r="AC59" s="829">
        <v>1541465.2300306184</v>
      </c>
      <c r="AD59" s="812">
        <f t="shared" si="9"/>
        <v>0.62926458438573762</v>
      </c>
      <c r="AE59" s="827">
        <f t="shared" si="46"/>
        <v>787326.09006833192</v>
      </c>
      <c r="AF59" s="828">
        <f t="shared" si="47"/>
        <v>905089.27312167943</v>
      </c>
      <c r="AG59" s="828">
        <f t="shared" si="48"/>
        <v>917315.70748265041</v>
      </c>
      <c r="AH59" s="828">
        <f t="shared" si="49"/>
        <v>929542.14184362139</v>
      </c>
      <c r="AI59" s="828">
        <f t="shared" si="50"/>
        <v>939604.36388428381</v>
      </c>
      <c r="AJ59" s="828">
        <f t="shared" si="51"/>
        <v>949666.58592494624</v>
      </c>
      <c r="AK59" s="828">
        <f t="shared" si="52"/>
        <v>959828.03162261436</v>
      </c>
      <c r="AL59" s="829">
        <f t="shared" si="53"/>
        <v>969989.47732028249</v>
      </c>
    </row>
    <row r="60" spans="2:38" x14ac:dyDescent="0.25">
      <c r="B60" s="812" t="s">
        <v>1333</v>
      </c>
      <c r="G60" s="819" t="s">
        <v>1463</v>
      </c>
      <c r="R60" s="323" t="str">
        <f t="shared" si="45"/>
        <v>Large Rigid Truck</v>
      </c>
      <c r="S60" s="256" t="s">
        <v>828</v>
      </c>
      <c r="T60" s="808">
        <f t="shared" si="54"/>
        <v>964712.90040202253</v>
      </c>
      <c r="U60" s="820">
        <f t="shared" si="34"/>
        <v>863375.24342478556</v>
      </c>
      <c r="V60" s="827">
        <v>1222376.4895484564</v>
      </c>
      <c r="W60" s="828">
        <v>1372038.5110622062</v>
      </c>
      <c r="X60" s="828">
        <v>1403655.9464542887</v>
      </c>
      <c r="Y60" s="828">
        <v>1435273.3818463711</v>
      </c>
      <c r="Z60" s="828">
        <v>1464654.7994727818</v>
      </c>
      <c r="AA60" s="828">
        <v>1494036.2170991923</v>
      </c>
      <c r="AB60" s="828">
        <v>1512239.1151073836</v>
      </c>
      <c r="AC60" s="829">
        <v>1530442.0131155744</v>
      </c>
      <c r="AD60" s="812">
        <f t="shared" si="9"/>
        <v>0.62926458438573774</v>
      </c>
      <c r="AE60" s="827">
        <f t="shared" si="46"/>
        <v>769198.23365860654</v>
      </c>
      <c r="AF60" s="828">
        <f t="shared" si="47"/>
        <v>863375.24342478567</v>
      </c>
      <c r="AG60" s="828">
        <f t="shared" si="48"/>
        <v>883270.97576612735</v>
      </c>
      <c r="AH60" s="828">
        <f t="shared" si="49"/>
        <v>903166.70810746902</v>
      </c>
      <c r="AI60" s="828">
        <f t="shared" si="50"/>
        <v>921655.39365881612</v>
      </c>
      <c r="AJ60" s="828">
        <f t="shared" si="51"/>
        <v>940144.07921016309</v>
      </c>
      <c r="AK60" s="828">
        <f t="shared" si="52"/>
        <v>951598.51825990353</v>
      </c>
      <c r="AL60" s="829">
        <f t="shared" si="53"/>
        <v>963052.95730964374</v>
      </c>
    </row>
    <row r="61" spans="2:38" x14ac:dyDescent="0.25">
      <c r="C61" s="812" t="s">
        <v>680</v>
      </c>
      <c r="D61" s="811">
        <f>410000*D23/D22</f>
        <v>391793.58739305055</v>
      </c>
      <c r="E61" s="812" t="s">
        <v>1334</v>
      </c>
      <c r="R61" s="323" t="str">
        <f t="shared" si="45"/>
        <v>Large Rigid Truck</v>
      </c>
      <c r="S61" s="256" t="s">
        <v>689</v>
      </c>
      <c r="T61" s="808">
        <f t="shared" si="54"/>
        <v>1029776.6126670996</v>
      </c>
      <c r="U61" s="820">
        <f t="shared" si="34"/>
        <v>921604.37915166514</v>
      </c>
      <c r="V61" s="827">
        <v>1374599.6336241232</v>
      </c>
      <c r="W61" s="828">
        <v>1464573.7294294063</v>
      </c>
      <c r="X61" s="828">
        <v>1471747.0120627852</v>
      </c>
      <c r="Y61" s="828">
        <v>1478920.2946961639</v>
      </c>
      <c r="Z61" s="828">
        <v>1490612.6270692046</v>
      </c>
      <c r="AA61" s="828">
        <v>1502304.9594422451</v>
      </c>
      <c r="AB61" s="828">
        <v>1512718.513444247</v>
      </c>
      <c r="AC61" s="829">
        <v>1523132.0674462486</v>
      </c>
      <c r="AD61" s="812">
        <f t="shared" si="9"/>
        <v>0.62926458438573762</v>
      </c>
      <c r="AE61" s="827">
        <f t="shared" si="46"/>
        <v>864986.86714927107</v>
      </c>
      <c r="AF61" s="828">
        <f t="shared" si="47"/>
        <v>921604.37915166514</v>
      </c>
      <c r="AG61" s="828">
        <f t="shared" si="48"/>
        <v>926118.27186663973</v>
      </c>
      <c r="AH61" s="828">
        <f t="shared" si="49"/>
        <v>930632.1645816142</v>
      </c>
      <c r="AI61" s="828">
        <f t="shared" si="50"/>
        <v>937989.73525283556</v>
      </c>
      <c r="AJ61" s="828">
        <f t="shared" si="51"/>
        <v>945347.3059240568</v>
      </c>
      <c r="AK61" s="828">
        <f t="shared" si="52"/>
        <v>951900.18665510486</v>
      </c>
      <c r="AL61" s="829">
        <f t="shared" si="53"/>
        <v>958453.06738615292</v>
      </c>
    </row>
    <row r="62" spans="2:38" x14ac:dyDescent="0.25">
      <c r="C62" s="812" t="s">
        <v>687</v>
      </c>
      <c r="D62" s="811">
        <f>580000*D23/D22</f>
        <v>554244.58704382763</v>
      </c>
      <c r="E62" s="812" t="s">
        <v>1335</v>
      </c>
      <c r="R62" s="323" t="str">
        <f t="shared" si="45"/>
        <v>Large Rigid Truck</v>
      </c>
      <c r="S62" s="256" t="s">
        <v>692</v>
      </c>
      <c r="T62" s="808">
        <f t="shared" si="54"/>
        <v>3038878.6954461806</v>
      </c>
      <c r="U62" s="820">
        <f t="shared" si="34"/>
        <v>2719661.6032872326</v>
      </c>
      <c r="V62" s="937">
        <f>$V$98/$W$98*W62</f>
        <v>3566821.7975551309</v>
      </c>
      <c r="W62" s="841">
        <f>U62</f>
        <v>2719661.6032872326</v>
      </c>
      <c r="X62" s="841">
        <f>0.7*W62</f>
        <v>1903763.1223010626</v>
      </c>
      <c r="Y62" s="841">
        <f>(X62-Z62)/2+Z62</f>
        <v>1631796.9619723395</v>
      </c>
      <c r="Z62" s="841">
        <f>0.5*W62</f>
        <v>1359830.8016436163</v>
      </c>
      <c r="AA62" s="841">
        <f>2*(Z62-AC62)/3+AC62</f>
        <v>1269175.4148673753</v>
      </c>
      <c r="AB62" s="841">
        <f>(Z62-AC62)/3+AC62</f>
        <v>1178520.028091134</v>
      </c>
      <c r="AC62" s="842">
        <f>0.4*W62</f>
        <v>1087864.641314893</v>
      </c>
      <c r="AD62" s="812">
        <v>1</v>
      </c>
      <c r="AE62" s="827">
        <f t="shared" si="46"/>
        <v>3566821.7975551309</v>
      </c>
      <c r="AF62" s="828">
        <f t="shared" si="47"/>
        <v>2719661.6032872326</v>
      </c>
      <c r="AG62" s="828">
        <f t="shared" si="48"/>
        <v>1903763.1223010626</v>
      </c>
      <c r="AH62" s="828">
        <f t="shared" si="49"/>
        <v>1631796.9619723395</v>
      </c>
      <c r="AI62" s="828">
        <f t="shared" si="50"/>
        <v>1359830.8016436163</v>
      </c>
      <c r="AJ62" s="828">
        <f t="shared" si="51"/>
        <v>1269175.4148673753</v>
      </c>
      <c r="AK62" s="828">
        <f t="shared" si="52"/>
        <v>1178520.028091134</v>
      </c>
      <c r="AL62" s="829">
        <f t="shared" si="53"/>
        <v>1087864.641314893</v>
      </c>
    </row>
    <row r="63" spans="2:38" x14ac:dyDescent="0.25">
      <c r="C63" s="812" t="s">
        <v>688</v>
      </c>
      <c r="D63" s="987">
        <v>503598.1</v>
      </c>
      <c r="E63" s="819" t="s">
        <v>1336</v>
      </c>
      <c r="R63" s="323" t="str">
        <f t="shared" si="45"/>
        <v>Large Rigid Truck</v>
      </c>
      <c r="S63" s="256" t="s">
        <v>699</v>
      </c>
      <c r="T63" s="808">
        <f t="shared" si="54"/>
        <v>2025919.1302974538</v>
      </c>
      <c r="U63" s="820">
        <f t="shared" si="34"/>
        <v>1813107.7355248218</v>
      </c>
      <c r="V63" s="827">
        <v>6644860.7955950676</v>
      </c>
      <c r="W63" s="828">
        <v>2881312.2182852593</v>
      </c>
      <c r="X63" s="828">
        <v>2283873.3934198092</v>
      </c>
      <c r="Y63" s="828">
        <v>1686434.5685543588</v>
      </c>
      <c r="Z63" s="828">
        <v>1608198.73521888</v>
      </c>
      <c r="AA63" s="828">
        <v>1529962.9018834007</v>
      </c>
      <c r="AB63" s="828">
        <v>1501349.5276454913</v>
      </c>
      <c r="AC63" s="829">
        <v>1472736.1534075821</v>
      </c>
      <c r="AD63" s="812">
        <f t="shared" si="9"/>
        <v>0.62926458438573774</v>
      </c>
      <c r="AE63" s="827">
        <f t="shared" si="46"/>
        <v>4181375.5668412126</v>
      </c>
      <c r="AF63" s="828">
        <f t="shared" si="47"/>
        <v>1813107.7355248218</v>
      </c>
      <c r="AG63" s="828">
        <f t="shared" si="48"/>
        <v>1437160.6416999607</v>
      </c>
      <c r="AH63" s="828">
        <f t="shared" si="49"/>
        <v>1061213.5478750996</v>
      </c>
      <c r="AI63" s="828">
        <f t="shared" si="50"/>
        <v>1011982.5087271776</v>
      </c>
      <c r="AJ63" s="828">
        <f t="shared" si="51"/>
        <v>962751.46957925544</v>
      </c>
      <c r="AK63" s="828">
        <f t="shared" si="52"/>
        <v>944746.08653156378</v>
      </c>
      <c r="AL63" s="829">
        <f t="shared" si="53"/>
        <v>926740.70348387223</v>
      </c>
    </row>
    <row r="64" spans="2:38" x14ac:dyDescent="0.25">
      <c r="C64" s="812" t="s">
        <v>689</v>
      </c>
      <c r="D64" s="811">
        <f>D63*1.5</f>
        <v>755397.14999999991</v>
      </c>
      <c r="E64" s="812" t="s">
        <v>1337</v>
      </c>
      <c r="R64" s="323" t="str">
        <f t="shared" si="45"/>
        <v>Large Rigid Truck</v>
      </c>
      <c r="S64" s="256" t="s">
        <v>827</v>
      </c>
      <c r="T64" s="808">
        <f t="shared" si="54"/>
        <v>1119088.6909686432</v>
      </c>
      <c r="U64" s="820">
        <f t="shared" si="34"/>
        <v>1001534.7266283444</v>
      </c>
      <c r="V64" s="827">
        <v>1562141.1336075412</v>
      </c>
      <c r="W64" s="828">
        <v>1591595.5728002738</v>
      </c>
      <c r="X64" s="828">
        <v>1602100.4306893663</v>
      </c>
      <c r="Y64" s="828">
        <v>1612605.2885784588</v>
      </c>
      <c r="Z64" s="828">
        <v>1624721.9307912919</v>
      </c>
      <c r="AA64" s="828">
        <v>1636838.5730041252</v>
      </c>
      <c r="AB64" s="828">
        <v>1650435.1852328968</v>
      </c>
      <c r="AC64" s="829">
        <v>1664031.7974616685</v>
      </c>
      <c r="AD64" s="812">
        <f t="shared" si="9"/>
        <v>0.62926458438573774</v>
      </c>
      <c r="AE64" s="827">
        <f t="shared" si="46"/>
        <v>983000.09119141463</v>
      </c>
      <c r="AF64" s="828">
        <f t="shared" si="47"/>
        <v>1001534.7266283445</v>
      </c>
      <c r="AG64" s="828">
        <f t="shared" si="48"/>
        <v>1008145.0616619556</v>
      </c>
      <c r="AH64" s="828">
        <f t="shared" si="49"/>
        <v>1014755.3966955666</v>
      </c>
      <c r="AI64" s="828">
        <f t="shared" si="50"/>
        <v>1022379.9705217757</v>
      </c>
      <c r="AJ64" s="828">
        <f t="shared" si="51"/>
        <v>1030004.5443479848</v>
      </c>
      <c r="AK64" s="828">
        <f t="shared" si="52"/>
        <v>1038560.4108911769</v>
      </c>
      <c r="AL64" s="829">
        <f t="shared" si="53"/>
        <v>1047116.277434369</v>
      </c>
    </row>
    <row r="65" spans="2:38" x14ac:dyDescent="0.25">
      <c r="C65" s="812" t="s">
        <v>691</v>
      </c>
      <c r="D65" s="811">
        <f>D63*1.33</f>
        <v>669785.473</v>
      </c>
      <c r="E65" s="812" t="s">
        <v>1326</v>
      </c>
      <c r="R65" s="323" t="str">
        <f t="shared" si="45"/>
        <v>Large Rigid Truck</v>
      </c>
      <c r="S65" s="256" t="s">
        <v>700</v>
      </c>
      <c r="T65" s="808">
        <f t="shared" si="54"/>
        <v>1068109.0458363181</v>
      </c>
      <c r="U65" s="820">
        <f t="shared" si="34"/>
        <v>955910.20610261254</v>
      </c>
      <c r="V65" s="827">
        <v>1486783.2282106197</v>
      </c>
      <c r="W65" s="828">
        <v>1519091.0625229813</v>
      </c>
      <c r="X65" s="828">
        <v>1527837.0652034522</v>
      </c>
      <c r="Y65" s="828">
        <v>1536583.0678839239</v>
      </c>
      <c r="Z65" s="828">
        <v>1548848.7797205006</v>
      </c>
      <c r="AA65" s="828">
        <v>1561114.491557077</v>
      </c>
      <c r="AB65" s="828">
        <v>1574767.0644580827</v>
      </c>
      <c r="AC65" s="829">
        <v>1588419.6373590883</v>
      </c>
      <c r="AD65" s="812">
        <f t="shared" si="9"/>
        <v>0.62926458438573774</v>
      </c>
      <c r="AE65" s="827">
        <f t="shared" si="46"/>
        <v>935580.03017164103</v>
      </c>
      <c r="AF65" s="828">
        <f t="shared" si="47"/>
        <v>955910.20610261254</v>
      </c>
      <c r="AG65" s="828">
        <f t="shared" si="48"/>
        <v>961413.7558443757</v>
      </c>
      <c r="AH65" s="828">
        <f t="shared" si="49"/>
        <v>966917.30558613921</v>
      </c>
      <c r="AI65" s="828">
        <f t="shared" si="50"/>
        <v>974635.68364717788</v>
      </c>
      <c r="AJ65" s="828">
        <f t="shared" si="51"/>
        <v>982354.06170821632</v>
      </c>
      <c r="AK65" s="828">
        <f t="shared" si="52"/>
        <v>990945.14232056367</v>
      </c>
      <c r="AL65" s="829">
        <f t="shared" si="53"/>
        <v>999536.2229329109</v>
      </c>
    </row>
    <row r="66" spans="2:38" x14ac:dyDescent="0.25">
      <c r="C66" s="812" t="s">
        <v>695</v>
      </c>
      <c r="D66" s="811">
        <f t="shared" ref="D66:D68" si="55">D64*1.33</f>
        <v>1004678.2094999999</v>
      </c>
      <c r="E66" s="812" t="s">
        <v>1326</v>
      </c>
      <c r="R66" s="323" t="str">
        <f t="shared" si="45"/>
        <v>Large Rigid Truck</v>
      </c>
      <c r="S66" s="323"/>
      <c r="U66" s="820">
        <f t="shared" si="34"/>
        <v>0</v>
      </c>
      <c r="V66" s="835"/>
      <c r="W66" s="823"/>
      <c r="X66" s="823"/>
      <c r="Y66" s="823"/>
      <c r="Z66" s="823"/>
      <c r="AA66" s="823"/>
      <c r="AB66" s="823"/>
      <c r="AC66" s="836"/>
      <c r="AD66" s="812" t="e">
        <f t="shared" si="9"/>
        <v>#DIV/0!</v>
      </c>
      <c r="AE66" s="835"/>
      <c r="AF66" s="823"/>
      <c r="AG66" s="823"/>
      <c r="AH66" s="823"/>
      <c r="AI66" s="823"/>
      <c r="AJ66" s="823"/>
      <c r="AK66" s="823"/>
      <c r="AL66" s="836"/>
    </row>
    <row r="67" spans="2:38" x14ac:dyDescent="0.25">
      <c r="C67" s="812" t="s">
        <v>839</v>
      </c>
      <c r="D67" s="811">
        <f t="shared" si="55"/>
        <v>890814.67908999999</v>
      </c>
      <c r="E67" s="812" t="s">
        <v>1339</v>
      </c>
      <c r="R67" s="323" t="str">
        <f t="shared" si="45"/>
        <v>Large Rigid Truck</v>
      </c>
      <c r="S67" s="439" t="s">
        <v>832</v>
      </c>
      <c r="U67" s="820">
        <f t="shared" ref="U67:U98" si="56">$D$24/$D$23*T67</f>
        <v>0</v>
      </c>
      <c r="V67" s="835"/>
      <c r="W67" s="823"/>
      <c r="X67" s="823"/>
      <c r="Y67" s="823"/>
      <c r="Z67" s="823"/>
      <c r="AA67" s="823"/>
      <c r="AB67" s="823"/>
      <c r="AC67" s="836"/>
      <c r="AD67" s="812" t="e">
        <f t="shared" ref="AD67:AD101" si="57">U67/W67</f>
        <v>#DIV/0!</v>
      </c>
      <c r="AE67" s="835"/>
      <c r="AF67" s="823"/>
      <c r="AG67" s="823"/>
      <c r="AH67" s="823"/>
      <c r="AI67" s="823"/>
      <c r="AJ67" s="823"/>
      <c r="AK67" s="823"/>
      <c r="AL67" s="836"/>
    </row>
    <row r="68" spans="2:38" x14ac:dyDescent="0.25">
      <c r="C68" s="812" t="s">
        <v>838</v>
      </c>
      <c r="D68" s="811">
        <f t="shared" si="55"/>
        <v>1336222.0186349999</v>
      </c>
      <c r="E68" s="812" t="s">
        <v>1339</v>
      </c>
      <c r="R68" s="323" t="str">
        <f>S68</f>
        <v>Articulated Truck</v>
      </c>
      <c r="S68" s="437" t="s">
        <v>747</v>
      </c>
      <c r="U68" s="820">
        <f t="shared" si="56"/>
        <v>0</v>
      </c>
      <c r="V68" s="833">
        <v>2010</v>
      </c>
      <c r="W68" s="821">
        <v>2020</v>
      </c>
      <c r="X68" s="821"/>
      <c r="Y68" s="821">
        <v>2030</v>
      </c>
      <c r="Z68" s="821"/>
      <c r="AA68" s="821">
        <v>2040</v>
      </c>
      <c r="AB68" s="821"/>
      <c r="AC68" s="834">
        <v>2050</v>
      </c>
      <c r="AD68" s="812">
        <f t="shared" si="57"/>
        <v>0</v>
      </c>
      <c r="AE68" s="833">
        <v>2010</v>
      </c>
      <c r="AF68" s="821">
        <v>2020</v>
      </c>
      <c r="AG68" s="821"/>
      <c r="AH68" s="821">
        <v>2030</v>
      </c>
      <c r="AI68" s="821"/>
      <c r="AJ68" s="821">
        <v>2040</v>
      </c>
      <c r="AK68" s="821"/>
      <c r="AL68" s="834">
        <v>2050</v>
      </c>
    </row>
    <row r="69" spans="2:38" x14ac:dyDescent="0.25">
      <c r="C69" s="812" t="s">
        <v>692</v>
      </c>
      <c r="D69" s="987">
        <v>917322.57</v>
      </c>
      <c r="E69" s="819" t="s">
        <v>1462</v>
      </c>
      <c r="R69" s="323" t="str">
        <f t="shared" ref="R69:R79" si="58">R68</f>
        <v>Articulated Truck</v>
      </c>
      <c r="S69" s="448" t="s">
        <v>1321</v>
      </c>
      <c r="U69" s="820">
        <f t="shared" si="56"/>
        <v>0</v>
      </c>
      <c r="V69" s="835" t="s">
        <v>1343</v>
      </c>
      <c r="W69" s="823" t="s">
        <v>1343</v>
      </c>
      <c r="X69" s="823"/>
      <c r="Y69" s="823" t="s">
        <v>1343</v>
      </c>
      <c r="Z69" s="823"/>
      <c r="AA69" s="823" t="s">
        <v>1343</v>
      </c>
      <c r="AB69" s="823"/>
      <c r="AC69" s="836" t="s">
        <v>1343</v>
      </c>
      <c r="AD69" s="812" t="e">
        <f t="shared" si="57"/>
        <v>#VALUE!</v>
      </c>
      <c r="AE69" s="835"/>
      <c r="AF69" s="823"/>
      <c r="AG69" s="823"/>
      <c r="AH69" s="823"/>
      <c r="AI69" s="823"/>
      <c r="AJ69" s="823"/>
      <c r="AK69" s="823"/>
      <c r="AL69" s="836"/>
    </row>
    <row r="70" spans="2:38" x14ac:dyDescent="0.25">
      <c r="C70" s="812" t="s">
        <v>699</v>
      </c>
      <c r="D70" s="811">
        <f>D68*1.5</f>
        <v>2004333.0279524997</v>
      </c>
      <c r="E70" s="812" t="s">
        <v>1329</v>
      </c>
      <c r="R70" s="323" t="str">
        <f t="shared" si="58"/>
        <v>Articulated Truck</v>
      </c>
      <c r="S70" s="411" t="s">
        <v>687</v>
      </c>
      <c r="T70" s="808">
        <f>D100</f>
        <v>1216181.6984270285</v>
      </c>
      <c r="U70" s="820">
        <f t="shared" si="56"/>
        <v>1088428.6604757041</v>
      </c>
      <c r="V70" s="827">
        <v>1394803.006015125</v>
      </c>
      <c r="W70" s="828">
        <v>1729683.6457722846</v>
      </c>
      <c r="X70" s="828">
        <v>1774391.33913615</v>
      </c>
      <c r="Y70" s="828">
        <v>1819099.0325000153</v>
      </c>
      <c r="Z70" s="828">
        <v>1853992.6191889104</v>
      </c>
      <c r="AA70" s="828">
        <v>1888886.2058778054</v>
      </c>
      <c r="AB70" s="828">
        <v>1910564.3362565318</v>
      </c>
      <c r="AC70" s="829">
        <v>1932242.4666352579</v>
      </c>
      <c r="AD70" s="812">
        <f t="shared" si="57"/>
        <v>0.62926458438573762</v>
      </c>
      <c r="AE70" s="827">
        <f t="shared" ref="AE70:AE77" si="59">V70*$AD70</f>
        <v>877700.13388008508</v>
      </c>
      <c r="AF70" s="828">
        <f t="shared" ref="AF70:AF77" si="60">W70*$AD70</f>
        <v>1088428.6604757041</v>
      </c>
      <c r="AG70" s="828">
        <f t="shared" ref="AG70:AG77" si="61">X70*$AD70</f>
        <v>1116561.6285591619</v>
      </c>
      <c r="AH70" s="828">
        <f t="shared" ref="AH70:AH77" si="62">Y70*$AD70</f>
        <v>1144694.5966426195</v>
      </c>
      <c r="AI70" s="828">
        <f t="shared" ref="AI70:AI77" si="63">Z70*$AD70</f>
        <v>1166651.8949681348</v>
      </c>
      <c r="AJ70" s="828">
        <f t="shared" ref="AJ70:AJ77" si="64">AA70*$AD70</f>
        <v>1188609.1932936499</v>
      </c>
      <c r="AK70" s="828">
        <f t="shared" ref="AK70:AK77" si="65">AB70*$AD70</f>
        <v>1202250.4729966791</v>
      </c>
      <c r="AL70" s="829">
        <f t="shared" ref="AL70:AL77" si="66">AC70*$AD70</f>
        <v>1215891.7526997081</v>
      </c>
    </row>
    <row r="71" spans="2:38" x14ac:dyDescent="0.25">
      <c r="C71" s="812" t="s">
        <v>837</v>
      </c>
      <c r="D71" s="811">
        <f>D70*1.1</f>
        <v>2204766.3307477497</v>
      </c>
      <c r="E71" s="812" t="s">
        <v>1330</v>
      </c>
      <c r="R71" s="323" t="str">
        <f t="shared" si="58"/>
        <v>Articulated Truck</v>
      </c>
      <c r="S71" s="411" t="s">
        <v>829</v>
      </c>
      <c r="T71" s="808">
        <f t="shared" ref="T71:T101" si="67">D101</f>
        <v>1322791.9668064027</v>
      </c>
      <c r="U71" s="820">
        <f t="shared" si="56"/>
        <v>1183840.1205849929</v>
      </c>
      <c r="V71" s="827">
        <v>1623656.3943534463</v>
      </c>
      <c r="W71" s="828">
        <v>1881307.4022600672</v>
      </c>
      <c r="X71" s="828">
        <v>1896865.6479296605</v>
      </c>
      <c r="Y71" s="828">
        <v>1912423.8935992543</v>
      </c>
      <c r="Z71" s="828">
        <v>1933172.1213173277</v>
      </c>
      <c r="AA71" s="828">
        <v>1953920.3490354014</v>
      </c>
      <c r="AB71" s="828">
        <v>1966451.5529619923</v>
      </c>
      <c r="AC71" s="829">
        <v>1978982.7568885833</v>
      </c>
      <c r="AD71" s="812">
        <f t="shared" si="57"/>
        <v>0.62926458438573762</v>
      </c>
      <c r="AE71" s="827">
        <f t="shared" si="59"/>
        <v>1021709.4661780667</v>
      </c>
      <c r="AF71" s="828">
        <f t="shared" si="60"/>
        <v>1183840.1205849929</v>
      </c>
      <c r="AG71" s="828">
        <f t="shared" si="61"/>
        <v>1193630.3735800406</v>
      </c>
      <c r="AH71" s="828">
        <f t="shared" si="62"/>
        <v>1203420.6265750888</v>
      </c>
      <c r="AI71" s="828">
        <f t="shared" si="63"/>
        <v>1216476.7514668431</v>
      </c>
      <c r="AJ71" s="828">
        <f t="shared" si="64"/>
        <v>1229532.8763585973</v>
      </c>
      <c r="AK71" s="828">
        <f t="shared" si="65"/>
        <v>1237418.3191893164</v>
      </c>
      <c r="AL71" s="829">
        <f t="shared" si="66"/>
        <v>1245303.7620200356</v>
      </c>
    </row>
    <row r="72" spans="2:38" x14ac:dyDescent="0.25">
      <c r="C72" s="812" t="s">
        <v>836</v>
      </c>
      <c r="D72" s="811">
        <f>D70*0.8</f>
        <v>1603466.4223619998</v>
      </c>
      <c r="E72" s="812" t="s">
        <v>1331</v>
      </c>
      <c r="R72" s="323" t="str">
        <f t="shared" si="58"/>
        <v>Articulated Truck</v>
      </c>
      <c r="S72" s="411" t="s">
        <v>828</v>
      </c>
      <c r="T72" s="808">
        <f t="shared" si="67"/>
        <v>1287348.220695562</v>
      </c>
      <c r="U72" s="820">
        <f t="shared" si="56"/>
        <v>1152119.5403858675</v>
      </c>
      <c r="V72" s="827">
        <v>1644345.102691914</v>
      </c>
      <c r="W72" s="828">
        <v>1830898.431238617</v>
      </c>
      <c r="X72" s="828">
        <v>1857526.1820196833</v>
      </c>
      <c r="Y72" s="828">
        <v>1884153.93280075</v>
      </c>
      <c r="Z72" s="828">
        <v>1913327.2564421173</v>
      </c>
      <c r="AA72" s="828">
        <v>1942500.5800834852</v>
      </c>
      <c r="AB72" s="828">
        <v>1956760.1309602302</v>
      </c>
      <c r="AC72" s="829">
        <v>1971019.681836975</v>
      </c>
      <c r="AD72" s="812">
        <f t="shared" si="57"/>
        <v>0.62926458438573762</v>
      </c>
      <c r="AE72" s="827">
        <f t="shared" si="59"/>
        <v>1034728.1376321503</v>
      </c>
      <c r="AF72" s="828">
        <f t="shared" si="60"/>
        <v>1152119.5403858675</v>
      </c>
      <c r="AG72" s="828">
        <f t="shared" si="61"/>
        <v>1168875.4409142421</v>
      </c>
      <c r="AH72" s="828">
        <f t="shared" si="62"/>
        <v>1185631.3414426169</v>
      </c>
      <c r="AI72" s="828">
        <f t="shared" si="63"/>
        <v>1203989.0808189525</v>
      </c>
      <c r="AJ72" s="828">
        <f t="shared" si="64"/>
        <v>1222346.8201952886</v>
      </c>
      <c r="AK72" s="828">
        <f t="shared" si="65"/>
        <v>1231319.8505512709</v>
      </c>
      <c r="AL72" s="829">
        <f t="shared" si="66"/>
        <v>1240292.8809072529</v>
      </c>
    </row>
    <row r="73" spans="2:38" x14ac:dyDescent="0.25">
      <c r="C73" s="812" t="s">
        <v>524</v>
      </c>
      <c r="D73" s="811">
        <f>1.1*D62</f>
        <v>609669.0457482104</v>
      </c>
      <c r="E73" s="812" t="s">
        <v>1338</v>
      </c>
      <c r="R73" s="323" t="str">
        <f t="shared" si="58"/>
        <v>Articulated Truck</v>
      </c>
      <c r="S73" s="411" t="s">
        <v>689</v>
      </c>
      <c r="T73" s="808">
        <f t="shared" si="67"/>
        <v>1333519.7126356247</v>
      </c>
      <c r="U73" s="820">
        <f t="shared" si="56"/>
        <v>1193440.9771329297</v>
      </c>
      <c r="V73" s="827">
        <v>1783475.1840649548</v>
      </c>
      <c r="W73" s="828">
        <v>1896564.6673059126</v>
      </c>
      <c r="X73" s="828">
        <v>1902507.9210785097</v>
      </c>
      <c r="Y73" s="828">
        <v>1908451.1748511069</v>
      </c>
      <c r="Z73" s="828">
        <v>1922319.7681714082</v>
      </c>
      <c r="AA73" s="828">
        <v>1936188.3614917099</v>
      </c>
      <c r="AB73" s="828">
        <v>1947352.6226984155</v>
      </c>
      <c r="AC73" s="829">
        <v>1958516.8839051214</v>
      </c>
      <c r="AD73" s="812">
        <f t="shared" si="57"/>
        <v>0.62926458438573751</v>
      </c>
      <c r="AE73" s="827">
        <f t="shared" si="59"/>
        <v>1122277.7704629104</v>
      </c>
      <c r="AF73" s="828">
        <f t="shared" si="60"/>
        <v>1193440.9771329297</v>
      </c>
      <c r="AG73" s="828">
        <f t="shared" si="61"/>
        <v>1197180.8562480418</v>
      </c>
      <c r="AH73" s="828">
        <f t="shared" si="62"/>
        <v>1200920.7353631542</v>
      </c>
      <c r="AI73" s="828">
        <f t="shared" si="63"/>
        <v>1209647.7499748685</v>
      </c>
      <c r="AJ73" s="828">
        <f t="shared" si="64"/>
        <v>1218374.764586583</v>
      </c>
      <c r="AK73" s="828">
        <f t="shared" si="65"/>
        <v>1225400.0387747944</v>
      </c>
      <c r="AL73" s="829">
        <f t="shared" si="66"/>
        <v>1232425.3129630059</v>
      </c>
    </row>
    <row r="74" spans="2:38" x14ac:dyDescent="0.25">
      <c r="R74" s="323" t="str">
        <f t="shared" si="58"/>
        <v>Articulated Truck</v>
      </c>
      <c r="S74" s="411" t="s">
        <v>692</v>
      </c>
      <c r="T74" s="808">
        <f t="shared" si="67"/>
        <v>5507506.8887548558</v>
      </c>
      <c r="U74" s="820">
        <f t="shared" si="56"/>
        <v>4928974.3080670405</v>
      </c>
      <c r="V74" s="937">
        <f>$V$98/$W$98*W74</f>
        <v>6464323.715992094</v>
      </c>
      <c r="W74" s="841">
        <f>U74</f>
        <v>4928974.3080670405</v>
      </c>
      <c r="X74" s="841">
        <f>0.7*W74</f>
        <v>3450282.015646928</v>
      </c>
      <c r="Y74" s="841">
        <f>(X74-Z74)/2+Z74</f>
        <v>2957384.5848402241</v>
      </c>
      <c r="Z74" s="841">
        <f>0.5*W74</f>
        <v>2464487.1540335203</v>
      </c>
      <c r="AA74" s="841">
        <f>2*(Z74-AC74)/3+AC74</f>
        <v>2300188.0104312855</v>
      </c>
      <c r="AB74" s="841">
        <f>(Z74-AC74)/3+AC74</f>
        <v>2135888.8668290512</v>
      </c>
      <c r="AC74" s="842">
        <f>0.4*W74</f>
        <v>1971589.7232268164</v>
      </c>
      <c r="AD74" s="812">
        <v>1</v>
      </c>
      <c r="AE74" s="827">
        <f t="shared" si="59"/>
        <v>6464323.715992094</v>
      </c>
      <c r="AF74" s="828">
        <f t="shared" si="60"/>
        <v>4928974.3080670405</v>
      </c>
      <c r="AG74" s="828">
        <f t="shared" si="61"/>
        <v>3450282.015646928</v>
      </c>
      <c r="AH74" s="828">
        <f t="shared" si="62"/>
        <v>2957384.5848402241</v>
      </c>
      <c r="AI74" s="828">
        <f t="shared" si="63"/>
        <v>2464487.1540335203</v>
      </c>
      <c r="AJ74" s="828">
        <f t="shared" si="64"/>
        <v>2300188.0104312855</v>
      </c>
      <c r="AK74" s="828">
        <f t="shared" si="65"/>
        <v>2135888.8668290512</v>
      </c>
      <c r="AL74" s="829">
        <f t="shared" si="66"/>
        <v>1971589.7232268164</v>
      </c>
    </row>
    <row r="75" spans="2:38" x14ac:dyDescent="0.25">
      <c r="G75" s="812" t="s">
        <v>1344</v>
      </c>
      <c r="R75" s="323" t="str">
        <f t="shared" si="58"/>
        <v>Articulated Truck</v>
      </c>
      <c r="S75" s="411" t="s">
        <v>699</v>
      </c>
      <c r="T75" s="808">
        <f t="shared" si="67"/>
        <v>2753753.4443774279</v>
      </c>
      <c r="U75" s="820">
        <f t="shared" si="56"/>
        <v>2464487.1540335203</v>
      </c>
      <c r="V75" s="827">
        <v>9333066.2203088477</v>
      </c>
      <c r="W75" s="828">
        <v>3916456.1540345564</v>
      </c>
      <c r="X75" s="828">
        <v>3067405.1292542205</v>
      </c>
      <c r="Y75" s="828">
        <v>2218354.1044738842</v>
      </c>
      <c r="Z75" s="828">
        <v>2106680.0881784153</v>
      </c>
      <c r="AA75" s="828">
        <v>1995006.0718829464</v>
      </c>
      <c r="AB75" s="828">
        <v>1956907.2936069358</v>
      </c>
      <c r="AC75" s="829">
        <v>1918808.5153309256</v>
      </c>
      <c r="AD75" s="812">
        <f t="shared" si="57"/>
        <v>0.62926458438573785</v>
      </c>
      <c r="AE75" s="827">
        <f t="shared" si="59"/>
        <v>5872968.0361672165</v>
      </c>
      <c r="AF75" s="828">
        <f t="shared" si="60"/>
        <v>2464487.1540335203</v>
      </c>
      <c r="AG75" s="828">
        <f t="shared" si="61"/>
        <v>1930209.4138028375</v>
      </c>
      <c r="AH75" s="828">
        <f t="shared" si="62"/>
        <v>1395931.6735721545</v>
      </c>
      <c r="AI75" s="828">
        <f t="shared" si="63"/>
        <v>1325659.1701213</v>
      </c>
      <c r="AJ75" s="828">
        <f t="shared" si="64"/>
        <v>1255386.6666704458</v>
      </c>
      <c r="AK75" s="828">
        <f t="shared" si="65"/>
        <v>1231412.4547929876</v>
      </c>
      <c r="AL75" s="829">
        <f t="shared" si="66"/>
        <v>1207438.2429155295</v>
      </c>
    </row>
    <row r="76" spans="2:38" x14ac:dyDescent="0.25">
      <c r="B76" s="812" t="s">
        <v>1340</v>
      </c>
      <c r="G76" s="805" t="s">
        <v>1343</v>
      </c>
      <c r="R76" s="323" t="str">
        <f t="shared" si="58"/>
        <v>Articulated Truck</v>
      </c>
      <c r="S76" s="411" t="s">
        <v>827</v>
      </c>
      <c r="T76" s="808">
        <f t="shared" si="67"/>
        <v>1482419.4946631414</v>
      </c>
      <c r="U76" s="820">
        <f t="shared" si="56"/>
        <v>1326699.6756538388</v>
      </c>
      <c r="V76" s="827">
        <v>2046079.6933285356</v>
      </c>
      <c r="W76" s="828">
        <v>2108333.6144666532</v>
      </c>
      <c r="X76" s="828">
        <v>2105849.3538714363</v>
      </c>
      <c r="Y76" s="828">
        <v>2103365.0932762185</v>
      </c>
      <c r="Z76" s="828">
        <v>2118312.1801417214</v>
      </c>
      <c r="AA76" s="828">
        <v>2133259.2670072243</v>
      </c>
      <c r="AB76" s="828">
        <v>2142083.1737169772</v>
      </c>
      <c r="AC76" s="829">
        <v>2150907.0804267302</v>
      </c>
      <c r="AD76" s="812">
        <f t="shared" si="57"/>
        <v>0.62926458438573774</v>
      </c>
      <c r="AE76" s="827">
        <f t="shared" si="59"/>
        <v>1287525.4878424788</v>
      </c>
      <c r="AF76" s="828">
        <f t="shared" si="60"/>
        <v>1326699.6756538388</v>
      </c>
      <c r="AG76" s="828">
        <f t="shared" si="61"/>
        <v>1325136.4184428838</v>
      </c>
      <c r="AH76" s="828">
        <f t="shared" si="62"/>
        <v>1323573.161231928</v>
      </c>
      <c r="AI76" s="828">
        <f t="shared" si="63"/>
        <v>1332978.8336361262</v>
      </c>
      <c r="AJ76" s="828">
        <f t="shared" si="64"/>
        <v>1342384.5060403245</v>
      </c>
      <c r="AK76" s="828">
        <f t="shared" si="65"/>
        <v>1347937.0780286957</v>
      </c>
      <c r="AL76" s="829">
        <f t="shared" si="66"/>
        <v>1353489.6500170669</v>
      </c>
    </row>
    <row r="77" spans="2:38" x14ac:dyDescent="0.25">
      <c r="B77" s="805" t="s">
        <v>725</v>
      </c>
      <c r="C77" s="805" t="s">
        <v>687</v>
      </c>
      <c r="D77" s="811">
        <f>557460*D23/D22</f>
        <v>532705.49567836581</v>
      </c>
      <c r="E77" s="812" t="s">
        <v>1341</v>
      </c>
      <c r="G77" s="805">
        <v>800945.7513197927</v>
      </c>
      <c r="R77" s="323" t="str">
        <f t="shared" si="58"/>
        <v>Articulated Truck</v>
      </c>
      <c r="S77" s="411" t="s">
        <v>700</v>
      </c>
      <c r="T77" s="808">
        <f t="shared" si="67"/>
        <v>1410435.1085540957</v>
      </c>
      <c r="U77" s="820">
        <f t="shared" si="56"/>
        <v>1262276.8438934449</v>
      </c>
      <c r="V77" s="827">
        <v>1933800.165050887</v>
      </c>
      <c r="W77" s="828">
        <v>2005955.6428487513</v>
      </c>
      <c r="X77" s="828">
        <v>2000166.9362324402</v>
      </c>
      <c r="Y77" s="828">
        <v>1994378.2296161293</v>
      </c>
      <c r="Z77" s="828">
        <v>2009358.1927547844</v>
      </c>
      <c r="AA77" s="828">
        <v>2024338.1558934394</v>
      </c>
      <c r="AB77" s="828">
        <v>2033149.3307904822</v>
      </c>
      <c r="AC77" s="829">
        <v>2041960.5056875255</v>
      </c>
      <c r="AD77" s="812">
        <f t="shared" si="57"/>
        <v>0.62926458438573774</v>
      </c>
      <c r="AE77" s="827">
        <f t="shared" si="59"/>
        <v>1216871.9571458176</v>
      </c>
      <c r="AF77" s="828">
        <f t="shared" si="60"/>
        <v>1262276.8438934449</v>
      </c>
      <c r="AG77" s="828">
        <f t="shared" si="61"/>
        <v>1258634.2158304008</v>
      </c>
      <c r="AH77" s="828">
        <f t="shared" si="62"/>
        <v>1254991.587767357</v>
      </c>
      <c r="AI77" s="828">
        <f t="shared" si="63"/>
        <v>1264417.9480459164</v>
      </c>
      <c r="AJ77" s="828">
        <f t="shared" si="64"/>
        <v>1273844.308324476</v>
      </c>
      <c r="AK77" s="828">
        <f t="shared" si="65"/>
        <v>1279388.8686340137</v>
      </c>
      <c r="AL77" s="829">
        <f t="shared" si="66"/>
        <v>1284933.4289435516</v>
      </c>
    </row>
    <row r="78" spans="2:38" x14ac:dyDescent="0.25">
      <c r="B78" s="805" t="s">
        <v>725</v>
      </c>
      <c r="C78" s="805" t="s">
        <v>680</v>
      </c>
      <c r="D78" s="811">
        <f>G78/G$77*D$77</f>
        <v>419711.61032295082</v>
      </c>
      <c r="E78" s="812" t="s">
        <v>1342</v>
      </c>
      <c r="G78" s="805">
        <v>631054.55790289911</v>
      </c>
      <c r="R78" s="323" t="str">
        <f t="shared" si="58"/>
        <v>Articulated Truck</v>
      </c>
      <c r="S78" s="323"/>
      <c r="T78" s="808"/>
      <c r="U78" s="820">
        <f t="shared" si="56"/>
        <v>0</v>
      </c>
      <c r="V78" s="835"/>
      <c r="W78" s="823"/>
      <c r="X78" s="823"/>
      <c r="Y78" s="823"/>
      <c r="Z78" s="823"/>
      <c r="AA78" s="823"/>
      <c r="AB78" s="823"/>
      <c r="AC78" s="836"/>
      <c r="AD78" s="812" t="e">
        <f t="shared" si="57"/>
        <v>#DIV/0!</v>
      </c>
      <c r="AE78" s="835"/>
      <c r="AF78" s="823"/>
      <c r="AG78" s="823"/>
      <c r="AH78" s="823"/>
      <c r="AI78" s="823"/>
      <c r="AJ78" s="823"/>
      <c r="AK78" s="823"/>
      <c r="AL78" s="836"/>
    </row>
    <row r="79" spans="2:38" x14ac:dyDescent="0.25">
      <c r="B79" s="805" t="s">
        <v>725</v>
      </c>
      <c r="C79" s="805" t="s">
        <v>829</v>
      </c>
      <c r="D79" s="811">
        <f t="shared" ref="D79:D85" si="68">G79/G$77*D$77</f>
        <v>602234.27550437453</v>
      </c>
      <c r="E79" s="812" t="s">
        <v>1342</v>
      </c>
      <c r="G79" s="805">
        <v>905485.27878454118</v>
      </c>
      <c r="R79" s="323" t="str">
        <f t="shared" si="58"/>
        <v>Articulated Truck</v>
      </c>
      <c r="S79" s="399" t="s">
        <v>832</v>
      </c>
      <c r="T79" s="808"/>
      <c r="U79" s="820">
        <f t="shared" si="56"/>
        <v>0</v>
      </c>
      <c r="V79" s="835"/>
      <c r="W79" s="823"/>
      <c r="X79" s="823"/>
      <c r="Y79" s="823"/>
      <c r="Z79" s="823"/>
      <c r="AA79" s="823"/>
      <c r="AB79" s="823"/>
      <c r="AC79" s="836"/>
      <c r="AD79" s="812" t="e">
        <f t="shared" si="57"/>
        <v>#DIV/0!</v>
      </c>
      <c r="AE79" s="835"/>
      <c r="AF79" s="823"/>
      <c r="AG79" s="823"/>
      <c r="AH79" s="823"/>
      <c r="AI79" s="823"/>
      <c r="AJ79" s="823"/>
      <c r="AK79" s="823"/>
      <c r="AL79" s="836"/>
    </row>
    <row r="80" spans="2:38" x14ac:dyDescent="0.25">
      <c r="B80" s="805" t="s">
        <v>725</v>
      </c>
      <c r="C80" s="805" t="s">
        <v>828</v>
      </c>
      <c r="D80" s="811">
        <f t="shared" si="68"/>
        <v>577206.97880158271</v>
      </c>
      <c r="E80" s="812" t="s">
        <v>1342</v>
      </c>
      <c r="G80" s="805">
        <v>867855.65580572386</v>
      </c>
      <c r="R80" s="323" t="str">
        <f>S80</f>
        <v>Construction Truck</v>
      </c>
      <c r="S80" s="398" t="s">
        <v>733</v>
      </c>
      <c r="T80" s="808"/>
      <c r="U80" s="820">
        <f t="shared" si="56"/>
        <v>0</v>
      </c>
      <c r="V80" s="833">
        <v>2010</v>
      </c>
      <c r="W80" s="821">
        <v>2020</v>
      </c>
      <c r="X80" s="821"/>
      <c r="Y80" s="821">
        <v>2030</v>
      </c>
      <c r="Z80" s="821"/>
      <c r="AA80" s="821">
        <v>2040</v>
      </c>
      <c r="AB80" s="821"/>
      <c r="AC80" s="834">
        <v>2050</v>
      </c>
      <c r="AD80" s="812">
        <f t="shared" si="57"/>
        <v>0</v>
      </c>
      <c r="AE80" s="833">
        <v>2010</v>
      </c>
      <c r="AF80" s="821">
        <v>2020</v>
      </c>
      <c r="AG80" s="821"/>
      <c r="AH80" s="821">
        <v>2030</v>
      </c>
      <c r="AI80" s="821"/>
      <c r="AJ80" s="821">
        <v>2040</v>
      </c>
      <c r="AK80" s="821"/>
      <c r="AL80" s="834">
        <v>2050</v>
      </c>
    </row>
    <row r="81" spans="2:38" x14ac:dyDescent="0.25">
      <c r="B81" s="805" t="s">
        <v>725</v>
      </c>
      <c r="C81" s="805" t="s">
        <v>689</v>
      </c>
      <c r="D81" s="811">
        <f t="shared" si="68"/>
        <v>588860.82393509196</v>
      </c>
      <c r="E81" s="812" t="s">
        <v>1342</v>
      </c>
      <c r="G81" s="805">
        <v>885377.7159720764</v>
      </c>
      <c r="R81" s="323" t="str">
        <f t="shared" ref="R81:R91" si="69">R80</f>
        <v>Construction Truck</v>
      </c>
      <c r="S81" s="448" t="s">
        <v>1321</v>
      </c>
      <c r="T81" s="808"/>
      <c r="U81" s="820">
        <f t="shared" si="56"/>
        <v>0</v>
      </c>
      <c r="V81" s="835" t="s">
        <v>1343</v>
      </c>
      <c r="W81" s="823" t="s">
        <v>1343</v>
      </c>
      <c r="X81" s="823"/>
      <c r="Y81" s="823" t="s">
        <v>1343</v>
      </c>
      <c r="Z81" s="823"/>
      <c r="AA81" s="823" t="s">
        <v>1343</v>
      </c>
      <c r="AB81" s="823"/>
      <c r="AC81" s="836" t="s">
        <v>1343</v>
      </c>
      <c r="AD81" s="812" t="e">
        <f t="shared" si="57"/>
        <v>#VALUE!</v>
      </c>
      <c r="AE81" s="835"/>
      <c r="AF81" s="823"/>
      <c r="AG81" s="823"/>
      <c r="AH81" s="823"/>
      <c r="AI81" s="823"/>
      <c r="AJ81" s="823"/>
      <c r="AK81" s="823"/>
      <c r="AL81" s="836"/>
    </row>
    <row r="82" spans="2:38" x14ac:dyDescent="0.25">
      <c r="B82" s="805" t="s">
        <v>725</v>
      </c>
      <c r="C82" s="805" t="s">
        <v>692</v>
      </c>
      <c r="D82" s="811">
        <f t="shared" si="68"/>
        <v>973840.98304700491</v>
      </c>
      <c r="E82" s="812" t="s">
        <v>1342</v>
      </c>
      <c r="G82" s="805">
        <v>1464212.0349055484</v>
      </c>
      <c r="R82" s="323" t="str">
        <f t="shared" si="69"/>
        <v>Construction Truck</v>
      </c>
      <c r="S82" s="373" t="s">
        <v>687</v>
      </c>
      <c r="T82" s="808">
        <f t="shared" si="67"/>
        <v>972850.2909553966</v>
      </c>
      <c r="U82" s="820">
        <f t="shared" si="56"/>
        <v>870657.84692986368</v>
      </c>
      <c r="V82" s="827">
        <v>1137344.8503307651</v>
      </c>
      <c r="W82" s="828">
        <v>1383611.7088645061</v>
      </c>
      <c r="X82" s="828">
        <v>1421742.7272348688</v>
      </c>
      <c r="Y82" s="828">
        <v>1459873.7456052315</v>
      </c>
      <c r="Z82" s="828">
        <v>1490827.5195919413</v>
      </c>
      <c r="AA82" s="828">
        <v>1521781.2935786508</v>
      </c>
      <c r="AB82" s="828">
        <v>1550292.485324691</v>
      </c>
      <c r="AC82" s="829">
        <v>1578803.6770707315</v>
      </c>
      <c r="AD82" s="812">
        <f t="shared" si="57"/>
        <v>0.62926458438573762</v>
      </c>
      <c r="AE82" s="827">
        <f t="shared" ref="AE82:AE89" si="70">V82*$AD82</f>
        <v>715690.83454664785</v>
      </c>
      <c r="AF82" s="828">
        <f t="shared" ref="AF82:AF89" si="71">W82*$AD82</f>
        <v>870657.84692986368</v>
      </c>
      <c r="AG82" s="828">
        <f t="shared" ref="AG82:AG89" si="72">X82*$AD82</f>
        <v>894652.34635689482</v>
      </c>
      <c r="AH82" s="828">
        <f t="shared" ref="AH82:AH89" si="73">Y82*$AD82</f>
        <v>918646.84578392608</v>
      </c>
      <c r="AI82" s="828">
        <f t="shared" ref="AI82:AI89" si="74">Z82*$AD82</f>
        <v>938124.95950684301</v>
      </c>
      <c r="AJ82" s="828">
        <f t="shared" ref="AJ82:AJ89" si="75">AA82*$AD82</f>
        <v>957603.07322975982</v>
      </c>
      <c r="AK82" s="828">
        <f t="shared" ref="AK82:AK89" si="76">AB82*$AD82</f>
        <v>975544.15645417396</v>
      </c>
      <c r="AL82" s="829">
        <f t="shared" ref="AL82:AL89" si="77">AC82*$AD82</f>
        <v>993485.23967858823</v>
      </c>
    </row>
    <row r="83" spans="2:38" x14ac:dyDescent="0.25">
      <c r="B83" s="805" t="s">
        <v>725</v>
      </c>
      <c r="C83" s="805" t="s">
        <v>699</v>
      </c>
      <c r="D83" s="811">
        <f t="shared" si="68"/>
        <v>1207861.8331814809</v>
      </c>
      <c r="E83" s="812" t="s">
        <v>1342</v>
      </c>
      <c r="G83" s="805">
        <v>1816072.504069217</v>
      </c>
      <c r="R83" s="323" t="str">
        <f t="shared" si="69"/>
        <v>Construction Truck</v>
      </c>
      <c r="S83" s="373" t="s">
        <v>829</v>
      </c>
      <c r="T83" s="808">
        <f t="shared" si="67"/>
        <v>1093100.2877930063</v>
      </c>
      <c r="U83" s="820">
        <f t="shared" si="56"/>
        <v>978276.25884105091</v>
      </c>
      <c r="V83" s="827">
        <v>1346309.0076455197</v>
      </c>
      <c r="W83" s="828">
        <v>1554634.2240061136</v>
      </c>
      <c r="X83" s="828">
        <v>1564774.0762279797</v>
      </c>
      <c r="Y83" s="828">
        <v>1574913.9284498463</v>
      </c>
      <c r="Z83" s="828">
        <v>1591873.0744862277</v>
      </c>
      <c r="AA83" s="828">
        <v>1608832.2205226088</v>
      </c>
      <c r="AB83" s="828">
        <v>1628335.4060461875</v>
      </c>
      <c r="AC83" s="829">
        <v>1647838.5915697664</v>
      </c>
      <c r="AD83" s="812">
        <f t="shared" si="57"/>
        <v>0.62926458438573774</v>
      </c>
      <c r="AE83" s="827">
        <f t="shared" si="70"/>
        <v>847184.57815083291</v>
      </c>
      <c r="AF83" s="828">
        <f t="shared" si="71"/>
        <v>978276.25884105102</v>
      </c>
      <c r="AG83" s="828">
        <f t="shared" si="72"/>
        <v>984656.90873517632</v>
      </c>
      <c r="AH83" s="828">
        <f t="shared" si="73"/>
        <v>991037.55862930208</v>
      </c>
      <c r="AI83" s="828">
        <f t="shared" si="74"/>
        <v>1001709.3486114226</v>
      </c>
      <c r="AJ83" s="828">
        <f t="shared" si="75"/>
        <v>1012381.138593543</v>
      </c>
      <c r="AK83" s="828">
        <f t="shared" si="76"/>
        <v>1024653.8025262357</v>
      </c>
      <c r="AL83" s="829">
        <f t="shared" si="77"/>
        <v>1036926.4664589285</v>
      </c>
    </row>
    <row r="84" spans="2:38" x14ac:dyDescent="0.25">
      <c r="B84" s="805" t="s">
        <v>725</v>
      </c>
      <c r="C84" s="805" t="s">
        <v>827</v>
      </c>
      <c r="D84" s="811">
        <f t="shared" si="68"/>
        <v>686288.23487864051</v>
      </c>
      <c r="E84" s="812" t="s">
        <v>1342</v>
      </c>
      <c r="G84" s="805">
        <v>1031864.0418883342</v>
      </c>
      <c r="R84" s="323" t="str">
        <f t="shared" si="69"/>
        <v>Construction Truck</v>
      </c>
      <c r="S84" s="373" t="s">
        <v>828</v>
      </c>
      <c r="T84" s="808">
        <f t="shared" si="67"/>
        <v>1048540.3923058893</v>
      </c>
      <c r="U84" s="820">
        <f t="shared" si="56"/>
        <v>938397.12941597495</v>
      </c>
      <c r="V84" s="827">
        <v>1342249.3600168284</v>
      </c>
      <c r="W84" s="828">
        <v>1491260.0402134496</v>
      </c>
      <c r="X84" s="828">
        <v>1513798.9961644816</v>
      </c>
      <c r="Y84" s="828">
        <v>1536337.9521155139</v>
      </c>
      <c r="Z84" s="828">
        <v>1582717.2948413345</v>
      </c>
      <c r="AA84" s="828">
        <v>1629096.6375671551</v>
      </c>
      <c r="AB84" s="828">
        <v>1680935.4116440627</v>
      </c>
      <c r="AC84" s="829">
        <v>1732774.1857209706</v>
      </c>
      <c r="AD84" s="812">
        <f t="shared" si="57"/>
        <v>0.62926458438573774</v>
      </c>
      <c r="AE84" s="827">
        <f t="shared" si="70"/>
        <v>844629.98567301198</v>
      </c>
      <c r="AF84" s="828">
        <f t="shared" si="71"/>
        <v>938397.12941597495</v>
      </c>
      <c r="AG84" s="828">
        <f t="shared" si="72"/>
        <v>952580.09616498952</v>
      </c>
      <c r="AH84" s="828">
        <f t="shared" si="73"/>
        <v>966763.06291400432</v>
      </c>
      <c r="AI84" s="828">
        <f t="shared" si="74"/>
        <v>995947.94073845143</v>
      </c>
      <c r="AJ84" s="828">
        <f t="shared" si="75"/>
        <v>1025132.8185628987</v>
      </c>
      <c r="AK84" s="828">
        <f t="shared" si="76"/>
        <v>1057753.12318747</v>
      </c>
      <c r="AL84" s="829">
        <f t="shared" si="77"/>
        <v>1090373.4278120417</v>
      </c>
    </row>
    <row r="85" spans="2:38" x14ac:dyDescent="0.25">
      <c r="B85" s="805" t="s">
        <v>725</v>
      </c>
      <c r="C85" s="805" t="s">
        <v>700</v>
      </c>
      <c r="D85" s="811">
        <f t="shared" si="68"/>
        <v>658123.00333679223</v>
      </c>
      <c r="E85" s="812" t="s">
        <v>1342</v>
      </c>
      <c r="G85" s="805">
        <v>989516.39816888212</v>
      </c>
      <c r="R85" s="323" t="str">
        <f t="shared" si="69"/>
        <v>Construction Truck</v>
      </c>
      <c r="S85" s="373" t="s">
        <v>689</v>
      </c>
      <c r="T85" s="808">
        <f t="shared" si="67"/>
        <v>1056447.3374457387</v>
      </c>
      <c r="U85" s="820">
        <f t="shared" si="56"/>
        <v>945473.49450036336</v>
      </c>
      <c r="V85" s="827">
        <v>1413868.2874237234</v>
      </c>
      <c r="W85" s="828">
        <v>1502505.4928576599</v>
      </c>
      <c r="X85" s="828">
        <v>1511523.7795690347</v>
      </c>
      <c r="Y85" s="828">
        <v>1520542.066280409</v>
      </c>
      <c r="Z85" s="828">
        <v>1555267.1003705533</v>
      </c>
      <c r="AA85" s="828">
        <v>1589992.1344606976</v>
      </c>
      <c r="AB85" s="828">
        <v>1635802.1933410501</v>
      </c>
      <c r="AC85" s="829">
        <v>1681612.2522214027</v>
      </c>
      <c r="AD85" s="812">
        <f t="shared" si="57"/>
        <v>0.62926458438573774</v>
      </c>
      <c r="AE85" s="827">
        <f t="shared" si="70"/>
        <v>889697.24026186403</v>
      </c>
      <c r="AF85" s="828">
        <f t="shared" si="71"/>
        <v>945473.49450036336</v>
      </c>
      <c r="AG85" s="828">
        <f t="shared" si="72"/>
        <v>951148.38293966802</v>
      </c>
      <c r="AH85" s="828">
        <f t="shared" si="73"/>
        <v>956823.27137897245</v>
      </c>
      <c r="AI85" s="828">
        <f t="shared" si="74"/>
        <v>978674.50552348769</v>
      </c>
      <c r="AJ85" s="828">
        <f t="shared" si="75"/>
        <v>1000525.7396680029</v>
      </c>
      <c r="AK85" s="828">
        <f t="shared" si="76"/>
        <v>1029352.387330034</v>
      </c>
      <c r="AL85" s="829">
        <f t="shared" si="77"/>
        <v>1058179.0349920653</v>
      </c>
    </row>
    <row r="86" spans="2:38" x14ac:dyDescent="0.25">
      <c r="R86" s="323" t="str">
        <f t="shared" si="69"/>
        <v>Construction Truck</v>
      </c>
      <c r="S86" s="373" t="s">
        <v>692</v>
      </c>
      <c r="T86" s="808">
        <f t="shared" si="67"/>
        <v>3980920.7403969811</v>
      </c>
      <c r="U86" s="820">
        <f t="shared" si="56"/>
        <v>3562747.4369449359</v>
      </c>
      <c r="V86" s="937">
        <f>$V$98/$W$98*W86</f>
        <v>4672524.4059478566</v>
      </c>
      <c r="W86" s="841">
        <f>U86</f>
        <v>3562747.4369449359</v>
      </c>
      <c r="X86" s="841">
        <f>0.7*W86</f>
        <v>2493923.2058614548</v>
      </c>
      <c r="Y86" s="841">
        <f>(X86-Z86)/2+Z86</f>
        <v>2137648.4621669613</v>
      </c>
      <c r="Z86" s="841">
        <f>0.5*W86</f>
        <v>1781373.718472468</v>
      </c>
      <c r="AA86" s="841">
        <f>2*(Z86-AC86)/3+AC86</f>
        <v>1662615.4705743035</v>
      </c>
      <c r="AB86" s="841">
        <f>(Z86-AC86)/3+AC86</f>
        <v>1543857.2226761389</v>
      </c>
      <c r="AC86" s="842">
        <f>0.4*W86</f>
        <v>1425098.9747779744</v>
      </c>
      <c r="AD86" s="812">
        <v>1</v>
      </c>
      <c r="AE86" s="827">
        <f t="shared" si="70"/>
        <v>4672524.4059478566</v>
      </c>
      <c r="AF86" s="828">
        <f t="shared" si="71"/>
        <v>3562747.4369449359</v>
      </c>
      <c r="AG86" s="828">
        <f t="shared" si="72"/>
        <v>2493923.2058614548</v>
      </c>
      <c r="AH86" s="828">
        <f t="shared" si="73"/>
        <v>2137648.4621669613</v>
      </c>
      <c r="AI86" s="828">
        <f t="shared" si="74"/>
        <v>1781373.718472468</v>
      </c>
      <c r="AJ86" s="828">
        <f t="shared" si="75"/>
        <v>1662615.4705743035</v>
      </c>
      <c r="AK86" s="828">
        <f t="shared" si="76"/>
        <v>1543857.2226761389</v>
      </c>
      <c r="AL86" s="829">
        <f t="shared" si="77"/>
        <v>1425098.9747779744</v>
      </c>
    </row>
    <row r="87" spans="2:38" x14ac:dyDescent="0.25">
      <c r="B87" s="812" t="s">
        <v>1345</v>
      </c>
      <c r="R87" s="323" t="str">
        <f t="shared" si="69"/>
        <v>Construction Truck</v>
      </c>
      <c r="S87" s="373" t="s">
        <v>699</v>
      </c>
      <c r="T87" s="808">
        <f t="shared" si="67"/>
        <v>1990460.3701984906</v>
      </c>
      <c r="U87" s="820">
        <f t="shared" si="56"/>
        <v>1781373.718472468</v>
      </c>
      <c r="V87" s="827">
        <v>6360106.1214327365</v>
      </c>
      <c r="W87" s="828">
        <v>2830881.8939991225</v>
      </c>
      <c r="X87" s="828">
        <v>2272344.3366048341</v>
      </c>
      <c r="Y87" s="828">
        <v>1713806.7792105449</v>
      </c>
      <c r="Z87" s="828">
        <v>1666904.5825543196</v>
      </c>
      <c r="AA87" s="828">
        <v>1620002.3858980946</v>
      </c>
      <c r="AB87" s="828">
        <v>1632911.0815388313</v>
      </c>
      <c r="AC87" s="829">
        <v>1645819.7771795681</v>
      </c>
      <c r="AD87" s="812">
        <f t="shared" si="57"/>
        <v>0.62926458438573774</v>
      </c>
      <c r="AE87" s="827">
        <f t="shared" si="70"/>
        <v>4002189.5351525573</v>
      </c>
      <c r="AF87" s="828">
        <f t="shared" si="71"/>
        <v>1781373.718472468</v>
      </c>
      <c r="AG87" s="828">
        <f t="shared" si="72"/>
        <v>1429905.8145549258</v>
      </c>
      <c r="AH87" s="828">
        <f t="shared" si="73"/>
        <v>1078437.9106373833</v>
      </c>
      <c r="AI87" s="828">
        <f t="shared" si="74"/>
        <v>1048924.0193517257</v>
      </c>
      <c r="AJ87" s="828">
        <f t="shared" si="75"/>
        <v>1019410.128066068</v>
      </c>
      <c r="AK87" s="828">
        <f t="shared" si="76"/>
        <v>1027533.1130633982</v>
      </c>
      <c r="AL87" s="829">
        <f t="shared" si="77"/>
        <v>1035656.0980607284</v>
      </c>
    </row>
    <row r="88" spans="2:38" x14ac:dyDescent="0.25">
      <c r="B88" s="812" t="s">
        <v>735</v>
      </c>
      <c r="C88" s="805" t="s">
        <v>687</v>
      </c>
      <c r="D88" s="811">
        <f>967860*D23/D22</f>
        <v>924881.32071765326</v>
      </c>
      <c r="E88" s="812" t="s">
        <v>1346</v>
      </c>
      <c r="G88" s="805">
        <v>1315389.054772544</v>
      </c>
      <c r="R88" s="323" t="str">
        <f t="shared" si="69"/>
        <v>Construction Truck</v>
      </c>
      <c r="S88" s="373" t="s">
        <v>827</v>
      </c>
      <c r="T88" s="808">
        <f t="shared" si="67"/>
        <v>1218061.1152400437</v>
      </c>
      <c r="U88" s="820">
        <f t="shared" si="56"/>
        <v>1090110.6551372844</v>
      </c>
      <c r="V88" s="827">
        <v>1695854.156363609</v>
      </c>
      <c r="W88" s="828">
        <v>1732356.5987769766</v>
      </c>
      <c r="X88" s="828">
        <v>1736897.2929585287</v>
      </c>
      <c r="Y88" s="828">
        <v>1741437.9871400804</v>
      </c>
      <c r="Z88" s="828">
        <v>1754044.2259131225</v>
      </c>
      <c r="AA88" s="828">
        <v>1766650.4646861646</v>
      </c>
      <c r="AB88" s="828">
        <v>1783125.9660776728</v>
      </c>
      <c r="AC88" s="829">
        <v>1799601.4674691809</v>
      </c>
      <c r="AD88" s="812">
        <f t="shared" si="57"/>
        <v>0.62926458438573774</v>
      </c>
      <c r="AE88" s="827">
        <f t="shared" si="70"/>
        <v>1067140.9608829722</v>
      </c>
      <c r="AF88" s="828">
        <f t="shared" si="71"/>
        <v>1090110.6551372844</v>
      </c>
      <c r="AG88" s="828">
        <f t="shared" si="72"/>
        <v>1092967.9531742616</v>
      </c>
      <c r="AH88" s="828">
        <f t="shared" si="73"/>
        <v>1095825.2512112383</v>
      </c>
      <c r="AI88" s="828">
        <f t="shared" si="74"/>
        <v>1103757.910813424</v>
      </c>
      <c r="AJ88" s="828">
        <f t="shared" si="75"/>
        <v>1111690.5704156097</v>
      </c>
      <c r="AK88" s="828">
        <f t="shared" si="76"/>
        <v>1122058.0199512839</v>
      </c>
      <c r="AL88" s="829">
        <f t="shared" si="77"/>
        <v>1132425.4694869579</v>
      </c>
    </row>
    <row r="89" spans="2:38" x14ac:dyDescent="0.25">
      <c r="B89" s="812" t="s">
        <v>735</v>
      </c>
      <c r="C89" s="805" t="s">
        <v>829</v>
      </c>
      <c r="D89" s="811">
        <f>G89/G$88*D$88</f>
        <v>1011323.0654291281</v>
      </c>
      <c r="E89" s="812" t="s">
        <v>1342</v>
      </c>
      <c r="G89" s="805">
        <v>1438328.6388271647</v>
      </c>
      <c r="R89" s="323" t="str">
        <f t="shared" si="69"/>
        <v>Construction Truck</v>
      </c>
      <c r="S89" s="373" t="s">
        <v>700</v>
      </c>
      <c r="T89" s="808">
        <f t="shared" si="67"/>
        <v>1170603.1430859093</v>
      </c>
      <c r="U89" s="820">
        <f t="shared" si="56"/>
        <v>1047637.8756772528</v>
      </c>
      <c r="V89" s="827">
        <v>1624779.2570494437</v>
      </c>
      <c r="W89" s="828">
        <v>1664860.6987788989</v>
      </c>
      <c r="X89" s="828">
        <v>1668630.0219125191</v>
      </c>
      <c r="Y89" s="828">
        <v>1672399.3450461391</v>
      </c>
      <c r="Z89" s="828">
        <v>1685256.2227432285</v>
      </c>
      <c r="AA89" s="828">
        <v>1698113.1004403182</v>
      </c>
      <c r="AB89" s="828">
        <v>1714703.5720855389</v>
      </c>
      <c r="AC89" s="829">
        <v>1731294.0437307595</v>
      </c>
      <c r="AD89" s="812">
        <f t="shared" si="57"/>
        <v>0.62926458438573774</v>
      </c>
      <c r="AE89" s="827">
        <f t="shared" si="70"/>
        <v>1022416.0439057859</v>
      </c>
      <c r="AF89" s="828">
        <f t="shared" si="71"/>
        <v>1047637.8756772528</v>
      </c>
      <c r="AG89" s="828">
        <f t="shared" si="72"/>
        <v>1050009.7772323459</v>
      </c>
      <c r="AH89" s="828">
        <f t="shared" si="73"/>
        <v>1052381.6787874387</v>
      </c>
      <c r="AI89" s="828">
        <f t="shared" si="74"/>
        <v>1060472.056587996</v>
      </c>
      <c r="AJ89" s="828">
        <f t="shared" si="75"/>
        <v>1068562.4343885533</v>
      </c>
      <c r="AK89" s="828">
        <f t="shared" si="76"/>
        <v>1079002.2306331466</v>
      </c>
      <c r="AL89" s="829">
        <f t="shared" si="77"/>
        <v>1089442.0268777397</v>
      </c>
    </row>
    <row r="90" spans="2:38" x14ac:dyDescent="0.25">
      <c r="B90" s="812" t="s">
        <v>735</v>
      </c>
      <c r="C90" s="805" t="s">
        <v>828</v>
      </c>
      <c r="D90" s="811">
        <f>G90/G$88*D$88</f>
        <v>964712.90040202253</v>
      </c>
      <c r="E90" s="812" t="s">
        <v>1342</v>
      </c>
      <c r="G90" s="805">
        <v>1372038.5110622062</v>
      </c>
      <c r="R90" s="323" t="str">
        <f t="shared" si="69"/>
        <v>Construction Truck</v>
      </c>
      <c r="S90" s="323"/>
      <c r="T90" s="808"/>
      <c r="U90" s="820">
        <f t="shared" si="56"/>
        <v>0</v>
      </c>
      <c r="V90" s="835"/>
      <c r="W90" s="823"/>
      <c r="X90" s="823"/>
      <c r="Y90" s="823"/>
      <c r="Z90" s="823"/>
      <c r="AA90" s="823"/>
      <c r="AB90" s="823"/>
      <c r="AC90" s="836"/>
      <c r="AD90" s="812" t="e">
        <f t="shared" si="57"/>
        <v>#DIV/0!</v>
      </c>
      <c r="AE90" s="835"/>
      <c r="AF90" s="823"/>
      <c r="AG90" s="823"/>
      <c r="AH90" s="823"/>
      <c r="AI90" s="823"/>
      <c r="AJ90" s="823"/>
      <c r="AK90" s="823"/>
      <c r="AL90" s="836"/>
    </row>
    <row r="91" spans="2:38" x14ac:dyDescent="0.25">
      <c r="B91" s="812" t="s">
        <v>735</v>
      </c>
      <c r="C91" s="805" t="s">
        <v>689</v>
      </c>
      <c r="D91" s="811">
        <f>G91/G$88*D$88</f>
        <v>1029776.6126670996</v>
      </c>
      <c r="E91" s="812" t="s">
        <v>1342</v>
      </c>
      <c r="G91" s="805">
        <v>1464573.7294294063</v>
      </c>
      <c r="R91" s="323" t="str">
        <f t="shared" si="69"/>
        <v>Construction Truck</v>
      </c>
      <c r="S91" s="361" t="s">
        <v>832</v>
      </c>
      <c r="T91" s="808"/>
      <c r="U91" s="820">
        <f t="shared" si="56"/>
        <v>0</v>
      </c>
      <c r="V91" s="835"/>
      <c r="W91" s="823"/>
      <c r="X91" s="823"/>
      <c r="Y91" s="823"/>
      <c r="Z91" s="823"/>
      <c r="AA91" s="823"/>
      <c r="AB91" s="823"/>
      <c r="AC91" s="836"/>
      <c r="AD91" s="812" t="e">
        <f t="shared" si="57"/>
        <v>#DIV/0!</v>
      </c>
      <c r="AE91" s="835"/>
      <c r="AF91" s="823"/>
      <c r="AG91" s="823"/>
      <c r="AH91" s="823"/>
      <c r="AI91" s="823"/>
      <c r="AJ91" s="823"/>
      <c r="AK91" s="823"/>
      <c r="AL91" s="836"/>
    </row>
    <row r="92" spans="2:38" x14ac:dyDescent="0.25">
      <c r="B92" s="816" t="s">
        <v>735</v>
      </c>
      <c r="C92" s="816" t="s">
        <v>692</v>
      </c>
      <c r="D92" s="817">
        <f>D93*1.5</f>
        <v>3038878.6954461806</v>
      </c>
      <c r="E92" s="816" t="s">
        <v>1347</v>
      </c>
      <c r="F92" s="816"/>
      <c r="G92" s="816"/>
      <c r="R92" s="323" t="str">
        <f>S92</f>
        <v>Bus</v>
      </c>
      <c r="S92" s="356" t="s">
        <v>60</v>
      </c>
      <c r="T92" s="808"/>
      <c r="U92" s="820">
        <f t="shared" si="56"/>
        <v>0</v>
      </c>
      <c r="V92" s="833">
        <v>2010</v>
      </c>
      <c r="W92" s="821">
        <v>2020</v>
      </c>
      <c r="X92" s="821"/>
      <c r="Y92" s="821">
        <v>2030</v>
      </c>
      <c r="Z92" s="821"/>
      <c r="AA92" s="821">
        <v>2040</v>
      </c>
      <c r="AB92" s="821"/>
      <c r="AC92" s="834">
        <v>2050</v>
      </c>
      <c r="AD92" s="812">
        <f t="shared" si="57"/>
        <v>0</v>
      </c>
      <c r="AE92" s="833">
        <v>2010</v>
      </c>
      <c r="AF92" s="821">
        <v>2020</v>
      </c>
      <c r="AG92" s="821"/>
      <c r="AH92" s="821">
        <v>2030</v>
      </c>
      <c r="AI92" s="821"/>
      <c r="AJ92" s="821">
        <v>2040</v>
      </c>
      <c r="AK92" s="821"/>
      <c r="AL92" s="834">
        <v>2050</v>
      </c>
    </row>
    <row r="93" spans="2:38" x14ac:dyDescent="0.25">
      <c r="B93" s="812" t="s">
        <v>735</v>
      </c>
      <c r="C93" s="805" t="s">
        <v>699</v>
      </c>
      <c r="D93" s="811">
        <f>G93/G$88*D$88</f>
        <v>2025919.1302974538</v>
      </c>
      <c r="E93" s="812" t="s">
        <v>1342</v>
      </c>
      <c r="G93" s="805">
        <v>2881312.2182852593</v>
      </c>
      <c r="R93" s="323" t="str">
        <f t="shared" ref="R93:R101" si="78">R92</f>
        <v>Bus</v>
      </c>
      <c r="S93" s="448" t="s">
        <v>1321</v>
      </c>
      <c r="T93" s="808"/>
      <c r="U93" s="820">
        <f t="shared" si="56"/>
        <v>0</v>
      </c>
      <c r="V93" s="835" t="s">
        <v>1343</v>
      </c>
      <c r="W93" s="823" t="s">
        <v>1343</v>
      </c>
      <c r="X93" s="823"/>
      <c r="Y93" s="823" t="s">
        <v>1343</v>
      </c>
      <c r="Z93" s="823"/>
      <c r="AA93" s="823" t="s">
        <v>1343</v>
      </c>
      <c r="AB93" s="823"/>
      <c r="AC93" s="836" t="s">
        <v>1343</v>
      </c>
      <c r="AD93" s="812" t="e">
        <f t="shared" si="57"/>
        <v>#VALUE!</v>
      </c>
      <c r="AE93" s="835"/>
      <c r="AF93" s="823"/>
      <c r="AG93" s="823"/>
      <c r="AH93" s="823"/>
      <c r="AI93" s="823"/>
      <c r="AJ93" s="823"/>
      <c r="AK93" s="823"/>
      <c r="AL93" s="836"/>
    </row>
    <row r="94" spans="2:38" x14ac:dyDescent="0.25">
      <c r="B94" s="812" t="s">
        <v>735</v>
      </c>
      <c r="C94" s="805" t="s">
        <v>827</v>
      </c>
      <c r="D94" s="811">
        <f>G94/G$88*D$88</f>
        <v>1119088.6909686432</v>
      </c>
      <c r="E94" s="812" t="s">
        <v>1342</v>
      </c>
      <c r="G94" s="805">
        <v>1591595.5728002738</v>
      </c>
      <c r="R94" s="323" t="str">
        <f t="shared" si="78"/>
        <v>Bus</v>
      </c>
      <c r="S94" s="338" t="s">
        <v>687</v>
      </c>
      <c r="T94" s="808">
        <f t="shared" si="67"/>
        <v>1805007.2099613762</v>
      </c>
      <c r="U94" s="820">
        <f t="shared" si="56"/>
        <v>1615401.3682562639</v>
      </c>
      <c r="V94" s="827">
        <v>2374350.3925985522</v>
      </c>
      <c r="W94" s="828">
        <v>2567125.8296431107</v>
      </c>
      <c r="X94" s="828">
        <v>2615057.9469287945</v>
      </c>
      <c r="Y94" s="828">
        <v>2662990.0642144778</v>
      </c>
      <c r="Z94" s="828">
        <v>2693807.5488051251</v>
      </c>
      <c r="AA94" s="828">
        <v>2724625.0333957719</v>
      </c>
      <c r="AB94" s="828">
        <v>2759805.6112657399</v>
      </c>
      <c r="AC94" s="829">
        <v>2794986.1891357079</v>
      </c>
      <c r="AD94" s="812">
        <f t="shared" si="57"/>
        <v>0.62926458438573762</v>
      </c>
      <c r="AE94" s="827">
        <f t="shared" ref="AE94:AE101" si="79">V94*$AD94</f>
        <v>1494094.612984641</v>
      </c>
      <c r="AF94" s="828">
        <f t="shared" ref="AF94:AF101" si="80">W94*$AD94</f>
        <v>1615401.3682562639</v>
      </c>
      <c r="AG94" s="828">
        <f t="shared" ref="AG94:AG101" si="81">X94*$AD94</f>
        <v>1645563.3521187683</v>
      </c>
      <c r="AH94" s="828">
        <f t="shared" ref="AH94:AH101" si="82">Y94*$AD94</f>
        <v>1675725.3359812722</v>
      </c>
      <c r="AI94" s="828">
        <f t="shared" ref="AI94:AI101" si="83">Z94*$AD94</f>
        <v>1695117.6876140197</v>
      </c>
      <c r="AJ94" s="828">
        <f t="shared" ref="AJ94:AJ101" si="84">AA94*$AD94</f>
        <v>1714510.0392467668</v>
      </c>
      <c r="AK94" s="828">
        <f t="shared" ref="AK94:AK101" si="85">AB94*$AD94</f>
        <v>1736647.9309585623</v>
      </c>
      <c r="AL94" s="829">
        <f t="shared" ref="AL94:AL101" si="86">AC94*$AD94</f>
        <v>1758785.822670358</v>
      </c>
    </row>
    <row r="95" spans="2:38" x14ac:dyDescent="0.25">
      <c r="B95" s="812" t="s">
        <v>735</v>
      </c>
      <c r="C95" s="805" t="s">
        <v>700</v>
      </c>
      <c r="D95" s="811">
        <f>G95/G$88*D$88</f>
        <v>1068109.0458363181</v>
      </c>
      <c r="E95" s="812" t="s">
        <v>1342</v>
      </c>
      <c r="G95" s="805">
        <v>1519091.0625229813</v>
      </c>
      <c r="R95" s="323" t="str">
        <f t="shared" si="78"/>
        <v>Bus</v>
      </c>
      <c r="S95" s="338" t="s">
        <v>829</v>
      </c>
      <c r="T95" s="808">
        <f t="shared" si="67"/>
        <v>1913019.0738785933</v>
      </c>
      <c r="U95" s="820">
        <f t="shared" si="56"/>
        <v>1712067.1941858544</v>
      </c>
      <c r="V95" s="827">
        <v>2560421.0522702299</v>
      </c>
      <c r="W95" s="828">
        <v>2720742.9699179786</v>
      </c>
      <c r="X95" s="828">
        <v>2745447.8014628761</v>
      </c>
      <c r="Y95" s="828">
        <v>2770152.6330077737</v>
      </c>
      <c r="Z95" s="828">
        <v>2789432.1408442678</v>
      </c>
      <c r="AA95" s="828">
        <v>2808711.648680761</v>
      </c>
      <c r="AB95" s="828">
        <v>2836383.7094969568</v>
      </c>
      <c r="AC95" s="829">
        <v>2864055.7703131516</v>
      </c>
      <c r="AD95" s="812">
        <f t="shared" si="57"/>
        <v>0.62926458438573762</v>
      </c>
      <c r="AE95" s="827">
        <f t="shared" si="79"/>
        <v>1611182.2893093191</v>
      </c>
      <c r="AF95" s="828">
        <f t="shared" si="80"/>
        <v>1712067.1941858542</v>
      </c>
      <c r="AG95" s="828">
        <f t="shared" si="81"/>
        <v>1727613.0697402738</v>
      </c>
      <c r="AH95" s="828">
        <f t="shared" si="82"/>
        <v>1743158.9452946933</v>
      </c>
      <c r="AI95" s="828">
        <f t="shared" si="83"/>
        <v>1755290.8567805865</v>
      </c>
      <c r="AJ95" s="828">
        <f t="shared" si="84"/>
        <v>1767422.768266479</v>
      </c>
      <c r="AK95" s="828">
        <f t="shared" si="85"/>
        <v>1784835.8161150792</v>
      </c>
      <c r="AL95" s="829">
        <f t="shared" si="86"/>
        <v>1802248.8639636789</v>
      </c>
    </row>
    <row r="96" spans="2:38" x14ac:dyDescent="0.25">
      <c r="R96" s="323" t="str">
        <f t="shared" si="78"/>
        <v>Bus</v>
      </c>
      <c r="S96" s="338" t="s">
        <v>828</v>
      </c>
      <c r="T96" s="808">
        <f t="shared" si="67"/>
        <v>1878000.9348363422</v>
      </c>
      <c r="U96" s="820">
        <f t="shared" si="56"/>
        <v>1680727.5134297586</v>
      </c>
      <c r="V96" s="827">
        <v>2575439.5481723119</v>
      </c>
      <c r="W96" s="828">
        <v>2670939.3077800749</v>
      </c>
      <c r="X96" s="828">
        <v>2701135.5750137344</v>
      </c>
      <c r="Y96" s="828">
        <v>2731331.8422473934</v>
      </c>
      <c r="Z96" s="828">
        <v>2753508.3296443988</v>
      </c>
      <c r="AA96" s="828">
        <v>2775684.8170414036</v>
      </c>
      <c r="AB96" s="828">
        <v>2805241.7779716766</v>
      </c>
      <c r="AC96" s="829">
        <v>2834798.7389019486</v>
      </c>
      <c r="AD96" s="812">
        <f t="shared" si="57"/>
        <v>0.62926458438573762</v>
      </c>
      <c r="AE96" s="827">
        <f t="shared" si="79"/>
        <v>1620632.8968912417</v>
      </c>
      <c r="AF96" s="828">
        <f t="shared" si="80"/>
        <v>1680727.5134297586</v>
      </c>
      <c r="AG96" s="828">
        <f t="shared" si="81"/>
        <v>1699728.954980548</v>
      </c>
      <c r="AH96" s="828">
        <f t="shared" si="82"/>
        <v>1718730.3965313372</v>
      </c>
      <c r="AI96" s="828">
        <f t="shared" si="83"/>
        <v>1732685.2746563493</v>
      </c>
      <c r="AJ96" s="828">
        <f t="shared" si="84"/>
        <v>1746640.152781361</v>
      </c>
      <c r="AK96" s="828">
        <f t="shared" si="85"/>
        <v>1765239.3015168547</v>
      </c>
      <c r="AL96" s="829">
        <f t="shared" si="86"/>
        <v>1783838.4502523479</v>
      </c>
    </row>
    <row r="97" spans="2:38" x14ac:dyDescent="0.25">
      <c r="B97" s="812" t="s">
        <v>1348</v>
      </c>
      <c r="R97" s="323" t="str">
        <f t="shared" si="78"/>
        <v>Bus</v>
      </c>
      <c r="S97" s="338" t="s">
        <v>689</v>
      </c>
      <c r="T97" s="808">
        <f t="shared" si="67"/>
        <v>1905576.5152511611</v>
      </c>
      <c r="U97" s="820">
        <f t="shared" si="56"/>
        <v>1705406.4344261531</v>
      </c>
      <c r="V97" s="827">
        <v>2641461.6254828833</v>
      </c>
      <c r="W97" s="828">
        <v>2710157.9792400058</v>
      </c>
      <c r="X97" s="828">
        <v>2720247.4357094248</v>
      </c>
      <c r="Y97" s="828">
        <v>2730336.8921788437</v>
      </c>
      <c r="Z97" s="828">
        <v>2741428.0124211079</v>
      </c>
      <c r="AA97" s="828">
        <v>2752519.1326633729</v>
      </c>
      <c r="AB97" s="828">
        <v>2775952.6087589604</v>
      </c>
      <c r="AC97" s="829">
        <v>2799386.0848545479</v>
      </c>
      <c r="AD97" s="812">
        <f t="shared" si="57"/>
        <v>0.62926458438573774</v>
      </c>
      <c r="AE97" s="827">
        <f t="shared" si="79"/>
        <v>1662178.2519303618</v>
      </c>
      <c r="AF97" s="828">
        <f t="shared" si="80"/>
        <v>1705406.4344261531</v>
      </c>
      <c r="AG97" s="828">
        <f t="shared" si="81"/>
        <v>1711755.37205806</v>
      </c>
      <c r="AH97" s="828">
        <f t="shared" si="82"/>
        <v>1718104.309689967</v>
      </c>
      <c r="AI97" s="828">
        <f t="shared" si="83"/>
        <v>1725083.5588595874</v>
      </c>
      <c r="AJ97" s="828">
        <f t="shared" si="84"/>
        <v>1732062.8080292086</v>
      </c>
      <c r="AK97" s="828">
        <f t="shared" si="85"/>
        <v>1746808.6646252116</v>
      </c>
      <c r="AL97" s="829">
        <f t="shared" si="86"/>
        <v>1761554.5212212147</v>
      </c>
    </row>
    <row r="98" spans="2:38" x14ac:dyDescent="0.25">
      <c r="G98" s="805">
        <v>2020</v>
      </c>
      <c r="R98" s="323" t="str">
        <f t="shared" si="78"/>
        <v>Bus</v>
      </c>
      <c r="S98" s="338" t="s">
        <v>692</v>
      </c>
      <c r="T98" s="808">
        <f t="shared" si="67"/>
        <v>5188434.2759472886</v>
      </c>
      <c r="U98" s="820">
        <f t="shared" si="56"/>
        <v>4643418.4762355024</v>
      </c>
      <c r="V98" s="827">
        <v>4768239.6435325667</v>
      </c>
      <c r="W98" s="828">
        <v>3635729.2317425008</v>
      </c>
      <c r="X98" s="828">
        <v>3447769.0113726826</v>
      </c>
      <c r="Y98" s="828">
        <v>3259808.7910028636</v>
      </c>
      <c r="Z98" s="828">
        <v>3281975.7365715932</v>
      </c>
      <c r="AA98" s="828">
        <v>3304142.6821403229</v>
      </c>
      <c r="AB98" s="828">
        <v>3325180.0884120665</v>
      </c>
      <c r="AC98" s="829">
        <v>3346217.49468381</v>
      </c>
      <c r="AD98" s="812">
        <f t="shared" si="57"/>
        <v>1.2771628964267081</v>
      </c>
      <c r="AE98" s="827">
        <f t="shared" si="79"/>
        <v>6089818.753990707</v>
      </c>
      <c r="AF98" s="828">
        <f t="shared" si="80"/>
        <v>4643418.4762355024</v>
      </c>
      <c r="AG98" s="828">
        <f t="shared" si="81"/>
        <v>4403362.6567749837</v>
      </c>
      <c r="AH98" s="828">
        <f t="shared" si="82"/>
        <v>4163306.8373144628</v>
      </c>
      <c r="AI98" s="828">
        <f t="shared" si="83"/>
        <v>4191617.6377219548</v>
      </c>
      <c r="AJ98" s="828">
        <f t="shared" si="84"/>
        <v>4219928.4381294465</v>
      </c>
      <c r="AK98" s="828">
        <f t="shared" si="85"/>
        <v>4246796.6328567723</v>
      </c>
      <c r="AL98" s="829">
        <f t="shared" si="86"/>
        <v>4273664.8275840972</v>
      </c>
    </row>
    <row r="99" spans="2:38" x14ac:dyDescent="0.25">
      <c r="G99" s="805" t="s">
        <v>1343</v>
      </c>
      <c r="R99" s="323" t="str">
        <f t="shared" si="78"/>
        <v>Bus</v>
      </c>
      <c r="S99" s="338" t="s">
        <v>699</v>
      </c>
      <c r="T99" s="808">
        <f t="shared" si="67"/>
        <v>2594217.1379736443</v>
      </c>
      <c r="U99" s="820">
        <f t="shared" ref="U99:U101" si="87">$D$24/$D$23*T99</f>
        <v>2321709.2381177512</v>
      </c>
      <c r="V99" s="827">
        <v>6296317.3270356311</v>
      </c>
      <c r="W99" s="828">
        <v>3689559.6792311268</v>
      </c>
      <c r="X99" s="828">
        <v>3288765.9792292048</v>
      </c>
      <c r="Y99" s="828">
        <v>2887972.2792272815</v>
      </c>
      <c r="Z99" s="828">
        <v>2842515.1832835502</v>
      </c>
      <c r="AA99" s="828">
        <v>2797058.087339818</v>
      </c>
      <c r="AB99" s="828">
        <v>2791553.3982090442</v>
      </c>
      <c r="AC99" s="829">
        <v>2786048.7090782705</v>
      </c>
      <c r="AD99" s="812">
        <f t="shared" si="57"/>
        <v>0.62926458438573785</v>
      </c>
      <c r="AE99" s="827">
        <f t="shared" si="79"/>
        <v>3962049.5059577962</v>
      </c>
      <c r="AF99" s="828">
        <f t="shared" si="80"/>
        <v>2321709.2381177512</v>
      </c>
      <c r="AG99" s="828">
        <f t="shared" si="81"/>
        <v>2069503.9570616197</v>
      </c>
      <c r="AH99" s="828">
        <f t="shared" si="82"/>
        <v>1817298.6760054873</v>
      </c>
      <c r="AI99" s="828">
        <f t="shared" si="83"/>
        <v>1788694.1354190726</v>
      </c>
      <c r="AJ99" s="828">
        <f t="shared" si="84"/>
        <v>1760089.5948326574</v>
      </c>
      <c r="AK99" s="828">
        <f t="shared" si="85"/>
        <v>1756625.6889146084</v>
      </c>
      <c r="AL99" s="829">
        <f t="shared" si="86"/>
        <v>1753161.7829965593</v>
      </c>
    </row>
    <row r="100" spans="2:38" x14ac:dyDescent="0.25">
      <c r="B100" s="805" t="s">
        <v>747</v>
      </c>
      <c r="C100" s="805" t="s">
        <v>687</v>
      </c>
      <c r="D100" s="811">
        <f>G100/G88*D88</f>
        <v>1216181.6984270285</v>
      </c>
      <c r="G100" s="805">
        <v>1729683.6457722846</v>
      </c>
      <c r="R100" s="323" t="str">
        <f t="shared" si="78"/>
        <v>Bus</v>
      </c>
      <c r="S100" s="338" t="s">
        <v>827</v>
      </c>
      <c r="T100" s="808">
        <f t="shared" si="67"/>
        <v>1947135.3492566734</v>
      </c>
      <c r="U100" s="820">
        <f t="shared" si="87"/>
        <v>1742599.7469764536</v>
      </c>
      <c r="V100" s="827">
        <v>2695816.9798145522</v>
      </c>
      <c r="W100" s="828">
        <v>2769263.9792806837</v>
      </c>
      <c r="X100" s="828">
        <v>2798446.5773164597</v>
      </c>
      <c r="Y100" s="828">
        <v>2827629.1753522358</v>
      </c>
      <c r="Z100" s="828">
        <v>2850356.1751044323</v>
      </c>
      <c r="AA100" s="828">
        <v>2873083.1748566288</v>
      </c>
      <c r="AB100" s="828">
        <v>2902681.9370413837</v>
      </c>
      <c r="AC100" s="829">
        <v>2932280.6992261386</v>
      </c>
      <c r="AD100" s="812">
        <f t="shared" si="57"/>
        <v>0.62926458438573774</v>
      </c>
      <c r="AE100" s="827">
        <f t="shared" si="79"/>
        <v>1696382.1513830191</v>
      </c>
      <c r="AF100" s="828">
        <f t="shared" si="80"/>
        <v>1742599.7469764536</v>
      </c>
      <c r="AG100" s="828">
        <f t="shared" si="81"/>
        <v>1760963.3224007324</v>
      </c>
      <c r="AH100" s="828">
        <f t="shared" si="82"/>
        <v>1779326.8978250111</v>
      </c>
      <c r="AI100" s="828">
        <f t="shared" si="83"/>
        <v>1793628.1938784118</v>
      </c>
      <c r="AJ100" s="828">
        <f t="shared" si="84"/>
        <v>1807929.4899318123</v>
      </c>
      <c r="AK100" s="828">
        <f t="shared" si="85"/>
        <v>1826554.9427163345</v>
      </c>
      <c r="AL100" s="829">
        <f t="shared" si="86"/>
        <v>1845180.3955008567</v>
      </c>
    </row>
    <row r="101" spans="2:38" x14ac:dyDescent="0.25">
      <c r="B101" s="805" t="s">
        <v>747</v>
      </c>
      <c r="C101" s="805" t="s">
        <v>829</v>
      </c>
      <c r="D101" s="811">
        <f t="shared" ref="D101:D107" si="88">G101/G89*D89</f>
        <v>1322791.9668064027</v>
      </c>
      <c r="G101" s="805">
        <v>1881307.4022600672</v>
      </c>
      <c r="R101" s="323" t="str">
        <f t="shared" si="78"/>
        <v>Bus</v>
      </c>
      <c r="S101" s="338" t="s">
        <v>700</v>
      </c>
      <c r="T101" s="808">
        <f t="shared" si="67"/>
        <v>1913834.4064708734</v>
      </c>
      <c r="U101" s="820">
        <f t="shared" si="87"/>
        <v>1712796.8806812237</v>
      </c>
      <c r="V101" s="827">
        <v>2642700.4378444701</v>
      </c>
      <c r="W101" s="828">
        <v>2721902.5560658015</v>
      </c>
      <c r="X101" s="828">
        <v>2750502.7102799211</v>
      </c>
      <c r="Y101" s="828">
        <v>2779102.8644940415</v>
      </c>
      <c r="Z101" s="828">
        <v>2802275.2782397773</v>
      </c>
      <c r="AA101" s="828">
        <v>2825447.6919855122</v>
      </c>
      <c r="AB101" s="828">
        <v>2855254.6164271832</v>
      </c>
      <c r="AC101" s="829">
        <v>2885061.5408688537</v>
      </c>
      <c r="AD101" s="812">
        <f t="shared" si="57"/>
        <v>0.62926458438573774</v>
      </c>
      <c r="AE101" s="827">
        <f t="shared" si="79"/>
        <v>1662957.7926762076</v>
      </c>
      <c r="AF101" s="828">
        <f t="shared" si="80"/>
        <v>1712796.8806812237</v>
      </c>
      <c r="AG101" s="828">
        <f t="shared" si="81"/>
        <v>1730793.9448361397</v>
      </c>
      <c r="AH101" s="828">
        <f t="shared" si="82"/>
        <v>1748791.0089910564</v>
      </c>
      <c r="AI101" s="828">
        <f t="shared" si="83"/>
        <v>1763372.5882959811</v>
      </c>
      <c r="AJ101" s="828">
        <f t="shared" si="84"/>
        <v>1777954.1676009053</v>
      </c>
      <c r="AK101" s="828">
        <f t="shared" si="85"/>
        <v>1796710.6095215103</v>
      </c>
      <c r="AL101" s="829">
        <f t="shared" si="86"/>
        <v>1815467.0514421153</v>
      </c>
    </row>
    <row r="102" spans="2:38" x14ac:dyDescent="0.25">
      <c r="B102" s="805" t="s">
        <v>747</v>
      </c>
      <c r="C102" s="805" t="s">
        <v>828</v>
      </c>
      <c r="D102" s="811">
        <f t="shared" si="88"/>
        <v>1287348.220695562</v>
      </c>
      <c r="G102" s="805">
        <v>1830898.431238617</v>
      </c>
      <c r="T102" s="808"/>
      <c r="U102" s="820"/>
    </row>
    <row r="103" spans="2:38" x14ac:dyDescent="0.25">
      <c r="B103" s="805" t="s">
        <v>747</v>
      </c>
      <c r="C103" s="805" t="s">
        <v>689</v>
      </c>
      <c r="D103" s="811">
        <f t="shared" si="88"/>
        <v>1333519.7126356247</v>
      </c>
      <c r="G103" s="805">
        <v>1896564.6673059126</v>
      </c>
    </row>
    <row r="104" spans="2:38" x14ac:dyDescent="0.25">
      <c r="B104" s="805" t="s">
        <v>747</v>
      </c>
      <c r="C104" s="805" t="s">
        <v>692</v>
      </c>
      <c r="D104" s="811">
        <f>2*D105</f>
        <v>5507506.8887548558</v>
      </c>
    </row>
    <row r="105" spans="2:38" x14ac:dyDescent="0.25">
      <c r="B105" s="805" t="s">
        <v>747</v>
      </c>
      <c r="C105" s="805" t="s">
        <v>699</v>
      </c>
      <c r="D105" s="811">
        <f t="shared" si="88"/>
        <v>2753753.4443774279</v>
      </c>
      <c r="G105" s="805">
        <v>3916456.1540345564</v>
      </c>
    </row>
    <row r="106" spans="2:38" x14ac:dyDescent="0.25">
      <c r="B106" s="805" t="s">
        <v>747</v>
      </c>
      <c r="C106" s="805" t="s">
        <v>827</v>
      </c>
      <c r="D106" s="811">
        <f t="shared" si="88"/>
        <v>1482419.4946631414</v>
      </c>
      <c r="G106" s="805">
        <v>2108333.6144666532</v>
      </c>
    </row>
    <row r="107" spans="2:38" x14ac:dyDescent="0.25">
      <c r="B107" s="805" t="s">
        <v>747</v>
      </c>
      <c r="C107" s="805" t="s">
        <v>700</v>
      </c>
      <c r="D107" s="811">
        <f t="shared" si="88"/>
        <v>1410435.1085540957</v>
      </c>
      <c r="G107" s="805">
        <v>2005955.6428487513</v>
      </c>
    </row>
    <row r="108" spans="2:38" x14ac:dyDescent="0.25">
      <c r="D108" s="818"/>
    </row>
    <row r="109" spans="2:38" x14ac:dyDescent="0.25">
      <c r="D109" s="818"/>
    </row>
    <row r="110" spans="2:38" x14ac:dyDescent="0.25">
      <c r="B110" s="805" t="s">
        <v>733</v>
      </c>
      <c r="C110" s="805" t="s">
        <v>733</v>
      </c>
      <c r="D110" s="818"/>
      <c r="G110" s="805">
        <v>2020</v>
      </c>
    </row>
    <row r="111" spans="2:38" x14ac:dyDescent="0.25">
      <c r="B111" s="805" t="s">
        <v>733</v>
      </c>
      <c r="C111" s="805" t="s">
        <v>791</v>
      </c>
      <c r="D111" s="818"/>
      <c r="G111" s="805" t="s">
        <v>1343</v>
      </c>
    </row>
    <row r="112" spans="2:38" x14ac:dyDescent="0.25">
      <c r="B112" s="805" t="s">
        <v>733</v>
      </c>
      <c r="C112" s="805" t="s">
        <v>687</v>
      </c>
      <c r="D112" s="811">
        <f>G112/G88*D88</f>
        <v>972850.2909553966</v>
      </c>
      <c r="G112" s="805">
        <v>1383611.7088645061</v>
      </c>
    </row>
    <row r="113" spans="2:7" x14ac:dyDescent="0.25">
      <c r="B113" s="805" t="s">
        <v>733</v>
      </c>
      <c r="C113" s="805" t="s">
        <v>829</v>
      </c>
      <c r="D113" s="811">
        <f t="shared" ref="D113:D119" si="89">G113/G89*D89</f>
        <v>1093100.2877930063</v>
      </c>
      <c r="G113" s="805">
        <v>1554634.2240061136</v>
      </c>
    </row>
    <row r="114" spans="2:7" x14ac:dyDescent="0.25">
      <c r="B114" s="805" t="s">
        <v>733</v>
      </c>
      <c r="C114" s="805" t="s">
        <v>828</v>
      </c>
      <c r="D114" s="811">
        <f t="shared" si="89"/>
        <v>1048540.3923058893</v>
      </c>
      <c r="G114" s="805">
        <v>1491260.0402134496</v>
      </c>
    </row>
    <row r="115" spans="2:7" x14ac:dyDescent="0.25">
      <c r="B115" s="805" t="s">
        <v>733</v>
      </c>
      <c r="C115" s="805" t="s">
        <v>689</v>
      </c>
      <c r="D115" s="811">
        <f t="shared" si="89"/>
        <v>1056447.3374457387</v>
      </c>
      <c r="G115" s="805">
        <v>1502505.4928576599</v>
      </c>
    </row>
    <row r="116" spans="2:7" x14ac:dyDescent="0.25">
      <c r="B116" s="805" t="s">
        <v>733</v>
      </c>
      <c r="C116" s="805" t="s">
        <v>692</v>
      </c>
      <c r="D116" s="811">
        <f>D117*2</f>
        <v>3980920.7403969811</v>
      </c>
    </row>
    <row r="117" spans="2:7" x14ac:dyDescent="0.25">
      <c r="B117" s="805" t="s">
        <v>733</v>
      </c>
      <c r="C117" s="805" t="s">
        <v>699</v>
      </c>
      <c r="D117" s="811">
        <f t="shared" si="89"/>
        <v>1990460.3701984906</v>
      </c>
      <c r="G117" s="805">
        <v>2830881.8939991225</v>
      </c>
    </row>
    <row r="118" spans="2:7" x14ac:dyDescent="0.25">
      <c r="B118" s="805" t="s">
        <v>733</v>
      </c>
      <c r="C118" s="805" t="s">
        <v>827</v>
      </c>
      <c r="D118" s="811">
        <f t="shared" si="89"/>
        <v>1218061.1152400437</v>
      </c>
      <c r="G118" s="805">
        <v>1732356.5987769766</v>
      </c>
    </row>
    <row r="119" spans="2:7" x14ac:dyDescent="0.25">
      <c r="B119" s="805" t="s">
        <v>733</v>
      </c>
      <c r="C119" s="805" t="s">
        <v>700</v>
      </c>
      <c r="D119" s="811">
        <f t="shared" si="89"/>
        <v>1170603.1430859093</v>
      </c>
      <c r="G119" s="805">
        <v>1664860.6987788989</v>
      </c>
    </row>
    <row r="120" spans="2:7" x14ac:dyDescent="0.25">
      <c r="B120" s="805" t="s">
        <v>733</v>
      </c>
      <c r="D120" s="818"/>
    </row>
    <row r="121" spans="2:7" x14ac:dyDescent="0.25">
      <c r="B121" s="805" t="s">
        <v>733</v>
      </c>
      <c r="C121" s="805" t="s">
        <v>832</v>
      </c>
      <c r="D121" s="818"/>
    </row>
    <row r="122" spans="2:7" x14ac:dyDescent="0.25">
      <c r="B122" s="805" t="s">
        <v>60</v>
      </c>
      <c r="C122" s="805" t="s">
        <v>60</v>
      </c>
      <c r="D122" s="818"/>
      <c r="G122" s="805">
        <v>2020</v>
      </c>
    </row>
    <row r="123" spans="2:7" x14ac:dyDescent="0.25">
      <c r="B123" s="805" t="s">
        <v>60</v>
      </c>
      <c r="C123" s="805" t="s">
        <v>791</v>
      </c>
      <c r="D123" s="818"/>
      <c r="G123" s="805" t="s">
        <v>1343</v>
      </c>
    </row>
    <row r="124" spans="2:7" x14ac:dyDescent="0.25">
      <c r="B124" s="805" t="s">
        <v>60</v>
      </c>
      <c r="C124" s="805" t="s">
        <v>687</v>
      </c>
      <c r="D124" s="811">
        <f>G124/G88*D88</f>
        <v>1805007.2099613762</v>
      </c>
      <c r="G124" s="805">
        <v>2567125.8296431107</v>
      </c>
    </row>
    <row r="125" spans="2:7" x14ac:dyDescent="0.25">
      <c r="B125" s="805" t="s">
        <v>60</v>
      </c>
      <c r="C125" s="805" t="s">
        <v>829</v>
      </c>
      <c r="D125" s="811">
        <f t="shared" ref="D125:D131" si="90">G125/G89*D89</f>
        <v>1913019.0738785933</v>
      </c>
      <c r="G125" s="805">
        <v>2720742.9699179786</v>
      </c>
    </row>
    <row r="126" spans="2:7" x14ac:dyDescent="0.25">
      <c r="B126" s="805" t="s">
        <v>60</v>
      </c>
      <c r="C126" s="805" t="s">
        <v>828</v>
      </c>
      <c r="D126" s="811">
        <f t="shared" si="90"/>
        <v>1878000.9348363422</v>
      </c>
      <c r="G126" s="805">
        <v>2670939.3077800749</v>
      </c>
    </row>
    <row r="127" spans="2:7" x14ac:dyDescent="0.25">
      <c r="B127" s="805" t="s">
        <v>60</v>
      </c>
      <c r="C127" s="805" t="s">
        <v>689</v>
      </c>
      <c r="D127" s="811">
        <f t="shared" si="90"/>
        <v>1905576.5152511611</v>
      </c>
      <c r="G127" s="805">
        <v>2710157.9792400058</v>
      </c>
    </row>
    <row r="128" spans="2:7" x14ac:dyDescent="0.25">
      <c r="B128" s="805" t="s">
        <v>60</v>
      </c>
      <c r="C128" s="805" t="s">
        <v>692</v>
      </c>
      <c r="D128" s="811">
        <f>2*D129</f>
        <v>5188434.2759472886</v>
      </c>
      <c r="G128" s="805">
        <v>3635729.2317425008</v>
      </c>
    </row>
    <row r="129" spans="2:7" x14ac:dyDescent="0.25">
      <c r="B129" s="805" t="s">
        <v>60</v>
      </c>
      <c r="C129" s="805" t="s">
        <v>699</v>
      </c>
      <c r="D129" s="811">
        <f t="shared" si="90"/>
        <v>2594217.1379736443</v>
      </c>
      <c r="G129" s="805">
        <v>3689559.6792311268</v>
      </c>
    </row>
    <row r="130" spans="2:7" x14ac:dyDescent="0.25">
      <c r="B130" s="805" t="s">
        <v>60</v>
      </c>
      <c r="C130" s="805" t="s">
        <v>827</v>
      </c>
      <c r="D130" s="811">
        <f t="shared" si="90"/>
        <v>1947135.3492566734</v>
      </c>
      <c r="G130" s="805">
        <v>2769263.9792806837</v>
      </c>
    </row>
    <row r="131" spans="2:7" x14ac:dyDescent="0.25">
      <c r="B131" s="805" t="s">
        <v>60</v>
      </c>
      <c r="C131" s="805" t="s">
        <v>700</v>
      </c>
      <c r="D131" s="811">
        <f t="shared" si="90"/>
        <v>1913834.4064708734</v>
      </c>
      <c r="G131" s="805">
        <v>2721902.5560658015</v>
      </c>
    </row>
  </sheetData>
  <phoneticPr fontId="129" type="noConversion"/>
  <hyperlinks>
    <hyperlink ref="B3" r:id="rId1" xr:uid="{08D867E0-5B25-4537-8A32-C4715B5B086E}"/>
    <hyperlink ref="G14" r:id="rId2" xr:uid="{3640B2BD-D2B4-4CBF-9D9D-BD49BAF009DF}"/>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1FC6-F484-4358-BD7D-1FD389D27EF6}">
  <sheetPr codeName="Sheet11">
    <tabColor theme="5"/>
  </sheetPr>
  <dimension ref="A1:BA280"/>
  <sheetViews>
    <sheetView topLeftCell="N1" workbookViewId="0">
      <selection activeCell="T22" sqref="T22"/>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5"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9"/>
      <c r="V1" s="219" t="s">
        <v>651</v>
      </c>
      <c r="W1" s="220" t="b">
        <f>ERC.Efficiency</f>
        <v>1</v>
      </c>
      <c r="AA1" s="65" t="s">
        <v>613</v>
      </c>
      <c r="AB1" s="221" t="s">
        <v>652</v>
      </c>
      <c r="AC1" s="222">
        <f>INDEX(AC5:AC7,MATCH(AB1,AB5:AB7,0))</f>
        <v>2</v>
      </c>
      <c r="AD1" s="223">
        <f>INDEX(AD5:AD7,MATCH($AC$1,$AC$5:$AC$7,0))</f>
        <v>-5.0000000000000001E-3</v>
      </c>
      <c r="AE1" s="223">
        <f>INDEX(AE5:AE7,MATCH($AC$1,$AC$5:$AC$7,0))</f>
        <v>-5.0000000000000001E-3</v>
      </c>
      <c r="AF1" s="223">
        <f>INDEX(AF5:AF7,MATCH($AC$1,$AC$5:$AC$7,0))</f>
        <v>-7.4999999999999997E-3</v>
      </c>
      <c r="AG1" s="223">
        <f>INDEX(AG5:AG7,MATCH($AC$1,$AC$5:$AC$7,0))</f>
        <v>-0.01</v>
      </c>
      <c r="AH1" s="224">
        <f>INDEX(AH5:AH7,MATCH($AC$1,$AC$5:$AC$7,0))</f>
        <v>-0.01</v>
      </c>
    </row>
    <row r="2" spans="5:44" x14ac:dyDescent="0.25">
      <c r="AA2" s="65" t="s">
        <v>653</v>
      </c>
      <c r="AB2" s="226" t="s">
        <v>652</v>
      </c>
      <c r="AC2" s="227">
        <f>INDEX(AC10:AC12,MATCH(AB2,AB10:AB12,0))</f>
        <v>2</v>
      </c>
      <c r="AD2" s="228">
        <f>INDEX(AD10:AD12,MATCH($AC$2,$AC$10:$AC$12,0))</f>
        <v>-1E-3</v>
      </c>
      <c r="AE2" s="228">
        <f>INDEX(AE10:AE12,MATCH($AC$2,$AC$10:$AC$12,0))</f>
        <v>-1E-3</v>
      </c>
      <c r="AF2" s="228">
        <f>INDEX(AF10:AF12,MATCH($AC$2,$AC$10:$AC$12,0))</f>
        <v>-5.4999999999999997E-3</v>
      </c>
      <c r="AG2" s="228">
        <f>INDEX(AG10:AG12,MATCH($AC$2,$AC$10:$AC$12,0))</f>
        <v>-0.01</v>
      </c>
      <c r="AH2" s="229">
        <f>INDEX(AH10:AH12,MATCH($AC$2,$AC$10:$AC$12,0))</f>
        <v>-0.01</v>
      </c>
    </row>
    <row r="3" spans="5:44" x14ac:dyDescent="0.25">
      <c r="E3" s="230"/>
      <c r="AJ3" s="231"/>
      <c r="AK3" s="231"/>
    </row>
    <row r="4" spans="5:44" x14ac:dyDescent="0.25">
      <c r="E4" s="230"/>
      <c r="AJ4" s="61"/>
      <c r="AK4" s="61"/>
    </row>
    <row r="5" spans="5:44" x14ac:dyDescent="0.25">
      <c r="Y5" s="102"/>
      <c r="AA5" s="61" t="s">
        <v>55</v>
      </c>
      <c r="AB5" s="61" t="s">
        <v>654</v>
      </c>
      <c r="AC5" s="232">
        <v>1</v>
      </c>
      <c r="AD5" s="233">
        <v>0</v>
      </c>
      <c r="AE5" s="233">
        <v>0</v>
      </c>
      <c r="AF5" s="233">
        <v>0</v>
      </c>
      <c r="AG5" s="233">
        <v>0</v>
      </c>
      <c r="AH5" s="233">
        <v>0</v>
      </c>
      <c r="AJ5" s="231"/>
      <c r="AK5" s="231"/>
    </row>
    <row r="6" spans="5:44" x14ac:dyDescent="0.25">
      <c r="AB6" s="61" t="s">
        <v>652</v>
      </c>
      <c r="AC6" s="234">
        <v>2</v>
      </c>
      <c r="AD6" s="233">
        <v>-5.0000000000000001E-3</v>
      </c>
      <c r="AE6" s="233">
        <v>-5.0000000000000001E-3</v>
      </c>
      <c r="AF6" s="233">
        <f>AVERAGE(AE6,AG6)</f>
        <v>-7.4999999999999997E-3</v>
      </c>
      <c r="AG6" s="233">
        <v>-0.01</v>
      </c>
      <c r="AH6" s="233">
        <v>-0.01</v>
      </c>
      <c r="AI6" s="61" t="s">
        <v>655</v>
      </c>
      <c r="AJ6" s="231"/>
      <c r="AK6" s="231"/>
    </row>
    <row r="7" spans="5:44" x14ac:dyDescent="0.25">
      <c r="AB7" s="61" t="s">
        <v>656</v>
      </c>
      <c r="AC7" s="235">
        <v>3</v>
      </c>
      <c r="AD7" s="236">
        <f>AD6</f>
        <v>-5.0000000000000001E-3</v>
      </c>
      <c r="AE7" s="236">
        <f t="shared" ref="AE7:AH7" si="0">AE6</f>
        <v>-5.0000000000000001E-3</v>
      </c>
      <c r="AF7" s="236">
        <f t="shared" si="0"/>
        <v>-7.4999999999999997E-3</v>
      </c>
      <c r="AG7" s="236">
        <f t="shared" si="0"/>
        <v>-0.01</v>
      </c>
      <c r="AH7" s="236">
        <f t="shared" si="0"/>
        <v>-0.01</v>
      </c>
      <c r="AI7" s="61" t="s">
        <v>657</v>
      </c>
      <c r="AJ7" s="231"/>
      <c r="AK7" s="61"/>
    </row>
    <row r="8" spans="5:44" x14ac:dyDescent="0.25">
      <c r="AF8" s="61">
        <f>AF6/AE6</f>
        <v>1.5</v>
      </c>
      <c r="AJ8" s="231"/>
      <c r="AK8" s="61"/>
    </row>
    <row r="9" spans="5:44" x14ac:dyDescent="0.25">
      <c r="AC9" s="193"/>
      <c r="AD9" s="193"/>
      <c r="AE9" s="193"/>
      <c r="AF9" s="193"/>
      <c r="AG9" s="193"/>
      <c r="AH9" s="193"/>
      <c r="AJ9" s="231"/>
      <c r="AK9" s="231"/>
    </row>
    <row r="10" spans="5:44" x14ac:dyDescent="0.25">
      <c r="Y10" s="100"/>
      <c r="AA10" s="61" t="s">
        <v>52</v>
      </c>
      <c r="AB10" s="61" t="s">
        <v>654</v>
      </c>
      <c r="AC10" s="232">
        <v>1</v>
      </c>
      <c r="AD10" s="233">
        <v>0</v>
      </c>
      <c r="AE10" s="233">
        <f t="shared" ref="AE10:AH10" si="1">AD10</f>
        <v>0</v>
      </c>
      <c r="AF10" s="233">
        <f t="shared" si="1"/>
        <v>0</v>
      </c>
      <c r="AG10" s="233">
        <f t="shared" si="1"/>
        <v>0</v>
      </c>
      <c r="AH10" s="233">
        <f t="shared" si="1"/>
        <v>0</v>
      </c>
      <c r="AJ10" s="231"/>
      <c r="AK10" s="231"/>
    </row>
    <row r="11" spans="5:44" x14ac:dyDescent="0.25">
      <c r="AB11" s="61" t="s">
        <v>652</v>
      </c>
      <c r="AC11" s="234">
        <v>2</v>
      </c>
      <c r="AD11" s="233">
        <f>-0.001</f>
        <v>-1E-3</v>
      </c>
      <c r="AE11" s="233">
        <f t="shared" ref="AE11" si="2">-0.001</f>
        <v>-1E-3</v>
      </c>
      <c r="AF11" s="233">
        <f>AVERAGE(AE11,AG11)</f>
        <v>-5.4999999999999997E-3</v>
      </c>
      <c r="AG11" s="233">
        <v>-0.01</v>
      </c>
      <c r="AH11" s="233">
        <v>-0.01</v>
      </c>
      <c r="AI11" s="61" t="s">
        <v>655</v>
      </c>
      <c r="AJ11" s="231"/>
      <c r="AK11" s="231"/>
    </row>
    <row r="12" spans="5:44" x14ac:dyDescent="0.25">
      <c r="AB12" s="61" t="s">
        <v>656</v>
      </c>
      <c r="AC12" s="235">
        <v>3</v>
      </c>
      <c r="AD12" s="236">
        <f>AD11</f>
        <v>-1E-3</v>
      </c>
      <c r="AE12" s="236">
        <f t="shared" ref="AE12:AH12" si="3">AE11</f>
        <v>-1E-3</v>
      </c>
      <c r="AF12" s="236">
        <f t="shared" si="3"/>
        <v>-5.4999999999999997E-3</v>
      </c>
      <c r="AG12" s="236">
        <f t="shared" si="3"/>
        <v>-0.01</v>
      </c>
      <c r="AH12" s="236">
        <f t="shared" si="3"/>
        <v>-0.01</v>
      </c>
      <c r="AI12" s="61" t="s">
        <v>657</v>
      </c>
      <c r="AJ12" s="231"/>
    </row>
    <row r="13" spans="5:44" x14ac:dyDescent="0.25">
      <c r="AJ13" s="231"/>
    </row>
    <row r="15" spans="5:44" x14ac:dyDescent="0.25">
      <c r="V15" s="65" t="s">
        <v>658</v>
      </c>
      <c r="W15" s="65"/>
      <c r="X15" s="65"/>
      <c r="Y15" s="61">
        <f>'AEA2012 update'!L3</f>
        <v>0</v>
      </c>
      <c r="AD15" s="65" t="s">
        <v>659</v>
      </c>
      <c r="AF15" s="65"/>
      <c r="AL15" s="65" t="s">
        <v>660</v>
      </c>
      <c r="AR15" s="237" t="s">
        <v>661</v>
      </c>
    </row>
    <row r="16" spans="5:44" x14ac:dyDescent="0.25">
      <c r="S16" s="65"/>
      <c r="V16" s="238">
        <v>2010</v>
      </c>
      <c r="W16" s="238">
        <v>2020</v>
      </c>
      <c r="X16" s="239">
        <v>2025</v>
      </c>
      <c r="Y16" s="239">
        <v>2030</v>
      </c>
      <c r="Z16" s="239">
        <v>2035</v>
      </c>
      <c r="AA16" s="239">
        <v>2040</v>
      </c>
      <c r="AB16" s="240">
        <v>2050</v>
      </c>
      <c r="AD16" s="241">
        <v>2017</v>
      </c>
      <c r="AE16" s="241">
        <v>2020</v>
      </c>
      <c r="AF16" s="242">
        <v>2030</v>
      </c>
      <c r="AG16" s="242">
        <v>2040</v>
      </c>
      <c r="AH16" s="243">
        <v>2050</v>
      </c>
      <c r="AL16" s="241">
        <v>2010</v>
      </c>
      <c r="AM16" s="241">
        <v>2020</v>
      </c>
      <c r="AN16" s="242">
        <v>2030</v>
      </c>
      <c r="AO16" s="242">
        <v>2040</v>
      </c>
      <c r="AP16" s="243">
        <v>2050</v>
      </c>
    </row>
    <row r="17" spans="5:48" x14ac:dyDescent="0.25">
      <c r="R17" s="65"/>
      <c r="U17" s="65" t="s">
        <v>662</v>
      </c>
      <c r="V17" s="244">
        <v>0</v>
      </c>
      <c r="W17" s="245">
        <v>0</v>
      </c>
      <c r="X17" s="245">
        <v>0</v>
      </c>
      <c r="Y17" s="245">
        <v>1</v>
      </c>
      <c r="Z17" s="245">
        <v>0</v>
      </c>
      <c r="AA17" s="245">
        <v>0</v>
      </c>
      <c r="AB17" s="245">
        <v>0</v>
      </c>
      <c r="AD17" s="246"/>
      <c r="AE17" s="246"/>
      <c r="AF17" s="246"/>
      <c r="AG17" s="246"/>
      <c r="AH17" s="246"/>
    </row>
    <row r="18" spans="5:48" x14ac:dyDescent="0.25">
      <c r="N18"/>
      <c r="O18"/>
      <c r="R18" s="247"/>
      <c r="S18" s="65"/>
      <c r="V18" s="248">
        <f>IFERROR(TRA.freight.capex*(V17+S18),0)</f>
        <v>0</v>
      </c>
      <c r="W18" s="249">
        <f t="shared" ref="W18:AB18" si="4">IFERROR(TRA.freight.capex*(W17+V18),0)</f>
        <v>0</v>
      </c>
      <c r="X18" s="249">
        <f t="shared" si="4"/>
        <v>0</v>
      </c>
      <c r="Y18" s="249">
        <f t="shared" si="4"/>
        <v>1</v>
      </c>
      <c r="Z18" s="249">
        <f t="shared" si="4"/>
        <v>1</v>
      </c>
      <c r="AA18" s="249">
        <f t="shared" si="4"/>
        <v>1</v>
      </c>
      <c r="AB18" s="249">
        <f t="shared" si="4"/>
        <v>1</v>
      </c>
      <c r="AD18" s="61" t="s">
        <v>663</v>
      </c>
      <c r="AE18" s="61" t="s">
        <v>663</v>
      </c>
      <c r="AF18" s="61" t="s">
        <v>663</v>
      </c>
      <c r="AG18" s="61" t="s">
        <v>663</v>
      </c>
      <c r="AH18" s="61" t="s">
        <v>663</v>
      </c>
      <c r="AJ18" s="225" t="s">
        <v>664</v>
      </c>
      <c r="AR18" s="61" t="s">
        <v>665</v>
      </c>
      <c r="AU18" s="61" t="s">
        <v>666</v>
      </c>
    </row>
    <row r="19" spans="5:48" x14ac:dyDescent="0.25">
      <c r="E19" s="61" t="s">
        <v>667</v>
      </c>
      <c r="J19" s="250">
        <v>2017</v>
      </c>
      <c r="N19" s="65" t="s">
        <v>668</v>
      </c>
      <c r="O19" s="65" t="s">
        <v>669</v>
      </c>
      <c r="P19" s="65" t="s">
        <v>670</v>
      </c>
      <c r="Q19" s="65" t="s">
        <v>671</v>
      </c>
      <c r="R19" s="65" t="s">
        <v>672</v>
      </c>
      <c r="S19" s="65" t="s">
        <v>673</v>
      </c>
      <c r="T19" s="65" t="s">
        <v>674</v>
      </c>
      <c r="U19" s="65" t="s">
        <v>675</v>
      </c>
      <c r="V19" s="251"/>
      <c r="W19" s="251"/>
      <c r="X19" s="251"/>
      <c r="Y19" s="251"/>
      <c r="Z19" s="251"/>
      <c r="AA19" s="251"/>
      <c r="AB19" s="251"/>
      <c r="AJ19" s="225" t="s">
        <v>676</v>
      </c>
      <c r="AK19" s="225" t="s">
        <v>677</v>
      </c>
      <c r="AR19" s="61">
        <f>AD16</f>
        <v>2017</v>
      </c>
      <c r="AS19" s="61">
        <f t="shared" ref="AS19:AV19" si="5">AE16</f>
        <v>2020</v>
      </c>
      <c r="AT19" s="61">
        <f t="shared" si="5"/>
        <v>2030</v>
      </c>
      <c r="AU19" s="61">
        <f t="shared" si="5"/>
        <v>2040</v>
      </c>
      <c r="AV19" s="61">
        <f t="shared" si="5"/>
        <v>2050</v>
      </c>
    </row>
    <row r="20" spans="5:48" x14ac:dyDescent="0.25">
      <c r="E20" s="66" t="s">
        <v>678</v>
      </c>
      <c r="H20" s="252" t="s">
        <v>679</v>
      </c>
      <c r="I20" s="253">
        <f>Analytica!AI65/Analytica!AI67</f>
        <v>1.2029012449300542</v>
      </c>
      <c r="J20" s="254">
        <f>H28/H27</f>
        <v>1.0709452702702702</v>
      </c>
      <c r="N20" s="61" t="s">
        <v>573</v>
      </c>
      <c r="O20" s="61" t="s">
        <v>613</v>
      </c>
      <c r="P20" s="61" t="s">
        <v>555</v>
      </c>
      <c r="Q20" s="61" t="str">
        <f>RIGHT(P20,3)</f>
        <v>CAR</v>
      </c>
      <c r="R20" s="61" t="s">
        <v>680</v>
      </c>
      <c r="S20" s="255">
        <f>W20*F22</f>
        <v>384581.26616029348</v>
      </c>
      <c r="T20" s="256" t="s">
        <v>681</v>
      </c>
      <c r="U20" s="256" t="s">
        <v>680</v>
      </c>
      <c r="V20" s="103">
        <f t="array" ref="V20">IF(V$18,INDEX('AEA2012 update'!$K$6:$R$104,MATCH($T20&amp;$R20,'AEA2012 update'!$A$6:$A$104&amp;'AEA2012 update'!$B$6:$B$104,0),MATCH(V$16,'AEA2012 update'!$S$4:$Z$4,0)),INDEX('AEA2012 update'!$K$6:$R$104,MATCH($T20&amp;$U20,'AEA2012 update'!$A$6:$A$104&amp;'AEA2012 update'!$B$6:$B$104,0),MATCH(V$16,'AEA2012 update'!$S$4:$Z$4,0)))</f>
        <v>221973.27212134015</v>
      </c>
      <c r="W20" s="103">
        <f t="array" ref="W20">IF(W$18,INDEX('AEA2012 update'!$K$6:$R$104,MATCH($T20&amp;$R20,'AEA2012 update'!$A$6:$A$104&amp;'AEA2012 update'!$B$6:$B$104,0),MATCH(W$16,'AEA2012 update'!$S$4:$Z$4,0)),INDEX('AEA2012 update'!$K$6:$R$104,MATCH($T20&amp;$U20,'AEA2012 update'!$A$6:$A$104&amp;'AEA2012 update'!$B$6:$B$104,0),MATCH(W$16,'AEA2012 update'!$S$4:$Z$4,0)))</f>
        <v>240363.2913501834</v>
      </c>
      <c r="X20" s="103">
        <f t="array" ref="X20">IF(X$18,INDEX('AEA2012 update'!$K$6:$R$104,MATCH($T20&amp;$R20,'AEA2012 update'!$A$6:$A$104&amp;'AEA2012 update'!$B$6:$B$104,0),MATCH(X$16,'AEA2012 update'!$S$4:$Z$4,0)),INDEX('AEA2012 update'!$K$6:$R$104,MATCH($T20&amp;$U20,'AEA2012 update'!$A$6:$A$104&amp;'AEA2012 update'!$B$6:$B$104,0),MATCH(X$16,'AEA2012 update'!$S$4:$Z$4,0)))</f>
        <v>244456.53288726759</v>
      </c>
      <c r="Y20" s="103">
        <f t="array" ref="Y20">IF(Y$18,INDEX('AEA2012 update'!$K$6:$R$104,MATCH($T20&amp;$R20,'AEA2012 update'!$A$6:$A$104&amp;'AEA2012 update'!$B$6:$B$104,0),MATCH(Y$16,'AEA2012 update'!$S$4:$Z$4,0)),INDEX('AEA2012 update'!$K$6:$R$104,MATCH($T20&amp;$U20,'AEA2012 update'!$A$6:$A$104&amp;'AEA2012 update'!$B$6:$B$104,0),MATCH(Y$16,'AEA2012 update'!$S$4:$Z$4,0)))</f>
        <v>248549.77442435178</v>
      </c>
      <c r="Z20" s="103">
        <f t="array" ref="Z20">IF(Z$18,INDEX('AEA2012 update'!$K$6:$R$104,MATCH($T20&amp;$R20,'AEA2012 update'!$A$6:$A$104&amp;'AEA2012 update'!$B$6:$B$104,0),MATCH(Z$16,'AEA2012 update'!$S$4:$Z$4,0)),INDEX('AEA2012 update'!$K$6:$R$104,MATCH($T20&amp;$U20,'AEA2012 update'!$A$6:$A$104&amp;'AEA2012 update'!$B$6:$B$104,0),MATCH(Z$16,'AEA2012 update'!$S$4:$Z$4,0)))</f>
        <v>251273.34974387253</v>
      </c>
      <c r="AA20" s="103">
        <f t="array" ref="AA20">IF(AA$18,INDEX('AEA2012 update'!$K$6:$R$104,MATCH($T20&amp;$R20,'AEA2012 update'!$A$6:$A$104&amp;'AEA2012 update'!$B$6:$B$104,0),MATCH(AA$16,'AEA2012 update'!$S$4:$Z$4,0)),INDEX('AEA2012 update'!$K$6:$R$104,MATCH($T20&amp;$U20,'AEA2012 update'!$A$6:$A$104&amp;'AEA2012 update'!$B$6:$B$104,0),MATCH(AA$16,'AEA2012 update'!$S$4:$Z$4,0)))</f>
        <v>253996.92506339328</v>
      </c>
      <c r="AB20" s="103">
        <f t="array" ref="AB20">IF(AB$18,INDEX('AEA2012 update'!$K$6:$R$104,MATCH($T20&amp;$R20,'AEA2012 update'!$A$6:$A$104&amp;'AEA2012 update'!$B$6:$B$104,0),MATCH(AB$16,'AEA2012 update'!$S$4:$Z$4,0)),INDEX('AEA2012 update'!$K$6:$R$104,MATCH($T20&amp;$U20,'AEA2012 update'!$A$6:$A$104&amp;'AEA2012 update'!$B$6:$B$104,0),MATCH(AB$16,'AEA2012 update'!$S$4:$Z$4,0)))</f>
        <v>257172.600668175</v>
      </c>
      <c r="AC20" s="103" t="s">
        <v>682</v>
      </c>
      <c r="AD20" s="67">
        <f>1/INDEX(Analytica!$AA$17:$AE$48,MATCH($AC20,Analytica!$A$17:$A$48,0),MATCH(AD$16,Analytica!$AA$16:$AE$16,0))</f>
        <v>2.802205701073782</v>
      </c>
      <c r="AE20" s="67">
        <f t="array" ref="AE20">IF($W$1,AD20*(1+INDEX(AE$1:AE$2,MATCH($O20,$AA$1:$AA$2,0)))^(AE$16-AD$16),INDEX('AEA2012 update'!$AC$6:$AG$104,MATCH($T20&amp;$U20,'AEA2012 update'!$A$6:$A$104&amp;'AEA2012 update'!$B$6:$B$104,0),MATCH(AE$16,'AEA2012 update'!$AC$4:$AG$4,0)))</f>
        <v>2.760382430709543</v>
      </c>
      <c r="AF20" s="67">
        <f t="array" ref="AF20">IF($W$1,AE20*(1+INDEX(AF$1:AF$2,MATCH($O20,$AA$1:$AA$2,0)))^(AF$16-AE$16),INDEX('AEA2012 update'!$AC$6:$AG$104,MATCH($T20&amp;$U20,'AEA2012 update'!$A$6:$A$104&amp;'AEA2012 update'!$B$6:$B$104,0),MATCH(AF$16,'AEA2012 update'!$AC$4:$AG$4,0)))</f>
        <v>2.5602030398136666</v>
      </c>
      <c r="AG20" s="67">
        <f t="array" ref="AG20">IF($W$1,AF20*(1+INDEX(AG$1:AG$2,MATCH($O20,$AA$1:$AA$2,0)))^(AG$16-AF$16),INDEX('AEA2012 update'!$AC$6:$AG$104,MATCH($T20&amp;$U20,'AEA2012 update'!$A$6:$A$104&amp;'AEA2012 update'!$B$6:$B$104,0),MATCH(AG$16,'AEA2012 update'!$AC$4:$AG$4,0)))</f>
        <v>2.3154017375905322</v>
      </c>
      <c r="AH20" s="67">
        <f t="array" ref="AH20">IF($W$1,AG20*(1+INDEX(AH$1:AH$2,MATCH($O20,$AA$1:$AA$2,0)))^(AH$16-AG$16),INDEX('AEA2012 update'!$AC$6:$AG$104,MATCH($T20&amp;$U20,'AEA2012 update'!$A$6:$A$104&amp;'AEA2012 update'!$B$6:$B$104,0),MATCH(AH$16,'AEA2012 update'!$AC$4:$AG$4,0)))</f>
        <v>2.0940078279211165</v>
      </c>
      <c r="AJ20" s="257">
        <f>-((AD20-AE20)/($AE$16-$AD$16))/AD20</f>
        <v>-4.9750416666666797E-3</v>
      </c>
      <c r="AK20" s="257">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25">
      <c r="E21" s="61" t="s">
        <v>683</v>
      </c>
      <c r="F21" s="61" t="s">
        <v>684</v>
      </c>
      <c r="I21" s="252" t="s">
        <v>685</v>
      </c>
      <c r="N21" s="61" t="s">
        <v>506</v>
      </c>
      <c r="O21" s="61" t="s">
        <v>613</v>
      </c>
      <c r="P21" s="61" t="s">
        <v>555</v>
      </c>
      <c r="Q21" s="61" t="str">
        <f t="shared" ref="Q21:Q89" si="6">RIGHT(P21,3)</f>
        <v>CAR</v>
      </c>
      <c r="R21" s="61" t="s">
        <v>680</v>
      </c>
      <c r="T21" s="256" t="s">
        <v>681</v>
      </c>
      <c r="U21" s="256" t="s">
        <v>680</v>
      </c>
      <c r="V21" s="103">
        <f t="array" ref="V21">IF(V$18,INDEX('AEA2012 update'!$K$6:$R$104,MATCH($T21&amp;$R21,'AEA2012 update'!$A$6:$A$104&amp;'AEA2012 update'!$B$6:$B$104,0),MATCH(V$16,'AEA2012 update'!$S$4:$Z$4,0)),INDEX('AEA2012 update'!$K$6:$R$104,MATCH($T21&amp;$U21,'AEA2012 update'!$A$6:$A$104&amp;'AEA2012 update'!$B$6:$B$104,0),MATCH(V$16,'AEA2012 update'!$S$4:$Z$4,0)))</f>
        <v>221973.27212134015</v>
      </c>
      <c r="W21" s="103">
        <f t="array" ref="W21">IF(W$18,INDEX('AEA2012 update'!$K$6:$R$104,MATCH($T21&amp;$R21,'AEA2012 update'!$A$6:$A$104&amp;'AEA2012 update'!$B$6:$B$104,0),MATCH(W$16,'AEA2012 update'!$S$4:$Z$4,0)),INDEX('AEA2012 update'!$K$6:$R$104,MATCH($T21&amp;$U21,'AEA2012 update'!$A$6:$A$104&amp;'AEA2012 update'!$B$6:$B$104,0),MATCH(W$16,'AEA2012 update'!$S$4:$Z$4,0)))</f>
        <v>240363.2913501834</v>
      </c>
      <c r="X21" s="103">
        <f t="array" ref="X21">IF(X$18,INDEX('AEA2012 update'!$K$6:$R$104,MATCH($T21&amp;$R21,'AEA2012 update'!$A$6:$A$104&amp;'AEA2012 update'!$B$6:$B$104,0),MATCH(X$16,'AEA2012 update'!$S$4:$Z$4,0)),INDEX('AEA2012 update'!$K$6:$R$104,MATCH($T21&amp;$U21,'AEA2012 update'!$A$6:$A$104&amp;'AEA2012 update'!$B$6:$B$104,0),MATCH(X$16,'AEA2012 update'!$S$4:$Z$4,0)))</f>
        <v>244456.53288726759</v>
      </c>
      <c r="Y21" s="103">
        <f t="array" ref="Y21">IF(Y$18,INDEX('AEA2012 update'!$K$6:$R$104,MATCH($T21&amp;$R21,'AEA2012 update'!$A$6:$A$104&amp;'AEA2012 update'!$B$6:$B$104,0),MATCH(Y$16,'AEA2012 update'!$S$4:$Z$4,0)),INDEX('AEA2012 update'!$K$6:$R$104,MATCH($T21&amp;$U21,'AEA2012 update'!$A$6:$A$104&amp;'AEA2012 update'!$B$6:$B$104,0),MATCH(Y$16,'AEA2012 update'!$S$4:$Z$4,0)))</f>
        <v>248549.77442435178</v>
      </c>
      <c r="Z21" s="103">
        <f t="array" ref="Z21">IF(Z$18,INDEX('AEA2012 update'!$K$6:$R$104,MATCH($T21&amp;$R21,'AEA2012 update'!$A$6:$A$104&amp;'AEA2012 update'!$B$6:$B$104,0),MATCH(Z$16,'AEA2012 update'!$S$4:$Z$4,0)),INDEX('AEA2012 update'!$K$6:$R$104,MATCH($T21&amp;$U21,'AEA2012 update'!$A$6:$A$104&amp;'AEA2012 update'!$B$6:$B$104,0),MATCH(Z$16,'AEA2012 update'!$S$4:$Z$4,0)))</f>
        <v>251273.34974387253</v>
      </c>
      <c r="AA21" s="103">
        <f t="array" ref="AA21">IF(AA$18,INDEX('AEA2012 update'!$K$6:$R$104,MATCH($T21&amp;$R21,'AEA2012 update'!$A$6:$A$104&amp;'AEA2012 update'!$B$6:$B$104,0),MATCH(AA$16,'AEA2012 update'!$S$4:$Z$4,0)),INDEX('AEA2012 update'!$K$6:$R$104,MATCH($T21&amp;$U21,'AEA2012 update'!$A$6:$A$104&amp;'AEA2012 update'!$B$6:$B$104,0),MATCH(AA$16,'AEA2012 update'!$S$4:$Z$4,0)))</f>
        <v>253996.92506339328</v>
      </c>
      <c r="AB21" s="103">
        <f t="array" ref="AB21">IF(AB$18,INDEX('AEA2012 update'!$K$6:$R$104,MATCH($T21&amp;$R21,'AEA2012 update'!$A$6:$A$104&amp;'AEA2012 update'!$B$6:$B$104,0),MATCH(AB$16,'AEA2012 update'!$S$4:$Z$4,0)),INDEX('AEA2012 update'!$K$6:$R$104,MATCH($T21&amp;$U21,'AEA2012 update'!$A$6:$A$104&amp;'AEA2012 update'!$B$6:$B$104,0),MATCH(AB$16,'AEA2012 update'!$S$4:$Z$4,0)))</f>
        <v>257172.600668175</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 update'!$AC$6:$AG$104,MATCH($T21&amp;$U21,'AEA2012 update'!$A$6:$A$104&amp;'AEA2012 update'!$B$6:$B$104,0),MATCH(AE$16,'AEA2012 update'!$AC$4:$AG$4,0)))</f>
        <v>2.760382430709543</v>
      </c>
      <c r="AF21" s="67">
        <f t="array" ref="AF21">IF($W$1,AE21*(1+INDEX(AF$1:AF$2,MATCH($O21,$AA$1:$AA$2,0)))^(AF$16-AE$16),INDEX('AEA2012 update'!$AC$6:$AG$104,MATCH($T21&amp;$U21,'AEA2012 update'!$A$6:$A$104&amp;'AEA2012 update'!$B$6:$B$104,0),MATCH(AF$16,'AEA2012 update'!$AC$4:$AG$4,0)))</f>
        <v>2.5602030398136666</v>
      </c>
      <c r="AG21" s="67">
        <f t="array" ref="AG21">IF($W$1,AF21*(1+INDEX(AG$1:AG$2,MATCH($O21,$AA$1:$AA$2,0)))^(AG$16-AF$16),INDEX('AEA2012 update'!$AC$6:$AG$104,MATCH($T21&amp;$U21,'AEA2012 update'!$A$6:$A$104&amp;'AEA2012 update'!$B$6:$B$104,0),MATCH(AG$16,'AEA2012 update'!$AC$4:$AG$4,0)))</f>
        <v>2.3154017375905322</v>
      </c>
      <c r="AH21" s="67">
        <f t="array" ref="AH21">IF($W$1,AG21*(1+INDEX(AH$1:AH$2,MATCH($O21,$AA$1:$AA$2,0)))^(AH$16-AG$16),INDEX('AEA2012 update'!$AC$6:$AG$104,MATCH($T21&amp;$U21,'AEA2012 update'!$A$6:$A$104&amp;'AEA2012 update'!$B$6:$B$104,0),MATCH(AH$16,'AEA2012 update'!$AC$4:$AG$4,0)))</f>
        <v>2.0940078279211165</v>
      </c>
      <c r="AJ21" s="257">
        <f t="shared" ref="AJ21:AJ89" si="8">-((AD21-AE21)/($AE$16-$AD$16))/AD21</f>
        <v>-4.9750416666666797E-3</v>
      </c>
      <c r="AK21" s="257">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25">
      <c r="E22" s="61" t="s">
        <v>686</v>
      </c>
      <c r="F22" s="61">
        <v>1.6</v>
      </c>
      <c r="N22" s="61" t="s">
        <v>511</v>
      </c>
      <c r="O22" s="61" t="s">
        <v>613</v>
      </c>
      <c r="P22" s="61" t="s">
        <v>555</v>
      </c>
      <c r="Q22" s="61" t="str">
        <f t="shared" si="6"/>
        <v>CAR</v>
      </c>
      <c r="R22" s="61" t="s">
        <v>680</v>
      </c>
      <c r="T22" s="256" t="s">
        <v>681</v>
      </c>
      <c r="U22" s="256" t="s">
        <v>687</v>
      </c>
      <c r="V22" s="103">
        <f t="array" ref="V22">IF(V$18,INDEX('AEA2012 update'!$K$6:$R$104,MATCH($T22&amp;$R22,'AEA2012 update'!$A$6:$A$104&amp;'AEA2012 update'!$B$6:$B$104,0),MATCH(V$16,'AEA2012 update'!$S$4:$Z$4,0)),INDEX('AEA2012 update'!$K$6:$R$104,MATCH($T22&amp;$U22,'AEA2012 update'!$A$6:$A$104&amp;'AEA2012 update'!$B$6:$B$104,0),MATCH(V$16,'AEA2012 update'!$S$4:$Z$4,0)))</f>
        <v>328443.28314829268</v>
      </c>
      <c r="W22" s="103">
        <f t="array" ref="W22">IF(W$18,INDEX('AEA2012 update'!$K$6:$R$104,MATCH($T22&amp;$R22,'AEA2012 update'!$A$6:$A$104&amp;'AEA2012 update'!$B$6:$B$104,0),MATCH(W$16,'AEA2012 update'!$S$4:$Z$4,0)),INDEX('AEA2012 update'!$K$6:$R$104,MATCH($T22&amp;$U22,'AEA2012 update'!$A$6:$A$104&amp;'AEA2012 update'!$B$6:$B$104,0),MATCH(W$16,'AEA2012 update'!$S$4:$Z$4,0)))</f>
        <v>360544.93702527508</v>
      </c>
      <c r="X22" s="103">
        <f t="array" ref="X22">IF(X$18,INDEX('AEA2012 update'!$K$6:$R$104,MATCH($T22&amp;$R22,'AEA2012 update'!$A$6:$A$104&amp;'AEA2012 update'!$B$6:$B$104,0),MATCH(X$16,'AEA2012 update'!$S$4:$Z$4,0)),INDEX('AEA2012 update'!$K$6:$R$104,MATCH($T22&amp;$U22,'AEA2012 update'!$A$6:$A$104&amp;'AEA2012 update'!$B$6:$B$104,0),MATCH(X$16,'AEA2012 update'!$S$4:$Z$4,0)))</f>
        <v>366150.82503153011</v>
      </c>
      <c r="Y22" s="103">
        <f t="array" ref="Y22">IF(Y$18,INDEX('AEA2012 update'!$K$6:$R$104,MATCH($T22&amp;$R22,'AEA2012 update'!$A$6:$A$104&amp;'AEA2012 update'!$B$6:$B$104,0),MATCH(Y$16,'AEA2012 update'!$S$4:$Z$4,0)),INDEX('AEA2012 update'!$K$6:$R$104,MATCH($T22&amp;$U22,'AEA2012 update'!$A$6:$A$104&amp;'AEA2012 update'!$B$6:$B$104,0),MATCH(Y$16,'AEA2012 update'!$S$4:$Z$4,0)))</f>
        <v>248549.77442435178</v>
      </c>
      <c r="Z22" s="103">
        <f t="array" ref="Z22">IF(Z$18,INDEX('AEA2012 update'!$K$6:$R$104,MATCH($T22&amp;$R22,'AEA2012 update'!$A$6:$A$104&amp;'AEA2012 update'!$B$6:$B$104,0),MATCH(Z$16,'AEA2012 update'!$S$4:$Z$4,0)),INDEX('AEA2012 update'!$K$6:$R$104,MATCH($T22&amp;$U22,'AEA2012 update'!$A$6:$A$104&amp;'AEA2012 update'!$B$6:$B$104,0),MATCH(Z$16,'AEA2012 update'!$S$4:$Z$4,0)))</f>
        <v>251273.34974387253</v>
      </c>
      <c r="AA22" s="103">
        <f t="array" ref="AA22">IF(AA$18,INDEX('AEA2012 update'!$K$6:$R$104,MATCH($T22&amp;$R22,'AEA2012 update'!$A$6:$A$104&amp;'AEA2012 update'!$B$6:$B$104,0),MATCH(AA$16,'AEA2012 update'!$S$4:$Z$4,0)),INDEX('AEA2012 update'!$K$6:$R$104,MATCH($T22&amp;$U22,'AEA2012 update'!$A$6:$A$104&amp;'AEA2012 update'!$B$6:$B$104,0),MATCH(AA$16,'AEA2012 update'!$S$4:$Z$4,0)))</f>
        <v>253996.92506339328</v>
      </c>
      <c r="AB22" s="103">
        <f t="array" ref="AB22">IF(AB$18,INDEX('AEA2012 update'!$K$6:$R$104,MATCH($T22&amp;$R22,'AEA2012 update'!$A$6:$A$104&amp;'AEA2012 update'!$B$6:$B$104,0),MATCH(AB$16,'AEA2012 update'!$S$4:$Z$4,0)),INDEX('AEA2012 update'!$K$6:$R$104,MATCH($T22&amp;$U22,'AEA2012 update'!$A$6:$A$104&amp;'AEA2012 update'!$B$6:$B$104,0),MATCH(AB$16,'AEA2012 update'!$S$4:$Z$4,0)))</f>
        <v>257172.600668175</v>
      </c>
      <c r="AC22" s="103" t="str">
        <f t="shared" si="7"/>
        <v>CARODS</v>
      </c>
      <c r="AD22" s="67">
        <f>1/INDEX(Analytica!$AA$17:$AE$48,MATCH($AC22,Analytica!$A$17:$A$48,0),MATCH(AD$16,Analytica!$AA$16:$AE$16,0))</f>
        <v>3.0120320555337368</v>
      </c>
      <c r="AE22" s="67">
        <f t="array" ref="AE22">IF($W$1,AD22*(1+INDEX(AE$1:AE$2,MATCH($O22,$AA$1:$AA$2,0)))^(AE$16-AD$16),INDEX('AEA2012 update'!$AC$6:$AG$104,MATCH($T22&amp;$U22,'AEA2012 update'!$A$6:$A$104&amp;'AEA2012 update'!$B$6:$B$104,0),MATCH(AE$16,'AEA2012 update'!$AC$4:$AG$4,0)))</f>
        <v>2.9670771006008887</v>
      </c>
      <c r="AF22" s="67">
        <f t="array" ref="AF22">IF($W$1,AE22*(1+INDEX(AF$1:AF$2,MATCH($O22,$AA$1:$AA$2,0)))^(AF$16-AE$16),INDEX('AEA2012 update'!$AC$6:$AG$104,MATCH($T22&amp;$U22,'AEA2012 update'!$A$6:$A$104&amp;'AEA2012 update'!$B$6:$B$104,0),MATCH(AF$16,'AEA2012 update'!$AC$4:$AG$4,0)))</f>
        <v>2.7519084775392222</v>
      </c>
      <c r="AG22" s="67">
        <f t="array" ref="AG22">IF($W$1,AF22*(1+INDEX(AG$1:AG$2,MATCH($O22,$AA$1:$AA$2,0)))^(AG$16-AF$16),INDEX('AEA2012 update'!$AC$6:$AG$104,MATCH($T22&amp;$U22,'AEA2012 update'!$A$6:$A$104&amp;'AEA2012 update'!$B$6:$B$104,0),MATCH(AG$16,'AEA2012 update'!$AC$4:$AG$4,0)))</f>
        <v>2.4887766991512414</v>
      </c>
      <c r="AH22" s="67">
        <f t="array" ref="AH22">IF($W$1,AG22*(1+INDEX(AH$1:AH$2,MATCH($O22,$AA$1:$AA$2,0)))^(AH$16-AG$16),INDEX('AEA2012 update'!$AC$6:$AG$104,MATCH($T22&amp;$U22,'AEA2012 update'!$A$6:$A$104&amp;'AEA2012 update'!$B$6:$B$104,0),MATCH(AH$16,'AEA2012 update'!$AC$4:$AG$4,0)))</f>
        <v>2.2508050354119624</v>
      </c>
      <c r="AJ22" s="257">
        <f t="shared" si="8"/>
        <v>-4.975041666666678E-3</v>
      </c>
      <c r="AK22" s="257">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25">
      <c r="N23" s="61" t="s">
        <v>519</v>
      </c>
      <c r="O23" s="61" t="s">
        <v>613</v>
      </c>
      <c r="P23" s="61" t="s">
        <v>555</v>
      </c>
      <c r="Q23" s="61" t="str">
        <f t="shared" si="6"/>
        <v>CAR</v>
      </c>
      <c r="R23" s="61" t="s">
        <v>680</v>
      </c>
      <c r="S23" s="65"/>
      <c r="T23" s="256" t="s">
        <v>681</v>
      </c>
      <c r="U23" s="256" t="s">
        <v>688</v>
      </c>
      <c r="V23" s="103">
        <f t="array" ref="V23">IF(V$18,INDEX('AEA2012 update'!$K$6:$R$104,MATCH($T23&amp;$R23,'AEA2012 update'!$A$6:$A$104&amp;'AEA2012 update'!$B$6:$B$104,0),MATCH(V$16,'AEA2012 update'!$S$4:$Z$4,0)),INDEX('AEA2012 update'!$K$6:$R$104,MATCH($T23&amp;$U23,'AEA2012 update'!$A$6:$A$104&amp;'AEA2012 update'!$B$6:$B$104,0),MATCH(V$16,'AEA2012 update'!$S$4:$Z$4,0)))</f>
        <v>463914.82511277962</v>
      </c>
      <c r="W23" s="103">
        <f t="array" ref="W23">IF(W$18,INDEX('AEA2012 update'!$K$6:$R$104,MATCH($T23&amp;$R23,'AEA2012 update'!$A$6:$A$104&amp;'AEA2012 update'!$B$6:$B$104,0),MATCH(W$16,'AEA2012 update'!$S$4:$Z$4,0)),INDEX('AEA2012 update'!$K$6:$R$104,MATCH($T23&amp;$U23,'AEA2012 update'!$A$6:$A$104&amp;'AEA2012 update'!$B$6:$B$104,0),MATCH(W$16,'AEA2012 update'!$S$4:$Z$4,0)))</f>
        <v>440435.38283569075</v>
      </c>
      <c r="X23" s="103">
        <f t="array" ref="X23">IF(X$18,INDEX('AEA2012 update'!$K$6:$R$104,MATCH($T23&amp;$R23,'AEA2012 update'!$A$6:$A$104&amp;'AEA2012 update'!$B$6:$B$104,0),MATCH(X$16,'AEA2012 update'!$S$4:$Z$4,0)),INDEX('AEA2012 update'!$K$6:$R$104,MATCH($T23&amp;$U23,'AEA2012 update'!$A$6:$A$104&amp;'AEA2012 update'!$B$6:$B$104,0),MATCH(X$16,'AEA2012 update'!$S$4:$Z$4,0)))</f>
        <v>436635.14806228853</v>
      </c>
      <c r="Y23" s="103">
        <f t="array" ref="Y23">IF(Y$18,INDEX('AEA2012 update'!$K$6:$R$104,MATCH($T23&amp;$R23,'AEA2012 update'!$A$6:$A$104&amp;'AEA2012 update'!$B$6:$B$104,0),MATCH(Y$16,'AEA2012 update'!$S$4:$Z$4,0)),INDEX('AEA2012 update'!$K$6:$R$104,MATCH($T23&amp;$U23,'AEA2012 update'!$A$6:$A$104&amp;'AEA2012 update'!$B$6:$B$104,0),MATCH(Y$16,'AEA2012 update'!$S$4:$Z$4,0)))</f>
        <v>248549.77442435178</v>
      </c>
      <c r="Z23" s="103">
        <f t="array" ref="Z23">IF(Z$18,INDEX('AEA2012 update'!$K$6:$R$104,MATCH($T23&amp;$R23,'AEA2012 update'!$A$6:$A$104&amp;'AEA2012 update'!$B$6:$B$104,0),MATCH(Z$16,'AEA2012 update'!$S$4:$Z$4,0)),INDEX('AEA2012 update'!$K$6:$R$104,MATCH($T23&amp;$U23,'AEA2012 update'!$A$6:$A$104&amp;'AEA2012 update'!$B$6:$B$104,0),MATCH(Z$16,'AEA2012 update'!$S$4:$Z$4,0)))</f>
        <v>251273.34974387253</v>
      </c>
      <c r="AA23" s="103">
        <f t="array" ref="AA23">IF(AA$18,INDEX('AEA2012 update'!$K$6:$R$104,MATCH($T23&amp;$R23,'AEA2012 update'!$A$6:$A$104&amp;'AEA2012 update'!$B$6:$B$104,0),MATCH(AA$16,'AEA2012 update'!$S$4:$Z$4,0)),INDEX('AEA2012 update'!$K$6:$R$104,MATCH($T23&amp;$U23,'AEA2012 update'!$A$6:$A$104&amp;'AEA2012 update'!$B$6:$B$104,0),MATCH(AA$16,'AEA2012 update'!$S$4:$Z$4,0)))</f>
        <v>253996.92506339328</v>
      </c>
      <c r="AB23" s="103">
        <f t="array" ref="AB23">IF(AB$18,INDEX('AEA2012 update'!$K$6:$R$104,MATCH($T23&amp;$R23,'AEA2012 update'!$A$6:$A$104&amp;'AEA2012 update'!$B$6:$B$104,0),MATCH(AB$16,'AEA2012 update'!$S$4:$Z$4,0)),INDEX('AEA2012 update'!$K$6:$R$104,MATCH($T23&amp;$U23,'AEA2012 update'!$A$6:$A$104&amp;'AEA2012 update'!$B$6:$B$104,0),MATCH(AB$16,'AEA2012 update'!$S$4:$Z$4,0)))</f>
        <v>257172.600668175</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 update'!$AC$6:$AG$104,MATCH($T23&amp;$U23,'AEA2012 update'!$A$6:$A$104&amp;'AEA2012 update'!$B$6:$B$104,0),MATCH(AE$16,'AEA2012 update'!$AC$4:$AG$4,0)))</f>
        <v>2.1091953319464904</v>
      </c>
      <c r="AF23" s="67">
        <f t="array" ref="AF23">IF($W$1,AE23*(1+INDEX(AF$1:AF$2,MATCH($O23,$AA$1:$AA$2,0)))^(AF$16-AE$16),INDEX('AEA2012 update'!$AC$6:$AG$104,MATCH($T23&amp;$U23,'AEA2012 update'!$A$6:$A$104&amp;'AEA2012 update'!$B$6:$B$104,0),MATCH(AF$16,'AEA2012 update'!$AC$4:$AG$4,0)))</f>
        <v>1.9562391936475862</v>
      </c>
      <c r="AG23" s="67">
        <f t="array" ref="AG23">IF($W$1,AF23*(1+INDEX(AG$1:AG$2,MATCH($O23,$AA$1:$AA$2,0)))^(AG$16-AF$16),INDEX('AEA2012 update'!$AC$6:$AG$104,MATCH($T23&amp;$U23,'AEA2012 update'!$A$6:$A$104&amp;'AEA2012 update'!$B$6:$B$104,0),MATCH(AG$16,'AEA2012 update'!$AC$4:$AG$4,0)))</f>
        <v>1.7691876611645543</v>
      </c>
      <c r="AH23" s="67">
        <f t="array" ref="AH23">IF($W$1,AG23*(1+INDEX(AH$1:AH$2,MATCH($O23,$AA$1:$AA$2,0)))^(AH$16-AG$16),INDEX('AEA2012 update'!$AC$6:$AG$104,MATCH($T23&amp;$U23,'AEA2012 update'!$A$6:$A$104&amp;'AEA2012 update'!$B$6:$B$104,0),MATCH(AH$16,'AEA2012 update'!$AC$4:$AG$4,0)))</f>
        <v>1.6000216080839729</v>
      </c>
      <c r="AJ23" s="257">
        <f t="shared" si="8"/>
        <v>-4.9750416666666866E-3</v>
      </c>
      <c r="AK23" s="257">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25">
      <c r="N24" s="61" t="s">
        <v>521</v>
      </c>
      <c r="O24" s="61" t="s">
        <v>613</v>
      </c>
      <c r="P24" s="61" t="s">
        <v>555</v>
      </c>
      <c r="Q24" s="61" t="str">
        <f t="shared" si="6"/>
        <v>CAR</v>
      </c>
      <c r="R24" s="61" t="s">
        <v>680</v>
      </c>
      <c r="S24" s="65"/>
      <c r="T24" s="256" t="s">
        <v>681</v>
      </c>
      <c r="U24" s="256" t="s">
        <v>689</v>
      </c>
      <c r="V24" s="103">
        <f t="array" ref="V24">IF(V$18,INDEX('AEA2012 update'!$K$6:$R$104,MATCH($T24&amp;$R24,'AEA2012 update'!$A$6:$A$104&amp;'AEA2012 update'!$B$6:$B$104,0),MATCH(V$16,'AEA2012 update'!$S$4:$Z$4,0)),INDEX('AEA2012 update'!$K$6:$R$104,MATCH($T24&amp;$U24,'AEA2012 update'!$A$6:$A$104&amp;'AEA2012 update'!$B$6:$B$104,0),MATCH(V$16,'AEA2012 update'!$S$4:$Z$4,0)))</f>
        <v>676856.89554145606</v>
      </c>
      <c r="W24" s="103">
        <f t="array" ref="W24">IF(W$18,INDEX('AEA2012 update'!$K$6:$R$104,MATCH($T24&amp;$R24,'AEA2012 update'!$A$6:$A$104&amp;'AEA2012 update'!$B$6:$B$104,0),MATCH(W$16,'AEA2012 update'!$S$4:$Z$4,0)),INDEX('AEA2012 update'!$K$6:$R$104,MATCH($T24&amp;$U24,'AEA2012 update'!$A$6:$A$104&amp;'AEA2012 update'!$B$6:$B$104,0),MATCH(W$16,'AEA2012 update'!$S$4:$Z$4,0)))</f>
        <v>660653.07425353606</v>
      </c>
      <c r="X24" s="103">
        <f t="array" ref="X24">IF(X$18,INDEX('AEA2012 update'!$K$6:$R$104,MATCH($T24&amp;$R24,'AEA2012 update'!$A$6:$A$104&amp;'AEA2012 update'!$B$6:$B$104,0),MATCH(X$16,'AEA2012 update'!$S$4:$Z$4,0)),INDEX('AEA2012 update'!$K$6:$R$104,MATCH($T24&amp;$U24,'AEA2012 update'!$A$6:$A$104&amp;'AEA2012 update'!$B$6:$B$104,0),MATCH(X$16,'AEA2012 update'!$S$4:$Z$4,0)))</f>
        <v>655423.85807417962</v>
      </c>
      <c r="Y24" s="103">
        <f t="array" ref="Y24">IF(Y$18,INDEX('AEA2012 update'!$K$6:$R$104,MATCH($T24&amp;$R24,'AEA2012 update'!$A$6:$A$104&amp;'AEA2012 update'!$B$6:$B$104,0),MATCH(Y$16,'AEA2012 update'!$S$4:$Z$4,0)),INDEX('AEA2012 update'!$K$6:$R$104,MATCH($T24&amp;$U24,'AEA2012 update'!$A$6:$A$104&amp;'AEA2012 update'!$B$6:$B$104,0),MATCH(Y$16,'AEA2012 update'!$S$4:$Z$4,0)))</f>
        <v>248549.77442435178</v>
      </c>
      <c r="Z24" s="103">
        <f t="array" ref="Z24">IF(Z$18,INDEX('AEA2012 update'!$K$6:$R$104,MATCH($T24&amp;$R24,'AEA2012 update'!$A$6:$A$104&amp;'AEA2012 update'!$B$6:$B$104,0),MATCH(Z$16,'AEA2012 update'!$S$4:$Z$4,0)),INDEX('AEA2012 update'!$K$6:$R$104,MATCH($T24&amp;$U24,'AEA2012 update'!$A$6:$A$104&amp;'AEA2012 update'!$B$6:$B$104,0),MATCH(Z$16,'AEA2012 update'!$S$4:$Z$4,0)))</f>
        <v>251273.34974387253</v>
      </c>
      <c r="AA24" s="103">
        <f t="array" ref="AA24">IF(AA$18,INDEX('AEA2012 update'!$K$6:$R$104,MATCH($T24&amp;$R24,'AEA2012 update'!$A$6:$A$104&amp;'AEA2012 update'!$B$6:$B$104,0),MATCH(AA$16,'AEA2012 update'!$S$4:$Z$4,0)),INDEX('AEA2012 update'!$K$6:$R$104,MATCH($T24&amp;$U24,'AEA2012 update'!$A$6:$A$104&amp;'AEA2012 update'!$B$6:$B$104,0),MATCH(AA$16,'AEA2012 update'!$S$4:$Z$4,0)))</f>
        <v>253996.92506339328</v>
      </c>
      <c r="AB24" s="103">
        <f t="array" ref="AB24">IF(AB$18,INDEX('AEA2012 update'!$K$6:$R$104,MATCH($T24&amp;$R24,'AEA2012 update'!$A$6:$A$104&amp;'AEA2012 update'!$B$6:$B$104,0),MATCH(AB$16,'AEA2012 update'!$S$4:$Z$4,0)),INDEX('AEA2012 update'!$K$6:$R$104,MATCH($T24&amp;$U24,'AEA2012 update'!$A$6:$A$104&amp;'AEA2012 update'!$B$6:$B$104,0),MATCH(AB$16,'AEA2012 update'!$S$4:$Z$4,0)))</f>
        <v>257172.600668175</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 update'!$AC$6:$AG$104,MATCH($T24&amp;$U24,'AEA2012 update'!$A$6:$A$104&amp;'AEA2012 update'!$B$6:$B$104,0),MATCH(AE$16,'AEA2012 update'!$AC$4:$AG$4,0)))</f>
        <v>1.7611503546535743</v>
      </c>
      <c r="AF24" s="67">
        <f t="array" ref="AF24">IF($W$1,AE24*(1+INDEX(AF$1:AF$2,MATCH($O24,$AA$1:$AA$2,0)))^(AF$16-AE$16),INDEX('AEA2012 update'!$AC$6:$AG$104,MATCH($T24&amp;$U24,'AEA2012 update'!$A$6:$A$104&amp;'AEA2012 update'!$B$6:$B$104,0),MATCH(AF$16,'AEA2012 update'!$AC$4:$AG$4,0)))</f>
        <v>1.633433991388652</v>
      </c>
      <c r="AG24" s="67">
        <f t="array" ref="AG24">IF($W$1,AF24*(1+INDEX(AG$1:AG$2,MATCH($O24,$AA$1:$AA$2,0)))^(AG$16-AF$16),INDEX('AEA2012 update'!$AC$6:$AG$104,MATCH($T24&amp;$U24,'AEA2012 update'!$A$6:$A$104&amp;'AEA2012 update'!$B$6:$B$104,0),MATCH(AG$16,'AEA2012 update'!$AC$4:$AG$4,0)))</f>
        <v>1.4772484225219824</v>
      </c>
      <c r="AH24" s="67">
        <f t="array" ref="AH24">IF($W$1,AG24*(1+INDEX(AH$1:AH$2,MATCH($O24,$AA$1:$AA$2,0)))^(AH$16-AG$16),INDEX('AEA2012 update'!$AC$6:$AG$104,MATCH($T24&amp;$U24,'AEA2012 update'!$A$6:$A$104&amp;'AEA2012 update'!$B$6:$B$104,0),MATCH(AH$16,'AEA2012 update'!$AC$4:$AG$4,0)))</f>
        <v>1.3359969936639133</v>
      </c>
      <c r="AJ24" s="257">
        <f t="shared" si="8"/>
        <v>-4.9750416666666797E-3</v>
      </c>
      <c r="AK24" s="257">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25">
      <c r="H25" s="61">
        <v>2018</v>
      </c>
      <c r="I25" s="61">
        <v>2020</v>
      </c>
      <c r="N25" s="61" t="s">
        <v>690</v>
      </c>
      <c r="O25" s="61" t="s">
        <v>613</v>
      </c>
      <c r="P25" s="61" t="s">
        <v>555</v>
      </c>
      <c r="Q25" s="61" t="str">
        <f t="shared" si="6"/>
        <v>CAR</v>
      </c>
      <c r="R25" s="61" t="s">
        <v>680</v>
      </c>
      <c r="S25" s="65"/>
      <c r="T25" s="256" t="s">
        <v>681</v>
      </c>
      <c r="U25" s="256" t="s">
        <v>691</v>
      </c>
      <c r="V25" s="103">
        <f t="array" ref="V25">IF(V$18,INDEX('AEA2012 update'!$K$6:$R$104,MATCH($T25&amp;$R25,'AEA2012 update'!$A$6:$A$104&amp;'AEA2012 update'!$B$6:$B$104,0),MATCH(V$16,'AEA2012 update'!$S$4:$Z$4,0)),INDEX('AEA2012 update'!$K$6:$R$104,MATCH($T25&amp;$U25,'AEA2012 update'!$A$6:$A$104&amp;'AEA2012 update'!$B$6:$B$104,0),MATCH(V$16,'AEA2012 update'!$S$4:$Z$4,0)))</f>
        <v>721264.32330352848</v>
      </c>
      <c r="W25" s="103">
        <f t="array" ref="W25">IF(W$18,INDEX('AEA2012 update'!$K$6:$R$104,MATCH($T25&amp;$R25,'AEA2012 update'!$A$6:$A$104&amp;'AEA2012 update'!$B$6:$B$104,0),MATCH(W$16,'AEA2012 update'!$S$4:$Z$4,0)),INDEX('AEA2012 update'!$K$6:$R$104,MATCH($T25&amp;$U25,'AEA2012 update'!$A$6:$A$104&amp;'AEA2012 update'!$B$6:$B$104,0),MATCH(W$16,'AEA2012 update'!$S$4:$Z$4,0)))</f>
        <v>585779.0591714686</v>
      </c>
      <c r="X25" s="103">
        <f t="array" ref="X25">IF(X$18,INDEX('AEA2012 update'!$K$6:$R$104,MATCH($T25&amp;$R25,'AEA2012 update'!$A$6:$A$104&amp;'AEA2012 update'!$B$6:$B$104,0),MATCH(X$16,'AEA2012 update'!$S$4:$Z$4,0)),INDEX('AEA2012 update'!$K$6:$R$104,MATCH($T25&amp;$U25,'AEA2012 update'!$A$6:$A$104&amp;'AEA2012 update'!$B$6:$B$104,0),MATCH(X$16,'AEA2012 update'!$S$4:$Z$4,0)))</f>
        <v>567630.06516271632</v>
      </c>
      <c r="Y25" s="103">
        <f t="array" ref="Y25">IF(Y$18,INDEX('AEA2012 update'!$K$6:$R$104,MATCH($T25&amp;$R25,'AEA2012 update'!$A$6:$A$104&amp;'AEA2012 update'!$B$6:$B$104,0),MATCH(Y$16,'AEA2012 update'!$S$4:$Z$4,0)),INDEX('AEA2012 update'!$K$6:$R$104,MATCH($T25&amp;$U25,'AEA2012 update'!$A$6:$A$104&amp;'AEA2012 update'!$B$6:$B$104,0),MATCH(Y$16,'AEA2012 update'!$S$4:$Z$4,0)))</f>
        <v>248549.77442435178</v>
      </c>
      <c r="Z25" s="103">
        <f t="array" ref="Z25">IF(Z$18,INDEX('AEA2012 update'!$K$6:$R$104,MATCH($T25&amp;$R25,'AEA2012 update'!$A$6:$A$104&amp;'AEA2012 update'!$B$6:$B$104,0),MATCH(Z$16,'AEA2012 update'!$S$4:$Z$4,0)),INDEX('AEA2012 update'!$K$6:$R$104,MATCH($T25&amp;$U25,'AEA2012 update'!$A$6:$A$104&amp;'AEA2012 update'!$B$6:$B$104,0),MATCH(Z$16,'AEA2012 update'!$S$4:$Z$4,0)))</f>
        <v>251273.34974387253</v>
      </c>
      <c r="AA25" s="103">
        <f t="array" ref="AA25">IF(AA$18,INDEX('AEA2012 update'!$K$6:$R$104,MATCH($T25&amp;$R25,'AEA2012 update'!$A$6:$A$104&amp;'AEA2012 update'!$B$6:$B$104,0),MATCH(AA$16,'AEA2012 update'!$S$4:$Z$4,0)),INDEX('AEA2012 update'!$K$6:$R$104,MATCH($T25&amp;$U25,'AEA2012 update'!$A$6:$A$104&amp;'AEA2012 update'!$B$6:$B$104,0),MATCH(AA$16,'AEA2012 update'!$S$4:$Z$4,0)))</f>
        <v>253996.92506339328</v>
      </c>
      <c r="AB25" s="103">
        <f t="array" ref="AB25">IF(AB$18,INDEX('AEA2012 update'!$K$6:$R$104,MATCH($T25&amp;$R25,'AEA2012 update'!$A$6:$A$104&amp;'AEA2012 update'!$B$6:$B$104,0),MATCH(AB$16,'AEA2012 update'!$S$4:$Z$4,0)),INDEX('AEA2012 update'!$K$6:$R$104,MATCH($T25&amp;$U25,'AEA2012 update'!$A$6:$A$104&amp;'AEA2012 update'!$B$6:$B$104,0),MATCH(AB$16,'AEA2012 update'!$S$4:$Z$4,0)))</f>
        <v>257172.600668175</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 update'!$AC$6:$AG$104,MATCH($T25&amp;$U25,'AEA2012 update'!$A$6:$A$104&amp;'AEA2012 update'!$B$6:$B$104,0),MATCH(AE$16,'AEA2012 update'!$AC$4:$AG$4,0)))</f>
        <v>1.6766742214101411</v>
      </c>
      <c r="AF25" s="67">
        <f t="array" ref="AF25">IF($W$1,AE25*(1+INDEX(AF$1:AF$2,MATCH($O25,$AA$1:$AA$2,0)))^(AF$16-AE$16),INDEX('AEA2012 update'!$AC$6:$AG$104,MATCH($T25&amp;$U25,'AEA2012 update'!$A$6:$A$104&amp;'AEA2012 update'!$B$6:$B$104,0),MATCH(AF$16,'AEA2012 update'!$AC$4:$AG$4,0)))</f>
        <v>1.5550839589020486</v>
      </c>
      <c r="AG25" s="67">
        <f t="array" ref="AG25">IF($W$1,AF25*(1+INDEX(AG$1:AG$2,MATCH($O25,$AA$1:$AA$2,0)))^(AG$16-AF$16),INDEX('AEA2012 update'!$AC$6:$AG$104,MATCH($T25&amp;$U25,'AEA2012 update'!$A$6:$A$104&amp;'AEA2012 update'!$B$6:$B$104,0),MATCH(AG$16,'AEA2012 update'!$AC$4:$AG$4,0)))</f>
        <v>1.406390057564741</v>
      </c>
      <c r="AH25" s="67">
        <f t="array" ref="AH25">IF($W$1,AG25*(1+INDEX(AH$1:AH$2,MATCH($O25,$AA$1:$AA$2,0)))^(AH$16-AG$16),INDEX('AEA2012 update'!$AC$6:$AG$104,MATCH($T25&amp;$U25,'AEA2012 update'!$A$6:$A$104&amp;'AEA2012 update'!$B$6:$B$104,0),MATCH(AH$16,'AEA2012 update'!$AC$4:$AG$4,0)))</f>
        <v>1.2719139585321522</v>
      </c>
      <c r="AJ25" s="257">
        <f t="shared" si="8"/>
        <v>-4.9750416666666649E-3</v>
      </c>
      <c r="AK25" s="257">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56" t="s">
        <v>681</v>
      </c>
      <c r="U26" s="256" t="s">
        <v>695</v>
      </c>
      <c r="V26" s="103">
        <f t="array" ref="V26">IF(V$18,INDEX('AEA2012 update'!$K$6:$R$104,MATCH($T26&amp;$R26,'AEA2012 update'!$A$6:$A$104&amp;'AEA2012 update'!$B$6:$B$104,0),MATCH(V$16,'AEA2012 update'!$S$4:$Z$4,0)),INDEX('AEA2012 update'!$K$6:$R$104,MATCH($T26&amp;$U26,'AEA2012 update'!$A$6:$A$104&amp;'AEA2012 update'!$B$6:$B$104,0),MATCH(V$16,'AEA2012 update'!$S$4:$Z$4,0)))</f>
        <v>1063174.3490159395</v>
      </c>
      <c r="W26" s="103">
        <f t="array" ref="W26">IF(W$18,INDEX('AEA2012 update'!$K$6:$R$104,MATCH($T26&amp;$R26,'AEA2012 update'!$A$6:$A$104&amp;'AEA2012 update'!$B$6:$B$104,0),MATCH(W$16,'AEA2012 update'!$S$4:$Z$4,0)),INDEX('AEA2012 update'!$K$6:$R$104,MATCH($T26&amp;$U26,'AEA2012 update'!$A$6:$A$104&amp;'AEA2012 update'!$B$6:$B$104,0),MATCH(W$16,'AEA2012 update'!$S$4:$Z$4,0)))</f>
        <v>878668.58875720296</v>
      </c>
      <c r="X26" s="103">
        <f t="array" ref="X26">IF(X$18,INDEX('AEA2012 update'!$K$6:$R$104,MATCH($T26&amp;$R26,'AEA2012 update'!$A$6:$A$104&amp;'AEA2012 update'!$B$6:$B$104,0),MATCH(X$16,'AEA2012 update'!$S$4:$Z$4,0)),INDEX('AEA2012 update'!$K$6:$R$104,MATCH($T26&amp;$U26,'AEA2012 update'!$A$6:$A$104&amp;'AEA2012 update'!$B$6:$B$104,0),MATCH(X$16,'AEA2012 update'!$S$4:$Z$4,0)))</f>
        <v>851972.15227518079</v>
      </c>
      <c r="Y26" s="103">
        <f t="array" ref="Y26">IF(Y$18,INDEX('AEA2012 update'!$K$6:$R$104,MATCH($T26&amp;$R26,'AEA2012 update'!$A$6:$A$104&amp;'AEA2012 update'!$B$6:$B$104,0),MATCH(Y$16,'AEA2012 update'!$S$4:$Z$4,0)),INDEX('AEA2012 update'!$K$6:$R$104,MATCH($T26&amp;$U26,'AEA2012 update'!$A$6:$A$104&amp;'AEA2012 update'!$B$6:$B$104,0),MATCH(Y$16,'AEA2012 update'!$S$4:$Z$4,0)))</f>
        <v>248549.77442435178</v>
      </c>
      <c r="Z26" s="103">
        <f t="array" ref="Z26">IF(Z$18,INDEX('AEA2012 update'!$K$6:$R$104,MATCH($T26&amp;$R26,'AEA2012 update'!$A$6:$A$104&amp;'AEA2012 update'!$B$6:$B$104,0),MATCH(Z$16,'AEA2012 update'!$S$4:$Z$4,0)),INDEX('AEA2012 update'!$K$6:$R$104,MATCH($T26&amp;$U26,'AEA2012 update'!$A$6:$A$104&amp;'AEA2012 update'!$B$6:$B$104,0),MATCH(Z$16,'AEA2012 update'!$S$4:$Z$4,0)))</f>
        <v>251273.34974387253</v>
      </c>
      <c r="AA26" s="103">
        <f t="array" ref="AA26">IF(AA$18,INDEX('AEA2012 update'!$K$6:$R$104,MATCH($T26&amp;$R26,'AEA2012 update'!$A$6:$A$104&amp;'AEA2012 update'!$B$6:$B$104,0),MATCH(AA$16,'AEA2012 update'!$S$4:$Z$4,0)),INDEX('AEA2012 update'!$K$6:$R$104,MATCH($T26&amp;$U26,'AEA2012 update'!$A$6:$A$104&amp;'AEA2012 update'!$B$6:$B$104,0),MATCH(AA$16,'AEA2012 update'!$S$4:$Z$4,0)))</f>
        <v>253996.92506339328</v>
      </c>
      <c r="AB26" s="103">
        <f t="array" ref="AB26">IF(AB$18,INDEX('AEA2012 update'!$K$6:$R$104,MATCH($T26&amp;$R26,'AEA2012 update'!$A$6:$A$104&amp;'AEA2012 update'!$B$6:$B$104,0),MATCH(AB$16,'AEA2012 update'!$S$4:$Z$4,0)),INDEX('AEA2012 update'!$K$6:$R$104,MATCH($T26&amp;$U26,'AEA2012 update'!$A$6:$A$104&amp;'AEA2012 update'!$B$6:$B$104,0),MATCH(AB$16,'AEA2012 update'!$S$4:$Z$4,0)))</f>
        <v>257172.600668175</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 update'!$AC$6:$AG$104,MATCH($T26&amp;$U26,'AEA2012 update'!$A$6:$A$104&amp;'AEA2012 update'!$B$6:$B$104,0),MATCH(AE$16,'AEA2012 update'!$AC$4:$AG$4,0)))</f>
        <v>1.4347778963018374</v>
      </c>
      <c r="AF26" s="67">
        <f t="array" ref="AF26">IF($W$1,AE26*(1+INDEX(AF$1:AF$2,MATCH($O26,$AA$1:$AA$2,0)))^(AF$16-AE$16),INDEX('AEA2012 update'!$AC$6:$AG$104,MATCH($T26&amp;$U26,'AEA2012 update'!$A$6:$A$104&amp;'AEA2012 update'!$B$6:$B$104,0),MATCH(AF$16,'AEA2012 update'!$AC$4:$AG$4,0)))</f>
        <v>1.3307296448141832</v>
      </c>
      <c r="AG26" s="67">
        <f t="array" ref="AG26">IF($W$1,AF26*(1+INDEX(AG$1:AG$2,MATCH($O26,$AA$1:$AA$2,0)))^(AG$16-AF$16),INDEX('AEA2012 update'!$AC$6:$AG$104,MATCH($T26&amp;$U26,'AEA2012 update'!$A$6:$A$104&amp;'AEA2012 update'!$B$6:$B$104,0),MATCH(AG$16,'AEA2012 update'!$AC$4:$AG$4,0)))</f>
        <v>1.2034880374527801</v>
      </c>
      <c r="AH26" s="67">
        <f t="array" ref="AH26">IF($W$1,AG26*(1+INDEX(AH$1:AH$2,MATCH($O26,$AA$1:$AA$2,0)))^(AH$16-AG$16),INDEX('AEA2012 update'!$AC$6:$AG$104,MATCH($T26&amp;$U26,'AEA2012 update'!$A$6:$A$104&amp;'AEA2012 update'!$B$6:$B$104,0),MATCH(AH$16,'AEA2012 update'!$AC$4:$AG$4,0)))</f>
        <v>1.0884130085598189</v>
      </c>
      <c r="AJ26" s="257">
        <f t="shared" si="8"/>
        <v>-4.9750416666666389E-3</v>
      </c>
      <c r="AK26" s="257">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25">
      <c r="E27" s="61" t="s">
        <v>62</v>
      </c>
      <c r="F27" s="255" t="s">
        <v>573</v>
      </c>
      <c r="G27" s="61" t="s">
        <v>696</v>
      </c>
      <c r="H27" s="258">
        <v>236800</v>
      </c>
      <c r="I27" s="61">
        <v>290000</v>
      </c>
      <c r="N27" s="61" t="s">
        <v>501</v>
      </c>
      <c r="O27" s="61" t="s">
        <v>613</v>
      </c>
      <c r="P27" s="61" t="s">
        <v>555</v>
      </c>
      <c r="Q27" s="61" t="str">
        <f t="shared" si="6"/>
        <v>CAR</v>
      </c>
      <c r="R27" s="61" t="s">
        <v>680</v>
      </c>
      <c r="S27" s="255">
        <f>$F$22*W27</f>
        <v>1015450.0239507556</v>
      </c>
      <c r="T27" s="256" t="s">
        <v>681</v>
      </c>
      <c r="U27" s="256" t="s">
        <v>692</v>
      </c>
      <c r="V27" s="103">
        <f t="array" ref="V27">IF(V$18,INDEX('AEA2012 update'!$K$6:$R$104,MATCH($T27&amp;$R27,'AEA2012 update'!$A$6:$A$104&amp;'AEA2012 update'!$B$6:$B$104,0),MATCH(V$16,'AEA2012 update'!$S$4:$Z$4,0)),INDEX('AEA2012 update'!$K$6:$R$104,MATCH($T27&amp;$U27,'AEA2012 update'!$A$6:$A$104&amp;'AEA2012 update'!$B$6:$B$104,0),MATCH(V$16,'AEA2012 update'!$S$4:$Z$4,0)))</f>
        <v>934806.19308225554</v>
      </c>
      <c r="W27" s="103">
        <f t="array" ref="W27">IF(W$18,INDEX('AEA2012 update'!$K$6:$R$104,MATCH($T27&amp;$R27,'AEA2012 update'!$A$6:$A$104&amp;'AEA2012 update'!$B$6:$B$104,0),MATCH(W$16,'AEA2012 update'!$S$4:$Z$4,0)),INDEX('AEA2012 update'!$K$6:$R$104,MATCH($T27&amp;$U27,'AEA2012 update'!$A$6:$A$104&amp;'AEA2012 update'!$B$6:$B$104,0),MATCH(W$16,'AEA2012 update'!$S$4:$Z$4,0)))</f>
        <v>634656.26496922225</v>
      </c>
      <c r="X27" s="103">
        <f t="array" ref="X27">IF(X$18,INDEX('AEA2012 update'!$K$6:$R$104,MATCH($T27&amp;$R27,'AEA2012 update'!$A$6:$A$104&amp;'AEA2012 update'!$B$6:$B$104,0),MATCH(X$16,'AEA2012 update'!$S$4:$Z$4,0)),INDEX('AEA2012 update'!$K$6:$R$104,MATCH($T27&amp;$U27,'AEA2012 update'!$A$6:$A$104&amp;'AEA2012 update'!$B$6:$B$104,0),MATCH(X$16,'AEA2012 update'!$S$4:$Z$4,0)))</f>
        <v>580104.67292909464</v>
      </c>
      <c r="Y27" s="103">
        <f t="array" ref="Y27">IF(Y$18,INDEX('AEA2012 update'!$K$6:$R$104,MATCH($T27&amp;$R27,'AEA2012 update'!$A$6:$A$104&amp;'AEA2012 update'!$B$6:$B$104,0),MATCH(Y$16,'AEA2012 update'!$S$4:$Z$4,0)),INDEX('AEA2012 update'!$K$6:$R$104,MATCH($T27&amp;$U27,'AEA2012 update'!$A$6:$A$104&amp;'AEA2012 update'!$B$6:$B$104,0),MATCH(Y$16,'AEA2012 update'!$S$4:$Z$4,0)))</f>
        <v>248549.77442435178</v>
      </c>
      <c r="Z27" s="103">
        <f t="array" ref="Z27">IF(Z$18,INDEX('AEA2012 update'!$K$6:$R$104,MATCH($T27&amp;$R27,'AEA2012 update'!$A$6:$A$104&amp;'AEA2012 update'!$B$6:$B$104,0),MATCH(Z$16,'AEA2012 update'!$S$4:$Z$4,0)),INDEX('AEA2012 update'!$K$6:$R$104,MATCH($T27&amp;$U27,'AEA2012 update'!$A$6:$A$104&amp;'AEA2012 update'!$B$6:$B$104,0),MATCH(Z$16,'AEA2012 update'!$S$4:$Z$4,0)))</f>
        <v>251273.34974387253</v>
      </c>
      <c r="AA27" s="103">
        <f t="array" ref="AA27">IF(AA$18,INDEX('AEA2012 update'!$K$6:$R$104,MATCH($T27&amp;$R27,'AEA2012 update'!$A$6:$A$104&amp;'AEA2012 update'!$B$6:$B$104,0),MATCH(AA$16,'AEA2012 update'!$S$4:$Z$4,0)),INDEX('AEA2012 update'!$K$6:$R$104,MATCH($T27&amp;$U27,'AEA2012 update'!$A$6:$A$104&amp;'AEA2012 update'!$B$6:$B$104,0),MATCH(AA$16,'AEA2012 update'!$S$4:$Z$4,0)))</f>
        <v>253996.92506339328</v>
      </c>
      <c r="AB27" s="103">
        <f t="array" ref="AB27">IF(AB$18,INDEX('AEA2012 update'!$K$6:$R$104,MATCH($T27&amp;$R27,'AEA2012 update'!$A$6:$A$104&amp;'AEA2012 update'!$B$6:$B$104,0),MATCH(AB$16,'AEA2012 update'!$S$4:$Z$4,0)),INDEX('AEA2012 update'!$K$6:$R$104,MATCH($T27&amp;$U27,'AEA2012 update'!$A$6:$A$104&amp;'AEA2012 update'!$B$6:$B$104,0),MATCH(AB$16,'AEA2012 update'!$S$4:$Z$4,0)))</f>
        <v>257172.600668175</v>
      </c>
      <c r="AC27" s="195">
        <f>15.8*3.6/100</f>
        <v>0.56879999999999997</v>
      </c>
      <c r="AD27" s="67">
        <f>AC27</f>
        <v>0.56879999999999997</v>
      </c>
      <c r="AE27" s="67">
        <f t="array" ref="AE27">IF($W$1,AD27*(1+INDEX(AE$1:AE$2,MATCH($O27,$AA$1:$AA$2,0)))^(AE$16-AD$16),INDEX('AEA2012 update'!$AC$6:$AG$104,MATCH($T27&amp;$U27,'AEA2012 update'!$A$6:$A$104&amp;'AEA2012 update'!$B$6:$B$104,0),MATCH(AE$16,'AEA2012 update'!$AC$4:$AG$4,0)))</f>
        <v>0.56031058889999996</v>
      </c>
      <c r="AF27" s="67">
        <f t="array" ref="AF27">IF($W$1,AE27*(1+INDEX(AF$1:AF$2,MATCH($O27,$AA$1:$AA$2,0)))^(AF$16-AE$16),INDEX('AEA2012 update'!$AC$6:$AG$104,MATCH($T27&amp;$U27,'AEA2012 update'!$A$6:$A$104&amp;'AEA2012 update'!$B$6:$B$104,0),MATCH(AF$16,'AEA2012 update'!$AC$4:$AG$4,0)))</f>
        <v>0.51967758415736331</v>
      </c>
      <c r="AG27" s="67">
        <f t="array" ref="AG27">IF($W$1,AF27*(1+INDEX(AG$1:AG$2,MATCH($O27,$AA$1:$AA$2,0)))^(AG$16-AF$16),INDEX('AEA2012 update'!$AC$6:$AG$104,MATCH($T27&amp;$U27,'AEA2012 update'!$A$6:$A$104&amp;'AEA2012 update'!$B$6:$B$104,0),MATCH(AG$16,'AEA2012 update'!$AC$4:$AG$4,0)))</f>
        <v>0.46998709189579874</v>
      </c>
      <c r="AH27" s="67">
        <f t="array" ref="AH27">IF($W$1,AG27*(1+INDEX(AH$1:AH$2,MATCH($O27,$AA$1:$AA$2,0)))^(AH$16-AG$16),INDEX('AEA2012 update'!$AC$6:$AG$104,MATCH($T27&amp;$U27,'AEA2012 update'!$A$6:$A$104&amp;'AEA2012 update'!$B$6:$B$104,0),MATCH(AH$16,'AEA2012 update'!$AC$4:$AG$4,0)))</f>
        <v>0.42504790139607607</v>
      </c>
      <c r="AJ27" s="257">
        <f t="shared" si="8"/>
        <v>-4.9750416666666727E-3</v>
      </c>
      <c r="AK27" s="257">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25">
      <c r="E28" s="61" t="s">
        <v>697</v>
      </c>
      <c r="F28" s="61" t="s">
        <v>511</v>
      </c>
      <c r="G28" s="252" t="s">
        <v>698</v>
      </c>
      <c r="H28" s="258">
        <v>253599.84</v>
      </c>
      <c r="N28" s="61" t="s">
        <v>504</v>
      </c>
      <c r="O28" s="61" t="s">
        <v>613</v>
      </c>
      <c r="P28" s="61" t="s">
        <v>555</v>
      </c>
      <c r="Q28" s="61" t="str">
        <f t="shared" si="6"/>
        <v>CAR</v>
      </c>
      <c r="R28" s="61" t="s">
        <v>680</v>
      </c>
      <c r="S28" s="65"/>
      <c r="T28" s="256" t="s">
        <v>681</v>
      </c>
      <c r="U28" s="256" t="s">
        <v>699</v>
      </c>
      <c r="V28" s="103">
        <f t="array" ref="V28">IF(V$18,INDEX('AEA2012 update'!$K$6:$R$104,MATCH($T28&amp;$R28,'AEA2012 update'!$A$6:$A$104&amp;'AEA2012 update'!$B$6:$B$104,0),MATCH(V$16,'AEA2012 update'!$S$4:$Z$4,0)),INDEX('AEA2012 update'!$K$6:$R$104,MATCH($T28&amp;$U28,'AEA2012 update'!$A$6:$A$104&amp;'AEA2012 update'!$B$6:$B$104,0),MATCH(V$16,'AEA2012 update'!$S$4:$Z$4,0)))</f>
        <v>2407968.5375206149</v>
      </c>
      <c r="W28" s="103">
        <f t="array" ref="W28">IF(W$18,INDEX('AEA2012 update'!$K$6:$R$104,MATCH($T28&amp;$R28,'AEA2012 update'!$A$6:$A$104&amp;'AEA2012 update'!$B$6:$B$104,0),MATCH(W$16,'AEA2012 update'!$S$4:$Z$4,0)),INDEX('AEA2012 update'!$K$6:$R$104,MATCH($T28&amp;$U28,'AEA2012 update'!$A$6:$A$104&amp;'AEA2012 update'!$B$6:$B$104,0),MATCH(W$16,'AEA2012 update'!$S$4:$Z$4,0)))</f>
        <v>951984.39745383337</v>
      </c>
      <c r="X28" s="103">
        <f t="array" ref="X28">IF(X$18,INDEX('AEA2012 update'!$K$6:$R$104,MATCH($T28&amp;$R28,'AEA2012 update'!$A$6:$A$104&amp;'AEA2012 update'!$B$6:$B$104,0),MATCH(X$16,'AEA2012 update'!$S$4:$Z$4,0)),INDEX('AEA2012 update'!$K$6:$R$104,MATCH($T28&amp;$U28,'AEA2012 update'!$A$6:$A$104&amp;'AEA2012 update'!$B$6:$B$104,0),MATCH(X$16,'AEA2012 update'!$S$4:$Z$4,0)))</f>
        <v>726239.93374644255</v>
      </c>
      <c r="Y28" s="103">
        <f t="array" ref="Y28">IF(Y$18,INDEX('AEA2012 update'!$K$6:$R$104,MATCH($T28&amp;$R28,'AEA2012 update'!$A$6:$A$104&amp;'AEA2012 update'!$B$6:$B$104,0),MATCH(Y$16,'AEA2012 update'!$S$4:$Z$4,0)),INDEX('AEA2012 update'!$K$6:$R$104,MATCH($T28&amp;$U28,'AEA2012 update'!$A$6:$A$104&amp;'AEA2012 update'!$B$6:$B$104,0),MATCH(Y$16,'AEA2012 update'!$S$4:$Z$4,0)))</f>
        <v>248549.77442435178</v>
      </c>
      <c r="Z28" s="103">
        <f t="array" ref="Z28">IF(Z$18,INDEX('AEA2012 update'!$K$6:$R$104,MATCH($T28&amp;$R28,'AEA2012 update'!$A$6:$A$104&amp;'AEA2012 update'!$B$6:$B$104,0),MATCH(Z$16,'AEA2012 update'!$S$4:$Z$4,0)),INDEX('AEA2012 update'!$K$6:$R$104,MATCH($T28&amp;$U28,'AEA2012 update'!$A$6:$A$104&amp;'AEA2012 update'!$B$6:$B$104,0),MATCH(Z$16,'AEA2012 update'!$S$4:$Z$4,0)))</f>
        <v>251273.34974387253</v>
      </c>
      <c r="AA28" s="103">
        <f t="array" ref="AA28">IF(AA$18,INDEX('AEA2012 update'!$K$6:$R$104,MATCH($T28&amp;$R28,'AEA2012 update'!$A$6:$A$104&amp;'AEA2012 update'!$B$6:$B$104,0),MATCH(AA$16,'AEA2012 update'!$S$4:$Z$4,0)),INDEX('AEA2012 update'!$K$6:$R$104,MATCH($T28&amp;$U28,'AEA2012 update'!$A$6:$A$104&amp;'AEA2012 update'!$B$6:$B$104,0),MATCH(AA$16,'AEA2012 update'!$S$4:$Z$4,0)))</f>
        <v>253996.92506339328</v>
      </c>
      <c r="AB28" s="103">
        <f t="array" ref="AB28">IF(AB$18,INDEX('AEA2012 update'!$K$6:$R$104,MATCH($T28&amp;$R28,'AEA2012 update'!$A$6:$A$104&amp;'AEA2012 update'!$B$6:$B$104,0),MATCH(AB$16,'AEA2012 update'!$S$4:$Z$4,0)),INDEX('AEA2012 update'!$K$6:$R$104,MATCH($T28&amp;$U28,'AEA2012 update'!$A$6:$A$104&amp;'AEA2012 update'!$B$6:$B$104,0),MATCH(AB$16,'AEA2012 update'!$S$4:$Z$4,0)))</f>
        <v>257172.600668175</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 update'!$AC$6:$AG$104,MATCH($T28&amp;$U28,'AEA2012 update'!$A$6:$A$104&amp;'AEA2012 update'!$B$6:$B$104,0),MATCH(AE$16,'AEA2012 update'!$AC$4:$AG$4,0)))</f>
        <v>1.070273460927174</v>
      </c>
      <c r="AF28" s="67">
        <f t="array" ref="AF28">IF($W$1,AE28*(1+INDEX(AF$1:AF$2,MATCH($O28,$AA$1:$AA$2,0)))^(AF$16-AE$16),INDEX('AEA2012 update'!$AC$6:$AG$104,MATCH($T28&amp;$U28,'AEA2012 update'!$A$6:$A$104&amp;'AEA2012 update'!$B$6:$B$104,0),MATCH(AF$16,'AEA2012 update'!$AC$4:$AG$4,0)))</f>
        <v>0.99265860324770672</v>
      </c>
      <c r="AG28" s="67">
        <f t="array" ref="AG28">IF($W$1,AF28*(1+INDEX(AG$1:AG$2,MATCH($O28,$AA$1:$AA$2,0)))^(AG$16-AF$16),INDEX('AEA2012 update'!$AC$6:$AG$104,MATCH($T28&amp;$U28,'AEA2012 update'!$A$6:$A$104&amp;'AEA2012 update'!$B$6:$B$104,0),MATCH(AG$16,'AEA2012 update'!$AC$4:$AG$4,0)))</f>
        <v>0.89774264738050236</v>
      </c>
      <c r="AH28" s="67">
        <f t="array" ref="AH28">IF($W$1,AG28*(1+INDEX(AH$1:AH$2,MATCH($O28,$AA$1:$AA$2,0)))^(AH$16-AG$16),INDEX('AEA2012 update'!$AC$6:$AG$104,MATCH($T28&amp;$U28,'AEA2012 update'!$A$6:$A$104&amp;'AEA2012 update'!$B$6:$B$104,0),MATCH(AH$16,'AEA2012 update'!$AC$4:$AG$4,0)))</f>
        <v>0.81190235826187607</v>
      </c>
      <c r="AJ28" s="257">
        <f t="shared" si="8"/>
        <v>-4.9750416666666337E-3</v>
      </c>
      <c r="AK28" s="257">
        <f t="shared" si="9"/>
        <v>-8.0468874575124003E-3</v>
      </c>
      <c r="AQ28" s="61" t="str">
        <f t="shared" si="10"/>
        <v>CAR-HGN</v>
      </c>
      <c r="AR28" s="80"/>
      <c r="AS28" s="80"/>
      <c r="AT28" s="80"/>
      <c r="AU28" s="80"/>
      <c r="AV28" s="80"/>
    </row>
    <row r="29" spans="5:48" x14ac:dyDescent="0.25">
      <c r="N29" s="61" t="s">
        <v>509</v>
      </c>
      <c r="O29" s="61" t="s">
        <v>613</v>
      </c>
      <c r="P29" s="61" t="s">
        <v>555</v>
      </c>
      <c r="Q29" s="61" t="str">
        <f t="shared" si="6"/>
        <v>CAR</v>
      </c>
      <c r="R29" s="61" t="s">
        <v>680</v>
      </c>
      <c r="S29" s="65"/>
      <c r="T29" s="256" t="s">
        <v>681</v>
      </c>
      <c r="U29" s="256" t="s">
        <v>700</v>
      </c>
      <c r="V29" s="103">
        <f t="array" ref="V29">IF(V$18,INDEX('AEA2012 update'!$K$6:$R$104,MATCH($T29&amp;$R29,'AEA2012 update'!$A$6:$A$104&amp;'AEA2012 update'!$B$6:$B$104,0),MATCH(V$16,'AEA2012 update'!$S$4:$Z$4,0)),INDEX('AEA2012 update'!$K$6:$R$104,MATCH($T29&amp;$U29,'AEA2012 update'!$A$6:$A$104&amp;'AEA2012 update'!$B$6:$B$104,0),MATCH(V$16,'AEA2012 update'!$S$4:$Z$4,0)))</f>
        <v>376679.62430658605</v>
      </c>
      <c r="W29" s="103">
        <f t="array" ref="W29">IF(W$18,INDEX('AEA2012 update'!$K$6:$R$104,MATCH($T29&amp;$R29,'AEA2012 update'!$A$6:$A$104&amp;'AEA2012 update'!$B$6:$B$104,0),MATCH(W$16,'AEA2012 update'!$S$4:$Z$4,0)),INDEX('AEA2012 update'!$K$6:$R$104,MATCH($T29&amp;$U29,'AEA2012 update'!$A$6:$A$104&amp;'AEA2012 update'!$B$6:$B$104,0),MATCH(W$16,'AEA2012 update'!$S$4:$Z$4,0)))</f>
        <v>396599.43072780268</v>
      </c>
      <c r="X29" s="103">
        <f t="array" ref="X29">IF(X$18,INDEX('AEA2012 update'!$K$6:$R$104,MATCH($T29&amp;$R29,'AEA2012 update'!$A$6:$A$104&amp;'AEA2012 update'!$B$6:$B$104,0),MATCH(X$16,'AEA2012 update'!$S$4:$Z$4,0)),INDEX('AEA2012 update'!$K$6:$R$104,MATCH($T29&amp;$U29,'AEA2012 update'!$A$6:$A$104&amp;'AEA2012 update'!$B$6:$B$104,0),MATCH(X$16,'AEA2012 update'!$S$4:$Z$4,0)))</f>
        <v>400607.99761902145</v>
      </c>
      <c r="Y29" s="103">
        <f t="array" ref="Y29">IF(Y$18,INDEX('AEA2012 update'!$K$6:$R$104,MATCH($T29&amp;$R29,'AEA2012 update'!$A$6:$A$104&amp;'AEA2012 update'!$B$6:$B$104,0),MATCH(Y$16,'AEA2012 update'!$S$4:$Z$4,0)),INDEX('AEA2012 update'!$K$6:$R$104,MATCH($T29&amp;$U29,'AEA2012 update'!$A$6:$A$104&amp;'AEA2012 update'!$B$6:$B$104,0),MATCH(Y$16,'AEA2012 update'!$S$4:$Z$4,0)))</f>
        <v>248549.77442435178</v>
      </c>
      <c r="Z29" s="103">
        <f t="array" ref="Z29">IF(Z$18,INDEX('AEA2012 update'!$K$6:$R$104,MATCH($T29&amp;$R29,'AEA2012 update'!$A$6:$A$104&amp;'AEA2012 update'!$B$6:$B$104,0),MATCH(Z$16,'AEA2012 update'!$S$4:$Z$4,0)),INDEX('AEA2012 update'!$K$6:$R$104,MATCH($T29&amp;$U29,'AEA2012 update'!$A$6:$A$104&amp;'AEA2012 update'!$B$6:$B$104,0),MATCH(Z$16,'AEA2012 update'!$S$4:$Z$4,0)))</f>
        <v>251273.34974387253</v>
      </c>
      <c r="AA29" s="103">
        <f t="array" ref="AA29">IF(AA$18,INDEX('AEA2012 update'!$K$6:$R$104,MATCH($T29&amp;$R29,'AEA2012 update'!$A$6:$A$104&amp;'AEA2012 update'!$B$6:$B$104,0),MATCH(AA$16,'AEA2012 update'!$S$4:$Z$4,0)),INDEX('AEA2012 update'!$K$6:$R$104,MATCH($T29&amp;$U29,'AEA2012 update'!$A$6:$A$104&amp;'AEA2012 update'!$B$6:$B$104,0),MATCH(AA$16,'AEA2012 update'!$S$4:$Z$4,0)))</f>
        <v>253996.92506339328</v>
      </c>
      <c r="AB29" s="103">
        <f t="array" ref="AB29">IF(AB$18,INDEX('AEA2012 update'!$K$6:$R$104,MATCH($T29&amp;$R29,'AEA2012 update'!$A$6:$A$104&amp;'AEA2012 update'!$B$6:$B$104,0),MATCH(AB$16,'AEA2012 update'!$S$4:$Z$4,0)),INDEX('AEA2012 update'!$K$6:$R$104,MATCH($T29&amp;$U29,'AEA2012 update'!$A$6:$A$104&amp;'AEA2012 update'!$B$6:$B$104,0),MATCH(AB$16,'AEA2012 update'!$S$4:$Z$4,0)))</f>
        <v>257172.600668175</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 update'!$AC$6:$AG$104,MATCH($T29&amp;$U29,'AEA2012 update'!$A$6:$A$104&amp;'AEA2012 update'!$B$6:$B$104,0),MATCH(AE$16,'AEA2012 update'!$AC$4:$AG$4,0)))</f>
        <v>2.760382430709543</v>
      </c>
      <c r="AF29" s="67">
        <f t="array" ref="AF29">IF($W$1,AE29*(1+INDEX(AF$1:AF$2,MATCH($O29,$AA$1:$AA$2,0)))^(AF$16-AE$16),INDEX('AEA2012 update'!$AC$6:$AG$104,MATCH($T29&amp;$U29,'AEA2012 update'!$A$6:$A$104&amp;'AEA2012 update'!$B$6:$B$104,0),MATCH(AF$16,'AEA2012 update'!$AC$4:$AG$4,0)))</f>
        <v>2.5602030398136666</v>
      </c>
      <c r="AG29" s="67">
        <f t="array" ref="AG29">IF($W$1,AF29*(1+INDEX(AG$1:AG$2,MATCH($O29,$AA$1:$AA$2,0)))^(AG$16-AF$16),INDEX('AEA2012 update'!$AC$6:$AG$104,MATCH($T29&amp;$U29,'AEA2012 update'!$A$6:$A$104&amp;'AEA2012 update'!$B$6:$B$104,0),MATCH(AG$16,'AEA2012 update'!$AC$4:$AG$4,0)))</f>
        <v>2.3154017375905322</v>
      </c>
      <c r="AH29" s="67">
        <f t="array" ref="AH29">IF($W$1,AG29*(1+INDEX(AH$1:AH$2,MATCH($O29,$AA$1:$AA$2,0)))^(AH$16-AG$16),INDEX('AEA2012 update'!$AC$6:$AG$104,MATCH($T29&amp;$U29,'AEA2012 update'!$A$6:$A$104&amp;'AEA2012 update'!$B$6:$B$104,0),MATCH(AH$16,'AEA2012 update'!$AC$4:$AG$4,0)))</f>
        <v>2.0940078279211165</v>
      </c>
      <c r="AJ29" s="257">
        <f t="shared" si="8"/>
        <v>-4.9750416666666797E-3</v>
      </c>
      <c r="AK29" s="257">
        <f t="shared" si="9"/>
        <v>-8.0468874575124021E-3</v>
      </c>
      <c r="AQ29" s="61" t="str">
        <f t="shared" si="10"/>
        <v>CAR-GAS</v>
      </c>
      <c r="AR29" s="80"/>
      <c r="AS29" s="80"/>
      <c r="AT29" s="80"/>
      <c r="AU29" s="80"/>
      <c r="AV29" s="80"/>
    </row>
    <row r="30" spans="5:48" x14ac:dyDescent="0.25">
      <c r="O30" s="61" t="s">
        <v>613</v>
      </c>
      <c r="Q30" s="61" t="str">
        <f t="shared" si="6"/>
        <v/>
      </c>
      <c r="S30" s="65"/>
      <c r="T30" s="256"/>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11"/>
        <v/>
      </c>
      <c r="AD30" s="67" t="e">
        <f>1/INDEX(Analytica!$AA$17:$AE$48,MATCH($AC30,Analytica!$A$17:$A$48,0),MATCH(AD$16,Analytica!$AA$16:$AE$16,0))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J30" s="257" t="e">
        <f t="shared" si="8"/>
        <v>#N/A</v>
      </c>
      <c r="AK30" s="257" t="e">
        <f t="shared" si="9"/>
        <v>#N/A</v>
      </c>
      <c r="AQ30" s="61" t="str">
        <f t="shared" si="10"/>
        <v>-</v>
      </c>
      <c r="AR30" s="80" t="e">
        <f t="shared" ref="AR30" si="12">AD30/cv.petrol.hhv.MJL*100</f>
        <v>#N/A</v>
      </c>
      <c r="AS30" s="80"/>
      <c r="AT30" s="80"/>
      <c r="AU30" s="80"/>
      <c r="AV30" s="80"/>
    </row>
    <row r="31" spans="5:48" x14ac:dyDescent="0.25">
      <c r="N31" s="61" t="s">
        <v>573</v>
      </c>
      <c r="O31" s="61" t="s">
        <v>613</v>
      </c>
      <c r="P31" s="61" t="s">
        <v>460</v>
      </c>
      <c r="Q31" s="61" t="str">
        <f t="shared" si="6"/>
        <v>SUV</v>
      </c>
      <c r="R31" s="61" t="s">
        <v>680</v>
      </c>
      <c r="S31" s="65"/>
      <c r="T31" s="256" t="s">
        <v>701</v>
      </c>
      <c r="U31" s="256" t="s">
        <v>680</v>
      </c>
      <c r="V31" s="103">
        <f t="array" ref="V31">IF(V$18,INDEX('AEA2012 update'!$K$6:$R$104,MATCH($T31&amp;$R31,'AEA2012 update'!$A$6:$A$104&amp;'AEA2012 update'!$B$6:$B$104,0),MATCH(V$16,'AEA2012 update'!$S$4:$Z$4,0)),INDEX('AEA2012 update'!$K$6:$R$104,MATCH($T31&amp;$U31,'AEA2012 update'!$A$6:$A$104&amp;'AEA2012 update'!$B$6:$B$104,0),MATCH(V$16,'AEA2012 update'!$S$4:$Z$4,0)))</f>
        <v>322554.53757929691</v>
      </c>
      <c r="W31" s="103">
        <f t="array" ref="W31">IF(W$18,INDEX('AEA2012 update'!$K$6:$R$104,MATCH($T31&amp;$R31,'AEA2012 update'!$A$6:$A$104&amp;'AEA2012 update'!$B$6:$B$104,0),MATCH(W$16,'AEA2012 update'!$S$4:$Z$4,0)),INDEX('AEA2012 update'!$K$6:$R$104,MATCH($T31&amp;$U31,'AEA2012 update'!$A$6:$A$104&amp;'AEA2012 update'!$B$6:$B$104,0),MATCH(W$16,'AEA2012 update'!$S$4:$Z$4,0)))</f>
        <v>350637.87759734597</v>
      </c>
      <c r="X31" s="103">
        <f t="array" ref="X31">IF(X$18,INDEX('AEA2012 update'!$K$6:$R$104,MATCH($T31&amp;$R31,'AEA2012 update'!$A$6:$A$104&amp;'AEA2012 update'!$B$6:$B$104,0),MATCH(X$16,'AEA2012 update'!$S$4:$Z$4,0)),INDEX('AEA2012 update'!$K$6:$R$104,MATCH($T31&amp;$U31,'AEA2012 update'!$A$6:$A$104&amp;'AEA2012 update'!$B$6:$B$104,0),MATCH(X$16,'AEA2012 update'!$S$4:$Z$4,0)))</f>
        <v>357099.62238446943</v>
      </c>
      <c r="Y31" s="103">
        <f t="array" ref="Y31">IF(Y$18,INDEX('AEA2012 update'!$K$6:$R$104,MATCH($T31&amp;$R31,'AEA2012 update'!$A$6:$A$104&amp;'AEA2012 update'!$B$6:$B$104,0),MATCH(Y$16,'AEA2012 update'!$S$4:$Z$4,0)),INDEX('AEA2012 update'!$K$6:$R$104,MATCH($T31&amp;$U31,'AEA2012 update'!$A$6:$A$104&amp;'AEA2012 update'!$B$6:$B$104,0),MATCH(Y$16,'AEA2012 update'!$S$4:$Z$4,0)))</f>
        <v>363561.36717159278</v>
      </c>
      <c r="Z31" s="103">
        <f t="array" ref="Z31">IF(Z$18,INDEX('AEA2012 update'!$K$6:$R$104,MATCH($T31&amp;$R31,'AEA2012 update'!$A$6:$A$104&amp;'AEA2012 update'!$B$6:$B$104,0),MATCH(Z$16,'AEA2012 update'!$S$4:$Z$4,0)),INDEX('AEA2012 update'!$K$6:$R$104,MATCH($T31&amp;$U31,'AEA2012 update'!$A$6:$A$104&amp;'AEA2012 update'!$B$6:$B$104,0),MATCH(Z$16,'AEA2012 update'!$S$4:$Z$4,0)))</f>
        <v>371500.85823323019</v>
      </c>
      <c r="AA31" s="103">
        <f t="array" ref="AA31">IF(AA$18,INDEX('AEA2012 update'!$K$6:$R$104,MATCH($T31&amp;$R31,'AEA2012 update'!$A$6:$A$104&amp;'AEA2012 update'!$B$6:$B$104,0),MATCH(AA$16,'AEA2012 update'!$S$4:$Z$4,0)),INDEX('AEA2012 update'!$K$6:$R$104,MATCH($T31&amp;$U31,'AEA2012 update'!$A$6:$A$104&amp;'AEA2012 update'!$B$6:$B$104,0),MATCH(AA$16,'AEA2012 update'!$S$4:$Z$4,0)))</f>
        <v>379440.3492948676</v>
      </c>
      <c r="AB31" s="103">
        <f t="array" ref="AB31">IF(AB$18,INDEX('AEA2012 update'!$K$6:$R$104,MATCH($T31&amp;$R31,'AEA2012 update'!$A$6:$A$104&amp;'AEA2012 update'!$B$6:$B$104,0),MATCH(AB$16,'AEA2012 update'!$S$4:$Z$4,0)),INDEX('AEA2012 update'!$K$6:$R$104,MATCH($T31&amp;$U31,'AEA2012 update'!$A$6:$A$104&amp;'AEA2012 update'!$B$6:$B$104,0),MATCH(AB$16,'AEA2012 update'!$S$4:$Z$4,0)))</f>
        <v>387396.22422821133</v>
      </c>
      <c r="AC31" s="103" t="str">
        <f t="shared" si="11"/>
        <v>SUVOGS</v>
      </c>
      <c r="AD31" s="67">
        <f>1/INDEX(Analytica!$AA$17:$AE$48,MATCH($AC31,Analytica!$A$17:$A$48,0),MATCH(AD$16,Analytica!$AA$16:$AE$16,0))</f>
        <v>2.3386728682586129</v>
      </c>
      <c r="AE31" s="67">
        <f t="array" ref="AE31">IF($W$1,AD31*(1+INDEX(AE$1:AE$2,MATCH($O31,$AA$1:$AA$2,0)))^(AE$16-AD$16),INDEX('AEA2012 update'!$AC$6:$AG$104,MATCH($T31&amp;$U31,'AEA2012 update'!$A$6:$A$104&amp;'AEA2012 update'!$B$6:$B$104,0),MATCH(AE$16,'AEA2012 update'!$AC$4:$AG$4,0)))</f>
        <v>2.3037678833657447</v>
      </c>
      <c r="AF31" s="67">
        <f t="array" ref="AF31">IF($W$1,AE31*(1+INDEX(AF$1:AF$2,MATCH($O31,$AA$1:$AA$2,0)))^(AF$16-AE$16),INDEX('AEA2012 update'!$AC$6:$AG$104,MATCH($T31&amp;$U31,'AEA2012 update'!$A$6:$A$104&amp;'AEA2012 update'!$B$6:$B$104,0),MATCH(AF$16,'AEA2012 update'!$AC$4:$AG$4,0)))</f>
        <v>2.136701593373783</v>
      </c>
      <c r="AG31" s="67">
        <f t="array" ref="AG31">IF($W$1,AF31*(1+INDEX(AG$1:AG$2,MATCH($O31,$AA$1:$AA$2,0)))^(AG$16-AF$16),INDEX('AEA2012 update'!$AC$6:$AG$104,MATCH($T31&amp;$U31,'AEA2012 update'!$A$6:$A$104&amp;'AEA2012 update'!$B$6:$B$104,0),MATCH(AG$16,'AEA2012 update'!$AC$4:$AG$4,0)))</f>
        <v>1.9323946206900002</v>
      </c>
      <c r="AH31" s="67">
        <f t="array" ref="AH31">IF($W$1,AG31*(1+INDEX(AH$1:AH$2,MATCH($O31,$AA$1:$AA$2,0)))^(AH$16-AG$16),INDEX('AEA2012 update'!$AC$6:$AG$104,MATCH($T31&amp;$U31,'AEA2012 update'!$A$6:$A$104&amp;'AEA2012 update'!$B$6:$B$104,0),MATCH(AH$16,'AEA2012 update'!$AC$4:$AG$4,0)))</f>
        <v>1.7476230567954738</v>
      </c>
      <c r="AI31" s="67"/>
      <c r="AJ31" s="257">
        <f t="shared" si="8"/>
        <v>-4.9750416666666476E-3</v>
      </c>
      <c r="AK31" s="257">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25">
      <c r="N32" s="61" t="s">
        <v>519</v>
      </c>
      <c r="O32" s="61" t="s">
        <v>613</v>
      </c>
      <c r="P32" s="61" t="s">
        <v>460</v>
      </c>
      <c r="Q32" s="61" t="str">
        <f t="shared" si="6"/>
        <v>SUV</v>
      </c>
      <c r="R32" s="61" t="s">
        <v>680</v>
      </c>
      <c r="S32" s="65"/>
      <c r="T32" s="256" t="s">
        <v>701</v>
      </c>
      <c r="U32" s="256" t="s">
        <v>688</v>
      </c>
      <c r="V32" s="103">
        <f t="array" ref="V32">IF(V$18,INDEX('AEA2012 update'!$K$6:$R$104,MATCH($T32&amp;$R32,'AEA2012 update'!$A$6:$A$104&amp;'AEA2012 update'!$B$6:$B$104,0),MATCH(V$16,'AEA2012 update'!$S$4:$Z$4,0)),INDEX('AEA2012 update'!$K$6:$R$104,MATCH($T32&amp;$U32,'AEA2012 update'!$A$6:$A$104&amp;'AEA2012 update'!$B$6:$B$104,0),MATCH(V$16,'AEA2012 update'!$S$4:$Z$4,0)))</f>
        <v>462611.03749439324</v>
      </c>
      <c r="W32" s="103">
        <f t="array" ref="W32">IF(W$18,INDEX('AEA2012 update'!$K$6:$R$104,MATCH($T32&amp;$R32,'AEA2012 update'!$A$6:$A$104&amp;'AEA2012 update'!$B$6:$B$104,0),MATCH(W$16,'AEA2012 update'!$S$4:$Z$4,0)),INDEX('AEA2012 update'!$K$6:$R$104,MATCH($T32&amp;$U32,'AEA2012 update'!$A$6:$A$104&amp;'AEA2012 update'!$B$6:$B$104,0),MATCH(W$16,'AEA2012 update'!$S$4:$Z$4,0)))</f>
        <v>450697.95583180117</v>
      </c>
      <c r="X32" s="103">
        <f t="array" ref="X32">IF(X$18,INDEX('AEA2012 update'!$K$6:$R$104,MATCH($T32&amp;$R32,'AEA2012 update'!$A$6:$A$104&amp;'AEA2012 update'!$B$6:$B$104,0),MATCH(X$16,'AEA2012 update'!$S$4:$Z$4,0)),INDEX('AEA2012 update'!$K$6:$R$104,MATCH($T32&amp;$U32,'AEA2012 update'!$A$6:$A$104&amp;'AEA2012 update'!$B$6:$B$104,0),MATCH(X$16,'AEA2012 update'!$S$4:$Z$4,0)))</f>
        <v>447834.90632433031</v>
      </c>
      <c r="Y32" s="103">
        <f t="array" ref="Y32">IF(Y$18,INDEX('AEA2012 update'!$K$6:$R$104,MATCH($T32&amp;$R32,'AEA2012 update'!$A$6:$A$104&amp;'AEA2012 update'!$B$6:$B$104,0),MATCH(Y$16,'AEA2012 update'!$S$4:$Z$4,0)),INDEX('AEA2012 update'!$K$6:$R$104,MATCH($T32&amp;$U32,'AEA2012 update'!$A$6:$A$104&amp;'AEA2012 update'!$B$6:$B$104,0),MATCH(Y$16,'AEA2012 update'!$S$4:$Z$4,0)))</f>
        <v>363561.36717159278</v>
      </c>
      <c r="Z32" s="103">
        <f t="array" ref="Z32">IF(Z$18,INDEX('AEA2012 update'!$K$6:$R$104,MATCH($T32&amp;$R32,'AEA2012 update'!$A$6:$A$104&amp;'AEA2012 update'!$B$6:$B$104,0),MATCH(Z$16,'AEA2012 update'!$S$4:$Z$4,0)),INDEX('AEA2012 update'!$K$6:$R$104,MATCH($T32&amp;$U32,'AEA2012 update'!$A$6:$A$104&amp;'AEA2012 update'!$B$6:$B$104,0),MATCH(Z$16,'AEA2012 update'!$S$4:$Z$4,0)))</f>
        <v>371500.85823323019</v>
      </c>
      <c r="AA32" s="103">
        <f t="array" ref="AA32">IF(AA$18,INDEX('AEA2012 update'!$K$6:$R$104,MATCH($T32&amp;$R32,'AEA2012 update'!$A$6:$A$104&amp;'AEA2012 update'!$B$6:$B$104,0),MATCH(AA$16,'AEA2012 update'!$S$4:$Z$4,0)),INDEX('AEA2012 update'!$K$6:$R$104,MATCH($T32&amp;$U32,'AEA2012 update'!$A$6:$A$104&amp;'AEA2012 update'!$B$6:$B$104,0),MATCH(AA$16,'AEA2012 update'!$S$4:$Z$4,0)))</f>
        <v>379440.3492948676</v>
      </c>
      <c r="AB32" s="103">
        <f t="array" ref="AB32">IF(AB$18,INDEX('AEA2012 update'!$K$6:$R$104,MATCH($T32&amp;$R32,'AEA2012 update'!$A$6:$A$104&amp;'AEA2012 update'!$B$6:$B$104,0),MATCH(AB$16,'AEA2012 update'!$S$4:$Z$4,0)),INDEX('AEA2012 update'!$K$6:$R$104,MATCH($T32&amp;$U32,'AEA2012 update'!$A$6:$A$104&amp;'AEA2012 update'!$B$6:$B$104,0),MATCH(AB$16,'AEA2012 update'!$S$4:$Z$4,0)))</f>
        <v>387396.22422821133</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 update'!$AC$6:$AG$104,MATCH($T32&amp;$U32,'AEA2012 update'!$A$6:$A$104&amp;'AEA2012 update'!$B$6:$B$104,0),MATCH(AE$16,'AEA2012 update'!$AC$4:$AG$4,0)))</f>
        <v>1.7602982874493476</v>
      </c>
      <c r="AF32" s="67">
        <f t="array" ref="AF32">IF($W$1,AE32*(1+INDEX(AF$1:AF$2,MATCH($O32,$AA$1:$AA$2,0)))^(AF$16-AE$16),INDEX('AEA2012 update'!$AC$6:$AG$104,MATCH($T32&amp;$U32,'AEA2012 update'!$A$6:$A$104&amp;'AEA2012 update'!$B$6:$B$104,0),MATCH(AF$16,'AEA2012 update'!$AC$4:$AG$4,0)))</f>
        <v>1.6326437150044388</v>
      </c>
      <c r="AG32" s="67">
        <f t="array" ref="AG32">IF($W$1,AF32*(1+INDEX(AG$1:AG$2,MATCH($O32,$AA$1:$AA$2,0)))^(AG$16-AF$16),INDEX('AEA2012 update'!$AC$6:$AG$104,MATCH($T32&amp;$U32,'AEA2012 update'!$A$6:$A$104&amp;'AEA2012 update'!$B$6:$B$104,0),MATCH(AG$16,'AEA2012 update'!$AC$4:$AG$4,0)))</f>
        <v>1.4765337107257972</v>
      </c>
      <c r="AH32" s="67">
        <f t="array" ref="AH32">IF($W$1,AG32*(1+INDEX(AH$1:AH$2,MATCH($O32,$AA$1:$AA$2,0)))^(AH$16-AG$16),INDEX('AEA2012 update'!$AC$6:$AG$104,MATCH($T32&amp;$U32,'AEA2012 update'!$A$6:$A$104&amp;'AEA2012 update'!$B$6:$B$104,0),MATCH(AH$16,'AEA2012 update'!$AC$4:$AG$4,0)))</f>
        <v>1.3353506211266462</v>
      </c>
      <c r="AI32" s="67"/>
      <c r="AJ32" s="257">
        <f t="shared" si="8"/>
        <v>-4.9750416666666415E-3</v>
      </c>
      <c r="AK32" s="257">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25">
      <c r="N33" s="61" t="s">
        <v>506</v>
      </c>
      <c r="O33" s="61" t="s">
        <v>613</v>
      </c>
      <c r="P33" s="61" t="s">
        <v>460</v>
      </c>
      <c r="Q33" s="61" t="str">
        <f t="shared" si="6"/>
        <v>SUV</v>
      </c>
      <c r="R33" s="61" t="s">
        <v>680</v>
      </c>
      <c r="S33" s="65"/>
      <c r="T33" s="256" t="s">
        <v>701</v>
      </c>
      <c r="U33" s="256" t="s">
        <v>680</v>
      </c>
      <c r="V33" s="103">
        <f t="array" ref="V33">IF(V$18,INDEX('AEA2012 update'!$K$6:$R$104,MATCH($T33&amp;$R33,'AEA2012 update'!$A$6:$A$104&amp;'AEA2012 update'!$B$6:$B$104,0),MATCH(V$16,'AEA2012 update'!$S$4:$Z$4,0)),INDEX('AEA2012 update'!$K$6:$R$104,MATCH($T33&amp;$U33,'AEA2012 update'!$A$6:$A$104&amp;'AEA2012 update'!$B$6:$B$104,0),MATCH(V$16,'AEA2012 update'!$S$4:$Z$4,0)))</f>
        <v>322554.53757929691</v>
      </c>
      <c r="W33" s="103">
        <f t="array" ref="W33">IF(W$18,INDEX('AEA2012 update'!$K$6:$R$104,MATCH($T33&amp;$R33,'AEA2012 update'!$A$6:$A$104&amp;'AEA2012 update'!$B$6:$B$104,0),MATCH(W$16,'AEA2012 update'!$S$4:$Z$4,0)),INDEX('AEA2012 update'!$K$6:$R$104,MATCH($T33&amp;$U33,'AEA2012 update'!$A$6:$A$104&amp;'AEA2012 update'!$B$6:$B$104,0),MATCH(W$16,'AEA2012 update'!$S$4:$Z$4,0)))</f>
        <v>350637.87759734597</v>
      </c>
      <c r="X33" s="103">
        <f t="array" ref="X33">IF(X$18,INDEX('AEA2012 update'!$K$6:$R$104,MATCH($T33&amp;$R33,'AEA2012 update'!$A$6:$A$104&amp;'AEA2012 update'!$B$6:$B$104,0),MATCH(X$16,'AEA2012 update'!$S$4:$Z$4,0)),INDEX('AEA2012 update'!$K$6:$R$104,MATCH($T33&amp;$U33,'AEA2012 update'!$A$6:$A$104&amp;'AEA2012 update'!$B$6:$B$104,0),MATCH(X$16,'AEA2012 update'!$S$4:$Z$4,0)))</f>
        <v>357099.62238446943</v>
      </c>
      <c r="Y33" s="103">
        <f t="array" ref="Y33">IF(Y$18,INDEX('AEA2012 update'!$K$6:$R$104,MATCH($T33&amp;$R33,'AEA2012 update'!$A$6:$A$104&amp;'AEA2012 update'!$B$6:$B$104,0),MATCH(Y$16,'AEA2012 update'!$S$4:$Z$4,0)),INDEX('AEA2012 update'!$K$6:$R$104,MATCH($T33&amp;$U33,'AEA2012 update'!$A$6:$A$104&amp;'AEA2012 update'!$B$6:$B$104,0),MATCH(Y$16,'AEA2012 update'!$S$4:$Z$4,0)))</f>
        <v>363561.36717159278</v>
      </c>
      <c r="Z33" s="103">
        <f t="array" ref="Z33">IF(Z$18,INDEX('AEA2012 update'!$K$6:$R$104,MATCH($T33&amp;$R33,'AEA2012 update'!$A$6:$A$104&amp;'AEA2012 update'!$B$6:$B$104,0),MATCH(Z$16,'AEA2012 update'!$S$4:$Z$4,0)),INDEX('AEA2012 update'!$K$6:$R$104,MATCH($T33&amp;$U33,'AEA2012 update'!$A$6:$A$104&amp;'AEA2012 update'!$B$6:$B$104,0),MATCH(Z$16,'AEA2012 update'!$S$4:$Z$4,0)))</f>
        <v>371500.85823323019</v>
      </c>
      <c r="AA33" s="103">
        <f t="array" ref="AA33">IF(AA$18,INDEX('AEA2012 update'!$K$6:$R$104,MATCH($T33&amp;$R33,'AEA2012 update'!$A$6:$A$104&amp;'AEA2012 update'!$B$6:$B$104,0),MATCH(AA$16,'AEA2012 update'!$S$4:$Z$4,0)),INDEX('AEA2012 update'!$K$6:$R$104,MATCH($T33&amp;$U33,'AEA2012 update'!$A$6:$A$104&amp;'AEA2012 update'!$B$6:$B$104,0),MATCH(AA$16,'AEA2012 update'!$S$4:$Z$4,0)))</f>
        <v>379440.3492948676</v>
      </c>
      <c r="AB33" s="103">
        <f t="array" ref="AB33">IF(AB$18,INDEX('AEA2012 update'!$K$6:$R$104,MATCH($T33&amp;$R33,'AEA2012 update'!$A$6:$A$104&amp;'AEA2012 update'!$B$6:$B$104,0),MATCH(AB$16,'AEA2012 update'!$S$4:$Z$4,0)),INDEX('AEA2012 update'!$K$6:$R$104,MATCH($T33&amp;$U33,'AEA2012 update'!$A$6:$A$104&amp;'AEA2012 update'!$B$6:$B$104,0),MATCH(AB$16,'AEA2012 update'!$S$4:$Z$4,0)))</f>
        <v>387396.22422821133</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 update'!$AC$6:$AG$104,MATCH($T33&amp;$U33,'AEA2012 update'!$A$6:$A$104&amp;'AEA2012 update'!$B$6:$B$104,0),MATCH(AE$16,'AEA2012 update'!$AC$4:$AG$4,0)))</f>
        <v>2.3037678833657447</v>
      </c>
      <c r="AF33" s="67">
        <f t="array" ref="AF33">IF($W$1,AE33*(1+INDEX(AF$1:AF$2,MATCH($O33,$AA$1:$AA$2,0)))^(AF$16-AE$16),INDEX('AEA2012 update'!$AC$6:$AG$104,MATCH($T33&amp;$U33,'AEA2012 update'!$A$6:$A$104&amp;'AEA2012 update'!$B$6:$B$104,0),MATCH(AF$16,'AEA2012 update'!$AC$4:$AG$4,0)))</f>
        <v>2.136701593373783</v>
      </c>
      <c r="AG33" s="67">
        <f t="array" ref="AG33">IF($W$1,AF33*(1+INDEX(AG$1:AG$2,MATCH($O33,$AA$1:$AA$2,0)))^(AG$16-AF$16),INDEX('AEA2012 update'!$AC$6:$AG$104,MATCH($T33&amp;$U33,'AEA2012 update'!$A$6:$A$104&amp;'AEA2012 update'!$B$6:$B$104,0),MATCH(AG$16,'AEA2012 update'!$AC$4:$AG$4,0)))</f>
        <v>1.9323946206900002</v>
      </c>
      <c r="AH33" s="67">
        <f t="array" ref="AH33">IF($W$1,AG33*(1+INDEX(AH$1:AH$2,MATCH($O33,$AA$1:$AA$2,0)))^(AH$16-AG$16),INDEX('AEA2012 update'!$AC$6:$AG$104,MATCH($T33&amp;$U33,'AEA2012 update'!$A$6:$A$104&amp;'AEA2012 update'!$B$6:$B$104,0),MATCH(AH$16,'AEA2012 update'!$AC$4:$AG$4,0)))</f>
        <v>1.7476230567954738</v>
      </c>
      <c r="AI33" s="67"/>
      <c r="AJ33" s="257">
        <f t="shared" si="8"/>
        <v>-4.9750416666666476E-3</v>
      </c>
      <c r="AK33" s="257">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25">
      <c r="N34" s="61" t="s">
        <v>511</v>
      </c>
      <c r="O34" s="61" t="s">
        <v>613</v>
      </c>
      <c r="P34" s="61" t="s">
        <v>460</v>
      </c>
      <c r="Q34" s="61" t="str">
        <f t="shared" si="6"/>
        <v>SUV</v>
      </c>
      <c r="R34" s="61" t="s">
        <v>680</v>
      </c>
      <c r="S34" s="65"/>
      <c r="T34" s="256" t="s">
        <v>701</v>
      </c>
      <c r="U34" s="256" t="s">
        <v>687</v>
      </c>
      <c r="V34" s="103">
        <f t="array" ref="V34">IF(V$18,INDEX('AEA2012 update'!$K$6:$R$104,MATCH($T34&amp;$R34,'AEA2012 update'!$A$6:$A$104&amp;'AEA2012 update'!$B$6:$B$104,0),MATCH(V$16,'AEA2012 update'!$S$4:$Z$4,0)),INDEX('AEA2012 update'!$K$6:$R$104,MATCH($T34&amp;$U34,'AEA2012 update'!$A$6:$A$104&amp;'AEA2012 update'!$B$6:$B$104,0),MATCH(V$16,'AEA2012 update'!$S$4:$Z$4,0)))</f>
        <v>449299.91329948109</v>
      </c>
      <c r="W34" s="103">
        <f t="array" ref="W34">IF(W$18,INDEX('AEA2012 update'!$K$6:$R$104,MATCH($T34&amp;$R34,'AEA2012 update'!$A$6:$A$104&amp;'AEA2012 update'!$B$6:$B$104,0),MATCH(W$16,'AEA2012 update'!$S$4:$Z$4,0)),INDEX('AEA2012 update'!$K$6:$R$104,MATCH($T34&amp;$U34,'AEA2012 update'!$A$6:$A$104&amp;'AEA2012 update'!$B$6:$B$104,0),MATCH(W$16,'AEA2012 update'!$S$4:$Z$4,0)))</f>
        <v>496024.31464990409</v>
      </c>
      <c r="X34" s="103">
        <f t="array" ref="X34">IF(X$18,INDEX('AEA2012 update'!$K$6:$R$104,MATCH($T34&amp;$R34,'AEA2012 update'!$A$6:$A$104&amp;'AEA2012 update'!$B$6:$B$104,0),MATCH(X$16,'AEA2012 update'!$S$4:$Z$4,0)),INDEX('AEA2012 update'!$K$6:$R$104,MATCH($T34&amp;$U34,'AEA2012 update'!$A$6:$A$104&amp;'AEA2012 update'!$B$6:$B$104,0),MATCH(X$16,'AEA2012 update'!$S$4:$Z$4,0)))</f>
        <v>504862.6389695133</v>
      </c>
      <c r="Y34" s="103">
        <f t="array" ref="Y34">IF(Y$18,INDEX('AEA2012 update'!$K$6:$R$104,MATCH($T34&amp;$R34,'AEA2012 update'!$A$6:$A$104&amp;'AEA2012 update'!$B$6:$B$104,0),MATCH(Y$16,'AEA2012 update'!$S$4:$Z$4,0)),INDEX('AEA2012 update'!$K$6:$R$104,MATCH($T34&amp;$U34,'AEA2012 update'!$A$6:$A$104&amp;'AEA2012 update'!$B$6:$B$104,0),MATCH(Y$16,'AEA2012 update'!$S$4:$Z$4,0)))</f>
        <v>363561.36717159278</v>
      </c>
      <c r="Z34" s="103">
        <f t="array" ref="Z34">IF(Z$18,INDEX('AEA2012 update'!$K$6:$R$104,MATCH($T34&amp;$R34,'AEA2012 update'!$A$6:$A$104&amp;'AEA2012 update'!$B$6:$B$104,0),MATCH(Z$16,'AEA2012 update'!$S$4:$Z$4,0)),INDEX('AEA2012 update'!$K$6:$R$104,MATCH($T34&amp;$U34,'AEA2012 update'!$A$6:$A$104&amp;'AEA2012 update'!$B$6:$B$104,0),MATCH(Z$16,'AEA2012 update'!$S$4:$Z$4,0)))</f>
        <v>371500.85823323019</v>
      </c>
      <c r="AA34" s="103">
        <f t="array" ref="AA34">IF(AA$18,INDEX('AEA2012 update'!$K$6:$R$104,MATCH($T34&amp;$R34,'AEA2012 update'!$A$6:$A$104&amp;'AEA2012 update'!$B$6:$B$104,0),MATCH(AA$16,'AEA2012 update'!$S$4:$Z$4,0)),INDEX('AEA2012 update'!$K$6:$R$104,MATCH($T34&amp;$U34,'AEA2012 update'!$A$6:$A$104&amp;'AEA2012 update'!$B$6:$B$104,0),MATCH(AA$16,'AEA2012 update'!$S$4:$Z$4,0)))</f>
        <v>379440.3492948676</v>
      </c>
      <c r="AB34" s="103">
        <f t="array" ref="AB34">IF(AB$18,INDEX('AEA2012 update'!$K$6:$R$104,MATCH($T34&amp;$R34,'AEA2012 update'!$A$6:$A$104&amp;'AEA2012 update'!$B$6:$B$104,0),MATCH(AB$16,'AEA2012 update'!$S$4:$Z$4,0)),INDEX('AEA2012 update'!$K$6:$R$104,MATCH($T34&amp;$U34,'AEA2012 update'!$A$6:$A$104&amp;'AEA2012 update'!$B$6:$B$104,0),MATCH(AB$16,'AEA2012 update'!$S$4:$Z$4,0)))</f>
        <v>387396.22422821133</v>
      </c>
      <c r="AC34" s="103" t="str">
        <f t="shared" si="11"/>
        <v>SUVODS</v>
      </c>
      <c r="AD34" s="67">
        <f>1/INDEX(Analytica!$AA$17:$AE$48,MATCH($AC34,Analytica!$A$17:$A$48,0),MATCH(AD$16,Analytica!$AA$16:$AE$16,0))</f>
        <v>4.2907876409062018</v>
      </c>
      <c r="AE34" s="67">
        <f t="array" ref="AE34">IF($W$1,AD34*(1+INDEX(AE$1:AE$2,MATCH($O34,$AA$1:$AA$2,0)))^(AE$16-AD$16),INDEX('AEA2012 update'!$AC$6:$AG$104,MATCH($T34&amp;$U34,'AEA2012 update'!$A$6:$A$104&amp;'AEA2012 update'!$B$6:$B$104,0),MATCH(AE$16,'AEA2012 update'!$AC$4:$AG$4,0)))</f>
        <v>4.2267470990172216</v>
      </c>
      <c r="AF34" s="67">
        <f t="array" ref="AF34">IF($W$1,AE34*(1+INDEX(AF$1:AF$2,MATCH($O34,$AA$1:$AA$2,0)))^(AF$16-AE$16),INDEX('AEA2012 update'!$AC$6:$AG$104,MATCH($T34&amp;$U34,'AEA2012 update'!$A$6:$A$104&amp;'AEA2012 update'!$B$6:$B$104,0),MATCH(AF$16,'AEA2012 update'!$AC$4:$AG$4,0)))</f>
        <v>3.9202288244697736</v>
      </c>
      <c r="AG34" s="67">
        <f t="array" ref="AG34">IF($W$1,AF34*(1+INDEX(AG$1:AG$2,MATCH($O34,$AA$1:$AA$2,0)))^(AG$16-AF$16),INDEX('AEA2012 update'!$AC$6:$AG$104,MATCH($T34&amp;$U34,'AEA2012 update'!$A$6:$A$104&amp;'AEA2012 update'!$B$6:$B$104,0),MATCH(AG$16,'AEA2012 update'!$AC$4:$AG$4,0)))</f>
        <v>3.5453846787832997</v>
      </c>
      <c r="AH34" s="67">
        <f t="array" ref="AH34">IF($W$1,AG34*(1+INDEX(AH$1:AH$2,MATCH($O34,$AA$1:$AA$2,0)))^(AH$16-AG$16),INDEX('AEA2012 update'!$AC$6:$AG$104,MATCH($T34&amp;$U34,'AEA2012 update'!$A$6:$A$104&amp;'AEA2012 update'!$B$6:$B$104,0),MATCH(AH$16,'AEA2012 update'!$AC$4:$AG$4,0)))</f>
        <v>3.2063823525024637</v>
      </c>
      <c r="AI34" s="67"/>
      <c r="AJ34" s="257">
        <f t="shared" si="8"/>
        <v>-4.975041666666671E-3</v>
      </c>
      <c r="AK34" s="257">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25">
      <c r="J35" s="255"/>
      <c r="N35" s="61" t="s">
        <v>521</v>
      </c>
      <c r="O35" s="61" t="s">
        <v>613</v>
      </c>
      <c r="P35" s="61" t="s">
        <v>460</v>
      </c>
      <c r="Q35" s="61" t="str">
        <f t="shared" si="6"/>
        <v>SUV</v>
      </c>
      <c r="R35" s="61" t="s">
        <v>680</v>
      </c>
      <c r="S35" s="65"/>
      <c r="T35" s="256" t="s">
        <v>701</v>
      </c>
      <c r="U35" s="256" t="s">
        <v>689</v>
      </c>
      <c r="V35" s="103">
        <f t="array" ref="V35">IF(V$18,INDEX('AEA2012 update'!$K$6:$R$104,MATCH($T35&amp;$R35,'AEA2012 update'!$A$6:$A$104&amp;'AEA2012 update'!$B$6:$B$104,0),MATCH(V$16,'AEA2012 update'!$S$4:$Z$4,0)),INDEX('AEA2012 update'!$K$6:$R$104,MATCH($T35&amp;$U35,'AEA2012 update'!$A$6:$A$104&amp;'AEA2012 update'!$B$6:$B$104,0),MATCH(V$16,'AEA2012 update'!$S$4:$Z$4,0)))</f>
        <v>684967.98910243902</v>
      </c>
      <c r="W35" s="103">
        <f t="array" ref="W35">IF(W$18,INDEX('AEA2012 update'!$K$6:$R$104,MATCH($T35&amp;$R35,'AEA2012 update'!$A$6:$A$104&amp;'AEA2012 update'!$B$6:$B$104,0),MATCH(W$16,'AEA2012 update'!$S$4:$Z$4,0)),INDEX('AEA2012 update'!$K$6:$R$104,MATCH($T35&amp;$U35,'AEA2012 update'!$A$6:$A$104&amp;'AEA2012 update'!$B$6:$B$104,0),MATCH(W$16,'AEA2012 update'!$S$4:$Z$4,0)))</f>
        <v>676046.93374770158</v>
      </c>
      <c r="X35" s="103">
        <f t="array" ref="X35">IF(X$18,INDEX('AEA2012 update'!$K$6:$R$104,MATCH($T35&amp;$R35,'AEA2012 update'!$A$6:$A$104&amp;'AEA2012 update'!$B$6:$B$104,0),MATCH(X$16,'AEA2012 update'!$S$4:$Z$4,0)),INDEX('AEA2012 update'!$K$6:$R$104,MATCH($T35&amp;$U35,'AEA2012 update'!$A$6:$A$104&amp;'AEA2012 update'!$B$6:$B$104,0),MATCH(X$16,'AEA2012 update'!$S$4:$Z$4,0)))</f>
        <v>671504.019880448</v>
      </c>
      <c r="Y35" s="103">
        <f t="array" ref="Y35">IF(Y$18,INDEX('AEA2012 update'!$K$6:$R$104,MATCH($T35&amp;$R35,'AEA2012 update'!$A$6:$A$104&amp;'AEA2012 update'!$B$6:$B$104,0),MATCH(Y$16,'AEA2012 update'!$S$4:$Z$4,0)),INDEX('AEA2012 update'!$K$6:$R$104,MATCH($T35&amp;$U35,'AEA2012 update'!$A$6:$A$104&amp;'AEA2012 update'!$B$6:$B$104,0),MATCH(Y$16,'AEA2012 update'!$S$4:$Z$4,0)))</f>
        <v>363561.36717159278</v>
      </c>
      <c r="Z35" s="103">
        <f t="array" ref="Z35">IF(Z$18,INDEX('AEA2012 update'!$K$6:$R$104,MATCH($T35&amp;$R35,'AEA2012 update'!$A$6:$A$104&amp;'AEA2012 update'!$B$6:$B$104,0),MATCH(Z$16,'AEA2012 update'!$S$4:$Z$4,0)),INDEX('AEA2012 update'!$K$6:$R$104,MATCH($T35&amp;$U35,'AEA2012 update'!$A$6:$A$104&amp;'AEA2012 update'!$B$6:$B$104,0),MATCH(Z$16,'AEA2012 update'!$S$4:$Z$4,0)))</f>
        <v>371500.85823323019</v>
      </c>
      <c r="AA35" s="103">
        <f t="array" ref="AA35">IF(AA$18,INDEX('AEA2012 update'!$K$6:$R$104,MATCH($T35&amp;$R35,'AEA2012 update'!$A$6:$A$104&amp;'AEA2012 update'!$B$6:$B$104,0),MATCH(AA$16,'AEA2012 update'!$S$4:$Z$4,0)),INDEX('AEA2012 update'!$K$6:$R$104,MATCH($T35&amp;$U35,'AEA2012 update'!$A$6:$A$104&amp;'AEA2012 update'!$B$6:$B$104,0),MATCH(AA$16,'AEA2012 update'!$S$4:$Z$4,0)))</f>
        <v>379440.3492948676</v>
      </c>
      <c r="AB35" s="103">
        <f t="array" ref="AB35">IF(AB$18,INDEX('AEA2012 update'!$K$6:$R$104,MATCH($T35&amp;$R35,'AEA2012 update'!$A$6:$A$104&amp;'AEA2012 update'!$B$6:$B$104,0),MATCH(AB$16,'AEA2012 update'!$S$4:$Z$4,0)),INDEX('AEA2012 update'!$K$6:$R$104,MATCH($T35&amp;$U35,'AEA2012 update'!$A$6:$A$104&amp;'AEA2012 update'!$B$6:$B$104,0),MATCH(AB$16,'AEA2012 update'!$S$4:$Z$4,0)))</f>
        <v>387396.22422821133</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 update'!$AC$6:$AG$104,MATCH($T35&amp;$U35,'AEA2012 update'!$A$6:$A$104&amp;'AEA2012 update'!$B$6:$B$104,0),MATCH(AE$16,'AEA2012 update'!$AC$4:$AG$4,0)))</f>
        <v>1.9636206079357112</v>
      </c>
      <c r="AF35" s="67">
        <f t="array" ref="AF35">IF($W$1,AE35*(1+INDEX(AF$1:AF$2,MATCH($O35,$AA$1:$AA$2,0)))^(AF$16-AE$16),INDEX('AEA2012 update'!$AC$6:$AG$104,MATCH($T35&amp;$U35,'AEA2012 update'!$A$6:$A$104&amp;'AEA2012 update'!$B$6:$B$104,0),MATCH(AF$16,'AEA2012 update'!$AC$4:$AG$4,0)))</f>
        <v>1.8212213617754165</v>
      </c>
      <c r="AG35" s="67">
        <f t="array" ref="AG35">IF($W$1,AF35*(1+INDEX(AG$1:AG$2,MATCH($O35,$AA$1:$AA$2,0)))^(AG$16-AF$16),INDEX('AEA2012 update'!$AC$6:$AG$104,MATCH($T35&amp;$U35,'AEA2012 update'!$A$6:$A$104&amp;'AEA2012 update'!$B$6:$B$104,0),MATCH(AG$16,'AEA2012 update'!$AC$4:$AG$4,0)))</f>
        <v>1.6470799542128114</v>
      </c>
      <c r="AH35" s="67">
        <f t="array" ref="AH35">IF($W$1,AG35*(1+INDEX(AH$1:AH$2,MATCH($O35,$AA$1:$AA$2,0)))^(AH$16-AG$16),INDEX('AEA2012 update'!$AC$6:$AG$104,MATCH($T35&amp;$U35,'AEA2012 update'!$A$6:$A$104&amp;'AEA2012 update'!$B$6:$B$104,0),MATCH(AH$16,'AEA2012 update'!$AC$4:$AG$4,0)))</f>
        <v>1.4895895866963886</v>
      </c>
      <c r="AI35" s="67"/>
      <c r="AJ35" s="257">
        <f t="shared" si="8"/>
        <v>-4.9750416666666693E-3</v>
      </c>
      <c r="AK35" s="257">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25">
      <c r="N36" s="61" t="s">
        <v>501</v>
      </c>
      <c r="O36" s="61" t="s">
        <v>613</v>
      </c>
      <c r="P36" s="61" t="s">
        <v>460</v>
      </c>
      <c r="Q36" s="61" t="str">
        <f t="shared" si="6"/>
        <v>SUV</v>
      </c>
      <c r="R36" s="61" t="s">
        <v>680</v>
      </c>
      <c r="S36" s="65"/>
      <c r="T36" s="256" t="s">
        <v>701</v>
      </c>
      <c r="U36" s="256" t="s">
        <v>692</v>
      </c>
      <c r="V36" s="103">
        <f t="array" ref="V36">IF(V$18,INDEX('AEA2012 update'!$K$6:$R$104,MATCH($T36&amp;$R36,'AEA2012 update'!$A$6:$A$104&amp;'AEA2012 update'!$B$6:$B$104,0),MATCH(V$16,'AEA2012 update'!$S$4:$Z$4,0)),INDEX('AEA2012 update'!$K$6:$R$104,MATCH($T36&amp;$U36,'AEA2012 update'!$A$6:$A$104&amp;'AEA2012 update'!$B$6:$B$104,0),MATCH(V$16,'AEA2012 update'!$S$4:$Z$4,0)))</f>
        <v>1200355.9594665694</v>
      </c>
      <c r="W36" s="103">
        <f t="array" ref="W36">IF(W$18,INDEX('AEA2012 update'!$K$6:$R$104,MATCH($T36&amp;$R36,'AEA2012 update'!$A$6:$A$104&amp;'AEA2012 update'!$B$6:$B$104,0),MATCH(W$16,'AEA2012 update'!$S$4:$Z$4,0)),INDEX('AEA2012 update'!$K$6:$R$104,MATCH($T36&amp;$U36,'AEA2012 update'!$A$6:$A$104&amp;'AEA2012 update'!$B$6:$B$104,0),MATCH(W$16,'AEA2012 update'!$S$4:$Z$4,0)))</f>
        <v>820963.00033176108</v>
      </c>
      <c r="X36" s="103">
        <f t="array" ref="X36">IF(X$18,INDEX('AEA2012 update'!$K$6:$R$104,MATCH($T36&amp;$R36,'AEA2012 update'!$A$6:$A$104&amp;'AEA2012 update'!$B$6:$B$104,0),MATCH(X$16,'AEA2012 update'!$S$4:$Z$4,0)),INDEX('AEA2012 update'!$K$6:$R$104,MATCH($T36&amp;$U36,'AEA2012 update'!$A$6:$A$104&amp;'AEA2012 update'!$B$6:$B$104,0),MATCH(X$16,'AEA2012 update'!$S$4:$Z$4,0)))</f>
        <v>755333.69376548787</v>
      </c>
      <c r="Y36" s="103">
        <f t="array" ref="Y36">IF(Y$18,INDEX('AEA2012 update'!$K$6:$R$104,MATCH($T36&amp;$R36,'AEA2012 update'!$A$6:$A$104&amp;'AEA2012 update'!$B$6:$B$104,0),MATCH(Y$16,'AEA2012 update'!$S$4:$Z$4,0)),INDEX('AEA2012 update'!$K$6:$R$104,MATCH($T36&amp;$U36,'AEA2012 update'!$A$6:$A$104&amp;'AEA2012 update'!$B$6:$B$104,0),MATCH(Y$16,'AEA2012 update'!$S$4:$Z$4,0)))</f>
        <v>363561.36717159278</v>
      </c>
      <c r="Z36" s="103">
        <f t="array" ref="Z36">IF(Z$18,INDEX('AEA2012 update'!$K$6:$R$104,MATCH($T36&amp;$R36,'AEA2012 update'!$A$6:$A$104&amp;'AEA2012 update'!$B$6:$B$104,0),MATCH(Z$16,'AEA2012 update'!$S$4:$Z$4,0)),INDEX('AEA2012 update'!$K$6:$R$104,MATCH($T36&amp;$U36,'AEA2012 update'!$A$6:$A$104&amp;'AEA2012 update'!$B$6:$B$104,0),MATCH(Z$16,'AEA2012 update'!$S$4:$Z$4,0)))</f>
        <v>371500.85823323019</v>
      </c>
      <c r="AA36" s="103">
        <f t="array" ref="AA36">IF(AA$18,INDEX('AEA2012 update'!$K$6:$R$104,MATCH($T36&amp;$R36,'AEA2012 update'!$A$6:$A$104&amp;'AEA2012 update'!$B$6:$B$104,0),MATCH(AA$16,'AEA2012 update'!$S$4:$Z$4,0)),INDEX('AEA2012 update'!$K$6:$R$104,MATCH($T36&amp;$U36,'AEA2012 update'!$A$6:$A$104&amp;'AEA2012 update'!$B$6:$B$104,0),MATCH(AA$16,'AEA2012 update'!$S$4:$Z$4,0)))</f>
        <v>379440.3492948676</v>
      </c>
      <c r="AB36" s="103">
        <f t="array" ref="AB36">IF(AB$18,INDEX('AEA2012 update'!$K$6:$R$104,MATCH($T36&amp;$R36,'AEA2012 update'!$A$6:$A$104&amp;'AEA2012 update'!$B$6:$B$104,0),MATCH(AB$16,'AEA2012 update'!$S$4:$Z$4,0)),INDEX('AEA2012 update'!$K$6:$R$104,MATCH($T36&amp;$U36,'AEA2012 update'!$A$6:$A$104&amp;'AEA2012 update'!$B$6:$B$104,0),MATCH(AB$16,'AEA2012 update'!$S$4:$Z$4,0)))</f>
        <v>387396.22422821133</v>
      </c>
      <c r="AC36" s="103" t="str">
        <f t="shared" si="11"/>
        <v>SUVELC</v>
      </c>
      <c r="AD36" s="67">
        <f>1/INDEX(Analytica!$AA$17:$AE$48,MATCH($AC36,Analytica!$A$17:$A$48,0),MATCH(AD$16,Analytica!$AA$16:$AE$16,0))</f>
        <v>0.6770480704129993</v>
      </c>
      <c r="AE36" s="67">
        <f t="array" ref="AE36">IF($W$1,AD36*(1+INDEX(AE$1:AE$2,MATCH($O36,$AA$1:$AA$2,0)))^(AE$16-AD$16),INDEX('AEA2012 update'!$AC$6:$AG$104,MATCH($T36&amp;$U36,'AEA2012 update'!$A$6:$A$104&amp;'AEA2012 update'!$B$6:$B$104,0),MATCH(AE$16,'AEA2012 update'!$AC$4:$AG$4,0)))</f>
        <v>0.66694304333107646</v>
      </c>
      <c r="AF36" s="67">
        <f t="array" ref="AF36">IF($W$1,AE36*(1+INDEX(AF$1:AF$2,MATCH($O36,$AA$1:$AA$2,0)))^(AF$16-AE$16),INDEX('AEA2012 update'!$AC$6:$AG$104,MATCH($T36&amp;$U36,'AEA2012 update'!$A$6:$A$104&amp;'AEA2012 update'!$B$6:$B$104,0),MATCH(AF$16,'AEA2012 update'!$AC$4:$AG$4,0)))</f>
        <v>0.61857718985694776</v>
      </c>
      <c r="AG36" s="67">
        <f t="array" ref="AG36">IF($W$1,AF36*(1+INDEX(AG$1:AG$2,MATCH($O36,$AA$1:$AA$2,0)))^(AG$16-AF$16),INDEX('AEA2012 update'!$AC$6:$AG$104,MATCH($T36&amp;$U36,'AEA2012 update'!$A$6:$A$104&amp;'AEA2012 update'!$B$6:$B$104,0),MATCH(AG$16,'AEA2012 update'!$AC$4:$AG$4,0)))</f>
        <v>0.55943012251594149</v>
      </c>
      <c r="AH36" s="67">
        <f t="array" ref="AH36">IF($W$1,AG36*(1+INDEX(AH$1:AH$2,MATCH($O36,$AA$1:$AA$2,0)))^(AH$16-AG$16),INDEX('AEA2012 update'!$AC$6:$AG$104,MATCH($T36&amp;$U36,'AEA2012 update'!$A$6:$A$104&amp;'AEA2012 update'!$B$6:$B$104,0),MATCH(AH$16,'AEA2012 update'!$AC$4:$AG$4,0)))</f>
        <v>0.50593857502339679</v>
      </c>
      <c r="AI36" s="67"/>
      <c r="AJ36" s="257">
        <f t="shared" si="8"/>
        <v>-4.9750416666666814E-3</v>
      </c>
      <c r="AK36" s="257">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25">
      <c r="N37" s="61" t="s">
        <v>504</v>
      </c>
      <c r="O37" s="61" t="s">
        <v>613</v>
      </c>
      <c r="P37" s="61" t="s">
        <v>460</v>
      </c>
      <c r="Q37" s="61" t="str">
        <f t="shared" si="6"/>
        <v>SUV</v>
      </c>
      <c r="R37" s="61" t="s">
        <v>680</v>
      </c>
      <c r="S37" s="65"/>
      <c r="T37" s="256" t="s">
        <v>701</v>
      </c>
      <c r="U37" s="256" t="s">
        <v>699</v>
      </c>
      <c r="V37" s="103">
        <f t="array" ref="V37">IF(V$18,INDEX('AEA2012 update'!$K$6:$R$104,MATCH($T37&amp;$R37,'AEA2012 update'!$A$6:$A$104&amp;'AEA2012 update'!$B$6:$B$104,0),MATCH(V$16,'AEA2012 update'!$S$4:$Z$4,0)),INDEX('AEA2012 update'!$K$6:$R$104,MATCH($T37&amp;$U37,'AEA2012 update'!$A$6:$A$104&amp;'AEA2012 update'!$B$6:$B$104,0),MATCH(V$16,'AEA2012 update'!$S$4:$Z$4,0)))</f>
        <v>4486535.6914122794</v>
      </c>
      <c r="W37" s="103">
        <f t="array" ref="W37">IF(W$18,INDEX('AEA2012 update'!$K$6:$R$104,MATCH($T37&amp;$R37,'AEA2012 update'!$A$6:$A$104&amp;'AEA2012 update'!$B$6:$B$104,0),MATCH(W$16,'AEA2012 update'!$S$4:$Z$4,0)),INDEX('AEA2012 update'!$K$6:$R$104,MATCH($T37&amp;$U37,'AEA2012 update'!$A$6:$A$104&amp;'AEA2012 update'!$B$6:$B$104,0),MATCH(W$16,'AEA2012 update'!$S$4:$Z$4,0)))</f>
        <v>1793789.1316594642</v>
      </c>
      <c r="X37" s="103">
        <f t="array" ref="X37">IF(X$18,INDEX('AEA2012 update'!$K$6:$R$104,MATCH($T37&amp;$R37,'AEA2012 update'!$A$6:$A$104&amp;'AEA2012 update'!$B$6:$B$104,0),MATCH(X$16,'AEA2012 update'!$S$4:$Z$4,0)),INDEX('AEA2012 update'!$K$6:$R$104,MATCH($T37&amp;$U37,'AEA2012 update'!$A$6:$A$104&amp;'AEA2012 update'!$B$6:$B$104,0),MATCH(X$16,'AEA2012 update'!$S$4:$Z$4,0)))</f>
        <v>1377038.9964110029</v>
      </c>
      <c r="Y37" s="103">
        <f t="array" ref="Y37">IF(Y$18,INDEX('AEA2012 update'!$K$6:$R$104,MATCH($T37&amp;$R37,'AEA2012 update'!$A$6:$A$104&amp;'AEA2012 update'!$B$6:$B$104,0),MATCH(Y$16,'AEA2012 update'!$S$4:$Z$4,0)),INDEX('AEA2012 update'!$K$6:$R$104,MATCH($T37&amp;$U37,'AEA2012 update'!$A$6:$A$104&amp;'AEA2012 update'!$B$6:$B$104,0),MATCH(Y$16,'AEA2012 update'!$S$4:$Z$4,0)))</f>
        <v>363561.36717159278</v>
      </c>
      <c r="Z37" s="103">
        <f t="array" ref="Z37">IF(Z$18,INDEX('AEA2012 update'!$K$6:$R$104,MATCH($T37&amp;$R37,'AEA2012 update'!$A$6:$A$104&amp;'AEA2012 update'!$B$6:$B$104,0),MATCH(Z$16,'AEA2012 update'!$S$4:$Z$4,0)),INDEX('AEA2012 update'!$K$6:$R$104,MATCH($T37&amp;$U37,'AEA2012 update'!$A$6:$A$104&amp;'AEA2012 update'!$B$6:$B$104,0),MATCH(Z$16,'AEA2012 update'!$S$4:$Z$4,0)))</f>
        <v>371500.85823323019</v>
      </c>
      <c r="AA37" s="103">
        <f t="array" ref="AA37">IF(AA$18,INDEX('AEA2012 update'!$K$6:$R$104,MATCH($T37&amp;$R37,'AEA2012 update'!$A$6:$A$104&amp;'AEA2012 update'!$B$6:$B$104,0),MATCH(AA$16,'AEA2012 update'!$S$4:$Z$4,0)),INDEX('AEA2012 update'!$K$6:$R$104,MATCH($T37&amp;$U37,'AEA2012 update'!$A$6:$A$104&amp;'AEA2012 update'!$B$6:$B$104,0),MATCH(AA$16,'AEA2012 update'!$S$4:$Z$4,0)))</f>
        <v>379440.3492948676</v>
      </c>
      <c r="AB37" s="103">
        <f t="array" ref="AB37">IF(AB$18,INDEX('AEA2012 update'!$K$6:$R$104,MATCH($T37&amp;$R37,'AEA2012 update'!$A$6:$A$104&amp;'AEA2012 update'!$B$6:$B$104,0),MATCH(AB$16,'AEA2012 update'!$S$4:$Z$4,0)),INDEX('AEA2012 update'!$K$6:$R$104,MATCH($T37&amp;$U37,'AEA2012 update'!$A$6:$A$104&amp;'AEA2012 update'!$B$6:$B$104,0),MATCH(AB$16,'AEA2012 update'!$S$4:$Z$4,0)))</f>
        <v>387396.22422821133</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 update'!$AC$6:$AG$104,MATCH($T37&amp;$U37,'AEA2012 update'!$A$6:$A$104&amp;'AEA2012 update'!$B$6:$B$104,0),MATCH(AE$16,'AEA2012 update'!$AC$4:$AG$4,0)))</f>
        <v>1.1351066124445215</v>
      </c>
      <c r="AF37" s="67">
        <f t="array" ref="AF37">IF($W$1,AE37*(1+INDEX(AF$1:AF$2,MATCH($O37,$AA$1:$AA$2,0)))^(AF$16-AE$16),INDEX('AEA2012 update'!$AC$6:$AG$104,MATCH($T37&amp;$U37,'AEA2012 update'!$A$6:$A$104&amp;'AEA2012 update'!$B$6:$B$104,0),MATCH(AF$16,'AEA2012 update'!$AC$4:$AG$4,0)))</f>
        <v>1.0527901378310316</v>
      </c>
      <c r="AG37" s="67">
        <f t="array" ref="AG37">IF($W$1,AF37*(1+INDEX(AG$1:AG$2,MATCH($O37,$AA$1:$AA$2,0)))^(AG$16-AF$16),INDEX('AEA2012 update'!$AC$6:$AG$104,MATCH($T37&amp;$U37,'AEA2012 update'!$A$6:$A$104&amp;'AEA2012 update'!$B$6:$B$104,0),MATCH(AG$16,'AEA2012 update'!$AC$4:$AG$4,0)))</f>
        <v>0.95212452940043346</v>
      </c>
      <c r="AH37" s="67">
        <f t="array" ref="AH37">IF($W$1,AG37*(1+INDEX(AH$1:AH$2,MATCH($O37,$AA$1:$AA$2,0)))^(AH$16-AG$16),INDEX('AEA2012 update'!$AC$6:$AG$104,MATCH($T37&amp;$U37,'AEA2012 update'!$A$6:$A$104&amp;'AEA2012 update'!$B$6:$B$104,0),MATCH(AH$16,'AEA2012 update'!$AC$4:$AG$4,0)))</f>
        <v>0.86108435756594526</v>
      </c>
      <c r="AI37" s="67"/>
      <c r="AJ37" s="257">
        <f t="shared" si="8"/>
        <v>-4.9750416666666615E-3</v>
      </c>
      <c r="AK37" s="257">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25">
      <c r="A38" s="65" t="s">
        <v>617</v>
      </c>
      <c r="C38" s="65" t="s">
        <v>702</v>
      </c>
      <c r="N38" s="61" t="s">
        <v>509</v>
      </c>
      <c r="O38" s="61" t="s">
        <v>613</v>
      </c>
      <c r="P38" s="61" t="s">
        <v>460</v>
      </c>
      <c r="Q38" s="61" t="str">
        <f t="shared" si="6"/>
        <v>SUV</v>
      </c>
      <c r="R38" s="61" t="s">
        <v>680</v>
      </c>
      <c r="S38" s="65"/>
      <c r="T38" s="256" t="s">
        <v>701</v>
      </c>
      <c r="U38" s="256" t="s">
        <v>700</v>
      </c>
      <c r="V38" s="103">
        <f t="array" ref="V38">IF(V$18,INDEX('AEA2012 update'!$K$6:$R$104,MATCH($T38&amp;$R38,'AEA2012 update'!$A$6:$A$104&amp;'AEA2012 update'!$B$6:$B$104,0),MATCH(V$16,'AEA2012 update'!$S$4:$Z$4,0)),INDEX('AEA2012 update'!$K$6:$R$104,MATCH($T38&amp;$U38,'AEA2012 update'!$A$6:$A$104&amp;'AEA2012 update'!$B$6:$B$104,0),MATCH(V$16,'AEA2012 update'!$S$4:$Z$4,0)))</f>
        <v>519120.41439989489</v>
      </c>
      <c r="W38" s="103">
        <f t="array" ref="W38">IF(W$18,INDEX('AEA2012 update'!$K$6:$R$104,MATCH($T38&amp;$R38,'AEA2012 update'!$A$6:$A$104&amp;'AEA2012 update'!$B$6:$B$104,0),MATCH(W$16,'AEA2012 update'!$S$4:$Z$4,0)),INDEX('AEA2012 update'!$K$6:$R$104,MATCH($T38&amp;$U38,'AEA2012 update'!$A$6:$A$104&amp;'AEA2012 update'!$B$6:$B$104,0),MATCH(W$16,'AEA2012 update'!$S$4:$Z$4,0)))</f>
        <v>545626.74611489451</v>
      </c>
      <c r="X38" s="103">
        <f t="array" ref="X38">IF(X$18,INDEX('AEA2012 update'!$K$6:$R$104,MATCH($T38&amp;$R38,'AEA2012 update'!$A$6:$A$104&amp;'AEA2012 update'!$B$6:$B$104,0),MATCH(X$16,'AEA2012 update'!$S$4:$Z$4,0)),INDEX('AEA2012 update'!$K$6:$R$104,MATCH($T38&amp;$U38,'AEA2012 update'!$A$6:$A$104&amp;'AEA2012 update'!$B$6:$B$104,0),MATCH(X$16,'AEA2012 update'!$S$4:$Z$4,0)))</f>
        <v>551370.12411759188</v>
      </c>
      <c r="Y38" s="103">
        <f t="array" ref="Y38">IF(Y$18,INDEX('AEA2012 update'!$K$6:$R$104,MATCH($T38&amp;$R38,'AEA2012 update'!$A$6:$A$104&amp;'AEA2012 update'!$B$6:$B$104,0),MATCH(Y$16,'AEA2012 update'!$S$4:$Z$4,0)),INDEX('AEA2012 update'!$K$6:$R$104,MATCH($T38&amp;$U38,'AEA2012 update'!$A$6:$A$104&amp;'AEA2012 update'!$B$6:$B$104,0),MATCH(Y$16,'AEA2012 update'!$S$4:$Z$4,0)))</f>
        <v>363561.36717159278</v>
      </c>
      <c r="Z38" s="103">
        <f t="array" ref="Z38">IF(Z$18,INDEX('AEA2012 update'!$K$6:$R$104,MATCH($T38&amp;$R38,'AEA2012 update'!$A$6:$A$104&amp;'AEA2012 update'!$B$6:$B$104,0),MATCH(Z$16,'AEA2012 update'!$S$4:$Z$4,0)),INDEX('AEA2012 update'!$K$6:$R$104,MATCH($T38&amp;$U38,'AEA2012 update'!$A$6:$A$104&amp;'AEA2012 update'!$B$6:$B$104,0),MATCH(Z$16,'AEA2012 update'!$S$4:$Z$4,0)))</f>
        <v>371500.85823323019</v>
      </c>
      <c r="AA38" s="103">
        <f t="array" ref="AA38">IF(AA$18,INDEX('AEA2012 update'!$K$6:$R$104,MATCH($T38&amp;$R38,'AEA2012 update'!$A$6:$A$104&amp;'AEA2012 update'!$B$6:$B$104,0),MATCH(AA$16,'AEA2012 update'!$S$4:$Z$4,0)),INDEX('AEA2012 update'!$K$6:$R$104,MATCH($T38&amp;$U38,'AEA2012 update'!$A$6:$A$104&amp;'AEA2012 update'!$B$6:$B$104,0),MATCH(AA$16,'AEA2012 update'!$S$4:$Z$4,0)))</f>
        <v>379440.3492948676</v>
      </c>
      <c r="AB38" s="103">
        <f t="array" ref="AB38">IF(AB$18,INDEX('AEA2012 update'!$K$6:$R$104,MATCH($T38&amp;$R38,'AEA2012 update'!$A$6:$A$104&amp;'AEA2012 update'!$B$6:$B$104,0),MATCH(AB$16,'AEA2012 update'!$S$4:$Z$4,0)),INDEX('AEA2012 update'!$K$6:$R$104,MATCH($T38&amp;$U38,'AEA2012 update'!$A$6:$A$104&amp;'AEA2012 update'!$B$6:$B$104,0),MATCH(AB$16,'AEA2012 update'!$S$4:$Z$4,0)))</f>
        <v>387396.22422821133</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 update'!$AC$6:$AG$104,MATCH($T38&amp;$U38,'AEA2012 update'!$A$6:$A$104&amp;'AEA2012 update'!$B$6:$B$104,0),MATCH(AE$16,'AEA2012 update'!$AC$4:$AG$4,0)))</f>
        <v>2.7030575095656815</v>
      </c>
      <c r="AF38" s="67">
        <f t="array" ref="AF38">IF($W$1,AE38*(1+INDEX(AF$1:AF$2,MATCH($O38,$AA$1:$AA$2,0)))^(AF$16-AE$16),INDEX('AEA2012 update'!$AC$6:$AG$104,MATCH($T38&amp;$U38,'AEA2012 update'!$A$6:$A$104&amp;'AEA2012 update'!$B$6:$B$104,0),MATCH(AF$16,'AEA2012 update'!$AC$4:$AG$4,0)))</f>
        <v>2.5070352483740335</v>
      </c>
      <c r="AG38" s="67">
        <f t="array" ref="AG38">IF($W$1,AF38*(1+INDEX(AG$1:AG$2,MATCH($O38,$AA$1:$AA$2,0)))^(AG$16-AF$16),INDEX('AEA2012 update'!$AC$6:$AG$104,MATCH($T38&amp;$U38,'AEA2012 update'!$A$6:$A$104&amp;'AEA2012 update'!$B$6:$B$104,0),MATCH(AG$16,'AEA2012 update'!$AC$4:$AG$4,0)))</f>
        <v>2.2673177400447213</v>
      </c>
      <c r="AH38" s="67">
        <f t="array" ref="AH38">IF($W$1,AG38*(1+INDEX(AH$1:AH$2,MATCH($O38,$AA$1:$AA$2,0)))^(AH$16-AG$16),INDEX('AEA2012 update'!$AC$6:$AG$104,MATCH($T38&amp;$U38,'AEA2012 update'!$A$6:$A$104&amp;'AEA2012 update'!$B$6:$B$104,0),MATCH(AH$16,'AEA2012 update'!$AC$4:$AG$4,0)))</f>
        <v>2.0505215224459179</v>
      </c>
      <c r="AI38" s="67"/>
      <c r="AJ38" s="257">
        <f t="shared" si="8"/>
        <v>-4.975041666666678E-3</v>
      </c>
      <c r="AK38" s="257">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25">
      <c r="A39" s="65"/>
      <c r="C39" s="65"/>
      <c r="O39" s="61" t="s">
        <v>613</v>
      </c>
      <c r="Q39" s="61" t="str">
        <f t="shared" si="6"/>
        <v/>
      </c>
      <c r="S39" s="65"/>
      <c r="T39" s="256"/>
      <c r="U39" s="256"/>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11"/>
        <v/>
      </c>
      <c r="AD39" s="67" t="e">
        <f>1/INDEX(Analytica!$AA$17:$AE$48,MATCH($AC39,Analytica!$A$17:$A$48,0),MATCH(AD$16,Analytica!$AA$16:$AE$16,0))</f>
        <v>#N/A</v>
      </c>
      <c r="AE39" s="67" t="e">
        <f t="array" ref="AE39">IF($W$1,AD39*(1+INDEX(AE$1:AE$2,MATCH($O39,$AA$1:$AA$2,0)))^(AE$16-AD$16),INDEX('AEA2012 update'!$AC$6:$AG$104,MATCH($T39&amp;$U39,'AEA2012 update'!$A$6:$A$104&amp;'AEA2012 update'!$B$6:$B$104,0),MATCH(AE$16,'AEA2012 update'!$AC$4:$AG$4,0)))</f>
        <v>#N/A</v>
      </c>
      <c r="AF39" s="67" t="e">
        <f t="array" ref="AF39">IF($W$1,AE39*(1+INDEX(AF$1:AF$2,MATCH($O39,$AA$1:$AA$2,0)))^(AF$16-AE$16),INDEX('AEA2012 update'!$AC$6:$AG$104,MATCH($T39&amp;$U39,'AEA2012 update'!$A$6:$A$104&amp;'AEA2012 update'!$B$6:$B$104,0),MATCH(AF$16,'AEA2012 update'!$AC$4:$AG$4,0)))</f>
        <v>#N/A</v>
      </c>
      <c r="AG39" s="67" t="e">
        <f t="array" ref="AG39">IF($W$1,AF39*(1+INDEX(AG$1:AG$2,MATCH($O39,$AA$1:$AA$2,0)))^(AG$16-AF$16),INDEX('AEA2012 update'!$AC$6:$AG$104,MATCH($T39&amp;$U39,'AEA2012 update'!$A$6:$A$104&amp;'AEA2012 update'!$B$6:$B$104,0),MATCH(AG$16,'AEA2012 update'!$AC$4:$AG$4,0)))</f>
        <v>#N/A</v>
      </c>
      <c r="AH39" s="67" t="e">
        <f t="array" ref="AH39">IF($W$1,AG39*(1+INDEX(AH$1:AH$2,MATCH($O39,$AA$1:$AA$2,0)))^(AH$16-AG$16),INDEX('AEA2012 update'!$AC$6:$AG$104,MATCH($T39&amp;$U39,'AEA2012 update'!$A$6:$A$104&amp;'AEA2012 update'!$B$6:$B$104,0),MATCH(AH$16,'AEA2012 update'!$AC$4:$AG$4,0)))</f>
        <v>#N/A</v>
      </c>
      <c r="AI39" s="67"/>
      <c r="AJ39" s="257" t="e">
        <f t="shared" si="8"/>
        <v>#N/A</v>
      </c>
      <c r="AK39" s="257"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25">
      <c r="A40" s="193" t="s">
        <v>703</v>
      </c>
      <c r="C40" s="61" t="s">
        <v>704</v>
      </c>
      <c r="D40" s="61" t="s">
        <v>705</v>
      </c>
      <c r="E40" s="61" t="s">
        <v>706</v>
      </c>
      <c r="F40" s="61">
        <v>10000</v>
      </c>
      <c r="N40" s="61" t="s">
        <v>573</v>
      </c>
      <c r="O40" s="61" t="s">
        <v>613</v>
      </c>
      <c r="P40" s="61" t="s">
        <v>61</v>
      </c>
      <c r="Q40" s="61" t="str">
        <f t="shared" si="6"/>
        <v>MBT</v>
      </c>
      <c r="R40" s="61" t="s">
        <v>680</v>
      </c>
      <c r="S40" s="65"/>
      <c r="T40" s="256" t="s">
        <v>701</v>
      </c>
      <c r="U40" s="256" t="s">
        <v>680</v>
      </c>
      <c r="V40" s="103">
        <f t="array" ref="V40">IF(V$18,INDEX('AEA2012 update'!$K$6:$R$104,MATCH($T40&amp;$R40,'AEA2012 update'!$A$6:$A$104&amp;'AEA2012 update'!$B$6:$B$104,0),MATCH(V$16,'AEA2012 update'!$S$4:$Z$4,0)),INDEX('AEA2012 update'!$K$6:$R$104,MATCH($T40&amp;$U40,'AEA2012 update'!$A$6:$A$104&amp;'AEA2012 update'!$B$6:$B$104,0),MATCH(V$16,'AEA2012 update'!$S$4:$Z$4,0)))</f>
        <v>322554.53757929691</v>
      </c>
      <c r="W40" s="103">
        <f t="array" ref="W40">IF(W$18,INDEX('AEA2012 update'!$K$6:$R$104,MATCH($T40&amp;$R40,'AEA2012 update'!$A$6:$A$104&amp;'AEA2012 update'!$B$6:$B$104,0),MATCH(W$16,'AEA2012 update'!$S$4:$Z$4,0)),INDEX('AEA2012 update'!$K$6:$R$104,MATCH($T40&amp;$U40,'AEA2012 update'!$A$6:$A$104&amp;'AEA2012 update'!$B$6:$B$104,0),MATCH(W$16,'AEA2012 update'!$S$4:$Z$4,0)))</f>
        <v>350637.87759734597</v>
      </c>
      <c r="X40" s="103">
        <f t="array" ref="X40">IF(X$18,INDEX('AEA2012 update'!$K$6:$R$104,MATCH($T40&amp;$R40,'AEA2012 update'!$A$6:$A$104&amp;'AEA2012 update'!$B$6:$B$104,0),MATCH(X$16,'AEA2012 update'!$S$4:$Z$4,0)),INDEX('AEA2012 update'!$K$6:$R$104,MATCH($T40&amp;$U40,'AEA2012 update'!$A$6:$A$104&amp;'AEA2012 update'!$B$6:$B$104,0),MATCH(X$16,'AEA2012 update'!$S$4:$Z$4,0)))</f>
        <v>357099.62238446943</v>
      </c>
      <c r="Y40" s="103">
        <f t="array" ref="Y40">IF(Y$18,INDEX('AEA2012 update'!$K$6:$R$104,MATCH($T40&amp;$R40,'AEA2012 update'!$A$6:$A$104&amp;'AEA2012 update'!$B$6:$B$104,0),MATCH(Y$16,'AEA2012 update'!$S$4:$Z$4,0)),INDEX('AEA2012 update'!$K$6:$R$104,MATCH($T40&amp;$U40,'AEA2012 update'!$A$6:$A$104&amp;'AEA2012 update'!$B$6:$B$104,0),MATCH(Y$16,'AEA2012 update'!$S$4:$Z$4,0)))</f>
        <v>363561.36717159278</v>
      </c>
      <c r="Z40" s="103">
        <f t="array" ref="Z40">IF(Z$18,INDEX('AEA2012 update'!$K$6:$R$104,MATCH($T40&amp;$R40,'AEA2012 update'!$A$6:$A$104&amp;'AEA2012 update'!$B$6:$B$104,0),MATCH(Z$16,'AEA2012 update'!$S$4:$Z$4,0)),INDEX('AEA2012 update'!$K$6:$R$104,MATCH($T40&amp;$U40,'AEA2012 update'!$A$6:$A$104&amp;'AEA2012 update'!$B$6:$B$104,0),MATCH(Z$16,'AEA2012 update'!$S$4:$Z$4,0)))</f>
        <v>371500.85823323019</v>
      </c>
      <c r="AA40" s="103">
        <f t="array" ref="AA40">IF(AA$18,INDEX('AEA2012 update'!$K$6:$R$104,MATCH($T40&amp;$R40,'AEA2012 update'!$A$6:$A$104&amp;'AEA2012 update'!$B$6:$B$104,0),MATCH(AA$16,'AEA2012 update'!$S$4:$Z$4,0)),INDEX('AEA2012 update'!$K$6:$R$104,MATCH($T40&amp;$U40,'AEA2012 update'!$A$6:$A$104&amp;'AEA2012 update'!$B$6:$B$104,0),MATCH(AA$16,'AEA2012 update'!$S$4:$Z$4,0)))</f>
        <v>379440.3492948676</v>
      </c>
      <c r="AB40" s="103">
        <f t="array" ref="AB40">IF(AB$18,INDEX('AEA2012 update'!$K$6:$R$104,MATCH($T40&amp;$R40,'AEA2012 update'!$A$6:$A$104&amp;'AEA2012 update'!$B$6:$B$104,0),MATCH(AB$16,'AEA2012 update'!$S$4:$Z$4,0)),INDEX('AEA2012 update'!$K$6:$R$104,MATCH($T40&amp;$U40,'AEA2012 update'!$A$6:$A$104&amp;'AEA2012 update'!$B$6:$B$104,0),MATCH(AB$16,'AEA2012 update'!$S$4:$Z$4,0)))</f>
        <v>387396.22422821133</v>
      </c>
      <c r="AC40" s="103" t="str">
        <f t="shared" si="11"/>
        <v>MBTOGS</v>
      </c>
      <c r="AD40" s="67">
        <f>1/INDEX(Analytica!$AA$17:$AE$48,MATCH($AC40,Analytica!$A$17:$A$48,0),MATCH(AD$16,Analytica!$AA$16:$AE$16,0))</f>
        <v>4.9810534104362922</v>
      </c>
      <c r="AE40" s="67">
        <f t="array" ref="AE40">IF($W$1,AD40*(1+INDEX(AE$1:AE$2,MATCH($O40,$AA$1:$AA$2,0)))^(AE$16-AD$16),INDEX('AEA2012 update'!$AC$6:$AG$104,MATCH($T40&amp;$U40,'AEA2012 update'!$A$6:$A$104&amp;'AEA2012 update'!$B$6:$B$104,0),MATCH(AE$16,'AEA2012 update'!$AC$4:$AG$4,0)))</f>
        <v>4.9067105656538548</v>
      </c>
      <c r="AF40" s="67">
        <f t="array" ref="AF40">IF($W$1,AE40*(1+INDEX(AF$1:AF$2,MATCH($O40,$AA$1:$AA$2,0)))^(AF$16-AE$16),INDEX('AEA2012 update'!$AC$6:$AG$104,MATCH($T40&amp;$U40,'AEA2012 update'!$A$6:$A$104&amp;'AEA2012 update'!$B$6:$B$104,0),MATCH(AF$16,'AEA2012 update'!$AC$4:$AG$4,0)))</f>
        <v>4.5508822132460063</v>
      </c>
      <c r="AG40" s="67">
        <f t="array" ref="AG40">IF($W$1,AF40*(1+INDEX(AG$1:AG$2,MATCH($O40,$AA$1:$AA$2,0)))^(AG$16-AF$16),INDEX('AEA2012 update'!$AC$6:$AG$104,MATCH($T40&amp;$U40,'AEA2012 update'!$A$6:$A$104&amp;'AEA2012 update'!$B$6:$B$104,0),MATCH(AG$16,'AEA2012 update'!$AC$4:$AG$4,0)))</f>
        <v>4.1157362991360831</v>
      </c>
      <c r="AH40" s="67">
        <f t="array" ref="AH40">IF($W$1,AG40*(1+INDEX(AH$1:AH$2,MATCH($O40,$AA$1:$AA$2,0)))^(AH$16-AG$16),INDEX('AEA2012 update'!$AC$6:$AG$104,MATCH($T40&amp;$U40,'AEA2012 update'!$A$6:$A$104&amp;'AEA2012 update'!$B$6:$B$104,0),MATCH(AH$16,'AEA2012 update'!$AC$4:$AG$4,0)))</f>
        <v>3.7221981344017476</v>
      </c>
      <c r="AI40" s="67"/>
      <c r="AJ40" s="257">
        <f t="shared" si="8"/>
        <v>-4.9750416666666337E-3</v>
      </c>
      <c r="AK40" s="257">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25">
      <c r="A41" s="259" t="s">
        <v>707</v>
      </c>
      <c r="C41" s="178" t="s">
        <v>708</v>
      </c>
      <c r="D41" s="61" t="s">
        <v>705</v>
      </c>
      <c r="E41" s="61" t="s">
        <v>706</v>
      </c>
      <c r="F41" s="61">
        <v>24000</v>
      </c>
      <c r="N41" s="61" t="s">
        <v>506</v>
      </c>
      <c r="O41" s="61" t="s">
        <v>613</v>
      </c>
      <c r="P41" s="61" t="s">
        <v>61</v>
      </c>
      <c r="Q41" s="61" t="str">
        <f t="shared" si="6"/>
        <v>MBT</v>
      </c>
      <c r="R41" s="61" t="s">
        <v>680</v>
      </c>
      <c r="S41" s="65"/>
      <c r="T41" s="256" t="s">
        <v>701</v>
      </c>
      <c r="U41" s="256" t="s">
        <v>680</v>
      </c>
      <c r="V41" s="103">
        <f t="array" ref="V41">IF(V$18,INDEX('AEA2012 update'!$K$6:$R$104,MATCH($T41&amp;$R41,'AEA2012 update'!$A$6:$A$104&amp;'AEA2012 update'!$B$6:$B$104,0),MATCH(V$16,'AEA2012 update'!$S$4:$Z$4,0)),INDEX('AEA2012 update'!$K$6:$R$104,MATCH($T41&amp;$U41,'AEA2012 update'!$A$6:$A$104&amp;'AEA2012 update'!$B$6:$B$104,0),MATCH(V$16,'AEA2012 update'!$S$4:$Z$4,0)))</f>
        <v>322554.53757929691</v>
      </c>
      <c r="W41" s="103">
        <f t="array" ref="W41">IF(W$18,INDEX('AEA2012 update'!$K$6:$R$104,MATCH($T41&amp;$R41,'AEA2012 update'!$A$6:$A$104&amp;'AEA2012 update'!$B$6:$B$104,0),MATCH(W$16,'AEA2012 update'!$S$4:$Z$4,0)),INDEX('AEA2012 update'!$K$6:$R$104,MATCH($T41&amp;$U41,'AEA2012 update'!$A$6:$A$104&amp;'AEA2012 update'!$B$6:$B$104,0),MATCH(W$16,'AEA2012 update'!$S$4:$Z$4,0)))</f>
        <v>350637.87759734597</v>
      </c>
      <c r="X41" s="103">
        <f t="array" ref="X41">IF(X$18,INDEX('AEA2012 update'!$K$6:$R$104,MATCH($T41&amp;$R41,'AEA2012 update'!$A$6:$A$104&amp;'AEA2012 update'!$B$6:$B$104,0),MATCH(X$16,'AEA2012 update'!$S$4:$Z$4,0)),INDEX('AEA2012 update'!$K$6:$R$104,MATCH($T41&amp;$U41,'AEA2012 update'!$A$6:$A$104&amp;'AEA2012 update'!$B$6:$B$104,0),MATCH(X$16,'AEA2012 update'!$S$4:$Z$4,0)))</f>
        <v>357099.62238446943</v>
      </c>
      <c r="Y41" s="103">
        <f t="array" ref="Y41">IF(Y$18,INDEX('AEA2012 update'!$K$6:$R$104,MATCH($T41&amp;$R41,'AEA2012 update'!$A$6:$A$104&amp;'AEA2012 update'!$B$6:$B$104,0),MATCH(Y$16,'AEA2012 update'!$S$4:$Z$4,0)),INDEX('AEA2012 update'!$K$6:$R$104,MATCH($T41&amp;$U41,'AEA2012 update'!$A$6:$A$104&amp;'AEA2012 update'!$B$6:$B$104,0),MATCH(Y$16,'AEA2012 update'!$S$4:$Z$4,0)))</f>
        <v>363561.36717159278</v>
      </c>
      <c r="Z41" s="103">
        <f t="array" ref="Z41">IF(Z$18,INDEX('AEA2012 update'!$K$6:$R$104,MATCH($T41&amp;$R41,'AEA2012 update'!$A$6:$A$104&amp;'AEA2012 update'!$B$6:$B$104,0),MATCH(Z$16,'AEA2012 update'!$S$4:$Z$4,0)),INDEX('AEA2012 update'!$K$6:$R$104,MATCH($T41&amp;$U41,'AEA2012 update'!$A$6:$A$104&amp;'AEA2012 update'!$B$6:$B$104,0),MATCH(Z$16,'AEA2012 update'!$S$4:$Z$4,0)))</f>
        <v>371500.85823323019</v>
      </c>
      <c r="AA41" s="103">
        <f t="array" ref="AA41">IF(AA$18,INDEX('AEA2012 update'!$K$6:$R$104,MATCH($T41&amp;$R41,'AEA2012 update'!$A$6:$A$104&amp;'AEA2012 update'!$B$6:$B$104,0),MATCH(AA$16,'AEA2012 update'!$S$4:$Z$4,0)),INDEX('AEA2012 update'!$K$6:$R$104,MATCH($T41&amp;$U41,'AEA2012 update'!$A$6:$A$104&amp;'AEA2012 update'!$B$6:$B$104,0),MATCH(AA$16,'AEA2012 update'!$S$4:$Z$4,0)))</f>
        <v>379440.3492948676</v>
      </c>
      <c r="AB41" s="103">
        <f t="array" ref="AB41">IF(AB$18,INDEX('AEA2012 update'!$K$6:$R$104,MATCH($T41&amp;$R41,'AEA2012 update'!$A$6:$A$104&amp;'AEA2012 update'!$B$6:$B$104,0),MATCH(AB$16,'AEA2012 update'!$S$4:$Z$4,0)),INDEX('AEA2012 update'!$K$6:$R$104,MATCH($T41&amp;$U41,'AEA2012 update'!$A$6:$A$104&amp;'AEA2012 update'!$B$6:$B$104,0),MATCH(AB$16,'AEA2012 update'!$S$4:$Z$4,0)))</f>
        <v>387396.22422821133</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 update'!$AC$6:$AG$104,MATCH($T41&amp;$U41,'AEA2012 update'!$A$6:$A$104&amp;'AEA2012 update'!$B$6:$B$104,0),MATCH(AE$16,'AEA2012 update'!$AC$4:$AG$4,0)))</f>
        <v>4.9067105656538548</v>
      </c>
      <c r="AF41" s="67">
        <f t="array" ref="AF41">IF($W$1,AE41*(1+INDEX(AF$1:AF$2,MATCH($O41,$AA$1:$AA$2,0)))^(AF$16-AE$16),INDEX('AEA2012 update'!$AC$6:$AG$104,MATCH($T41&amp;$U41,'AEA2012 update'!$A$6:$A$104&amp;'AEA2012 update'!$B$6:$B$104,0),MATCH(AF$16,'AEA2012 update'!$AC$4:$AG$4,0)))</f>
        <v>4.5508822132460063</v>
      </c>
      <c r="AG41" s="67">
        <f t="array" ref="AG41">IF($W$1,AF41*(1+INDEX(AG$1:AG$2,MATCH($O41,$AA$1:$AA$2,0)))^(AG$16-AF$16),INDEX('AEA2012 update'!$AC$6:$AG$104,MATCH($T41&amp;$U41,'AEA2012 update'!$A$6:$A$104&amp;'AEA2012 update'!$B$6:$B$104,0),MATCH(AG$16,'AEA2012 update'!$AC$4:$AG$4,0)))</f>
        <v>4.1157362991360831</v>
      </c>
      <c r="AH41" s="67">
        <f t="array" ref="AH41">IF($W$1,AG41*(1+INDEX(AH$1:AH$2,MATCH($O41,$AA$1:$AA$2,0)))^(AH$16-AG$16),INDEX('AEA2012 update'!$AC$6:$AG$104,MATCH($T41&amp;$U41,'AEA2012 update'!$A$6:$A$104&amp;'AEA2012 update'!$B$6:$B$104,0),MATCH(AH$16,'AEA2012 update'!$AC$4:$AG$4,0)))</f>
        <v>3.7221981344017476</v>
      </c>
      <c r="AI41" s="67"/>
      <c r="AJ41" s="257">
        <f t="shared" si="8"/>
        <v>-4.9750416666666337E-3</v>
      </c>
      <c r="AK41" s="257">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25">
      <c r="A42" s="193" t="s">
        <v>709</v>
      </c>
      <c r="C42" s="178" t="s">
        <v>710</v>
      </c>
      <c r="D42" s="61" t="s">
        <v>705</v>
      </c>
      <c r="E42" s="61" t="s">
        <v>706</v>
      </c>
      <c r="F42" s="61">
        <v>40000</v>
      </c>
      <c r="N42" s="61" t="s">
        <v>511</v>
      </c>
      <c r="O42" s="61" t="s">
        <v>613</v>
      </c>
      <c r="P42" s="61" t="s">
        <v>61</v>
      </c>
      <c r="Q42" s="61" t="str">
        <f t="shared" si="6"/>
        <v>MBT</v>
      </c>
      <c r="R42" s="61" t="s">
        <v>680</v>
      </c>
      <c r="S42" s="65"/>
      <c r="T42" s="256" t="s">
        <v>701</v>
      </c>
      <c r="U42" s="256" t="s">
        <v>687</v>
      </c>
      <c r="V42" s="103">
        <f t="array" ref="V42">IF(V$18,INDEX('AEA2012 update'!$K$6:$R$104,MATCH($T42&amp;$R42,'AEA2012 update'!$A$6:$A$104&amp;'AEA2012 update'!$B$6:$B$104,0),MATCH(V$16,'AEA2012 update'!$S$4:$Z$4,0)),INDEX('AEA2012 update'!$K$6:$R$104,MATCH($T42&amp;$U42,'AEA2012 update'!$A$6:$A$104&amp;'AEA2012 update'!$B$6:$B$104,0),MATCH(V$16,'AEA2012 update'!$S$4:$Z$4,0)))</f>
        <v>449299.91329948109</v>
      </c>
      <c r="W42" s="103">
        <f t="array" ref="W42">IF(W$18,INDEX('AEA2012 update'!$K$6:$R$104,MATCH($T42&amp;$R42,'AEA2012 update'!$A$6:$A$104&amp;'AEA2012 update'!$B$6:$B$104,0),MATCH(W$16,'AEA2012 update'!$S$4:$Z$4,0)),INDEX('AEA2012 update'!$K$6:$R$104,MATCH($T42&amp;$U42,'AEA2012 update'!$A$6:$A$104&amp;'AEA2012 update'!$B$6:$B$104,0),MATCH(W$16,'AEA2012 update'!$S$4:$Z$4,0)))</f>
        <v>496024.31464990409</v>
      </c>
      <c r="X42" s="103">
        <f t="array" ref="X42">IF(X$18,INDEX('AEA2012 update'!$K$6:$R$104,MATCH($T42&amp;$R42,'AEA2012 update'!$A$6:$A$104&amp;'AEA2012 update'!$B$6:$B$104,0),MATCH(X$16,'AEA2012 update'!$S$4:$Z$4,0)),INDEX('AEA2012 update'!$K$6:$R$104,MATCH($T42&amp;$U42,'AEA2012 update'!$A$6:$A$104&amp;'AEA2012 update'!$B$6:$B$104,0),MATCH(X$16,'AEA2012 update'!$S$4:$Z$4,0)))</f>
        <v>504862.6389695133</v>
      </c>
      <c r="Y42" s="103">
        <f t="array" ref="Y42">IF(Y$18,INDEX('AEA2012 update'!$K$6:$R$104,MATCH($T42&amp;$R42,'AEA2012 update'!$A$6:$A$104&amp;'AEA2012 update'!$B$6:$B$104,0),MATCH(Y$16,'AEA2012 update'!$S$4:$Z$4,0)),INDEX('AEA2012 update'!$K$6:$R$104,MATCH($T42&amp;$U42,'AEA2012 update'!$A$6:$A$104&amp;'AEA2012 update'!$B$6:$B$104,0),MATCH(Y$16,'AEA2012 update'!$S$4:$Z$4,0)))</f>
        <v>363561.36717159278</v>
      </c>
      <c r="Z42" s="103">
        <f t="array" ref="Z42">IF(Z$18,INDEX('AEA2012 update'!$K$6:$R$104,MATCH($T42&amp;$R42,'AEA2012 update'!$A$6:$A$104&amp;'AEA2012 update'!$B$6:$B$104,0),MATCH(Z$16,'AEA2012 update'!$S$4:$Z$4,0)),INDEX('AEA2012 update'!$K$6:$R$104,MATCH($T42&amp;$U42,'AEA2012 update'!$A$6:$A$104&amp;'AEA2012 update'!$B$6:$B$104,0),MATCH(Z$16,'AEA2012 update'!$S$4:$Z$4,0)))</f>
        <v>371500.85823323019</v>
      </c>
      <c r="AA42" s="103">
        <f t="array" ref="AA42">IF(AA$18,INDEX('AEA2012 update'!$K$6:$R$104,MATCH($T42&amp;$R42,'AEA2012 update'!$A$6:$A$104&amp;'AEA2012 update'!$B$6:$B$104,0),MATCH(AA$16,'AEA2012 update'!$S$4:$Z$4,0)),INDEX('AEA2012 update'!$K$6:$R$104,MATCH($T42&amp;$U42,'AEA2012 update'!$A$6:$A$104&amp;'AEA2012 update'!$B$6:$B$104,0),MATCH(AA$16,'AEA2012 update'!$S$4:$Z$4,0)))</f>
        <v>379440.3492948676</v>
      </c>
      <c r="AB42" s="103">
        <f t="array" ref="AB42">IF(AB$18,INDEX('AEA2012 update'!$K$6:$R$104,MATCH($T42&amp;$R42,'AEA2012 update'!$A$6:$A$104&amp;'AEA2012 update'!$B$6:$B$104,0),MATCH(AB$16,'AEA2012 update'!$S$4:$Z$4,0)),INDEX('AEA2012 update'!$K$6:$R$104,MATCH($T42&amp;$U42,'AEA2012 update'!$A$6:$A$104&amp;'AEA2012 update'!$B$6:$B$104,0),MATCH(AB$16,'AEA2012 update'!$S$4:$Z$4,0)))</f>
        <v>387396.22422821133</v>
      </c>
      <c r="AC42" s="103" t="str">
        <f t="shared" si="11"/>
        <v>MBTODS</v>
      </c>
      <c r="AD42" s="67">
        <f>1/INDEX(Analytica!$AA$17:$AE$48,MATCH($AC42,Analytica!$A$17:$A$48,0),MATCH(AD$16,Analytica!$AA$16:$AE$16,0))</f>
        <v>4.2205316616343254</v>
      </c>
      <c r="AE42" s="67">
        <f t="array" ref="AE42">IF($W$1,AD42*(1+INDEX(AE$1:AE$2,MATCH($O42,$AA$1:$AA$2,0)))^(AE$16-AD$16),INDEX('AEA2012 update'!$AC$6:$AG$104,MATCH($T42&amp;$U42,'AEA2012 update'!$A$6:$A$104&amp;'AEA2012 update'!$B$6:$B$104,0),MATCH(AE$16,'AEA2012 update'!$AC$4:$AG$4,0)))</f>
        <v>4.1575396990179758</v>
      </c>
      <c r="AF42" s="67">
        <f t="array" ref="AF42">IF($W$1,AE42*(1+INDEX(AF$1:AF$2,MATCH($O42,$AA$1:$AA$2,0)))^(AF$16-AE$16),INDEX('AEA2012 update'!$AC$6:$AG$104,MATCH($T42&amp;$U42,'AEA2012 update'!$A$6:$A$104&amp;'AEA2012 update'!$B$6:$B$104,0),MATCH(AF$16,'AEA2012 update'!$AC$4:$AG$4,0)))</f>
        <v>3.8560402562900649</v>
      </c>
      <c r="AG42" s="67">
        <f t="array" ref="AG42">IF($W$1,AF42*(1+INDEX(AG$1:AG$2,MATCH($O42,$AA$1:$AA$2,0)))^(AG$16-AF$16),INDEX('AEA2012 update'!$AC$6:$AG$104,MATCH($T42&amp;$U42,'AEA2012 update'!$A$6:$A$104&amp;'AEA2012 update'!$B$6:$B$104,0),MATCH(AG$16,'AEA2012 update'!$AC$4:$AG$4,0)))</f>
        <v>3.4873336883010904</v>
      </c>
      <c r="AH42" s="67">
        <f t="array" ref="AH42">IF($W$1,AG42*(1+INDEX(AH$1:AH$2,MATCH($O42,$AA$1:$AA$2,0)))^(AH$16-AG$16),INDEX('AEA2012 update'!$AC$6:$AG$104,MATCH($T42&amp;$U42,'AEA2012 update'!$A$6:$A$104&amp;'AEA2012 update'!$B$6:$B$104,0),MATCH(AH$16,'AEA2012 update'!$AC$4:$AG$4,0)))</f>
        <v>3.1538820772738467</v>
      </c>
      <c r="AI42" s="67"/>
      <c r="AJ42" s="257">
        <f t="shared" si="8"/>
        <v>-4.9750416666666294E-3</v>
      </c>
      <c r="AK42" s="257">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25">
      <c r="A43" s="193">
        <v>4</v>
      </c>
      <c r="C43" s="178" t="s">
        <v>711</v>
      </c>
      <c r="D43" s="61" t="s">
        <v>705</v>
      </c>
      <c r="E43" s="61" t="s">
        <v>706</v>
      </c>
      <c r="F43" s="61">
        <v>22000</v>
      </c>
      <c r="N43" s="61" t="s">
        <v>501</v>
      </c>
      <c r="O43" s="61" t="s">
        <v>613</v>
      </c>
      <c r="P43" s="61" t="s">
        <v>61</v>
      </c>
      <c r="Q43" s="61" t="str">
        <f t="shared" si="6"/>
        <v>MBT</v>
      </c>
      <c r="R43" s="61" t="s">
        <v>680</v>
      </c>
      <c r="S43" s="65"/>
      <c r="T43" s="256" t="s">
        <v>701</v>
      </c>
      <c r="U43" s="256" t="s">
        <v>692</v>
      </c>
      <c r="V43" s="103">
        <f t="array" ref="V43">IF(V$18,INDEX('AEA2012 update'!$K$6:$R$104,MATCH($T43&amp;$R43,'AEA2012 update'!$A$6:$A$104&amp;'AEA2012 update'!$B$6:$B$104,0),MATCH(V$16,'AEA2012 update'!$S$4:$Z$4,0)),INDEX('AEA2012 update'!$K$6:$R$104,MATCH($T43&amp;$U43,'AEA2012 update'!$A$6:$A$104&amp;'AEA2012 update'!$B$6:$B$104,0),MATCH(V$16,'AEA2012 update'!$S$4:$Z$4,0)))</f>
        <v>1200355.9594665694</v>
      </c>
      <c r="W43" s="103">
        <f t="array" ref="W43">IF(W$18,INDEX('AEA2012 update'!$K$6:$R$104,MATCH($T43&amp;$R43,'AEA2012 update'!$A$6:$A$104&amp;'AEA2012 update'!$B$6:$B$104,0),MATCH(W$16,'AEA2012 update'!$S$4:$Z$4,0)),INDEX('AEA2012 update'!$K$6:$R$104,MATCH($T43&amp;$U43,'AEA2012 update'!$A$6:$A$104&amp;'AEA2012 update'!$B$6:$B$104,0),MATCH(W$16,'AEA2012 update'!$S$4:$Z$4,0)))</f>
        <v>820963.00033176108</v>
      </c>
      <c r="X43" s="103">
        <f t="array" ref="X43">IF(X$18,INDEX('AEA2012 update'!$K$6:$R$104,MATCH($T43&amp;$R43,'AEA2012 update'!$A$6:$A$104&amp;'AEA2012 update'!$B$6:$B$104,0),MATCH(X$16,'AEA2012 update'!$S$4:$Z$4,0)),INDEX('AEA2012 update'!$K$6:$R$104,MATCH($T43&amp;$U43,'AEA2012 update'!$A$6:$A$104&amp;'AEA2012 update'!$B$6:$B$104,0),MATCH(X$16,'AEA2012 update'!$S$4:$Z$4,0)))</f>
        <v>755333.69376548787</v>
      </c>
      <c r="Y43" s="103">
        <f t="array" ref="Y43">IF(Y$18,INDEX('AEA2012 update'!$K$6:$R$104,MATCH($T43&amp;$R43,'AEA2012 update'!$A$6:$A$104&amp;'AEA2012 update'!$B$6:$B$104,0),MATCH(Y$16,'AEA2012 update'!$S$4:$Z$4,0)),INDEX('AEA2012 update'!$K$6:$R$104,MATCH($T43&amp;$U43,'AEA2012 update'!$A$6:$A$104&amp;'AEA2012 update'!$B$6:$B$104,0),MATCH(Y$16,'AEA2012 update'!$S$4:$Z$4,0)))</f>
        <v>363561.36717159278</v>
      </c>
      <c r="Z43" s="103">
        <f t="array" ref="Z43">IF(Z$18,INDEX('AEA2012 update'!$K$6:$R$104,MATCH($T43&amp;$R43,'AEA2012 update'!$A$6:$A$104&amp;'AEA2012 update'!$B$6:$B$104,0),MATCH(Z$16,'AEA2012 update'!$S$4:$Z$4,0)),INDEX('AEA2012 update'!$K$6:$R$104,MATCH($T43&amp;$U43,'AEA2012 update'!$A$6:$A$104&amp;'AEA2012 update'!$B$6:$B$104,0),MATCH(Z$16,'AEA2012 update'!$S$4:$Z$4,0)))</f>
        <v>371500.85823323019</v>
      </c>
      <c r="AA43" s="103">
        <f t="array" ref="AA43">IF(AA$18,INDEX('AEA2012 update'!$K$6:$R$104,MATCH($T43&amp;$R43,'AEA2012 update'!$A$6:$A$104&amp;'AEA2012 update'!$B$6:$B$104,0),MATCH(AA$16,'AEA2012 update'!$S$4:$Z$4,0)),INDEX('AEA2012 update'!$K$6:$R$104,MATCH($T43&amp;$U43,'AEA2012 update'!$A$6:$A$104&amp;'AEA2012 update'!$B$6:$B$104,0),MATCH(AA$16,'AEA2012 update'!$S$4:$Z$4,0)))</f>
        <v>379440.3492948676</v>
      </c>
      <c r="AB43" s="103">
        <f t="array" ref="AB43">IF(AB$18,INDEX('AEA2012 update'!$K$6:$R$104,MATCH($T43&amp;$R43,'AEA2012 update'!$A$6:$A$104&amp;'AEA2012 update'!$B$6:$B$104,0),MATCH(AB$16,'AEA2012 update'!$S$4:$Z$4,0)),INDEX('AEA2012 update'!$K$6:$R$104,MATCH($T43&amp;$U43,'AEA2012 update'!$A$6:$A$104&amp;'AEA2012 update'!$B$6:$B$104,0),MATCH(AB$16,'AEA2012 update'!$S$4:$Z$4,0)))</f>
        <v>387396.22422821133</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 update'!$AC$6:$AG$104,MATCH($T43&amp;$U43,'AEA2012 update'!$A$6:$A$104&amp;'AEA2012 update'!$B$6:$B$104,0),MATCH(AE$16,'AEA2012 update'!$AC$4:$AG$4,0)))</f>
        <v>1.2278683912578481</v>
      </c>
      <c r="AF43" s="67">
        <f t="array" ref="AF43">IF($W$1,AE43*(1+INDEX(AF$1:AF$2,MATCH($O43,$AA$1:$AA$2,0)))^(AF$16-AE$16),INDEX('AEA2012 update'!$AC$6:$AG$104,MATCH($T43&amp;$U43,'AEA2012 update'!$A$6:$A$104&amp;'AEA2012 update'!$B$6:$B$104,0),MATCH(AF$16,'AEA2012 update'!$AC$4:$AG$4,0)))</f>
        <v>1.1388249515055109</v>
      </c>
      <c r="AG43" s="67">
        <f t="array" ref="AG43">IF($W$1,AF43*(1+INDEX(AG$1:AG$2,MATCH($O43,$AA$1:$AA$2,0)))^(AG$16-AF$16),INDEX('AEA2012 update'!$AC$6:$AG$104,MATCH($T43&amp;$U43,'AEA2012 update'!$A$6:$A$104&amp;'AEA2012 update'!$B$6:$B$104,0),MATCH(AG$16,'AEA2012 update'!$AC$4:$AG$4,0)))</f>
        <v>1.0299328727143549</v>
      </c>
      <c r="AH43" s="67">
        <f t="array" ref="AH43">IF($W$1,AG43*(1+INDEX(AH$1:AH$2,MATCH($O43,$AA$1:$AA$2,0)))^(AH$16-AG$16),INDEX('AEA2012 update'!$AC$6:$AG$104,MATCH($T43&amp;$U43,'AEA2012 update'!$A$6:$A$104&amp;'AEA2012 update'!$B$6:$B$104,0),MATCH(AH$16,'AEA2012 update'!$AC$4:$AG$4,0)))</f>
        <v>0.93145282854518696</v>
      </c>
      <c r="AI43" s="67"/>
      <c r="AJ43" s="257">
        <f t="shared" si="8"/>
        <v>-4.9750416666666823E-3</v>
      </c>
      <c r="AK43" s="257">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25">
      <c r="A44" s="193"/>
      <c r="C44" s="178" t="s">
        <v>60</v>
      </c>
      <c r="D44" s="61" t="s">
        <v>705</v>
      </c>
      <c r="E44" s="61" t="s">
        <v>706</v>
      </c>
      <c r="F44" s="61">
        <v>15000</v>
      </c>
      <c r="N44" s="61" t="s">
        <v>504</v>
      </c>
      <c r="O44" s="61" t="s">
        <v>613</v>
      </c>
      <c r="P44" s="61" t="s">
        <v>61</v>
      </c>
      <c r="Q44" s="61" t="str">
        <f t="shared" si="6"/>
        <v>MBT</v>
      </c>
      <c r="R44" s="61" t="s">
        <v>680</v>
      </c>
      <c r="S44" s="65"/>
      <c r="T44" s="256" t="s">
        <v>701</v>
      </c>
      <c r="U44" s="256" t="s">
        <v>699</v>
      </c>
      <c r="V44" s="103">
        <f t="array" ref="V44">IF(V$18,INDEX('AEA2012 update'!$K$6:$R$104,MATCH($T44&amp;$R44,'AEA2012 update'!$A$6:$A$104&amp;'AEA2012 update'!$B$6:$B$104,0),MATCH(V$16,'AEA2012 update'!$S$4:$Z$4,0)),INDEX('AEA2012 update'!$K$6:$R$104,MATCH($T44&amp;$U44,'AEA2012 update'!$A$6:$A$104&amp;'AEA2012 update'!$B$6:$B$104,0),MATCH(V$16,'AEA2012 update'!$S$4:$Z$4,0)))</f>
        <v>4486535.6914122794</v>
      </c>
      <c r="W44" s="103">
        <f t="array" ref="W44">IF(W$18,INDEX('AEA2012 update'!$K$6:$R$104,MATCH($T44&amp;$R44,'AEA2012 update'!$A$6:$A$104&amp;'AEA2012 update'!$B$6:$B$104,0),MATCH(W$16,'AEA2012 update'!$S$4:$Z$4,0)),INDEX('AEA2012 update'!$K$6:$R$104,MATCH($T44&amp;$U44,'AEA2012 update'!$A$6:$A$104&amp;'AEA2012 update'!$B$6:$B$104,0),MATCH(W$16,'AEA2012 update'!$S$4:$Z$4,0)))</f>
        <v>1793789.1316594642</v>
      </c>
      <c r="X44" s="103">
        <f t="array" ref="X44">IF(X$18,INDEX('AEA2012 update'!$K$6:$R$104,MATCH($T44&amp;$R44,'AEA2012 update'!$A$6:$A$104&amp;'AEA2012 update'!$B$6:$B$104,0),MATCH(X$16,'AEA2012 update'!$S$4:$Z$4,0)),INDEX('AEA2012 update'!$K$6:$R$104,MATCH($T44&amp;$U44,'AEA2012 update'!$A$6:$A$104&amp;'AEA2012 update'!$B$6:$B$104,0),MATCH(X$16,'AEA2012 update'!$S$4:$Z$4,0)))</f>
        <v>1377038.9964110029</v>
      </c>
      <c r="Y44" s="103">
        <f t="array" ref="Y44">IF(Y$18,INDEX('AEA2012 update'!$K$6:$R$104,MATCH($T44&amp;$R44,'AEA2012 update'!$A$6:$A$104&amp;'AEA2012 update'!$B$6:$B$104,0),MATCH(Y$16,'AEA2012 update'!$S$4:$Z$4,0)),INDEX('AEA2012 update'!$K$6:$R$104,MATCH($T44&amp;$U44,'AEA2012 update'!$A$6:$A$104&amp;'AEA2012 update'!$B$6:$B$104,0),MATCH(Y$16,'AEA2012 update'!$S$4:$Z$4,0)))</f>
        <v>363561.36717159278</v>
      </c>
      <c r="Z44" s="103">
        <f t="array" ref="Z44">IF(Z$18,INDEX('AEA2012 update'!$K$6:$R$104,MATCH($T44&amp;$R44,'AEA2012 update'!$A$6:$A$104&amp;'AEA2012 update'!$B$6:$B$104,0),MATCH(Z$16,'AEA2012 update'!$S$4:$Z$4,0)),INDEX('AEA2012 update'!$K$6:$R$104,MATCH($T44&amp;$U44,'AEA2012 update'!$A$6:$A$104&amp;'AEA2012 update'!$B$6:$B$104,0),MATCH(Z$16,'AEA2012 update'!$S$4:$Z$4,0)))</f>
        <v>371500.85823323019</v>
      </c>
      <c r="AA44" s="103">
        <f t="array" ref="AA44">IF(AA$18,INDEX('AEA2012 update'!$K$6:$R$104,MATCH($T44&amp;$R44,'AEA2012 update'!$A$6:$A$104&amp;'AEA2012 update'!$B$6:$B$104,0),MATCH(AA$16,'AEA2012 update'!$S$4:$Z$4,0)),INDEX('AEA2012 update'!$K$6:$R$104,MATCH($T44&amp;$U44,'AEA2012 update'!$A$6:$A$104&amp;'AEA2012 update'!$B$6:$B$104,0),MATCH(AA$16,'AEA2012 update'!$S$4:$Z$4,0)))</f>
        <v>379440.3492948676</v>
      </c>
      <c r="AB44" s="103">
        <f t="array" ref="AB44">IF(AB$18,INDEX('AEA2012 update'!$K$6:$R$104,MATCH($T44&amp;$R44,'AEA2012 update'!$A$6:$A$104&amp;'AEA2012 update'!$B$6:$B$104,0),MATCH(AB$16,'AEA2012 update'!$S$4:$Z$4,0)),INDEX('AEA2012 update'!$K$6:$R$104,MATCH($T44&amp;$U44,'AEA2012 update'!$A$6:$A$104&amp;'AEA2012 update'!$B$6:$B$104,0),MATCH(AB$16,'AEA2012 update'!$S$4:$Z$4,0)))</f>
        <v>387396.22422821133</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 update'!$AC$6:$AG$104,MATCH($T44&amp;$U44,'AEA2012 update'!$A$6:$A$104&amp;'AEA2012 update'!$B$6:$B$104,0),MATCH(AE$16,'AEA2012 update'!$AC$4:$AG$4,0)))</f>
        <v>2.4176218657445605</v>
      </c>
      <c r="AF44" s="67">
        <f t="array" ref="AF44">IF($W$1,AE44*(1+INDEX(AF$1:AF$2,MATCH($O44,$AA$1:$AA$2,0)))^(AF$16-AE$16),INDEX('AEA2012 update'!$AC$6:$AG$104,MATCH($T44&amp;$U44,'AEA2012 update'!$A$6:$A$104&amp;'AEA2012 update'!$B$6:$B$104,0),MATCH(AF$16,'AEA2012 update'!$AC$4:$AG$4,0)))</f>
        <v>2.2422990310832418</v>
      </c>
      <c r="AG44" s="67">
        <f t="array" ref="AG44">IF($W$1,AF44*(1+INDEX(AG$1:AG$2,MATCH($O44,$AA$1:$AA$2,0)))^(AG$16-AF$16),INDEX('AEA2012 update'!$AC$6:$AG$104,MATCH($T44&amp;$U44,'AEA2012 update'!$A$6:$A$104&amp;'AEA2012 update'!$B$6:$B$104,0),MATCH(AG$16,'AEA2012 update'!$AC$4:$AG$4,0)))</f>
        <v>2.0278950505212934</v>
      </c>
      <c r="AH44" s="67">
        <f t="array" ref="AH44">IF($W$1,AG44*(1+INDEX(AH$1:AH$2,MATCH($O44,$AA$1:$AA$2,0)))^(AH$16-AG$16),INDEX('AEA2012 update'!$AC$6:$AG$104,MATCH($T44&amp;$U44,'AEA2012 update'!$A$6:$A$104&amp;'AEA2012 update'!$B$6:$B$104,0),MATCH(AH$16,'AEA2012 update'!$AC$4:$AG$4,0)))</f>
        <v>1.8339919336905313</v>
      </c>
      <c r="AI44" s="67"/>
      <c r="AJ44" s="257">
        <f t="shared" si="8"/>
        <v>-4.9750416666666597E-3</v>
      </c>
      <c r="AK44" s="257">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25">
      <c r="C45" s="178" t="s">
        <v>712</v>
      </c>
      <c r="D45" s="61" t="s">
        <v>705</v>
      </c>
      <c r="E45" s="61" t="s">
        <v>706</v>
      </c>
      <c r="F45" s="61">
        <v>18000</v>
      </c>
      <c r="N45" s="61" t="s">
        <v>509</v>
      </c>
      <c r="O45" s="61" t="s">
        <v>613</v>
      </c>
      <c r="P45" s="61" t="s">
        <v>61</v>
      </c>
      <c r="Q45" s="61" t="str">
        <f t="shared" si="6"/>
        <v>MBT</v>
      </c>
      <c r="R45" s="61" t="s">
        <v>680</v>
      </c>
      <c r="S45" s="65"/>
      <c r="T45" s="256" t="s">
        <v>701</v>
      </c>
      <c r="U45" s="256" t="s">
        <v>700</v>
      </c>
      <c r="V45" s="103">
        <f t="array" ref="V45">IF(V$18,INDEX('AEA2012 update'!$K$6:$R$104,MATCH($T45&amp;$R45,'AEA2012 update'!$A$6:$A$104&amp;'AEA2012 update'!$B$6:$B$104,0),MATCH(V$16,'AEA2012 update'!$S$4:$Z$4,0)),INDEX('AEA2012 update'!$K$6:$R$104,MATCH($T45&amp;$U45,'AEA2012 update'!$A$6:$A$104&amp;'AEA2012 update'!$B$6:$B$104,0),MATCH(V$16,'AEA2012 update'!$S$4:$Z$4,0)))</f>
        <v>519120.41439989489</v>
      </c>
      <c r="W45" s="103">
        <f t="array" ref="W45">IF(W$18,INDEX('AEA2012 update'!$K$6:$R$104,MATCH($T45&amp;$R45,'AEA2012 update'!$A$6:$A$104&amp;'AEA2012 update'!$B$6:$B$104,0),MATCH(W$16,'AEA2012 update'!$S$4:$Z$4,0)),INDEX('AEA2012 update'!$K$6:$R$104,MATCH($T45&amp;$U45,'AEA2012 update'!$A$6:$A$104&amp;'AEA2012 update'!$B$6:$B$104,0),MATCH(W$16,'AEA2012 update'!$S$4:$Z$4,0)))</f>
        <v>545626.74611489451</v>
      </c>
      <c r="X45" s="103">
        <f t="array" ref="X45">IF(X$18,INDEX('AEA2012 update'!$K$6:$R$104,MATCH($T45&amp;$R45,'AEA2012 update'!$A$6:$A$104&amp;'AEA2012 update'!$B$6:$B$104,0),MATCH(X$16,'AEA2012 update'!$S$4:$Z$4,0)),INDEX('AEA2012 update'!$K$6:$R$104,MATCH($T45&amp;$U45,'AEA2012 update'!$A$6:$A$104&amp;'AEA2012 update'!$B$6:$B$104,0),MATCH(X$16,'AEA2012 update'!$S$4:$Z$4,0)))</f>
        <v>551370.12411759188</v>
      </c>
      <c r="Y45" s="103">
        <f t="array" ref="Y45">IF(Y$18,INDEX('AEA2012 update'!$K$6:$R$104,MATCH($T45&amp;$R45,'AEA2012 update'!$A$6:$A$104&amp;'AEA2012 update'!$B$6:$B$104,0),MATCH(Y$16,'AEA2012 update'!$S$4:$Z$4,0)),INDEX('AEA2012 update'!$K$6:$R$104,MATCH($T45&amp;$U45,'AEA2012 update'!$A$6:$A$104&amp;'AEA2012 update'!$B$6:$B$104,0),MATCH(Y$16,'AEA2012 update'!$S$4:$Z$4,0)))</f>
        <v>363561.36717159278</v>
      </c>
      <c r="Z45" s="103">
        <f t="array" ref="Z45">IF(Z$18,INDEX('AEA2012 update'!$K$6:$R$104,MATCH($T45&amp;$R45,'AEA2012 update'!$A$6:$A$104&amp;'AEA2012 update'!$B$6:$B$104,0),MATCH(Z$16,'AEA2012 update'!$S$4:$Z$4,0)),INDEX('AEA2012 update'!$K$6:$R$104,MATCH($T45&amp;$U45,'AEA2012 update'!$A$6:$A$104&amp;'AEA2012 update'!$B$6:$B$104,0),MATCH(Z$16,'AEA2012 update'!$S$4:$Z$4,0)))</f>
        <v>371500.85823323019</v>
      </c>
      <c r="AA45" s="103">
        <f t="array" ref="AA45">IF(AA$18,INDEX('AEA2012 update'!$K$6:$R$104,MATCH($T45&amp;$R45,'AEA2012 update'!$A$6:$A$104&amp;'AEA2012 update'!$B$6:$B$104,0),MATCH(AA$16,'AEA2012 update'!$S$4:$Z$4,0)),INDEX('AEA2012 update'!$K$6:$R$104,MATCH($T45&amp;$U45,'AEA2012 update'!$A$6:$A$104&amp;'AEA2012 update'!$B$6:$B$104,0),MATCH(AA$16,'AEA2012 update'!$S$4:$Z$4,0)))</f>
        <v>379440.3492948676</v>
      </c>
      <c r="AB45" s="103">
        <f t="array" ref="AB45">IF(AB$18,INDEX('AEA2012 update'!$K$6:$R$104,MATCH($T45&amp;$R45,'AEA2012 update'!$A$6:$A$104&amp;'AEA2012 update'!$B$6:$B$104,0),MATCH(AB$16,'AEA2012 update'!$S$4:$Z$4,0)),INDEX('AEA2012 update'!$K$6:$R$104,MATCH($T45&amp;$U45,'AEA2012 update'!$A$6:$A$104&amp;'AEA2012 update'!$B$6:$B$104,0),MATCH(AB$16,'AEA2012 update'!$S$4:$Z$4,0)))</f>
        <v>387396.22422821133</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 update'!$AC$6:$AG$104,MATCH($T45&amp;$U45,'AEA2012 update'!$A$6:$A$104&amp;'AEA2012 update'!$B$6:$B$104,0),MATCH(AE$16,'AEA2012 update'!$AC$4:$AG$4,0)))</f>
        <v>5.7571428690892477</v>
      </c>
      <c r="AF45" s="67">
        <f t="array" ref="AF45">IF($W$1,AE45*(1+INDEX(AF$1:AF$2,MATCH($O45,$AA$1:$AA$2,0)))^(AF$16-AE$16),INDEX('AEA2012 update'!$AC$6:$AG$104,MATCH($T45&amp;$U45,'AEA2012 update'!$A$6:$A$104&amp;'AEA2012 update'!$B$6:$B$104,0),MATCH(AF$16,'AEA2012 update'!$AC$4:$AG$4,0)))</f>
        <v>5.3396422575748534</v>
      </c>
      <c r="AG45" s="67">
        <f t="array" ref="AG45">IF($W$1,AF45*(1+INDEX(AG$1:AG$2,MATCH($O45,$AA$1:$AA$2,0)))^(AG$16-AF$16),INDEX('AEA2012 update'!$AC$6:$AG$104,MATCH($T45&amp;$U45,'AEA2012 update'!$A$6:$A$104&amp;'AEA2012 update'!$B$6:$B$104,0),MATCH(AG$16,'AEA2012 update'!$AC$4:$AG$4,0)))</f>
        <v>4.8290767447102425</v>
      </c>
      <c r="AH45" s="67">
        <f t="array" ref="AH45">IF($W$1,AG45*(1+INDEX(AH$1:AH$2,MATCH($O45,$AA$1:$AA$2,0)))^(AH$16-AG$16),INDEX('AEA2012 update'!$AC$6:$AG$104,MATCH($T45&amp;$U45,'AEA2012 update'!$A$6:$A$104&amp;'AEA2012 update'!$B$6:$B$104,0),MATCH(AH$16,'AEA2012 update'!$AC$4:$AG$4,0)))</f>
        <v>4.3673304467578111</v>
      </c>
      <c r="AI45" s="67"/>
      <c r="AJ45" s="257">
        <f t="shared" si="8"/>
        <v>-4.9750416666666511E-3</v>
      </c>
      <c r="AK45" s="257">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25">
      <c r="C46" s="178" t="s">
        <v>704</v>
      </c>
      <c r="D46" s="61" t="s">
        <v>713</v>
      </c>
      <c r="E46" s="61" t="s">
        <v>706</v>
      </c>
      <c r="F46" s="61">
        <v>5840</v>
      </c>
      <c r="O46" s="61" t="s">
        <v>613</v>
      </c>
      <c r="Q46" s="61" t="str">
        <f t="shared" si="6"/>
        <v/>
      </c>
      <c r="S46" s="65"/>
      <c r="T46" s="256"/>
      <c r="U46" s="260"/>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11"/>
        <v/>
      </c>
      <c r="AD46" s="67" t="e">
        <f>1/INDEX(Analytica!$AA$17:$AE$48,MATCH($AC46,Analytica!$A$17:$A$48,0),MATCH(AD$16,Analytica!$AA$16:$AE$16,0))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57" t="e">
        <f t="shared" si="8"/>
        <v>#N/A</v>
      </c>
      <c r="AK46" s="257"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25">
      <c r="C47" s="178" t="s">
        <v>708</v>
      </c>
      <c r="D47" s="61" t="s">
        <v>713</v>
      </c>
      <c r="E47" s="61" t="s">
        <v>706</v>
      </c>
      <c r="F47" s="61">
        <v>9650</v>
      </c>
      <c r="N47" s="61" t="s">
        <v>573</v>
      </c>
      <c r="O47" s="61" t="s">
        <v>613</v>
      </c>
      <c r="P47" s="61" t="s">
        <v>714</v>
      </c>
      <c r="Q47" s="61" t="str">
        <f t="shared" si="6"/>
        <v>MOT</v>
      </c>
      <c r="R47" s="61" t="s">
        <v>680</v>
      </c>
      <c r="S47" s="65"/>
      <c r="T47" s="256" t="s">
        <v>715</v>
      </c>
      <c r="U47" s="256" t="s">
        <v>680</v>
      </c>
      <c r="V47" s="103">
        <f t="array" ref="V47">IF(V$18,INDEX('AEA2012 update'!$K$6:$R$104,MATCH($T47&amp;$R47,'AEA2012 update'!$A$6:$A$104&amp;'AEA2012 update'!$B$6:$B$104,0),MATCH(V$16,'AEA2012 update'!$S$4:$Z$4,0)),INDEX('AEA2012 update'!$K$6:$R$104,MATCH($T47&amp;$U47,'AEA2012 update'!$A$6:$A$104&amp;'AEA2012 update'!$B$6:$B$104,0),MATCH(V$16,'AEA2012 update'!$S$4:$Z$4,0)))</f>
        <v>96467.645499958366</v>
      </c>
      <c r="W47" s="103">
        <f t="array" ref="W47">IF(W$18,INDEX('AEA2012 update'!$K$6:$R$104,MATCH($T47&amp;$R47,'AEA2012 update'!$A$6:$A$104&amp;'AEA2012 update'!$B$6:$B$104,0),MATCH(W$16,'AEA2012 update'!$S$4:$Z$4,0)),INDEX('AEA2012 update'!$K$6:$R$104,MATCH($T47&amp;$U47,'AEA2012 update'!$A$6:$A$104&amp;'AEA2012 update'!$B$6:$B$104,0),MATCH(W$16,'AEA2012 update'!$S$4:$Z$4,0)))</f>
        <v>100952.58236707702</v>
      </c>
      <c r="X47" s="103">
        <f t="array" ref="X47">IF(X$18,INDEX('AEA2012 update'!$K$6:$R$104,MATCH($T47&amp;$R47,'AEA2012 update'!$A$6:$A$104&amp;'AEA2012 update'!$B$6:$B$104,0),MATCH(X$16,'AEA2012 update'!$S$4:$Z$4,0)),INDEX('AEA2012 update'!$K$6:$R$104,MATCH($T47&amp;$U47,'AEA2012 update'!$A$6:$A$104&amp;'AEA2012 update'!$B$6:$B$104,0),MATCH(X$16,'AEA2012 update'!$S$4:$Z$4,0)))</f>
        <v>102362.83931314477</v>
      </c>
      <c r="Y47" s="103">
        <f t="array" ref="Y47">IF(Y$18,INDEX('AEA2012 update'!$K$6:$R$104,MATCH($T47&amp;$R47,'AEA2012 update'!$A$6:$A$104&amp;'AEA2012 update'!$B$6:$B$104,0),MATCH(Y$16,'AEA2012 update'!$S$4:$Z$4,0)),INDEX('AEA2012 update'!$K$6:$R$104,MATCH($T47&amp;$U47,'AEA2012 update'!$A$6:$A$104&amp;'AEA2012 update'!$B$6:$B$104,0),MATCH(Y$16,'AEA2012 update'!$S$4:$Z$4,0)))</f>
        <v>103773.09625921253</v>
      </c>
      <c r="Z47" s="103">
        <f t="array" ref="Z47">IF(Z$18,INDEX('AEA2012 update'!$K$6:$R$104,MATCH($T47&amp;$R47,'AEA2012 update'!$A$6:$A$104&amp;'AEA2012 update'!$B$6:$B$104,0),MATCH(Z$16,'AEA2012 update'!$S$4:$Z$4,0)),INDEX('AEA2012 update'!$K$6:$R$104,MATCH($T47&amp;$U47,'AEA2012 update'!$A$6:$A$104&amp;'AEA2012 update'!$B$6:$B$104,0),MATCH(Z$16,'AEA2012 update'!$S$4:$Z$4,0)))</f>
        <v>105377.19050256097</v>
      </c>
      <c r="AA47" s="103">
        <f t="array" ref="AA47">IF(AA$18,INDEX('AEA2012 update'!$K$6:$R$104,MATCH($T47&amp;$R47,'AEA2012 update'!$A$6:$A$104&amp;'AEA2012 update'!$B$6:$B$104,0),MATCH(AA$16,'AEA2012 update'!$S$4:$Z$4,0)),INDEX('AEA2012 update'!$K$6:$R$104,MATCH($T47&amp;$U47,'AEA2012 update'!$A$6:$A$104&amp;'AEA2012 update'!$B$6:$B$104,0),MATCH(AA$16,'AEA2012 update'!$S$4:$Z$4,0)))</f>
        <v>106981.2847459094</v>
      </c>
      <c r="AB47" s="103">
        <f t="array" ref="AB47">IF(AB$18,INDEX('AEA2012 update'!$K$6:$R$104,MATCH($T47&amp;$R47,'AEA2012 update'!$A$6:$A$104&amp;'AEA2012 update'!$B$6:$B$104,0),MATCH(AB$16,'AEA2012 update'!$S$4:$Z$4,0)),INDEX('AEA2012 update'!$K$6:$R$104,MATCH($T47&amp;$U47,'AEA2012 update'!$A$6:$A$104&amp;'AEA2012 update'!$B$6:$B$104,0),MATCH(AB$16,'AEA2012 update'!$S$4:$Z$4,0)))</f>
        <v>108464.33187891265</v>
      </c>
      <c r="AC47" s="103" t="str">
        <f t="shared" si="11"/>
        <v>MOTOGS</v>
      </c>
      <c r="AD47" s="67">
        <f>1/INDEX(Analytica!$AA$17:$AE$48,MATCH($AC47,Analytica!$A$17:$A$48,0),MATCH(AD$16,Analytica!$AA$16:$AE$16,0))</f>
        <v>1.7098493444353202</v>
      </c>
      <c r="AE47" s="67">
        <f t="array" ref="AE47">IF($W$1,AD47*(1+INDEX(AE$1:AE$2,MATCH($O47,$AA$1:$AA$2,0)))^(AE$16-AD$16),INDEX('AEA2012 update'!$AC$6:$AG$104,MATCH($T47&amp;$U47,'AEA2012 update'!$A$6:$A$104&amp;'AEA2012 update'!$B$6:$B$104,0),MATCH(AE$16,'AEA2012 update'!$AC$4:$AG$4,0)))</f>
        <v>1.6843296292384551</v>
      </c>
      <c r="AF47" s="67">
        <f t="array" ref="AF47">IF($W$1,AE47*(1+INDEX(AF$1:AF$2,MATCH($O47,$AA$1:$AA$2,0)))^(AF$16-AE$16),INDEX('AEA2012 update'!$AC$6:$AG$104,MATCH($T47&amp;$U47,'AEA2012 update'!$A$6:$A$104&amp;'AEA2012 update'!$B$6:$B$104,0),MATCH(AF$16,'AEA2012 update'!$AC$4:$AG$4,0)))</f>
        <v>1.5621842063804479</v>
      </c>
      <c r="AG47" s="67">
        <f t="array" ref="AG47">IF($W$1,AF47*(1+INDEX(AG$1:AG$2,MATCH($O47,$AA$1:$AA$2,0)))^(AG$16-AF$16),INDEX('AEA2012 update'!$AC$6:$AG$104,MATCH($T47&amp;$U47,'AEA2012 update'!$A$6:$A$104&amp;'AEA2012 update'!$B$6:$B$104,0),MATCH(AG$16,'AEA2012 update'!$AC$4:$AG$4,0)))</f>
        <v>1.4128113941123317</v>
      </c>
      <c r="AH47" s="67">
        <f t="array" ref="AH47">IF($W$1,AG47*(1+INDEX(AH$1:AH$2,MATCH($O47,$AA$1:$AA$2,0)))^(AH$16-AG$16),INDEX('AEA2012 update'!$AC$6:$AG$104,MATCH($T47&amp;$U47,'AEA2012 update'!$A$6:$A$104&amp;'AEA2012 update'!$B$6:$B$104,0),MATCH(AH$16,'AEA2012 update'!$AC$4:$AG$4,0)))</f>
        <v>1.277721300203392</v>
      </c>
      <c r="AI47" s="67"/>
      <c r="AJ47" s="257">
        <f t="shared" si="8"/>
        <v>-4.9750416666666528E-3</v>
      </c>
      <c r="AK47" s="257">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25">
      <c r="C48" s="178" t="s">
        <v>710</v>
      </c>
      <c r="D48" s="61" t="s">
        <v>713</v>
      </c>
      <c r="E48" s="61" t="s">
        <v>706</v>
      </c>
      <c r="F48" s="61">
        <v>13960</v>
      </c>
      <c r="N48" s="61" t="s">
        <v>511</v>
      </c>
      <c r="O48" s="61" t="s">
        <v>613</v>
      </c>
      <c r="P48" s="61" t="s">
        <v>714</v>
      </c>
      <c r="Q48" s="61" t="str">
        <f t="shared" si="6"/>
        <v>MOT</v>
      </c>
      <c r="R48" s="61" t="s">
        <v>680</v>
      </c>
      <c r="S48" s="65"/>
      <c r="T48" s="256" t="s">
        <v>715</v>
      </c>
      <c r="U48" s="256" t="s">
        <v>688</v>
      </c>
      <c r="V48" s="103">
        <f t="array" ref="V48">IF(V$18,INDEX('AEA2012 update'!$K$6:$R$104,MATCH($T48&amp;$R48,'AEA2012 update'!$A$6:$A$104&amp;'AEA2012 update'!$B$6:$B$104,0),MATCH(V$16,'AEA2012 update'!$S$4:$Z$4,0)),INDEX('AEA2012 update'!$K$6:$R$104,MATCH($T48&amp;$U48,'AEA2012 update'!$A$6:$A$104&amp;'AEA2012 update'!$B$6:$B$104,0),MATCH(V$16,'AEA2012 update'!$S$4:$Z$4,0)))</f>
        <v>202427.5003038717</v>
      </c>
      <c r="W48" s="103">
        <f t="array" ref="W48">IF(W$18,INDEX('AEA2012 update'!$K$6:$R$104,MATCH($T48&amp;$R48,'AEA2012 update'!$A$6:$A$104&amp;'AEA2012 update'!$B$6:$B$104,0),MATCH(W$16,'AEA2012 update'!$S$4:$Z$4,0)),INDEX('AEA2012 update'!$K$6:$R$104,MATCH($T48&amp;$U48,'AEA2012 update'!$A$6:$A$104&amp;'AEA2012 update'!$B$6:$B$104,0),MATCH(W$16,'AEA2012 update'!$S$4:$Z$4,0)))</f>
        <v>184982.86079099006</v>
      </c>
      <c r="X48" s="103">
        <f t="array" ref="X48">IF(X$18,INDEX('AEA2012 update'!$K$6:$R$104,MATCH($T48&amp;$R48,'AEA2012 update'!$A$6:$A$104&amp;'AEA2012 update'!$B$6:$B$104,0),MATCH(X$16,'AEA2012 update'!$S$4:$Z$4,0)),INDEX('AEA2012 update'!$K$6:$R$104,MATCH($T48&amp;$U48,'AEA2012 update'!$A$6:$A$104&amp;'AEA2012 update'!$B$6:$B$104,0),MATCH(X$16,'AEA2012 update'!$S$4:$Z$4,0)))</f>
        <v>182001.73414443681</v>
      </c>
      <c r="Y48" s="103">
        <f t="array" ref="Y48">IF(Y$18,INDEX('AEA2012 update'!$K$6:$R$104,MATCH($T48&amp;$R48,'AEA2012 update'!$A$6:$A$104&amp;'AEA2012 update'!$B$6:$B$104,0),MATCH(Y$16,'AEA2012 update'!$S$4:$Z$4,0)),INDEX('AEA2012 update'!$K$6:$R$104,MATCH($T48&amp;$U48,'AEA2012 update'!$A$6:$A$104&amp;'AEA2012 update'!$B$6:$B$104,0),MATCH(Y$16,'AEA2012 update'!$S$4:$Z$4,0)))</f>
        <v>103773.09625921253</v>
      </c>
      <c r="Z48" s="103">
        <f t="array" ref="Z48">IF(Z$18,INDEX('AEA2012 update'!$K$6:$R$104,MATCH($T48&amp;$R48,'AEA2012 update'!$A$6:$A$104&amp;'AEA2012 update'!$B$6:$B$104,0),MATCH(Z$16,'AEA2012 update'!$S$4:$Z$4,0)),INDEX('AEA2012 update'!$K$6:$R$104,MATCH($T48&amp;$U48,'AEA2012 update'!$A$6:$A$104&amp;'AEA2012 update'!$B$6:$B$104,0),MATCH(Z$16,'AEA2012 update'!$S$4:$Z$4,0)))</f>
        <v>105377.19050256097</v>
      </c>
      <c r="AA48" s="103">
        <f t="array" ref="AA48">IF(AA$18,INDEX('AEA2012 update'!$K$6:$R$104,MATCH($T48&amp;$R48,'AEA2012 update'!$A$6:$A$104&amp;'AEA2012 update'!$B$6:$B$104,0),MATCH(AA$16,'AEA2012 update'!$S$4:$Z$4,0)),INDEX('AEA2012 update'!$K$6:$R$104,MATCH($T48&amp;$U48,'AEA2012 update'!$A$6:$A$104&amp;'AEA2012 update'!$B$6:$B$104,0),MATCH(AA$16,'AEA2012 update'!$S$4:$Z$4,0)))</f>
        <v>106981.2847459094</v>
      </c>
      <c r="AB48" s="103">
        <f t="array" ref="AB48">IF(AB$18,INDEX('AEA2012 update'!$K$6:$R$104,MATCH($T48&amp;$R48,'AEA2012 update'!$A$6:$A$104&amp;'AEA2012 update'!$B$6:$B$104,0),MATCH(AB$16,'AEA2012 update'!$S$4:$Z$4,0)),INDEX('AEA2012 update'!$K$6:$R$104,MATCH($T48&amp;$U48,'AEA2012 update'!$A$6:$A$104&amp;'AEA2012 update'!$B$6:$B$104,0),MATCH(AB$16,'AEA2012 update'!$S$4:$Z$4,0)))</f>
        <v>108464.33187891265</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 update'!$AC$6:$AG$104,MATCH($T48&amp;$U48,'AEA2012 update'!$A$6:$A$104&amp;'AEA2012 update'!$B$6:$B$104,0),MATCH(AE$16,'AEA2012 update'!$AC$4:$AG$4,0)))</f>
        <v>1.2632472219288413</v>
      </c>
      <c r="AF48" s="67">
        <f t="array" ref="AF48">IF($W$1,AE48*(1+INDEX(AF$1:AF$2,MATCH($O48,$AA$1:$AA$2,0)))^(AF$16-AE$16),INDEX('AEA2012 update'!$AC$6:$AG$104,MATCH($T48&amp;$U48,'AEA2012 update'!$A$6:$A$104&amp;'AEA2012 update'!$B$6:$B$104,0),MATCH(AF$16,'AEA2012 update'!$AC$4:$AG$4,0)))</f>
        <v>1.1716381547853358</v>
      </c>
      <c r="AG48" s="67">
        <f t="array" ref="AG48">IF($W$1,AF48*(1+INDEX(AG$1:AG$2,MATCH($O48,$AA$1:$AA$2,0)))^(AG$16-AF$16),INDEX('AEA2012 update'!$AC$6:$AG$104,MATCH($T48&amp;$U48,'AEA2012 update'!$A$6:$A$104&amp;'AEA2012 update'!$B$6:$B$104,0),MATCH(AG$16,'AEA2012 update'!$AC$4:$AG$4,0)))</f>
        <v>1.0596085455842486</v>
      </c>
      <c r="AH48" s="67">
        <f t="array" ref="AH48">IF($W$1,AG48*(1+INDEX(AH$1:AH$2,MATCH($O48,$AA$1:$AA$2,0)))^(AH$16-AG$16),INDEX('AEA2012 update'!$AC$6:$AG$104,MATCH($T48&amp;$U48,'AEA2012 update'!$A$6:$A$104&amp;'AEA2012 update'!$B$6:$B$104,0),MATCH(AH$16,'AEA2012 update'!$AC$4:$AG$4,0)))</f>
        <v>0.95829097515254391</v>
      </c>
      <c r="AI48" s="67"/>
      <c r="AJ48" s="257">
        <f t="shared" si="8"/>
        <v>-4.9750416666666381E-3</v>
      </c>
      <c r="AK48" s="257">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25">
      <c r="C49" s="178"/>
      <c r="N49" s="61" t="s">
        <v>501</v>
      </c>
      <c r="O49" s="61" t="s">
        <v>613</v>
      </c>
      <c r="P49" s="61" t="s">
        <v>714</v>
      </c>
      <c r="Q49" s="61" t="str">
        <f t="shared" si="6"/>
        <v>MOT</v>
      </c>
      <c r="R49" s="61" t="s">
        <v>680</v>
      </c>
      <c r="S49"/>
      <c r="T49" s="256" t="s">
        <v>715</v>
      </c>
      <c r="U49" s="256" t="s">
        <v>692</v>
      </c>
      <c r="V49" s="103">
        <f t="array" ref="V49">IF(V$18,INDEX('AEA2012 update'!$K$6:$R$104,MATCH($T49&amp;$R49,'AEA2012 update'!$A$6:$A$104&amp;'AEA2012 update'!$B$6:$B$104,0),MATCH(V$16,'AEA2012 update'!$S$4:$Z$4,0)),INDEX('AEA2012 update'!$K$6:$R$104,MATCH($T49&amp;$U49,'AEA2012 update'!$A$6:$A$104&amp;'AEA2012 update'!$B$6:$B$104,0),MATCH(V$16,'AEA2012 update'!$S$4:$Z$4,0)))</f>
        <v>333949.83416192123</v>
      </c>
      <c r="W49" s="103">
        <f t="array" ref="W49">IF(W$18,INDEX('AEA2012 update'!$K$6:$R$104,MATCH($T49&amp;$R49,'AEA2012 update'!$A$6:$A$104&amp;'AEA2012 update'!$B$6:$B$104,0),MATCH(W$16,'AEA2012 update'!$S$4:$Z$4,0)),INDEX('AEA2012 update'!$K$6:$R$104,MATCH($T49&amp;$U49,'AEA2012 update'!$A$6:$A$104&amp;'AEA2012 update'!$B$6:$B$104,0),MATCH(W$16,'AEA2012 update'!$S$4:$Z$4,0)))</f>
        <v>266555.63128707331</v>
      </c>
      <c r="X49" s="103">
        <f t="array" ref="X49">IF(X$18,INDEX('AEA2012 update'!$K$6:$R$104,MATCH($T49&amp;$R49,'AEA2012 update'!$A$6:$A$104&amp;'AEA2012 update'!$B$6:$B$104,0),MATCH(X$16,'AEA2012 update'!$S$4:$Z$4,0)),INDEX('AEA2012 update'!$K$6:$R$104,MATCH($T49&amp;$U49,'AEA2012 update'!$A$6:$A$104&amp;'AEA2012 update'!$B$6:$B$104,0),MATCH(X$16,'AEA2012 update'!$S$4:$Z$4,0)))</f>
        <v>251835.85109009614</v>
      </c>
      <c r="Y49" s="103">
        <f t="array" ref="Y49">IF(Y$18,INDEX('AEA2012 update'!$K$6:$R$104,MATCH($T49&amp;$R49,'AEA2012 update'!$A$6:$A$104&amp;'AEA2012 update'!$B$6:$B$104,0),MATCH(Y$16,'AEA2012 update'!$S$4:$Z$4,0)),INDEX('AEA2012 update'!$K$6:$R$104,MATCH($T49&amp;$U49,'AEA2012 update'!$A$6:$A$104&amp;'AEA2012 update'!$B$6:$B$104,0),MATCH(Y$16,'AEA2012 update'!$S$4:$Z$4,0)))</f>
        <v>103773.09625921253</v>
      </c>
      <c r="Z49" s="103">
        <f t="array" ref="Z49">IF(Z$18,INDEX('AEA2012 update'!$K$6:$R$104,MATCH($T49&amp;$R49,'AEA2012 update'!$A$6:$A$104&amp;'AEA2012 update'!$B$6:$B$104,0),MATCH(Z$16,'AEA2012 update'!$S$4:$Z$4,0)),INDEX('AEA2012 update'!$K$6:$R$104,MATCH($T49&amp;$U49,'AEA2012 update'!$A$6:$A$104&amp;'AEA2012 update'!$B$6:$B$104,0),MATCH(Z$16,'AEA2012 update'!$S$4:$Z$4,0)))</f>
        <v>105377.19050256097</v>
      </c>
      <c r="AA49" s="103">
        <f t="array" ref="AA49">IF(AA$18,INDEX('AEA2012 update'!$K$6:$R$104,MATCH($T49&amp;$R49,'AEA2012 update'!$A$6:$A$104&amp;'AEA2012 update'!$B$6:$B$104,0),MATCH(AA$16,'AEA2012 update'!$S$4:$Z$4,0)),INDEX('AEA2012 update'!$K$6:$R$104,MATCH($T49&amp;$U49,'AEA2012 update'!$A$6:$A$104&amp;'AEA2012 update'!$B$6:$B$104,0),MATCH(AA$16,'AEA2012 update'!$S$4:$Z$4,0)))</f>
        <v>106981.2847459094</v>
      </c>
      <c r="AB49" s="103">
        <f t="array" ref="AB49">IF(AB$18,INDEX('AEA2012 update'!$K$6:$R$104,MATCH($T49&amp;$R49,'AEA2012 update'!$A$6:$A$104&amp;'AEA2012 update'!$B$6:$B$104,0),MATCH(AB$16,'AEA2012 update'!$S$4:$Z$4,0)),INDEX('AEA2012 update'!$K$6:$R$104,MATCH($T49&amp;$U49,'AEA2012 update'!$A$6:$A$104&amp;'AEA2012 update'!$B$6:$B$104,0),MATCH(AB$16,'AEA2012 update'!$S$4:$Z$4,0)))</f>
        <v>108464.33187891265</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 update'!$AC$6:$AG$104,MATCH($T49&amp;$U49,'AEA2012 update'!$A$6:$A$104&amp;'AEA2012 update'!$B$6:$B$104,0),MATCH(AE$16,'AEA2012 update'!$AC$4:$AG$4,0)))</f>
        <v>0.33960350609887252</v>
      </c>
      <c r="AF49" s="67">
        <f t="array" ref="AF49">IF($W$1,AE49*(1+INDEX(AF$1:AF$2,MATCH($O49,$AA$1:$AA$2,0)))^(AF$16-AE$16),INDEX('AEA2012 update'!$AC$6:$AG$104,MATCH($T49&amp;$U49,'AEA2012 update'!$A$6:$A$104&amp;'AEA2012 update'!$B$6:$B$104,0),MATCH(AF$16,'AEA2012 update'!$AC$4:$AG$4,0)))</f>
        <v>0.31497589572116774</v>
      </c>
      <c r="AG49" s="67">
        <f t="array" ref="AG49">IF($W$1,AF49*(1+INDEX(AG$1:AG$2,MATCH($O49,$AA$1:$AA$2,0)))^(AG$16-AF$16),INDEX('AEA2012 update'!$AC$6:$AG$104,MATCH($T49&amp;$U49,'AEA2012 update'!$A$6:$A$104&amp;'AEA2012 update'!$B$6:$B$104,0),MATCH(AG$16,'AEA2012 update'!$AC$4:$AG$4,0)))</f>
        <v>0.28485855415006645</v>
      </c>
      <c r="AH49" s="67">
        <f t="array" ref="AH49">IF($W$1,AG49*(1+INDEX(AH$1:AH$2,MATCH($O49,$AA$1:$AA$2,0)))^(AH$16-AG$16),INDEX('AEA2012 update'!$AC$6:$AG$104,MATCH($T49&amp;$U49,'AEA2012 update'!$A$6:$A$104&amp;'AEA2012 update'!$B$6:$B$104,0),MATCH(AH$16,'AEA2012 update'!$AC$4:$AG$4,0)))</f>
        <v>0.25762097028624492</v>
      </c>
      <c r="AI49" s="67"/>
      <c r="AJ49" s="257">
        <f t="shared" si="8"/>
        <v>-4.9750416666666407E-3</v>
      </c>
      <c r="AK49" s="257">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25">
      <c r="C50" s="178"/>
      <c r="N50" s="61" t="s">
        <v>504</v>
      </c>
      <c r="O50" s="61" t="s">
        <v>613</v>
      </c>
      <c r="P50" s="61" t="s">
        <v>714</v>
      </c>
      <c r="Q50" s="61" t="str">
        <f t="shared" si="6"/>
        <v>MOT</v>
      </c>
      <c r="R50" s="61" t="s">
        <v>680</v>
      </c>
      <c r="S50"/>
      <c r="T50" s="256" t="s">
        <v>715</v>
      </c>
      <c r="U50" s="256" t="s">
        <v>699</v>
      </c>
      <c r="V50" s="103">
        <f t="array" ref="V50">IF(V$18,INDEX('AEA2012 update'!$K$6:$R$104,MATCH($T50&amp;$R50,'AEA2012 update'!$A$6:$A$104&amp;'AEA2012 update'!$B$6:$B$104,0),MATCH(V$16,'AEA2012 update'!$S$4:$Z$4,0)),INDEX('AEA2012 update'!$K$6:$R$104,MATCH($T50&amp;$U50,'AEA2012 update'!$A$6:$A$104&amp;'AEA2012 update'!$B$6:$B$104,0),MATCH(V$16,'AEA2012 update'!$S$4:$Z$4,0)))</f>
        <v>1079521.3133266186</v>
      </c>
      <c r="W50" s="103">
        <f t="array" ref="W50">IF(W$18,INDEX('AEA2012 update'!$K$6:$R$104,MATCH($T50&amp;$R50,'AEA2012 update'!$A$6:$A$104&amp;'AEA2012 update'!$B$6:$B$104,0),MATCH(W$16,'AEA2012 update'!$S$4:$Z$4,0)),INDEX('AEA2012 update'!$K$6:$R$104,MATCH($T50&amp;$U50,'AEA2012 update'!$A$6:$A$104&amp;'AEA2012 update'!$B$6:$B$104,0),MATCH(W$16,'AEA2012 update'!$S$4:$Z$4,0)))</f>
        <v>399833.44693060999</v>
      </c>
      <c r="X50" s="103">
        <f t="array" ref="X50">IF(X$18,INDEX('AEA2012 update'!$K$6:$R$104,MATCH($T50&amp;$R50,'AEA2012 update'!$A$6:$A$104&amp;'AEA2012 update'!$B$6:$B$104,0),MATCH(X$16,'AEA2012 update'!$S$4:$Z$4,0)),INDEX('AEA2012 update'!$K$6:$R$104,MATCH($T50&amp;$U50,'AEA2012 update'!$A$6:$A$104&amp;'AEA2012 update'!$B$6:$B$104,0),MATCH(X$16,'AEA2012 update'!$S$4:$Z$4,0)))</f>
        <v>379841.77458407945</v>
      </c>
      <c r="Y50" s="103">
        <f t="array" ref="Y50">IF(Y$18,INDEX('AEA2012 update'!$K$6:$R$104,MATCH($T50&amp;$R50,'AEA2012 update'!$A$6:$A$104&amp;'AEA2012 update'!$B$6:$B$104,0),MATCH(Y$16,'AEA2012 update'!$S$4:$Z$4,0)),INDEX('AEA2012 update'!$K$6:$R$104,MATCH($T50&amp;$U50,'AEA2012 update'!$A$6:$A$104&amp;'AEA2012 update'!$B$6:$B$104,0),MATCH(Y$16,'AEA2012 update'!$S$4:$Z$4,0)))</f>
        <v>103773.09625921253</v>
      </c>
      <c r="Z50" s="103">
        <f t="array" ref="Z50">IF(Z$18,INDEX('AEA2012 update'!$K$6:$R$104,MATCH($T50&amp;$R50,'AEA2012 update'!$A$6:$A$104&amp;'AEA2012 update'!$B$6:$B$104,0),MATCH(Z$16,'AEA2012 update'!$S$4:$Z$4,0)),INDEX('AEA2012 update'!$K$6:$R$104,MATCH($T50&amp;$U50,'AEA2012 update'!$A$6:$A$104&amp;'AEA2012 update'!$B$6:$B$104,0),MATCH(Z$16,'AEA2012 update'!$S$4:$Z$4,0)))</f>
        <v>105377.19050256097</v>
      </c>
      <c r="AA50" s="103">
        <f t="array" ref="AA50">IF(AA$18,INDEX('AEA2012 update'!$K$6:$R$104,MATCH($T50&amp;$R50,'AEA2012 update'!$A$6:$A$104&amp;'AEA2012 update'!$B$6:$B$104,0),MATCH(AA$16,'AEA2012 update'!$S$4:$Z$4,0)),INDEX('AEA2012 update'!$K$6:$R$104,MATCH($T50&amp;$U50,'AEA2012 update'!$A$6:$A$104&amp;'AEA2012 update'!$B$6:$B$104,0),MATCH(AA$16,'AEA2012 update'!$S$4:$Z$4,0)))</f>
        <v>106981.2847459094</v>
      </c>
      <c r="AB50" s="103">
        <f t="array" ref="AB50">IF(AB$18,INDEX('AEA2012 update'!$K$6:$R$104,MATCH($T50&amp;$R50,'AEA2012 update'!$A$6:$A$104&amp;'AEA2012 update'!$B$6:$B$104,0),MATCH(AB$16,'AEA2012 update'!$S$4:$Z$4,0)),INDEX('AEA2012 update'!$K$6:$R$104,MATCH($T50&amp;$U50,'AEA2012 update'!$A$6:$A$104&amp;'AEA2012 update'!$B$6:$B$104,0),MATCH(AB$16,'AEA2012 update'!$S$4:$Z$4,0)))</f>
        <v>108464.33187891265</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 update'!$AC$6:$AG$104,MATCH($T50&amp;$U50,'AEA2012 update'!$A$6:$A$104&amp;'AEA2012 update'!$B$6:$B$104,0),MATCH(AE$16,'AEA2012 update'!$AC$4:$AG$4,0)))</f>
        <v>0.74641080390032655</v>
      </c>
      <c r="AF50" s="67">
        <f t="array" ref="AF50">IF($W$1,AE50*(1+INDEX(AF$1:AF$2,MATCH($O50,$AA$1:$AA$2,0)))^(AF$16-AE$16),INDEX('AEA2012 update'!$AC$6:$AG$104,MATCH($T50&amp;$U50,'AEA2012 update'!$A$6:$A$104&amp;'AEA2012 update'!$B$6:$B$104,0),MATCH(AF$16,'AEA2012 update'!$AC$4:$AG$4,0)))</f>
        <v>0.6922820504274021</v>
      </c>
      <c r="AG50" s="67">
        <f t="array" ref="AG50">IF($W$1,AF50*(1+INDEX(AG$1:AG$2,MATCH($O50,$AA$1:$AA$2,0)))^(AG$16-AF$16),INDEX('AEA2012 update'!$AC$6:$AG$104,MATCH($T50&amp;$U50,'AEA2012 update'!$A$6:$A$104&amp;'AEA2012 update'!$B$6:$B$104,0),MATCH(AG$16,'AEA2012 update'!$AC$4:$AG$4,0)))</f>
        <v>0.62608747725688363</v>
      </c>
      <c r="AH50" s="67">
        <f t="array" ref="AH50">IF($W$1,AG50*(1+INDEX(AH$1:AH$2,MATCH($O50,$AA$1:$AA$2,0)))^(AH$16-AG$16),INDEX('AEA2012 update'!$AC$6:$AG$104,MATCH($T50&amp;$U50,'AEA2012 update'!$A$6:$A$104&amp;'AEA2012 update'!$B$6:$B$104,0),MATCH(AH$16,'AEA2012 update'!$AC$4:$AG$4,0)))</f>
        <v>0.56622229181860795</v>
      </c>
      <c r="AI50" s="67"/>
      <c r="AJ50" s="257">
        <f t="shared" si="8"/>
        <v>-4.9750416666666814E-3</v>
      </c>
      <c r="AK50" s="257">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25">
      <c r="C51" s="178" t="s">
        <v>711</v>
      </c>
      <c r="D51" s="61" t="s">
        <v>713</v>
      </c>
      <c r="E51" s="61" t="s">
        <v>706</v>
      </c>
      <c r="F51" s="61">
        <v>8850</v>
      </c>
      <c r="O51" s="61" t="s">
        <v>613</v>
      </c>
      <c r="Q51" s="61" t="str">
        <f t="shared" si="6"/>
        <v/>
      </c>
      <c r="S51"/>
      <c r="T51" s="256"/>
      <c r="U51" s="260"/>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11"/>
        <v/>
      </c>
      <c r="AD51" s="67" t="e">
        <f>1/INDEX(Analytica!$AA$17:$AE$48,MATCH($AC51,Analytica!$A$17:$A$48,0),MATCH(AD$16,Analytica!$AA$16:$AE$16,0))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57" t="e">
        <f t="shared" si="8"/>
        <v>#N/A</v>
      </c>
      <c r="AK51" s="257"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25">
      <c r="C52" s="178" t="s">
        <v>60</v>
      </c>
      <c r="D52" s="61" t="s">
        <v>713</v>
      </c>
      <c r="E52" s="61" t="s">
        <v>706</v>
      </c>
      <c r="F52" s="61">
        <v>9000</v>
      </c>
      <c r="N52" s="61" t="s">
        <v>511</v>
      </c>
      <c r="O52" s="61" t="s">
        <v>613</v>
      </c>
      <c r="P52" s="61" t="s">
        <v>563</v>
      </c>
      <c r="Q52" s="61" t="str">
        <f t="shared" si="6"/>
        <v>BUS</v>
      </c>
      <c r="R52" s="61" t="s">
        <v>687</v>
      </c>
      <c r="S52"/>
      <c r="T52" s="256" t="s">
        <v>60</v>
      </c>
      <c r="U52" s="256" t="s">
        <v>687</v>
      </c>
      <c r="V52" s="103">
        <f t="array" ref="V52">IF(V$18,INDEX('AEA2012 update'!$K$6:$R$104,MATCH($T52&amp;$R52,'AEA2012 update'!$A$6:$A$104&amp;'AEA2012 update'!$B$6:$B$104,0),MATCH(V$16,'AEA2012 update'!$S$4:$Z$4,0)),INDEX('AEA2012 update'!$K$6:$R$104,MATCH($T52&amp;$U52,'AEA2012 update'!$A$6:$A$104&amp;'AEA2012 update'!$B$6:$B$104,0),MATCH(V$16,'AEA2012 update'!$S$4:$Z$4,0)))</f>
        <v>1494094.612984641</v>
      </c>
      <c r="W52" s="103">
        <f t="array" ref="W52">IF(W$18,INDEX('AEA2012 update'!$K$6:$R$104,MATCH($T52&amp;$R52,'AEA2012 update'!$A$6:$A$104&amp;'AEA2012 update'!$B$6:$B$104,0),MATCH(W$16,'AEA2012 update'!$S$4:$Z$4,0)),INDEX('AEA2012 update'!$K$6:$R$104,MATCH($T52&amp;$U52,'AEA2012 update'!$A$6:$A$104&amp;'AEA2012 update'!$B$6:$B$104,0),MATCH(W$16,'AEA2012 update'!$S$4:$Z$4,0)))</f>
        <v>1615401.3682562639</v>
      </c>
      <c r="X52" s="103">
        <f t="array" ref="X52">IF(X$18,INDEX('AEA2012 update'!$K$6:$R$104,MATCH($T52&amp;$R52,'AEA2012 update'!$A$6:$A$104&amp;'AEA2012 update'!$B$6:$B$104,0),MATCH(X$16,'AEA2012 update'!$S$4:$Z$4,0)),INDEX('AEA2012 update'!$K$6:$R$104,MATCH($T52&amp;$U52,'AEA2012 update'!$A$6:$A$104&amp;'AEA2012 update'!$B$6:$B$104,0),MATCH(X$16,'AEA2012 update'!$S$4:$Z$4,0)))</f>
        <v>1645563.3521187683</v>
      </c>
      <c r="Y52" s="103">
        <f t="array" ref="Y52">IF(Y$18,INDEX('AEA2012 update'!$K$6:$R$104,MATCH($T52&amp;$R52,'AEA2012 update'!$A$6:$A$104&amp;'AEA2012 update'!$B$6:$B$104,0),MATCH(Y$16,'AEA2012 update'!$S$4:$Z$4,0)),INDEX('AEA2012 update'!$K$6:$R$104,MATCH($T52&amp;$U52,'AEA2012 update'!$A$6:$A$104&amp;'AEA2012 update'!$B$6:$B$104,0),MATCH(Y$16,'AEA2012 update'!$S$4:$Z$4,0)))</f>
        <v>1675725.3359812722</v>
      </c>
      <c r="Z52" s="103">
        <f t="array" ref="Z52">IF(Z$18,INDEX('AEA2012 update'!$K$6:$R$104,MATCH($T52&amp;$R52,'AEA2012 update'!$A$6:$A$104&amp;'AEA2012 update'!$B$6:$B$104,0),MATCH(Z$16,'AEA2012 update'!$S$4:$Z$4,0)),INDEX('AEA2012 update'!$K$6:$R$104,MATCH($T52&amp;$U52,'AEA2012 update'!$A$6:$A$104&amp;'AEA2012 update'!$B$6:$B$104,0),MATCH(Z$16,'AEA2012 update'!$S$4:$Z$4,0)))</f>
        <v>1695117.6876140197</v>
      </c>
      <c r="AA52" s="103">
        <f t="array" ref="AA52">IF(AA$18,INDEX('AEA2012 update'!$K$6:$R$104,MATCH($T52&amp;$R52,'AEA2012 update'!$A$6:$A$104&amp;'AEA2012 update'!$B$6:$B$104,0),MATCH(AA$16,'AEA2012 update'!$S$4:$Z$4,0)),INDEX('AEA2012 update'!$K$6:$R$104,MATCH($T52&amp;$U52,'AEA2012 update'!$A$6:$A$104&amp;'AEA2012 update'!$B$6:$B$104,0),MATCH(AA$16,'AEA2012 update'!$S$4:$Z$4,0)))</f>
        <v>1714510.0392467668</v>
      </c>
      <c r="AB52" s="103">
        <f t="array" ref="AB52">IF(AB$18,INDEX('AEA2012 update'!$K$6:$R$104,MATCH($T52&amp;$R52,'AEA2012 update'!$A$6:$A$104&amp;'AEA2012 update'!$B$6:$B$104,0),MATCH(AB$16,'AEA2012 update'!$S$4:$Z$4,0)),INDEX('AEA2012 update'!$K$6:$R$104,MATCH($T52&amp;$U52,'AEA2012 update'!$A$6:$A$104&amp;'AEA2012 update'!$B$6:$B$104,0),MATCH(AB$16,'AEA2012 update'!$S$4:$Z$4,0)))</f>
        <v>1758785.822670358</v>
      </c>
      <c r="AC52" s="103" t="str">
        <f t="shared" si="11"/>
        <v>BUSODS</v>
      </c>
      <c r="AD52" s="67">
        <f>1/INDEX(Analytica!$AA$17:$AE$48,MATCH($AC52,Analytica!$A$17:$A$48,0),MATCH(AD$16,Analytica!$AA$16:$AE$16,0))</f>
        <v>15.540416584459544</v>
      </c>
      <c r="AE52" s="67">
        <f t="array" ref="AE52">IF($W$1,AD52*(1+INDEX(AE$1:AE$2,MATCH($O52,$AA$1:$AA$2,0)))^(AE$16-AD$16),INDEX('AEA2012 update'!$AC$6:$AG$104,MATCH($T52&amp;$U52,'AEA2012 update'!$A$6:$A$104&amp;'AEA2012 update'!$B$6:$B$104,0),MATCH(AE$16,'AEA2012 update'!$AC$4:$AG$4,0)))</f>
        <v>15.308473924384414</v>
      </c>
      <c r="AF52" s="67">
        <f t="array" ref="AF52">IF($W$1,AE52*(1+INDEX(AF$1:AF$2,MATCH($O52,$AA$1:$AA$2,0)))^(AF$16-AE$16),INDEX('AEA2012 update'!$AC$6:$AG$104,MATCH($T52&amp;$U52,'AEA2012 update'!$A$6:$A$104&amp;'AEA2012 update'!$B$6:$B$104,0),MATCH(AF$16,'AEA2012 update'!$AC$4:$AG$4,0)))</f>
        <v>14.198323043971449</v>
      </c>
      <c r="AG52" s="67">
        <f t="array" ref="AG52">IF($W$1,AF52*(1+INDEX(AG$1:AG$2,MATCH($O52,$AA$1:$AA$2,0)))^(AG$16-AF$16),INDEX('AEA2012 update'!$AC$6:$AG$104,MATCH($T52&amp;$U52,'AEA2012 update'!$A$6:$A$104&amp;'AEA2012 update'!$B$6:$B$104,0),MATCH(AG$16,'AEA2012 update'!$AC$4:$AG$4,0)))</f>
        <v>12.840708856152222</v>
      </c>
      <c r="AH52" s="67">
        <f t="array" ref="AH52">IF($W$1,AG52*(1+INDEX(AH$1:AH$2,MATCH($O52,$AA$1:$AA$2,0)))^(AH$16-AG$16),INDEX('AEA2012 update'!$AC$6:$AG$104,MATCH($T52&amp;$U52,'AEA2012 update'!$A$6:$A$104&amp;'AEA2012 update'!$B$6:$B$104,0),MATCH(AH$16,'AEA2012 update'!$AC$4:$AG$4,0)))</f>
        <v>11.612906919910877</v>
      </c>
      <c r="AI52" s="67"/>
      <c r="AJ52" s="257">
        <f t="shared" si="8"/>
        <v>-4.9750416666666433E-3</v>
      </c>
      <c r="AK52" s="257">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25">
      <c r="C53" s="178"/>
      <c r="N53" s="61" t="s">
        <v>506</v>
      </c>
      <c r="O53" s="61" t="s">
        <v>613</v>
      </c>
      <c r="P53" s="61" t="s">
        <v>563</v>
      </c>
      <c r="Q53" s="61" t="str">
        <f t="shared" si="6"/>
        <v>BUS</v>
      </c>
      <c r="R53" s="61" t="s">
        <v>687</v>
      </c>
      <c r="S53"/>
      <c r="T53" s="256" t="s">
        <v>60</v>
      </c>
      <c r="U53" s="256" t="s">
        <v>687</v>
      </c>
      <c r="V53" s="103">
        <f t="array" ref="V53">IF(V$18,INDEX('AEA2012 update'!$K$6:$R$104,MATCH($T53&amp;$R53,'AEA2012 update'!$A$6:$A$104&amp;'AEA2012 update'!$B$6:$B$104,0),MATCH(V$16,'AEA2012 update'!$S$4:$Z$4,0)),INDEX('AEA2012 update'!$K$6:$R$104,MATCH($T53&amp;$U53,'AEA2012 update'!$A$6:$A$104&amp;'AEA2012 update'!$B$6:$B$104,0),MATCH(V$16,'AEA2012 update'!$S$4:$Z$4,0)))</f>
        <v>1494094.612984641</v>
      </c>
      <c r="W53" s="103">
        <f t="array" ref="W53">IF(W$18,INDEX('AEA2012 update'!$K$6:$R$104,MATCH($T53&amp;$R53,'AEA2012 update'!$A$6:$A$104&amp;'AEA2012 update'!$B$6:$B$104,0),MATCH(W$16,'AEA2012 update'!$S$4:$Z$4,0)),INDEX('AEA2012 update'!$K$6:$R$104,MATCH($T53&amp;$U53,'AEA2012 update'!$A$6:$A$104&amp;'AEA2012 update'!$B$6:$B$104,0),MATCH(W$16,'AEA2012 update'!$S$4:$Z$4,0)))</f>
        <v>1615401.3682562639</v>
      </c>
      <c r="X53" s="103">
        <f t="array" ref="X53">IF(X$18,INDEX('AEA2012 update'!$K$6:$R$104,MATCH($T53&amp;$R53,'AEA2012 update'!$A$6:$A$104&amp;'AEA2012 update'!$B$6:$B$104,0),MATCH(X$16,'AEA2012 update'!$S$4:$Z$4,0)),INDEX('AEA2012 update'!$K$6:$R$104,MATCH($T53&amp;$U53,'AEA2012 update'!$A$6:$A$104&amp;'AEA2012 update'!$B$6:$B$104,0),MATCH(X$16,'AEA2012 update'!$S$4:$Z$4,0)))</f>
        <v>1645563.3521187683</v>
      </c>
      <c r="Y53" s="103">
        <f t="array" ref="Y53">IF(Y$18,INDEX('AEA2012 update'!$K$6:$R$104,MATCH($T53&amp;$R53,'AEA2012 update'!$A$6:$A$104&amp;'AEA2012 update'!$B$6:$B$104,0),MATCH(Y$16,'AEA2012 update'!$S$4:$Z$4,0)),INDEX('AEA2012 update'!$K$6:$R$104,MATCH($T53&amp;$U53,'AEA2012 update'!$A$6:$A$104&amp;'AEA2012 update'!$B$6:$B$104,0),MATCH(Y$16,'AEA2012 update'!$S$4:$Z$4,0)))</f>
        <v>1675725.3359812722</v>
      </c>
      <c r="Z53" s="103">
        <f t="array" ref="Z53">IF(Z$18,INDEX('AEA2012 update'!$K$6:$R$104,MATCH($T53&amp;$R53,'AEA2012 update'!$A$6:$A$104&amp;'AEA2012 update'!$B$6:$B$104,0),MATCH(Z$16,'AEA2012 update'!$S$4:$Z$4,0)),INDEX('AEA2012 update'!$K$6:$R$104,MATCH($T53&amp;$U53,'AEA2012 update'!$A$6:$A$104&amp;'AEA2012 update'!$B$6:$B$104,0),MATCH(Z$16,'AEA2012 update'!$S$4:$Z$4,0)))</f>
        <v>1695117.6876140197</v>
      </c>
      <c r="AA53" s="103">
        <f t="array" ref="AA53">IF(AA$18,INDEX('AEA2012 update'!$K$6:$R$104,MATCH($T53&amp;$R53,'AEA2012 update'!$A$6:$A$104&amp;'AEA2012 update'!$B$6:$B$104,0),MATCH(AA$16,'AEA2012 update'!$S$4:$Z$4,0)),INDEX('AEA2012 update'!$K$6:$R$104,MATCH($T53&amp;$U53,'AEA2012 update'!$A$6:$A$104&amp;'AEA2012 update'!$B$6:$B$104,0),MATCH(AA$16,'AEA2012 update'!$S$4:$Z$4,0)))</f>
        <v>1714510.0392467668</v>
      </c>
      <c r="AB53" s="103">
        <f t="array" ref="AB53">IF(AB$18,INDEX('AEA2012 update'!$K$6:$R$104,MATCH($T53&amp;$R53,'AEA2012 update'!$A$6:$A$104&amp;'AEA2012 update'!$B$6:$B$104,0),MATCH(AB$16,'AEA2012 update'!$S$4:$Z$4,0)),INDEX('AEA2012 update'!$K$6:$R$104,MATCH($T53&amp;$U53,'AEA2012 update'!$A$6:$A$104&amp;'AEA2012 update'!$B$6:$B$104,0),MATCH(AB$16,'AEA2012 update'!$S$4:$Z$4,0)))</f>
        <v>1758785.822670358</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 update'!$AC$6:$AG$104,MATCH($T53&amp;$U53,'AEA2012 update'!$A$6:$A$104&amp;'AEA2012 update'!$B$6:$B$104,0),MATCH(AE$16,'AEA2012 update'!$AC$4:$AG$4,0)))</f>
        <v>15.308473924384414</v>
      </c>
      <c r="AF53" s="67">
        <f t="array" ref="AF53">IF($W$1,AE53*(1+INDEX(AF$1:AF$2,MATCH($O53,$AA$1:$AA$2,0)))^(AF$16-AE$16),INDEX('AEA2012 update'!$AC$6:$AG$104,MATCH($T53&amp;$U53,'AEA2012 update'!$A$6:$A$104&amp;'AEA2012 update'!$B$6:$B$104,0),MATCH(AF$16,'AEA2012 update'!$AC$4:$AG$4,0)))</f>
        <v>14.198323043971449</v>
      </c>
      <c r="AG53" s="67">
        <f t="array" ref="AG53">IF($W$1,AF53*(1+INDEX(AG$1:AG$2,MATCH($O53,$AA$1:$AA$2,0)))^(AG$16-AF$16),INDEX('AEA2012 update'!$AC$6:$AG$104,MATCH($T53&amp;$U53,'AEA2012 update'!$A$6:$A$104&amp;'AEA2012 update'!$B$6:$B$104,0),MATCH(AG$16,'AEA2012 update'!$AC$4:$AG$4,0)))</f>
        <v>12.840708856152222</v>
      </c>
      <c r="AH53" s="67">
        <f t="array" ref="AH53">IF($W$1,AG53*(1+INDEX(AH$1:AH$2,MATCH($O53,$AA$1:$AA$2,0)))^(AH$16-AG$16),INDEX('AEA2012 update'!$AC$6:$AG$104,MATCH($T53&amp;$U53,'AEA2012 update'!$A$6:$A$104&amp;'AEA2012 update'!$B$6:$B$104,0),MATCH(AH$16,'AEA2012 update'!$AC$4:$AG$4,0)))</f>
        <v>11.612906919910877</v>
      </c>
      <c r="AI53" s="67"/>
      <c r="AJ53" s="257">
        <f t="shared" si="8"/>
        <v>-4.9750416666666433E-3</v>
      </c>
      <c r="AK53" s="257">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25">
      <c r="C54" s="178" t="s">
        <v>712</v>
      </c>
      <c r="D54" s="61" t="s">
        <v>713</v>
      </c>
      <c r="E54" s="61" t="s">
        <v>706</v>
      </c>
      <c r="F54" s="61">
        <v>11000</v>
      </c>
      <c r="N54" s="61" t="s">
        <v>501</v>
      </c>
      <c r="O54" s="61" t="s">
        <v>613</v>
      </c>
      <c r="P54" s="61" t="s">
        <v>563</v>
      </c>
      <c r="Q54" s="61" t="str">
        <f t="shared" si="6"/>
        <v>BUS</v>
      </c>
      <c r="R54" s="61" t="s">
        <v>687</v>
      </c>
      <c r="S54"/>
      <c r="T54" s="256" t="s">
        <v>60</v>
      </c>
      <c r="U54" s="256" t="s">
        <v>692</v>
      </c>
      <c r="V54" s="103">
        <f t="array" ref="V54">IF(V$18,INDEX('AEA2012 update'!$K$6:$R$104,MATCH($T54&amp;$R54,'AEA2012 update'!$A$6:$A$104&amp;'AEA2012 update'!$B$6:$B$104,0),MATCH(V$16,'AEA2012 update'!$S$4:$Z$4,0)),INDEX('AEA2012 update'!$K$6:$R$104,MATCH($T54&amp;$U54,'AEA2012 update'!$A$6:$A$104&amp;'AEA2012 update'!$B$6:$B$104,0),MATCH(V$16,'AEA2012 update'!$S$4:$Z$4,0)))</f>
        <v>6089818.753990707</v>
      </c>
      <c r="W54" s="103">
        <f t="array" ref="W54">IF(W$18,INDEX('AEA2012 update'!$K$6:$R$104,MATCH($T54&amp;$R54,'AEA2012 update'!$A$6:$A$104&amp;'AEA2012 update'!$B$6:$B$104,0),MATCH(W$16,'AEA2012 update'!$S$4:$Z$4,0)),INDEX('AEA2012 update'!$K$6:$R$104,MATCH($T54&amp;$U54,'AEA2012 update'!$A$6:$A$104&amp;'AEA2012 update'!$B$6:$B$104,0),MATCH(W$16,'AEA2012 update'!$S$4:$Z$4,0)))</f>
        <v>4643418.4762355024</v>
      </c>
      <c r="X54" s="103">
        <f t="array" ref="X54">IF(X$18,INDEX('AEA2012 update'!$K$6:$R$104,MATCH($T54&amp;$R54,'AEA2012 update'!$A$6:$A$104&amp;'AEA2012 update'!$B$6:$B$104,0),MATCH(X$16,'AEA2012 update'!$S$4:$Z$4,0)),INDEX('AEA2012 update'!$K$6:$R$104,MATCH($T54&amp;$U54,'AEA2012 update'!$A$6:$A$104&amp;'AEA2012 update'!$B$6:$B$104,0),MATCH(X$16,'AEA2012 update'!$S$4:$Z$4,0)))</f>
        <v>4403362.6567749837</v>
      </c>
      <c r="Y54" s="103">
        <f t="array" ref="Y54">IF(Y$18,INDEX('AEA2012 update'!$K$6:$R$104,MATCH($T54&amp;$R54,'AEA2012 update'!$A$6:$A$104&amp;'AEA2012 update'!$B$6:$B$104,0),MATCH(Y$16,'AEA2012 update'!$S$4:$Z$4,0)),INDEX('AEA2012 update'!$K$6:$R$104,MATCH($T54&amp;$U54,'AEA2012 update'!$A$6:$A$104&amp;'AEA2012 update'!$B$6:$B$104,0),MATCH(Y$16,'AEA2012 update'!$S$4:$Z$4,0)))</f>
        <v>1675725.3359812722</v>
      </c>
      <c r="Z54" s="103">
        <f t="array" ref="Z54">IF(Z$18,INDEX('AEA2012 update'!$K$6:$R$104,MATCH($T54&amp;$R54,'AEA2012 update'!$A$6:$A$104&amp;'AEA2012 update'!$B$6:$B$104,0),MATCH(Z$16,'AEA2012 update'!$S$4:$Z$4,0)),INDEX('AEA2012 update'!$K$6:$R$104,MATCH($T54&amp;$U54,'AEA2012 update'!$A$6:$A$104&amp;'AEA2012 update'!$B$6:$B$104,0),MATCH(Z$16,'AEA2012 update'!$S$4:$Z$4,0)))</f>
        <v>1695117.6876140197</v>
      </c>
      <c r="AA54" s="103">
        <f t="array" ref="AA54">IF(AA$18,INDEX('AEA2012 update'!$K$6:$R$104,MATCH($T54&amp;$R54,'AEA2012 update'!$A$6:$A$104&amp;'AEA2012 update'!$B$6:$B$104,0),MATCH(AA$16,'AEA2012 update'!$S$4:$Z$4,0)),INDEX('AEA2012 update'!$K$6:$R$104,MATCH($T54&amp;$U54,'AEA2012 update'!$A$6:$A$104&amp;'AEA2012 update'!$B$6:$B$104,0),MATCH(AA$16,'AEA2012 update'!$S$4:$Z$4,0)))</f>
        <v>1714510.0392467668</v>
      </c>
      <c r="AB54" s="103">
        <f t="array" ref="AB54">IF(AB$18,INDEX('AEA2012 update'!$K$6:$R$104,MATCH($T54&amp;$R54,'AEA2012 update'!$A$6:$A$104&amp;'AEA2012 update'!$B$6:$B$104,0),MATCH(AB$16,'AEA2012 update'!$S$4:$Z$4,0)),INDEX('AEA2012 update'!$K$6:$R$104,MATCH($T54&amp;$U54,'AEA2012 update'!$A$6:$A$104&amp;'AEA2012 update'!$B$6:$B$104,0),MATCH(AB$16,'AEA2012 update'!$S$4:$Z$4,0)))</f>
        <v>1758785.822670358</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 update'!$AC$6:$AG$104,MATCH($T54&amp;$U54,'AEA2012 update'!$A$6:$A$104&amp;'AEA2012 update'!$B$6:$B$104,0),MATCH(AE$16,'AEA2012 update'!$AC$4:$AG$4,0)))</f>
        <v>4.7001706440703899</v>
      </c>
      <c r="AF54" s="67">
        <f t="array" ref="AF54">IF($W$1,AE54*(1+INDEX(AF$1:AF$2,MATCH($O54,$AA$1:$AA$2,0)))^(AF$16-AE$16),INDEX('AEA2012 update'!$AC$6:$AG$104,MATCH($T54&amp;$U54,'AEA2012 update'!$A$6:$A$104&amp;'AEA2012 update'!$B$6:$B$104,0),MATCH(AF$16,'AEA2012 update'!$AC$4:$AG$4,0)))</f>
        <v>4.3593203016796647</v>
      </c>
      <c r="AG54" s="67">
        <f t="array" ref="AG54">IF($W$1,AF54*(1+INDEX(AG$1:AG$2,MATCH($O54,$AA$1:$AA$2,0)))^(AG$16-AF$16),INDEX('AEA2012 update'!$AC$6:$AG$104,MATCH($T54&amp;$U54,'AEA2012 update'!$A$6:$A$104&amp;'AEA2012 update'!$B$6:$B$104,0),MATCH(AG$16,'AEA2012 update'!$AC$4:$AG$4,0)))</f>
        <v>3.9424911400610618</v>
      </c>
      <c r="AH54" s="67">
        <f t="array" ref="AH54">IF($W$1,AG54*(1+INDEX(AH$1:AH$2,MATCH($O54,$AA$1:$AA$2,0)))^(AH$16-AG$16),INDEX('AEA2012 update'!$AC$6:$AG$104,MATCH($T54&amp;$U54,'AEA2012 update'!$A$6:$A$104&amp;'AEA2012 update'!$B$6:$B$104,0),MATCH(AH$16,'AEA2012 update'!$AC$4:$AG$4,0)))</f>
        <v>3.5655183179522494</v>
      </c>
      <c r="AI54" s="67"/>
      <c r="AJ54" s="257">
        <f t="shared" si="8"/>
        <v>-4.9750416666666606E-3</v>
      </c>
      <c r="AK54" s="257">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56" t="s">
        <v>60</v>
      </c>
      <c r="U55" s="256" t="s">
        <v>699</v>
      </c>
      <c r="V55" s="103">
        <f t="array" ref="V55">IF(V$18,INDEX('AEA2012 update'!$K$6:$R$104,MATCH($T55&amp;$R55,'AEA2012 update'!$A$6:$A$104&amp;'AEA2012 update'!$B$6:$B$104,0),MATCH(V$16,'AEA2012 update'!$S$4:$Z$4,0)),INDEX('AEA2012 update'!$K$6:$R$104,MATCH($T55&amp;$U55,'AEA2012 update'!$A$6:$A$104&amp;'AEA2012 update'!$B$6:$B$104,0),MATCH(V$16,'AEA2012 update'!$S$4:$Z$4,0)))</f>
        <v>3962049.5059577962</v>
      </c>
      <c r="W55" s="103">
        <f t="array" ref="W55">IF(W$18,INDEX('AEA2012 update'!$K$6:$R$104,MATCH($T55&amp;$R55,'AEA2012 update'!$A$6:$A$104&amp;'AEA2012 update'!$B$6:$B$104,0),MATCH(W$16,'AEA2012 update'!$S$4:$Z$4,0)),INDEX('AEA2012 update'!$K$6:$R$104,MATCH($T55&amp;$U55,'AEA2012 update'!$A$6:$A$104&amp;'AEA2012 update'!$B$6:$B$104,0),MATCH(W$16,'AEA2012 update'!$S$4:$Z$4,0)))</f>
        <v>2321709.2381177512</v>
      </c>
      <c r="X55" s="103">
        <f t="array" ref="X55">IF(X$18,INDEX('AEA2012 update'!$K$6:$R$104,MATCH($T55&amp;$R55,'AEA2012 update'!$A$6:$A$104&amp;'AEA2012 update'!$B$6:$B$104,0),MATCH(X$16,'AEA2012 update'!$S$4:$Z$4,0)),INDEX('AEA2012 update'!$K$6:$R$104,MATCH($T55&amp;$U55,'AEA2012 update'!$A$6:$A$104&amp;'AEA2012 update'!$B$6:$B$104,0),MATCH(X$16,'AEA2012 update'!$S$4:$Z$4,0)))</f>
        <v>2069503.9570616197</v>
      </c>
      <c r="Y55" s="103">
        <f t="array" ref="Y55">IF(Y$18,INDEX('AEA2012 update'!$K$6:$R$104,MATCH($T55&amp;$R55,'AEA2012 update'!$A$6:$A$104&amp;'AEA2012 update'!$B$6:$B$104,0),MATCH(Y$16,'AEA2012 update'!$S$4:$Z$4,0)),INDEX('AEA2012 update'!$K$6:$R$104,MATCH($T55&amp;$U55,'AEA2012 update'!$A$6:$A$104&amp;'AEA2012 update'!$B$6:$B$104,0),MATCH(Y$16,'AEA2012 update'!$S$4:$Z$4,0)))</f>
        <v>1675725.3359812722</v>
      </c>
      <c r="Z55" s="103">
        <f t="array" ref="Z55">IF(Z$18,INDEX('AEA2012 update'!$K$6:$R$104,MATCH($T55&amp;$R55,'AEA2012 update'!$A$6:$A$104&amp;'AEA2012 update'!$B$6:$B$104,0),MATCH(Z$16,'AEA2012 update'!$S$4:$Z$4,0)),INDEX('AEA2012 update'!$K$6:$R$104,MATCH($T55&amp;$U55,'AEA2012 update'!$A$6:$A$104&amp;'AEA2012 update'!$B$6:$B$104,0),MATCH(Z$16,'AEA2012 update'!$S$4:$Z$4,0)))</f>
        <v>1695117.6876140197</v>
      </c>
      <c r="AA55" s="103">
        <f t="array" ref="AA55">IF(AA$18,INDEX('AEA2012 update'!$K$6:$R$104,MATCH($T55&amp;$R55,'AEA2012 update'!$A$6:$A$104&amp;'AEA2012 update'!$B$6:$B$104,0),MATCH(AA$16,'AEA2012 update'!$S$4:$Z$4,0)),INDEX('AEA2012 update'!$K$6:$R$104,MATCH($T55&amp;$U55,'AEA2012 update'!$A$6:$A$104&amp;'AEA2012 update'!$B$6:$B$104,0),MATCH(AA$16,'AEA2012 update'!$S$4:$Z$4,0)))</f>
        <v>1714510.0392467668</v>
      </c>
      <c r="AB55" s="103">
        <f t="array" ref="AB55">IF(AB$18,INDEX('AEA2012 update'!$K$6:$R$104,MATCH($T55&amp;$R55,'AEA2012 update'!$A$6:$A$104&amp;'AEA2012 update'!$B$6:$B$104,0),MATCH(AB$16,'AEA2012 update'!$S$4:$Z$4,0)),INDEX('AEA2012 update'!$K$6:$R$104,MATCH($T55&amp;$U55,'AEA2012 update'!$A$6:$A$104&amp;'AEA2012 update'!$B$6:$B$104,0),MATCH(AB$16,'AEA2012 update'!$S$4:$Z$4,0)))</f>
        <v>1758785.822670358</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 update'!$AC$6:$AG$104,MATCH($T55&amp;$U55,'AEA2012 update'!$A$6:$A$104&amp;'AEA2012 update'!$B$6:$B$104,0),MATCH(AE$16,'AEA2012 update'!$AC$4:$AG$4,0)))</f>
        <v>7.2564038013718299</v>
      </c>
      <c r="AF55" s="67">
        <f t="array" ref="AF55">IF($W$1,AE55*(1+INDEX(AF$1:AF$2,MATCH($O55,$AA$1:$AA$2,0)))^(AF$16-AE$16),INDEX('AEA2012 update'!$AC$6:$AG$104,MATCH($T55&amp;$U55,'AEA2012 update'!$A$6:$A$104&amp;'AEA2012 update'!$B$6:$B$104,0),MATCH(AF$16,'AEA2012 update'!$AC$4:$AG$4,0)))</f>
        <v>6.730178711365097</v>
      </c>
      <c r="AG55" s="67">
        <f t="array" ref="AG55">IF($W$1,AF55*(1+INDEX(AG$1:AG$2,MATCH($O55,$AA$1:$AA$2,0)))^(AG$16-AF$16),INDEX('AEA2012 update'!$AC$6:$AG$104,MATCH($T55&amp;$U55,'AEA2012 update'!$A$6:$A$104&amp;'AEA2012 update'!$B$6:$B$104,0),MATCH(AG$16,'AEA2012 update'!$AC$4:$AG$4,0)))</f>
        <v>6.0866529881644471</v>
      </c>
      <c r="AH55" s="67">
        <f t="array" ref="AH55">IF($W$1,AG55*(1+INDEX(AH$1:AH$2,MATCH($O55,$AA$1:$AA$2,0)))^(AH$16-AG$16),INDEX('AEA2012 update'!$AC$6:$AG$104,MATCH($T55&amp;$U55,'AEA2012 update'!$A$6:$A$104&amp;'AEA2012 update'!$B$6:$B$104,0),MATCH(AH$16,'AEA2012 update'!$AC$4:$AG$4,0)))</f>
        <v>5.5046598592947023</v>
      </c>
      <c r="AI55" s="67"/>
      <c r="AJ55" s="257">
        <f t="shared" si="8"/>
        <v>-4.9750416666666771E-3</v>
      </c>
      <c r="AK55" s="257">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25">
      <c r="C56" s="178"/>
      <c r="N56" s="61" t="s">
        <v>509</v>
      </c>
      <c r="O56" s="61" t="s">
        <v>613</v>
      </c>
      <c r="P56" s="61" t="s">
        <v>563</v>
      </c>
      <c r="Q56" s="61" t="str">
        <f t="shared" si="6"/>
        <v>BUS</v>
      </c>
      <c r="R56" s="61" t="s">
        <v>687</v>
      </c>
      <c r="S56" s="65"/>
      <c r="T56" s="256" t="s">
        <v>60</v>
      </c>
      <c r="U56" s="256" t="s">
        <v>700</v>
      </c>
      <c r="V56" s="103">
        <f t="array" ref="V56">IF(V$18,INDEX('AEA2012 update'!$K$6:$R$104,MATCH($T56&amp;$R56,'AEA2012 update'!$A$6:$A$104&amp;'AEA2012 update'!$B$6:$B$104,0),MATCH(V$16,'AEA2012 update'!$S$4:$Z$4,0)),INDEX('AEA2012 update'!$K$6:$R$104,MATCH($T56&amp;$U56,'AEA2012 update'!$A$6:$A$104&amp;'AEA2012 update'!$B$6:$B$104,0),MATCH(V$16,'AEA2012 update'!$S$4:$Z$4,0)))</f>
        <v>1662957.7926762076</v>
      </c>
      <c r="W56" s="103">
        <f t="array" ref="W56">IF(W$18,INDEX('AEA2012 update'!$K$6:$R$104,MATCH($T56&amp;$R56,'AEA2012 update'!$A$6:$A$104&amp;'AEA2012 update'!$B$6:$B$104,0),MATCH(W$16,'AEA2012 update'!$S$4:$Z$4,0)),INDEX('AEA2012 update'!$K$6:$R$104,MATCH($T56&amp;$U56,'AEA2012 update'!$A$6:$A$104&amp;'AEA2012 update'!$B$6:$B$104,0),MATCH(W$16,'AEA2012 update'!$S$4:$Z$4,0)))</f>
        <v>1712796.8806812237</v>
      </c>
      <c r="X56" s="103">
        <f t="array" ref="X56">IF(X$18,INDEX('AEA2012 update'!$K$6:$R$104,MATCH($T56&amp;$R56,'AEA2012 update'!$A$6:$A$104&amp;'AEA2012 update'!$B$6:$B$104,0),MATCH(X$16,'AEA2012 update'!$S$4:$Z$4,0)),INDEX('AEA2012 update'!$K$6:$R$104,MATCH($T56&amp;$U56,'AEA2012 update'!$A$6:$A$104&amp;'AEA2012 update'!$B$6:$B$104,0),MATCH(X$16,'AEA2012 update'!$S$4:$Z$4,0)))</f>
        <v>1730793.9448361397</v>
      </c>
      <c r="Y56" s="103">
        <f t="array" ref="Y56">IF(Y$18,INDEX('AEA2012 update'!$K$6:$R$104,MATCH($T56&amp;$R56,'AEA2012 update'!$A$6:$A$104&amp;'AEA2012 update'!$B$6:$B$104,0),MATCH(Y$16,'AEA2012 update'!$S$4:$Z$4,0)),INDEX('AEA2012 update'!$K$6:$R$104,MATCH($T56&amp;$U56,'AEA2012 update'!$A$6:$A$104&amp;'AEA2012 update'!$B$6:$B$104,0),MATCH(Y$16,'AEA2012 update'!$S$4:$Z$4,0)))</f>
        <v>1675725.3359812722</v>
      </c>
      <c r="Z56" s="103">
        <f t="array" ref="Z56">IF(Z$18,INDEX('AEA2012 update'!$K$6:$R$104,MATCH($T56&amp;$R56,'AEA2012 update'!$A$6:$A$104&amp;'AEA2012 update'!$B$6:$B$104,0),MATCH(Z$16,'AEA2012 update'!$S$4:$Z$4,0)),INDEX('AEA2012 update'!$K$6:$R$104,MATCH($T56&amp;$U56,'AEA2012 update'!$A$6:$A$104&amp;'AEA2012 update'!$B$6:$B$104,0),MATCH(Z$16,'AEA2012 update'!$S$4:$Z$4,0)))</f>
        <v>1695117.6876140197</v>
      </c>
      <c r="AA56" s="103">
        <f t="array" ref="AA56">IF(AA$18,INDEX('AEA2012 update'!$K$6:$R$104,MATCH($T56&amp;$R56,'AEA2012 update'!$A$6:$A$104&amp;'AEA2012 update'!$B$6:$B$104,0),MATCH(AA$16,'AEA2012 update'!$S$4:$Z$4,0)),INDEX('AEA2012 update'!$K$6:$R$104,MATCH($T56&amp;$U56,'AEA2012 update'!$A$6:$A$104&amp;'AEA2012 update'!$B$6:$B$104,0),MATCH(AA$16,'AEA2012 update'!$S$4:$Z$4,0)))</f>
        <v>1714510.0392467668</v>
      </c>
      <c r="AB56" s="103">
        <f t="array" ref="AB56">IF(AB$18,INDEX('AEA2012 update'!$K$6:$R$104,MATCH($T56&amp;$R56,'AEA2012 update'!$A$6:$A$104&amp;'AEA2012 update'!$B$6:$B$104,0),MATCH(AB$16,'AEA2012 update'!$S$4:$Z$4,0)),INDEX('AEA2012 update'!$K$6:$R$104,MATCH($T56&amp;$U56,'AEA2012 update'!$A$6:$A$104&amp;'AEA2012 update'!$B$6:$B$104,0),MATCH(AB$16,'AEA2012 update'!$S$4:$Z$4,0)))</f>
        <v>1758785.822670358</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 update'!$AC$6:$AG$104,MATCH($T56&amp;$U56,'AEA2012 update'!$A$6:$A$104&amp;'AEA2012 update'!$B$6:$B$104,0),MATCH(AE$16,'AEA2012 update'!$AC$4:$AG$4,0)))</f>
        <v>17.604745013042074</v>
      </c>
      <c r="AF56" s="67">
        <f t="array" ref="AF56">IF($W$1,AE56*(1+INDEX(AF$1:AF$2,MATCH($O56,$AA$1:$AA$2,0)))^(AF$16-AE$16),INDEX('AEA2012 update'!$AC$6:$AG$104,MATCH($T56&amp;$U56,'AEA2012 update'!$A$6:$A$104&amp;'AEA2012 update'!$B$6:$B$104,0),MATCH(AF$16,'AEA2012 update'!$AC$4:$AG$4,0)))</f>
        <v>16.328071500567166</v>
      </c>
      <c r="AG56" s="67">
        <f t="array" ref="AG56">IF($W$1,AF56*(1+INDEX(AG$1:AG$2,MATCH($O56,$AA$1:$AA$2,0)))^(AG$16-AF$16),INDEX('AEA2012 update'!$AC$6:$AG$104,MATCH($T56&amp;$U56,'AEA2012 update'!$A$6:$A$104&amp;'AEA2012 update'!$B$6:$B$104,0),MATCH(AG$16,'AEA2012 update'!$AC$4:$AG$4,0)))</f>
        <v>14.766815184575055</v>
      </c>
      <c r="AH56" s="67">
        <f t="array" ref="AH56">IF($W$1,AG56*(1+INDEX(AH$1:AH$2,MATCH($O56,$AA$1:$AA$2,0)))^(AH$16-AG$16),INDEX('AEA2012 update'!$AC$6:$AG$104,MATCH($T56&amp;$U56,'AEA2012 update'!$A$6:$A$104&amp;'AEA2012 update'!$B$6:$B$104,0),MATCH(AH$16,'AEA2012 update'!$AC$4:$AG$4,0)))</f>
        <v>13.354842957897509</v>
      </c>
      <c r="AI56" s="67"/>
      <c r="AJ56" s="257">
        <f t="shared" si="8"/>
        <v>-4.9750416666666927E-3</v>
      </c>
      <c r="AK56" s="257">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25">
      <c r="D57" s="61">
        <v>2012</v>
      </c>
      <c r="Q57" s="61" t="str">
        <f t="shared" si="6"/>
        <v/>
      </c>
      <c r="S57" s="65"/>
      <c r="T57" s="256"/>
      <c r="U57" s="260"/>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11"/>
        <v/>
      </c>
      <c r="AD57" s="67" t="e">
        <f>1/INDEX(Analytica!$AA$17:$AE$48,MATCH($AC57,Analytica!$A$17:$A$48,0),MATCH(AD$16,Analytica!$AA$16:$AE$16,0))</f>
        <v>#N/A</v>
      </c>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57" t="e">
        <f t="shared" si="8"/>
        <v>#N/A</v>
      </c>
      <c r="AK57" s="257"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25">
      <c r="B58" s="61" t="s">
        <v>717</v>
      </c>
      <c r="D58" s="7">
        <f>SUM(D59:D60)</f>
        <v>15629</v>
      </c>
      <c r="K58" s="61" t="s">
        <v>718</v>
      </c>
      <c r="L58" s="254">
        <f>S60/S58</f>
        <v>3.2995608830795962</v>
      </c>
      <c r="N58" s="61" t="s">
        <v>511</v>
      </c>
      <c r="O58" s="61" t="s">
        <v>613</v>
      </c>
      <c r="P58" s="61" t="s">
        <v>59</v>
      </c>
      <c r="Q58" s="61" t="str">
        <f t="shared" si="6"/>
        <v>BRT</v>
      </c>
      <c r="R58" s="61" t="s">
        <v>687</v>
      </c>
      <c r="S58" s="103">
        <v>3471536.3226923002</v>
      </c>
      <c r="T58" s="256" t="s">
        <v>60</v>
      </c>
      <c r="U58" s="256" t="s">
        <v>687</v>
      </c>
      <c r="V58" s="103">
        <f t="array" ref="V58">IF(V$18,INDEX('AEA2012 update'!$K$6:$R$104,MATCH($T58&amp;$R58,'AEA2012 update'!$A$6:$A$104&amp;'AEA2012 update'!$B$6:$B$104,0),MATCH(V$16,'AEA2012 update'!$S$4:$Z$4,0)),INDEX('AEA2012 update'!$K$6:$R$104,MATCH($T58&amp;$U58,'AEA2012 update'!$A$6:$A$104&amp;'AEA2012 update'!$B$6:$B$104,0),MATCH(V$16,'AEA2012 update'!$S$4:$Z$4,0)))</f>
        <v>1494094.612984641</v>
      </c>
      <c r="W58" s="103">
        <f t="array" ref="W58">IF(W$18,INDEX('AEA2012 update'!$K$6:$R$104,MATCH($T58&amp;$R58,'AEA2012 update'!$A$6:$A$104&amp;'AEA2012 update'!$B$6:$B$104,0),MATCH(W$16,'AEA2012 update'!$S$4:$Z$4,0)),INDEX('AEA2012 update'!$K$6:$R$104,MATCH($T58&amp;$U58,'AEA2012 update'!$A$6:$A$104&amp;'AEA2012 update'!$B$6:$B$104,0),MATCH(W$16,'AEA2012 update'!$S$4:$Z$4,0)))</f>
        <v>1615401.3682562639</v>
      </c>
      <c r="X58" s="103">
        <f t="array" ref="X58">IF(X$18,INDEX('AEA2012 update'!$K$6:$R$104,MATCH($T58&amp;$R58,'AEA2012 update'!$A$6:$A$104&amp;'AEA2012 update'!$B$6:$B$104,0),MATCH(X$16,'AEA2012 update'!$S$4:$Z$4,0)),INDEX('AEA2012 update'!$K$6:$R$104,MATCH($T58&amp;$U58,'AEA2012 update'!$A$6:$A$104&amp;'AEA2012 update'!$B$6:$B$104,0),MATCH(X$16,'AEA2012 update'!$S$4:$Z$4,0)))</f>
        <v>1645563.3521187683</v>
      </c>
      <c r="Y58" s="103">
        <f t="array" ref="Y58">IF(Y$18,INDEX('AEA2012 update'!$K$6:$R$104,MATCH($T58&amp;$R58,'AEA2012 update'!$A$6:$A$104&amp;'AEA2012 update'!$B$6:$B$104,0),MATCH(Y$16,'AEA2012 update'!$S$4:$Z$4,0)),INDEX('AEA2012 update'!$K$6:$R$104,MATCH($T58&amp;$U58,'AEA2012 update'!$A$6:$A$104&amp;'AEA2012 update'!$B$6:$B$104,0),MATCH(Y$16,'AEA2012 update'!$S$4:$Z$4,0)))</f>
        <v>1675725.3359812722</v>
      </c>
      <c r="Z58" s="103">
        <f t="array" ref="Z58">IF(Z$18,INDEX('AEA2012 update'!$K$6:$R$104,MATCH($T58&amp;$R58,'AEA2012 update'!$A$6:$A$104&amp;'AEA2012 update'!$B$6:$B$104,0),MATCH(Z$16,'AEA2012 update'!$S$4:$Z$4,0)),INDEX('AEA2012 update'!$K$6:$R$104,MATCH($T58&amp;$U58,'AEA2012 update'!$A$6:$A$104&amp;'AEA2012 update'!$B$6:$B$104,0),MATCH(Z$16,'AEA2012 update'!$S$4:$Z$4,0)))</f>
        <v>1695117.6876140197</v>
      </c>
      <c r="AA58" s="103">
        <f t="array" ref="AA58">IF(AA$18,INDEX('AEA2012 update'!$K$6:$R$104,MATCH($T58&amp;$R58,'AEA2012 update'!$A$6:$A$104&amp;'AEA2012 update'!$B$6:$B$104,0),MATCH(AA$16,'AEA2012 update'!$S$4:$Z$4,0)),INDEX('AEA2012 update'!$K$6:$R$104,MATCH($T58&amp;$U58,'AEA2012 update'!$A$6:$A$104&amp;'AEA2012 update'!$B$6:$B$104,0),MATCH(AA$16,'AEA2012 update'!$S$4:$Z$4,0)))</f>
        <v>1714510.0392467668</v>
      </c>
      <c r="AB58" s="103">
        <f t="array" ref="AB58">IF(AB$18,INDEX('AEA2012 update'!$K$6:$R$104,MATCH($T58&amp;$R58,'AEA2012 update'!$A$6:$A$104&amp;'AEA2012 update'!$B$6:$B$104,0),MATCH(AB$16,'AEA2012 update'!$S$4:$Z$4,0)),INDEX('AEA2012 update'!$K$6:$R$104,MATCH($T58&amp;$U58,'AEA2012 update'!$A$6:$A$104&amp;'AEA2012 update'!$B$6:$B$104,0),MATCH(AB$16,'AEA2012 update'!$S$4:$Z$4,0)))</f>
        <v>1758785.822670358</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 update'!$AC$6:$AG$104,MATCH($T58&amp;$U58,'AEA2012 update'!$A$6:$A$104&amp;'AEA2012 update'!$B$6:$B$104,0),MATCH(AE$16,'AEA2012 update'!$AC$4:$AG$4,0)))</f>
        <v>15.308473924384414</v>
      </c>
      <c r="AF58" s="67">
        <f t="array" ref="AF58">IF($W$1,AE58*(1+INDEX(AF$1:AF$2,MATCH($O58,$AA$1:$AA$2,0)))^(AF$16-AE$16),INDEX('AEA2012 update'!$AC$6:$AG$104,MATCH($T58&amp;$U58,'AEA2012 update'!$A$6:$A$104&amp;'AEA2012 update'!$B$6:$B$104,0),MATCH(AF$16,'AEA2012 update'!$AC$4:$AG$4,0)))</f>
        <v>14.198323043971449</v>
      </c>
      <c r="AG58" s="67">
        <f t="array" ref="AG58">IF($W$1,AF58*(1+INDEX(AG$1:AG$2,MATCH($O58,$AA$1:$AA$2,0)))^(AG$16-AF$16),INDEX('AEA2012 update'!$AC$6:$AG$104,MATCH($T58&amp;$U58,'AEA2012 update'!$A$6:$A$104&amp;'AEA2012 update'!$B$6:$B$104,0),MATCH(AG$16,'AEA2012 update'!$AC$4:$AG$4,0)))</f>
        <v>12.840708856152222</v>
      </c>
      <c r="AH58" s="67">
        <f t="array" ref="AH58">IF($W$1,AG58*(1+INDEX(AH$1:AH$2,MATCH($O58,$AA$1:$AA$2,0)))^(AH$16-AG$16),INDEX('AEA2012 update'!$AC$6:$AG$104,MATCH($T58&amp;$U58,'AEA2012 update'!$A$6:$A$104&amp;'AEA2012 update'!$B$6:$B$104,0),MATCH(AH$16,'AEA2012 update'!$AC$4:$AG$4,0)))</f>
        <v>11.612906919910877</v>
      </c>
      <c r="AI58" s="67"/>
      <c r="AJ58" s="257">
        <f t="shared" si="8"/>
        <v>-4.9750416666666433E-3</v>
      </c>
      <c r="AK58" s="257">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25">
      <c r="A59" s="261" t="s">
        <v>617</v>
      </c>
      <c r="B59" s="261" t="s">
        <v>719</v>
      </c>
      <c r="D59" s="7">
        <v>4742</v>
      </c>
      <c r="N59" s="61" t="s">
        <v>506</v>
      </c>
      <c r="O59" s="61" t="s">
        <v>613</v>
      </c>
      <c r="P59" s="61" t="s">
        <v>59</v>
      </c>
      <c r="Q59" s="61" t="str">
        <f t="shared" si="6"/>
        <v>BRT</v>
      </c>
      <c r="R59" s="61" t="s">
        <v>687</v>
      </c>
      <c r="S59"/>
      <c r="T59" s="256" t="s">
        <v>60</v>
      </c>
      <c r="U59" s="256" t="s">
        <v>687</v>
      </c>
      <c r="V59" s="103">
        <f t="array" ref="V59">IF(V$18,INDEX('AEA2012 update'!$K$6:$R$104,MATCH($T59&amp;$R59,'AEA2012 update'!$A$6:$A$104&amp;'AEA2012 update'!$B$6:$B$104,0),MATCH(V$16,'AEA2012 update'!$S$4:$Z$4,0)),INDEX('AEA2012 update'!$K$6:$R$104,MATCH($T59&amp;$U59,'AEA2012 update'!$A$6:$A$104&amp;'AEA2012 update'!$B$6:$B$104,0),MATCH(V$16,'AEA2012 update'!$S$4:$Z$4,0)))</f>
        <v>1494094.612984641</v>
      </c>
      <c r="W59" s="103">
        <f t="array" ref="W59">IF(W$18,INDEX('AEA2012 update'!$K$6:$R$104,MATCH($T59&amp;$R59,'AEA2012 update'!$A$6:$A$104&amp;'AEA2012 update'!$B$6:$B$104,0),MATCH(W$16,'AEA2012 update'!$S$4:$Z$4,0)),INDEX('AEA2012 update'!$K$6:$R$104,MATCH($T59&amp;$U59,'AEA2012 update'!$A$6:$A$104&amp;'AEA2012 update'!$B$6:$B$104,0),MATCH(W$16,'AEA2012 update'!$S$4:$Z$4,0)))</f>
        <v>1615401.3682562639</v>
      </c>
      <c r="X59" s="103">
        <f t="array" ref="X59">IF(X$18,INDEX('AEA2012 update'!$K$6:$R$104,MATCH($T59&amp;$R59,'AEA2012 update'!$A$6:$A$104&amp;'AEA2012 update'!$B$6:$B$104,0),MATCH(X$16,'AEA2012 update'!$S$4:$Z$4,0)),INDEX('AEA2012 update'!$K$6:$R$104,MATCH($T59&amp;$U59,'AEA2012 update'!$A$6:$A$104&amp;'AEA2012 update'!$B$6:$B$104,0),MATCH(X$16,'AEA2012 update'!$S$4:$Z$4,0)))</f>
        <v>1645563.3521187683</v>
      </c>
      <c r="Y59" s="103">
        <f t="array" ref="Y59">IF(Y$18,INDEX('AEA2012 update'!$K$6:$R$104,MATCH($T59&amp;$R59,'AEA2012 update'!$A$6:$A$104&amp;'AEA2012 update'!$B$6:$B$104,0),MATCH(Y$16,'AEA2012 update'!$S$4:$Z$4,0)),INDEX('AEA2012 update'!$K$6:$R$104,MATCH($T59&amp;$U59,'AEA2012 update'!$A$6:$A$104&amp;'AEA2012 update'!$B$6:$B$104,0),MATCH(Y$16,'AEA2012 update'!$S$4:$Z$4,0)))</f>
        <v>1675725.3359812722</v>
      </c>
      <c r="Z59" s="103">
        <f t="array" ref="Z59">IF(Z$18,INDEX('AEA2012 update'!$K$6:$R$104,MATCH($T59&amp;$R59,'AEA2012 update'!$A$6:$A$104&amp;'AEA2012 update'!$B$6:$B$104,0),MATCH(Z$16,'AEA2012 update'!$S$4:$Z$4,0)),INDEX('AEA2012 update'!$K$6:$R$104,MATCH($T59&amp;$U59,'AEA2012 update'!$A$6:$A$104&amp;'AEA2012 update'!$B$6:$B$104,0),MATCH(Z$16,'AEA2012 update'!$S$4:$Z$4,0)))</f>
        <v>1695117.6876140197</v>
      </c>
      <c r="AA59" s="103">
        <f t="array" ref="AA59">IF(AA$18,INDEX('AEA2012 update'!$K$6:$R$104,MATCH($T59&amp;$R59,'AEA2012 update'!$A$6:$A$104&amp;'AEA2012 update'!$B$6:$B$104,0),MATCH(AA$16,'AEA2012 update'!$S$4:$Z$4,0)),INDEX('AEA2012 update'!$K$6:$R$104,MATCH($T59&amp;$U59,'AEA2012 update'!$A$6:$A$104&amp;'AEA2012 update'!$B$6:$B$104,0),MATCH(AA$16,'AEA2012 update'!$S$4:$Z$4,0)))</f>
        <v>1714510.0392467668</v>
      </c>
      <c r="AB59" s="103">
        <f t="array" ref="AB59">IF(AB$18,INDEX('AEA2012 update'!$K$6:$R$104,MATCH($T59&amp;$R59,'AEA2012 update'!$A$6:$A$104&amp;'AEA2012 update'!$B$6:$B$104,0),MATCH(AB$16,'AEA2012 update'!$S$4:$Z$4,0)),INDEX('AEA2012 update'!$K$6:$R$104,MATCH($T59&amp;$U59,'AEA2012 update'!$A$6:$A$104&amp;'AEA2012 update'!$B$6:$B$104,0),MATCH(AB$16,'AEA2012 update'!$S$4:$Z$4,0)))</f>
        <v>1758785.822670358</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 update'!$AC$6:$AG$104,MATCH($T59&amp;$U59,'AEA2012 update'!$A$6:$A$104&amp;'AEA2012 update'!$B$6:$B$104,0),MATCH(AE$16,'AEA2012 update'!$AC$4:$AG$4,0)))</f>
        <v>15.308473924384414</v>
      </c>
      <c r="AF59" s="67">
        <f t="array" ref="AF59">IF($W$1,AE59*(1+INDEX(AF$1:AF$2,MATCH($O59,$AA$1:$AA$2,0)))^(AF$16-AE$16),INDEX('AEA2012 update'!$AC$6:$AG$104,MATCH($T59&amp;$U59,'AEA2012 update'!$A$6:$A$104&amp;'AEA2012 update'!$B$6:$B$104,0),MATCH(AF$16,'AEA2012 update'!$AC$4:$AG$4,0)))</f>
        <v>14.198323043971449</v>
      </c>
      <c r="AG59" s="67">
        <f t="array" ref="AG59">IF($W$1,AF59*(1+INDEX(AG$1:AG$2,MATCH($O59,$AA$1:$AA$2,0)))^(AG$16-AF$16),INDEX('AEA2012 update'!$AC$6:$AG$104,MATCH($T59&amp;$U59,'AEA2012 update'!$A$6:$A$104&amp;'AEA2012 update'!$B$6:$B$104,0),MATCH(AG$16,'AEA2012 update'!$AC$4:$AG$4,0)))</f>
        <v>12.840708856152222</v>
      </c>
      <c r="AH59" s="67">
        <f t="array" ref="AH59">IF($W$1,AG59*(1+INDEX(AH$1:AH$2,MATCH($O59,$AA$1:$AA$2,0)))^(AH$16-AG$16),INDEX('AEA2012 update'!$AC$6:$AG$104,MATCH($T59&amp;$U59,'AEA2012 update'!$A$6:$A$104&amp;'AEA2012 update'!$B$6:$B$104,0),MATCH(AH$16,'AEA2012 update'!$AC$4:$AG$4,0)))</f>
        <v>11.612906919910877</v>
      </c>
      <c r="AI59" s="67"/>
      <c r="AJ59" s="257">
        <f t="shared" si="8"/>
        <v>-4.9750416666666433E-3</v>
      </c>
      <c r="AK59" s="257">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25">
      <c r="A60" s="261" t="s">
        <v>616</v>
      </c>
      <c r="B60" s="261" t="s">
        <v>720</v>
      </c>
      <c r="D60" s="7">
        <v>10887</v>
      </c>
      <c r="K60" s="247" t="s">
        <v>721</v>
      </c>
      <c r="N60" s="61" t="s">
        <v>501</v>
      </c>
      <c r="O60" s="61" t="s">
        <v>613</v>
      </c>
      <c r="P60" s="61" t="s">
        <v>59</v>
      </c>
      <c r="Q60" s="61" t="str">
        <f t="shared" si="6"/>
        <v>BRT</v>
      </c>
      <c r="R60" s="61" t="s">
        <v>687</v>
      </c>
      <c r="S60" s="103">
        <v>11454545.4545455</v>
      </c>
      <c r="T60" s="256" t="s">
        <v>60</v>
      </c>
      <c r="U60" s="256" t="s">
        <v>692</v>
      </c>
      <c r="V60" s="103">
        <f t="array" ref="V60">IF(V$18,INDEX('AEA2012 update'!$K$6:$R$104,MATCH($T60&amp;$R60,'AEA2012 update'!$A$6:$A$104&amp;'AEA2012 update'!$B$6:$B$104,0),MATCH(V$16,'AEA2012 update'!$S$4:$Z$4,0)),INDEX('AEA2012 update'!$K$6:$R$104,MATCH($T60&amp;$U60,'AEA2012 update'!$A$6:$A$104&amp;'AEA2012 update'!$B$6:$B$104,0),MATCH(V$16,'AEA2012 update'!$S$4:$Z$4,0)))</f>
        <v>6089818.753990707</v>
      </c>
      <c r="W60" s="103">
        <f t="array" ref="W60">IF(W$18,INDEX('AEA2012 update'!$K$6:$R$104,MATCH($T60&amp;$R60,'AEA2012 update'!$A$6:$A$104&amp;'AEA2012 update'!$B$6:$B$104,0),MATCH(W$16,'AEA2012 update'!$S$4:$Z$4,0)),INDEX('AEA2012 update'!$K$6:$R$104,MATCH($T60&amp;$U60,'AEA2012 update'!$A$6:$A$104&amp;'AEA2012 update'!$B$6:$B$104,0),MATCH(W$16,'AEA2012 update'!$S$4:$Z$4,0)))</f>
        <v>4643418.4762355024</v>
      </c>
      <c r="X60" s="103">
        <f t="array" ref="X60">IF(X$18,INDEX('AEA2012 update'!$K$6:$R$104,MATCH($T60&amp;$R60,'AEA2012 update'!$A$6:$A$104&amp;'AEA2012 update'!$B$6:$B$104,0),MATCH(X$16,'AEA2012 update'!$S$4:$Z$4,0)),INDEX('AEA2012 update'!$K$6:$R$104,MATCH($T60&amp;$U60,'AEA2012 update'!$A$6:$A$104&amp;'AEA2012 update'!$B$6:$B$104,0),MATCH(X$16,'AEA2012 update'!$S$4:$Z$4,0)))</f>
        <v>4403362.6567749837</v>
      </c>
      <c r="Y60" s="103">
        <f t="array" ref="Y60">IF(Y$18,INDEX('AEA2012 update'!$K$6:$R$104,MATCH($T60&amp;$R60,'AEA2012 update'!$A$6:$A$104&amp;'AEA2012 update'!$B$6:$B$104,0),MATCH(Y$16,'AEA2012 update'!$S$4:$Z$4,0)),INDEX('AEA2012 update'!$K$6:$R$104,MATCH($T60&amp;$U60,'AEA2012 update'!$A$6:$A$104&amp;'AEA2012 update'!$B$6:$B$104,0),MATCH(Y$16,'AEA2012 update'!$S$4:$Z$4,0)))</f>
        <v>1675725.3359812722</v>
      </c>
      <c r="Z60" s="103">
        <f t="array" ref="Z60">IF(Z$18,INDEX('AEA2012 update'!$K$6:$R$104,MATCH($T60&amp;$R60,'AEA2012 update'!$A$6:$A$104&amp;'AEA2012 update'!$B$6:$B$104,0),MATCH(Z$16,'AEA2012 update'!$S$4:$Z$4,0)),INDEX('AEA2012 update'!$K$6:$R$104,MATCH($T60&amp;$U60,'AEA2012 update'!$A$6:$A$104&amp;'AEA2012 update'!$B$6:$B$104,0),MATCH(Z$16,'AEA2012 update'!$S$4:$Z$4,0)))</f>
        <v>1695117.6876140197</v>
      </c>
      <c r="AA60" s="103">
        <f t="array" ref="AA60">IF(AA$18,INDEX('AEA2012 update'!$K$6:$R$104,MATCH($T60&amp;$R60,'AEA2012 update'!$A$6:$A$104&amp;'AEA2012 update'!$B$6:$B$104,0),MATCH(AA$16,'AEA2012 update'!$S$4:$Z$4,0)),INDEX('AEA2012 update'!$K$6:$R$104,MATCH($T60&amp;$U60,'AEA2012 update'!$A$6:$A$104&amp;'AEA2012 update'!$B$6:$B$104,0),MATCH(AA$16,'AEA2012 update'!$S$4:$Z$4,0)))</f>
        <v>1714510.0392467668</v>
      </c>
      <c r="AB60" s="103">
        <f t="array" ref="AB60">IF(AB$18,INDEX('AEA2012 update'!$K$6:$R$104,MATCH($T60&amp;$R60,'AEA2012 update'!$A$6:$A$104&amp;'AEA2012 update'!$B$6:$B$104,0),MATCH(AB$16,'AEA2012 update'!$S$4:$Z$4,0)),INDEX('AEA2012 update'!$K$6:$R$104,MATCH($T60&amp;$U60,'AEA2012 update'!$A$6:$A$104&amp;'AEA2012 update'!$B$6:$B$104,0),MATCH(AB$16,'AEA2012 update'!$S$4:$Z$4,0)))</f>
        <v>1758785.822670358</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 update'!$AC$6:$AG$104,MATCH($T60&amp;$U60,'AEA2012 update'!$A$6:$A$104&amp;'AEA2012 update'!$B$6:$B$104,0),MATCH(AE$16,'AEA2012 update'!$AC$4:$AG$4,0)))</f>
        <v>4.7001706440703899</v>
      </c>
      <c r="AF60" s="67">
        <f t="array" ref="AF60">IF($W$1,AE60*(1+INDEX(AF$1:AF$2,MATCH($O60,$AA$1:$AA$2,0)))^(AF$16-AE$16),INDEX('AEA2012 update'!$AC$6:$AG$104,MATCH($T60&amp;$U60,'AEA2012 update'!$A$6:$A$104&amp;'AEA2012 update'!$B$6:$B$104,0),MATCH(AF$16,'AEA2012 update'!$AC$4:$AG$4,0)))</f>
        <v>4.3593203016796647</v>
      </c>
      <c r="AG60" s="67">
        <f t="array" ref="AG60">IF($W$1,AF60*(1+INDEX(AG$1:AG$2,MATCH($O60,$AA$1:$AA$2,0)))^(AG$16-AF$16),INDEX('AEA2012 update'!$AC$6:$AG$104,MATCH($T60&amp;$U60,'AEA2012 update'!$A$6:$A$104&amp;'AEA2012 update'!$B$6:$B$104,0),MATCH(AG$16,'AEA2012 update'!$AC$4:$AG$4,0)))</f>
        <v>3.9424911400610618</v>
      </c>
      <c r="AH60" s="67">
        <f t="array" ref="AH60">IF($W$1,AG60*(1+INDEX(AH$1:AH$2,MATCH($O60,$AA$1:$AA$2,0)))^(AH$16-AG$16),INDEX('AEA2012 update'!$AC$6:$AG$104,MATCH($T60&amp;$U60,'AEA2012 update'!$A$6:$A$104&amp;'AEA2012 update'!$B$6:$B$104,0),MATCH(AH$16,'AEA2012 update'!$AC$4:$AG$4,0)))</f>
        <v>3.5655183179522494</v>
      </c>
      <c r="AI60" s="67"/>
      <c r="AJ60" s="257">
        <f t="shared" si="8"/>
        <v>-4.9750416666666606E-3</v>
      </c>
      <c r="AK60" s="257">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25">
      <c r="N61" s="61" t="s">
        <v>504</v>
      </c>
      <c r="O61" s="61" t="s">
        <v>613</v>
      </c>
      <c r="P61" s="61" t="s">
        <v>59</v>
      </c>
      <c r="Q61" s="61" t="str">
        <f t="shared" si="6"/>
        <v>BRT</v>
      </c>
      <c r="R61" s="61" t="s">
        <v>687</v>
      </c>
      <c r="S61" s="65"/>
      <c r="T61" s="256" t="s">
        <v>60</v>
      </c>
      <c r="U61" s="256" t="s">
        <v>699</v>
      </c>
      <c r="V61" s="103">
        <f t="array" ref="V61">IF(V$18,INDEX('AEA2012 update'!$K$6:$R$104,MATCH($T61&amp;$R61,'AEA2012 update'!$A$6:$A$104&amp;'AEA2012 update'!$B$6:$B$104,0),MATCH(V$16,'AEA2012 update'!$S$4:$Z$4,0)),INDEX('AEA2012 update'!$K$6:$R$104,MATCH($T61&amp;$U61,'AEA2012 update'!$A$6:$A$104&amp;'AEA2012 update'!$B$6:$B$104,0),MATCH(V$16,'AEA2012 update'!$S$4:$Z$4,0)))</f>
        <v>3962049.5059577962</v>
      </c>
      <c r="W61" s="103">
        <f t="array" ref="W61">IF(W$18,INDEX('AEA2012 update'!$K$6:$R$104,MATCH($T61&amp;$R61,'AEA2012 update'!$A$6:$A$104&amp;'AEA2012 update'!$B$6:$B$104,0),MATCH(W$16,'AEA2012 update'!$S$4:$Z$4,0)),INDEX('AEA2012 update'!$K$6:$R$104,MATCH($T61&amp;$U61,'AEA2012 update'!$A$6:$A$104&amp;'AEA2012 update'!$B$6:$B$104,0),MATCH(W$16,'AEA2012 update'!$S$4:$Z$4,0)))</f>
        <v>2321709.2381177512</v>
      </c>
      <c r="X61" s="103">
        <f t="array" ref="X61">IF(X$18,INDEX('AEA2012 update'!$K$6:$R$104,MATCH($T61&amp;$R61,'AEA2012 update'!$A$6:$A$104&amp;'AEA2012 update'!$B$6:$B$104,0),MATCH(X$16,'AEA2012 update'!$S$4:$Z$4,0)),INDEX('AEA2012 update'!$K$6:$R$104,MATCH($T61&amp;$U61,'AEA2012 update'!$A$6:$A$104&amp;'AEA2012 update'!$B$6:$B$104,0),MATCH(X$16,'AEA2012 update'!$S$4:$Z$4,0)))</f>
        <v>2069503.9570616197</v>
      </c>
      <c r="Y61" s="103">
        <f t="array" ref="Y61">IF(Y$18,INDEX('AEA2012 update'!$K$6:$R$104,MATCH($T61&amp;$R61,'AEA2012 update'!$A$6:$A$104&amp;'AEA2012 update'!$B$6:$B$104,0),MATCH(Y$16,'AEA2012 update'!$S$4:$Z$4,0)),INDEX('AEA2012 update'!$K$6:$R$104,MATCH($T61&amp;$U61,'AEA2012 update'!$A$6:$A$104&amp;'AEA2012 update'!$B$6:$B$104,0),MATCH(Y$16,'AEA2012 update'!$S$4:$Z$4,0)))</f>
        <v>1675725.3359812722</v>
      </c>
      <c r="Z61" s="103">
        <f t="array" ref="Z61">IF(Z$18,INDEX('AEA2012 update'!$K$6:$R$104,MATCH($T61&amp;$R61,'AEA2012 update'!$A$6:$A$104&amp;'AEA2012 update'!$B$6:$B$104,0),MATCH(Z$16,'AEA2012 update'!$S$4:$Z$4,0)),INDEX('AEA2012 update'!$K$6:$R$104,MATCH($T61&amp;$U61,'AEA2012 update'!$A$6:$A$104&amp;'AEA2012 update'!$B$6:$B$104,0),MATCH(Z$16,'AEA2012 update'!$S$4:$Z$4,0)))</f>
        <v>1695117.6876140197</v>
      </c>
      <c r="AA61" s="103">
        <f t="array" ref="AA61">IF(AA$18,INDEX('AEA2012 update'!$K$6:$R$104,MATCH($T61&amp;$R61,'AEA2012 update'!$A$6:$A$104&amp;'AEA2012 update'!$B$6:$B$104,0),MATCH(AA$16,'AEA2012 update'!$S$4:$Z$4,0)),INDEX('AEA2012 update'!$K$6:$R$104,MATCH($T61&amp;$U61,'AEA2012 update'!$A$6:$A$104&amp;'AEA2012 update'!$B$6:$B$104,0),MATCH(AA$16,'AEA2012 update'!$S$4:$Z$4,0)))</f>
        <v>1714510.0392467668</v>
      </c>
      <c r="AB61" s="103">
        <f t="array" ref="AB61">IF(AB$18,INDEX('AEA2012 update'!$K$6:$R$104,MATCH($T61&amp;$R61,'AEA2012 update'!$A$6:$A$104&amp;'AEA2012 update'!$B$6:$B$104,0),MATCH(AB$16,'AEA2012 update'!$S$4:$Z$4,0)),INDEX('AEA2012 update'!$K$6:$R$104,MATCH($T61&amp;$U61,'AEA2012 update'!$A$6:$A$104&amp;'AEA2012 update'!$B$6:$B$104,0),MATCH(AB$16,'AEA2012 update'!$S$4:$Z$4,0)))</f>
        <v>1758785.822670358</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 update'!$AC$6:$AG$104,MATCH($T61&amp;$U61,'AEA2012 update'!$A$6:$A$104&amp;'AEA2012 update'!$B$6:$B$104,0),MATCH(AE$16,'AEA2012 update'!$AC$4:$AG$4,0)))</f>
        <v>7.2564038013718299</v>
      </c>
      <c r="AF61" s="67">
        <f t="array" ref="AF61">IF($W$1,AE61*(1+INDEX(AF$1:AF$2,MATCH($O61,$AA$1:$AA$2,0)))^(AF$16-AE$16),INDEX('AEA2012 update'!$AC$6:$AG$104,MATCH($T61&amp;$U61,'AEA2012 update'!$A$6:$A$104&amp;'AEA2012 update'!$B$6:$B$104,0),MATCH(AF$16,'AEA2012 update'!$AC$4:$AG$4,0)))</f>
        <v>6.730178711365097</v>
      </c>
      <c r="AG61" s="67">
        <f t="array" ref="AG61">IF($W$1,AF61*(1+INDEX(AG$1:AG$2,MATCH($O61,$AA$1:$AA$2,0)))^(AG$16-AF$16),INDEX('AEA2012 update'!$AC$6:$AG$104,MATCH($T61&amp;$U61,'AEA2012 update'!$A$6:$A$104&amp;'AEA2012 update'!$B$6:$B$104,0),MATCH(AG$16,'AEA2012 update'!$AC$4:$AG$4,0)))</f>
        <v>6.0866529881644471</v>
      </c>
      <c r="AH61" s="67">
        <f t="array" ref="AH61">IF($W$1,AG61*(1+INDEX(AH$1:AH$2,MATCH($O61,$AA$1:$AA$2,0)))^(AH$16-AG$16),INDEX('AEA2012 update'!$AC$6:$AG$104,MATCH($T61&amp;$U61,'AEA2012 update'!$A$6:$A$104&amp;'AEA2012 update'!$B$6:$B$104,0),MATCH(AH$16,'AEA2012 update'!$AC$4:$AG$4,0)))</f>
        <v>5.5046598592947023</v>
      </c>
      <c r="AI61" s="67"/>
      <c r="AJ61" s="257">
        <f t="shared" si="8"/>
        <v>-4.9750416666666771E-3</v>
      </c>
      <c r="AK61" s="257">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25">
      <c r="N62" s="61" t="s">
        <v>509</v>
      </c>
      <c r="O62" s="61" t="s">
        <v>613</v>
      </c>
      <c r="P62" s="61" t="s">
        <v>59</v>
      </c>
      <c r="Q62" s="61" t="str">
        <f t="shared" si="6"/>
        <v>BRT</v>
      </c>
      <c r="R62" s="61" t="s">
        <v>687</v>
      </c>
      <c r="S62" s="65"/>
      <c r="T62" s="256" t="s">
        <v>60</v>
      </c>
      <c r="U62" s="256" t="s">
        <v>700</v>
      </c>
      <c r="V62" s="103">
        <f t="array" ref="V62">IF(V$18,INDEX('AEA2012 update'!$K$6:$R$104,MATCH($T62&amp;$R62,'AEA2012 update'!$A$6:$A$104&amp;'AEA2012 update'!$B$6:$B$104,0),MATCH(V$16,'AEA2012 update'!$S$4:$Z$4,0)),INDEX('AEA2012 update'!$K$6:$R$104,MATCH($T62&amp;$U62,'AEA2012 update'!$A$6:$A$104&amp;'AEA2012 update'!$B$6:$B$104,0),MATCH(V$16,'AEA2012 update'!$S$4:$Z$4,0)))</f>
        <v>1662957.7926762076</v>
      </c>
      <c r="W62" s="103">
        <f t="array" ref="W62">IF(W$18,INDEX('AEA2012 update'!$K$6:$R$104,MATCH($T62&amp;$R62,'AEA2012 update'!$A$6:$A$104&amp;'AEA2012 update'!$B$6:$B$104,0),MATCH(W$16,'AEA2012 update'!$S$4:$Z$4,0)),INDEX('AEA2012 update'!$K$6:$R$104,MATCH($T62&amp;$U62,'AEA2012 update'!$A$6:$A$104&amp;'AEA2012 update'!$B$6:$B$104,0),MATCH(W$16,'AEA2012 update'!$S$4:$Z$4,0)))</f>
        <v>1712796.8806812237</v>
      </c>
      <c r="X62" s="103">
        <f t="array" ref="X62">IF(X$18,INDEX('AEA2012 update'!$K$6:$R$104,MATCH($T62&amp;$R62,'AEA2012 update'!$A$6:$A$104&amp;'AEA2012 update'!$B$6:$B$104,0),MATCH(X$16,'AEA2012 update'!$S$4:$Z$4,0)),INDEX('AEA2012 update'!$K$6:$R$104,MATCH($T62&amp;$U62,'AEA2012 update'!$A$6:$A$104&amp;'AEA2012 update'!$B$6:$B$104,0),MATCH(X$16,'AEA2012 update'!$S$4:$Z$4,0)))</f>
        <v>1730793.9448361397</v>
      </c>
      <c r="Y62" s="103">
        <f t="array" ref="Y62">IF(Y$18,INDEX('AEA2012 update'!$K$6:$R$104,MATCH($T62&amp;$R62,'AEA2012 update'!$A$6:$A$104&amp;'AEA2012 update'!$B$6:$B$104,0),MATCH(Y$16,'AEA2012 update'!$S$4:$Z$4,0)),INDEX('AEA2012 update'!$K$6:$R$104,MATCH($T62&amp;$U62,'AEA2012 update'!$A$6:$A$104&amp;'AEA2012 update'!$B$6:$B$104,0),MATCH(Y$16,'AEA2012 update'!$S$4:$Z$4,0)))</f>
        <v>1675725.3359812722</v>
      </c>
      <c r="Z62" s="103">
        <f t="array" ref="Z62">IF(Z$18,INDEX('AEA2012 update'!$K$6:$R$104,MATCH($T62&amp;$R62,'AEA2012 update'!$A$6:$A$104&amp;'AEA2012 update'!$B$6:$B$104,0),MATCH(Z$16,'AEA2012 update'!$S$4:$Z$4,0)),INDEX('AEA2012 update'!$K$6:$R$104,MATCH($T62&amp;$U62,'AEA2012 update'!$A$6:$A$104&amp;'AEA2012 update'!$B$6:$B$104,0),MATCH(Z$16,'AEA2012 update'!$S$4:$Z$4,0)))</f>
        <v>1695117.6876140197</v>
      </c>
      <c r="AA62" s="103">
        <f t="array" ref="AA62">IF(AA$18,INDEX('AEA2012 update'!$K$6:$R$104,MATCH($T62&amp;$R62,'AEA2012 update'!$A$6:$A$104&amp;'AEA2012 update'!$B$6:$B$104,0),MATCH(AA$16,'AEA2012 update'!$S$4:$Z$4,0)),INDEX('AEA2012 update'!$K$6:$R$104,MATCH($T62&amp;$U62,'AEA2012 update'!$A$6:$A$104&amp;'AEA2012 update'!$B$6:$B$104,0),MATCH(AA$16,'AEA2012 update'!$S$4:$Z$4,0)))</f>
        <v>1714510.0392467668</v>
      </c>
      <c r="AB62" s="103">
        <f t="array" ref="AB62">IF(AB$18,INDEX('AEA2012 update'!$K$6:$R$104,MATCH($T62&amp;$R62,'AEA2012 update'!$A$6:$A$104&amp;'AEA2012 update'!$B$6:$B$104,0),MATCH(AB$16,'AEA2012 update'!$S$4:$Z$4,0)),INDEX('AEA2012 update'!$K$6:$R$104,MATCH($T62&amp;$U62,'AEA2012 update'!$A$6:$A$104&amp;'AEA2012 update'!$B$6:$B$104,0),MATCH(AB$16,'AEA2012 update'!$S$4:$Z$4,0)))</f>
        <v>1758785.822670358</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 update'!$AC$6:$AG$104,MATCH($T62&amp;$U62,'AEA2012 update'!$A$6:$A$104&amp;'AEA2012 update'!$B$6:$B$104,0),MATCH(AE$16,'AEA2012 update'!$AC$4:$AG$4,0)))</f>
        <v>17.604745013042074</v>
      </c>
      <c r="AF62" s="67">
        <f t="array" ref="AF62">IF($W$1,AE62*(1+INDEX(AF$1:AF$2,MATCH($O62,$AA$1:$AA$2,0)))^(AF$16-AE$16),INDEX('AEA2012 update'!$AC$6:$AG$104,MATCH($T62&amp;$U62,'AEA2012 update'!$A$6:$A$104&amp;'AEA2012 update'!$B$6:$B$104,0),MATCH(AF$16,'AEA2012 update'!$AC$4:$AG$4,0)))</f>
        <v>16.328071500567166</v>
      </c>
      <c r="AG62" s="67">
        <f t="array" ref="AG62">IF($W$1,AF62*(1+INDEX(AG$1:AG$2,MATCH($O62,$AA$1:$AA$2,0)))^(AG$16-AF$16),INDEX('AEA2012 update'!$AC$6:$AG$104,MATCH($T62&amp;$U62,'AEA2012 update'!$A$6:$A$104&amp;'AEA2012 update'!$B$6:$B$104,0),MATCH(AG$16,'AEA2012 update'!$AC$4:$AG$4,0)))</f>
        <v>14.766815184575055</v>
      </c>
      <c r="AH62" s="67">
        <f t="array" ref="AH62">IF($W$1,AG62*(1+INDEX(AH$1:AH$2,MATCH($O62,$AA$1:$AA$2,0)))^(AH$16-AG$16),INDEX('AEA2012 update'!$AC$6:$AG$104,MATCH($T62&amp;$U62,'AEA2012 update'!$A$6:$A$104&amp;'AEA2012 update'!$B$6:$B$104,0),MATCH(AH$16,'AEA2012 update'!$AC$4:$AG$4,0)))</f>
        <v>13.354842957897509</v>
      </c>
      <c r="AI62" s="67"/>
      <c r="AJ62" s="257">
        <f t="shared" si="8"/>
        <v>-4.9750416666666927E-3</v>
      </c>
      <c r="AK62" s="257">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62">
        <v>2020</v>
      </c>
      <c r="BA62" s="262"/>
    </row>
    <row r="63" spans="1:53" ht="15.75" thickBot="1" x14ac:dyDescent="0.3">
      <c r="A63" s="263" t="s">
        <v>722</v>
      </c>
      <c r="C63" s="61">
        <v>2010</v>
      </c>
      <c r="Q63" s="61" t="str">
        <f t="shared" si="6"/>
        <v/>
      </c>
      <c r="S63" s="65"/>
      <c r="T63" s="256"/>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11"/>
        <v/>
      </c>
      <c r="AD63" s="67" t="e">
        <f>1/INDEX(Analytica!$AA$17:$AE$48,MATCH($AC63,Analytica!$A$17:$A$48,0),MATCH(AD$16,Analytica!$AA$16:$AE$16,0))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57" t="e">
        <f t="shared" si="8"/>
        <v>#N/A</v>
      </c>
      <c r="AK63" s="257"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62" t="s">
        <v>723</v>
      </c>
      <c r="BA63" s="262"/>
    </row>
    <row r="64" spans="1:53" ht="15.75" thickBot="1" x14ac:dyDescent="0.3">
      <c r="A64" s="264" t="s">
        <v>247</v>
      </c>
      <c r="B64" s="265">
        <v>852698</v>
      </c>
      <c r="C64" s="266">
        <f t="shared" ref="C64:C75" si="13">B64/$B$76</f>
        <v>0.33180253208690158</v>
      </c>
      <c r="N64" s="61" t="s">
        <v>573</v>
      </c>
      <c r="O64" s="61" t="s">
        <v>653</v>
      </c>
      <c r="P64" s="61" t="s">
        <v>63</v>
      </c>
      <c r="Q64" s="61" t="str">
        <f t="shared" si="6"/>
        <v>LCV</v>
      </c>
      <c r="R64" s="61" t="s">
        <v>680</v>
      </c>
      <c r="S64" s="65"/>
      <c r="T64" s="256" t="s">
        <v>701</v>
      </c>
      <c r="U64" s="256" t="s">
        <v>680</v>
      </c>
      <c r="V64" s="103">
        <f t="array" ref="V64">IF(V$18,INDEX('AEA2012 update'!$K$6:$R$104,MATCH($T64&amp;$R64,'AEA2012 update'!$A$6:$A$104&amp;'AEA2012 update'!$B$6:$B$104,0),MATCH(V$16,'AEA2012 update'!$S$4:$Z$4,0)),INDEX('AEA2012 update'!$K$6:$R$104,MATCH($T64&amp;$U64,'AEA2012 update'!$A$6:$A$104&amp;'AEA2012 update'!$B$6:$B$104,0),MATCH(V$16,'AEA2012 update'!$S$4:$Z$4,0)))</f>
        <v>322554.53757929691</v>
      </c>
      <c r="W64" s="103">
        <f t="array" ref="W64">IF(W$18,INDEX('AEA2012 update'!$K$6:$R$104,MATCH($T64&amp;$R64,'AEA2012 update'!$A$6:$A$104&amp;'AEA2012 update'!$B$6:$B$104,0),MATCH(W$16,'AEA2012 update'!$S$4:$Z$4,0)),INDEX('AEA2012 update'!$K$6:$R$104,MATCH($T64&amp;$U64,'AEA2012 update'!$A$6:$A$104&amp;'AEA2012 update'!$B$6:$B$104,0),MATCH(W$16,'AEA2012 update'!$S$4:$Z$4,0)))</f>
        <v>350637.87759734597</v>
      </c>
      <c r="X64" s="103">
        <f t="array" ref="X64">IF(X$18,INDEX('AEA2012 update'!$K$6:$R$104,MATCH($T64&amp;$R64,'AEA2012 update'!$A$6:$A$104&amp;'AEA2012 update'!$B$6:$B$104,0),MATCH(X$16,'AEA2012 update'!$S$4:$Z$4,0)),INDEX('AEA2012 update'!$K$6:$R$104,MATCH($T64&amp;$U64,'AEA2012 update'!$A$6:$A$104&amp;'AEA2012 update'!$B$6:$B$104,0),MATCH(X$16,'AEA2012 update'!$S$4:$Z$4,0)))</f>
        <v>357099.62238446943</v>
      </c>
      <c r="Y64" s="103">
        <f t="array" ref="Y64">IF(Y$18,INDEX('AEA2012 update'!$K$6:$R$104,MATCH($T64&amp;$R64,'AEA2012 update'!$A$6:$A$104&amp;'AEA2012 update'!$B$6:$B$104,0),MATCH(Y$16,'AEA2012 update'!$S$4:$Z$4,0)),INDEX('AEA2012 update'!$K$6:$R$104,MATCH($T64&amp;$U64,'AEA2012 update'!$A$6:$A$104&amp;'AEA2012 update'!$B$6:$B$104,0),MATCH(Y$16,'AEA2012 update'!$S$4:$Z$4,0)))</f>
        <v>363561.36717159278</v>
      </c>
      <c r="Z64" s="103">
        <f t="array" ref="Z64">IF(Z$18,INDEX('AEA2012 update'!$K$6:$R$104,MATCH($T64&amp;$R64,'AEA2012 update'!$A$6:$A$104&amp;'AEA2012 update'!$B$6:$B$104,0),MATCH(Z$16,'AEA2012 update'!$S$4:$Z$4,0)),INDEX('AEA2012 update'!$K$6:$R$104,MATCH($T64&amp;$U64,'AEA2012 update'!$A$6:$A$104&amp;'AEA2012 update'!$B$6:$B$104,0),MATCH(Z$16,'AEA2012 update'!$S$4:$Z$4,0)))</f>
        <v>371500.85823323019</v>
      </c>
      <c r="AA64" s="103">
        <f t="array" ref="AA64">IF(AA$18,INDEX('AEA2012 update'!$K$6:$R$104,MATCH($T64&amp;$R64,'AEA2012 update'!$A$6:$A$104&amp;'AEA2012 update'!$B$6:$B$104,0),MATCH(AA$16,'AEA2012 update'!$S$4:$Z$4,0)),INDEX('AEA2012 update'!$K$6:$R$104,MATCH($T64&amp;$U64,'AEA2012 update'!$A$6:$A$104&amp;'AEA2012 update'!$B$6:$B$104,0),MATCH(AA$16,'AEA2012 update'!$S$4:$Z$4,0)))</f>
        <v>379440.3492948676</v>
      </c>
      <c r="AB64" s="103">
        <f t="array" ref="AB64">IF(AB$18,INDEX('AEA2012 update'!$K$6:$R$104,MATCH($T64&amp;$R64,'AEA2012 update'!$A$6:$A$104&amp;'AEA2012 update'!$B$6:$B$104,0),MATCH(AB$16,'AEA2012 update'!$S$4:$Z$4,0)),INDEX('AEA2012 update'!$K$6:$R$104,MATCH($T64&amp;$U64,'AEA2012 update'!$A$6:$A$104&amp;'AEA2012 update'!$B$6:$B$104,0),MATCH(AB$16,'AEA2012 update'!$S$4:$Z$4,0)))</f>
        <v>387396.22422821133</v>
      </c>
      <c r="AC64" s="103" t="str">
        <f t="shared" si="11"/>
        <v>LCVOGS</v>
      </c>
      <c r="AD64" s="67">
        <f>1/INDEX(Analytica!$AA$17:$AE$48,MATCH($AC64,Analytica!$A$17:$A$48,0),MATCH(AD$16,Analytica!$AA$16:$AE$16,0))</f>
        <v>4.8483852312768576</v>
      </c>
      <c r="AE64" s="67">
        <f t="array" ref="AE64">IF($W$1,AD64*(1+INDEX(AE$1:AE$2,MATCH($O64,$AA$1:$AA$2,0)))^(AE$16-AD$16),INDEX('AEA2012 update'!$AC$6:$AG$104,MATCH($T64&amp;$U64,'AEA2012 update'!$A$6:$A$104&amp;'AEA2012 update'!$B$6:$B$104,0),MATCH(AE$16,'AEA2012 update'!$AC$4:$AG$4,0)))</f>
        <v>4.8338546158903357</v>
      </c>
      <c r="AF64" s="67">
        <f t="array" ref="AF64">IF($W$1,AE64*(1+INDEX(AF$1:AF$2,MATCH($O64,$AA$1:$AA$2,0)))^(AF$16-AE$16),INDEX('AEA2012 update'!$AC$6:$AG$104,MATCH($T64&amp;$U64,'AEA2012 update'!$A$6:$A$104&amp;'AEA2012 update'!$B$6:$B$104,0),MATCH(AF$16,'AEA2012 update'!$AC$4:$AG$4,0)))</f>
        <v>4.5744771114907996</v>
      </c>
      <c r="AG64" s="67">
        <f t="array" ref="AG64">IF($W$1,AF64*(1+INDEX(AG$1:AG$2,MATCH($O64,$AA$1:$AA$2,0)))^(AG$16-AF$16),INDEX('AEA2012 update'!$AC$6:$AG$104,MATCH($T64&amp;$U64,'AEA2012 update'!$A$6:$A$104&amp;'AEA2012 update'!$B$6:$B$104,0),MATCH(AG$16,'AEA2012 update'!$AC$4:$AG$4,0)))</f>
        <v>4.1370751021703311</v>
      </c>
      <c r="AH64" s="67">
        <f t="array" ref="AH64">IF($W$1,AG64*(1+INDEX(AH$1:AH$2,MATCH($O64,$AA$1:$AA$2,0)))^(AH$16-AG$16),INDEX('AEA2012 update'!$AC$6:$AG$104,MATCH($T64&amp;$U64,'AEA2012 update'!$A$6:$A$104&amp;'AEA2012 update'!$B$6:$B$104,0),MATCH(AH$16,'AEA2012 update'!$AC$4:$AG$4,0)))</f>
        <v>3.741496565368065</v>
      </c>
      <c r="AI64" s="67"/>
      <c r="AJ64" s="257">
        <f t="shared" si="8"/>
        <v>-9.9900033333332784E-4</v>
      </c>
      <c r="AK64" s="257">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62">
        <f>Analytica!AB34</f>
        <v>0.206726097108171</v>
      </c>
      <c r="BA64" s="267" t="e" cm="1">
        <f t="array" aca="1" ref="BA64" ca="1">(1/AZ64)/INDIRECT("cv."&amp;LEFT($U64,6)&amp;".lhv.MJL") * 100</f>
        <v>#REF!</v>
      </c>
    </row>
    <row r="65" spans="1:53" ht="15.75" thickBot="1" x14ac:dyDescent="0.3">
      <c r="A65" s="268" t="s">
        <v>246</v>
      </c>
      <c r="B65" s="269">
        <v>1394106</v>
      </c>
      <c r="C65" s="266">
        <f t="shared" si="13"/>
        <v>0.54247564882003008</v>
      </c>
      <c r="N65" s="61" t="s">
        <v>519</v>
      </c>
      <c r="O65" s="61" t="s">
        <v>653</v>
      </c>
      <c r="P65" s="61" t="s">
        <v>63</v>
      </c>
      <c r="Q65" s="61" t="str">
        <f t="shared" si="6"/>
        <v>LCV</v>
      </c>
      <c r="R65" s="61" t="s">
        <v>680</v>
      </c>
      <c r="S65" s="65"/>
      <c r="T65" s="256" t="s">
        <v>701</v>
      </c>
      <c r="U65" s="256" t="s">
        <v>688</v>
      </c>
      <c r="V65" s="103">
        <f t="array" ref="V65">IF(V$18,INDEX('AEA2012 update'!$K$6:$R$104,MATCH($T65&amp;$R65,'AEA2012 update'!$A$6:$A$104&amp;'AEA2012 update'!$B$6:$B$104,0),MATCH(V$16,'AEA2012 update'!$S$4:$Z$4,0)),INDEX('AEA2012 update'!$K$6:$R$104,MATCH($T65&amp;$U65,'AEA2012 update'!$A$6:$A$104&amp;'AEA2012 update'!$B$6:$B$104,0),MATCH(V$16,'AEA2012 update'!$S$4:$Z$4,0)))</f>
        <v>462611.03749439324</v>
      </c>
      <c r="W65" s="103">
        <f t="array" ref="W65">IF(W$18,INDEX('AEA2012 update'!$K$6:$R$104,MATCH($T65&amp;$R65,'AEA2012 update'!$A$6:$A$104&amp;'AEA2012 update'!$B$6:$B$104,0),MATCH(W$16,'AEA2012 update'!$S$4:$Z$4,0)),INDEX('AEA2012 update'!$K$6:$R$104,MATCH($T65&amp;$U65,'AEA2012 update'!$A$6:$A$104&amp;'AEA2012 update'!$B$6:$B$104,0),MATCH(W$16,'AEA2012 update'!$S$4:$Z$4,0)))</f>
        <v>450697.95583180117</v>
      </c>
      <c r="X65" s="103">
        <f t="array" ref="X65">IF(X$18,INDEX('AEA2012 update'!$K$6:$R$104,MATCH($T65&amp;$R65,'AEA2012 update'!$A$6:$A$104&amp;'AEA2012 update'!$B$6:$B$104,0),MATCH(X$16,'AEA2012 update'!$S$4:$Z$4,0)),INDEX('AEA2012 update'!$K$6:$R$104,MATCH($T65&amp;$U65,'AEA2012 update'!$A$6:$A$104&amp;'AEA2012 update'!$B$6:$B$104,0),MATCH(X$16,'AEA2012 update'!$S$4:$Z$4,0)))</f>
        <v>447834.90632433031</v>
      </c>
      <c r="Y65" s="103">
        <f t="array" ref="Y65">IF(Y$18,INDEX('AEA2012 update'!$K$6:$R$104,MATCH($T65&amp;$R65,'AEA2012 update'!$A$6:$A$104&amp;'AEA2012 update'!$B$6:$B$104,0),MATCH(Y$16,'AEA2012 update'!$S$4:$Z$4,0)),INDEX('AEA2012 update'!$K$6:$R$104,MATCH($T65&amp;$U65,'AEA2012 update'!$A$6:$A$104&amp;'AEA2012 update'!$B$6:$B$104,0),MATCH(Y$16,'AEA2012 update'!$S$4:$Z$4,0)))</f>
        <v>363561.36717159278</v>
      </c>
      <c r="Z65" s="103">
        <f t="array" ref="Z65">IF(Z$18,INDEX('AEA2012 update'!$K$6:$R$104,MATCH($T65&amp;$R65,'AEA2012 update'!$A$6:$A$104&amp;'AEA2012 update'!$B$6:$B$104,0),MATCH(Z$16,'AEA2012 update'!$S$4:$Z$4,0)),INDEX('AEA2012 update'!$K$6:$R$104,MATCH($T65&amp;$U65,'AEA2012 update'!$A$6:$A$104&amp;'AEA2012 update'!$B$6:$B$104,0),MATCH(Z$16,'AEA2012 update'!$S$4:$Z$4,0)))</f>
        <v>371500.85823323019</v>
      </c>
      <c r="AA65" s="103">
        <f t="array" ref="AA65">IF(AA$18,INDEX('AEA2012 update'!$K$6:$R$104,MATCH($T65&amp;$R65,'AEA2012 update'!$A$6:$A$104&amp;'AEA2012 update'!$B$6:$B$104,0),MATCH(AA$16,'AEA2012 update'!$S$4:$Z$4,0)),INDEX('AEA2012 update'!$K$6:$R$104,MATCH($T65&amp;$U65,'AEA2012 update'!$A$6:$A$104&amp;'AEA2012 update'!$B$6:$B$104,0),MATCH(AA$16,'AEA2012 update'!$S$4:$Z$4,0)))</f>
        <v>379440.3492948676</v>
      </c>
      <c r="AB65" s="103">
        <f t="array" ref="AB65">IF(AB$18,INDEX('AEA2012 update'!$K$6:$R$104,MATCH($T65&amp;$R65,'AEA2012 update'!$A$6:$A$104&amp;'AEA2012 update'!$B$6:$B$104,0),MATCH(AB$16,'AEA2012 update'!$S$4:$Z$4,0)),INDEX('AEA2012 update'!$K$6:$R$104,MATCH($T65&amp;$U65,'AEA2012 update'!$A$6:$A$104&amp;'AEA2012 update'!$B$6:$B$104,0),MATCH(AB$16,'AEA2012 update'!$S$4:$Z$4,0)))</f>
        <v>387396.22422821133</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 update'!$AC$6:$AG$104,MATCH($T65&amp;$U65,'AEA2012 update'!$A$6:$A$104&amp;'AEA2012 update'!$B$6:$B$104,0),MATCH(AE$16,'AEA2012 update'!$AC$4:$AG$4,0)))</f>
        <v>3.6935257512572912</v>
      </c>
      <c r="AF65" s="67">
        <f t="array" ref="AF65">IF($W$1,AE65*(1+INDEX(AF$1:AF$2,MATCH($O65,$AA$1:$AA$2,0)))^(AF$16-AE$16),INDEX('AEA2012 update'!$AC$6:$AG$104,MATCH($T65&amp;$U65,'AEA2012 update'!$A$6:$A$104&amp;'AEA2012 update'!$B$6:$B$104,0),MATCH(AF$16,'AEA2012 update'!$AC$4:$AG$4,0)))</f>
        <v>3.4953366107218584</v>
      </c>
      <c r="AG65" s="67">
        <f t="array" ref="AG65">IF($W$1,AF65*(1+INDEX(AG$1:AG$2,MATCH($O65,$AA$1:$AA$2,0)))^(AG$16-AF$16),INDEX('AEA2012 update'!$AC$6:$AG$104,MATCH($T65&amp;$U65,'AEA2012 update'!$A$6:$A$104&amp;'AEA2012 update'!$B$6:$B$104,0),MATCH(AG$16,'AEA2012 update'!$AC$4:$AG$4,0)))</f>
        <v>3.1611197768588757</v>
      </c>
      <c r="AH65" s="67">
        <f t="array" ref="AH65">IF($W$1,AG65*(1+INDEX(AH$1:AH$2,MATCH($O65,$AA$1:$AA$2,0)))^(AH$16-AG$16),INDEX('AEA2012 update'!$AC$6:$AG$104,MATCH($T65&amp;$U65,'AEA2012 update'!$A$6:$A$104&amp;'AEA2012 update'!$B$6:$B$104,0),MATCH(AH$16,'AEA2012 update'!$AC$4:$AG$4,0)))</f>
        <v>2.8588600631469983</v>
      </c>
      <c r="AI65" s="67"/>
      <c r="AJ65" s="257">
        <f t="shared" si="8"/>
        <v>-9.9900033333334432E-4</v>
      </c>
      <c r="AK65" s="257">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62">
        <f>Analytica!AB33</f>
        <v>0.236416891901715</v>
      </c>
      <c r="BA65" s="267" t="e" cm="1">
        <f t="array" aca="1" ref="BA65" ca="1">(1/AZ65)/INDIRECT("cv."&amp;LEFT($U65,6)&amp;".lhv.MJL") * 100</f>
        <v>#REF!</v>
      </c>
    </row>
    <row r="66" spans="1:53" ht="15.75" thickBot="1" x14ac:dyDescent="0.3">
      <c r="A66" s="268" t="s">
        <v>265</v>
      </c>
      <c r="B66" s="269">
        <v>6061</v>
      </c>
      <c r="C66" s="266">
        <f t="shared" si="13"/>
        <v>2.3584611984298195E-3</v>
      </c>
      <c r="N66" s="61" t="s">
        <v>511</v>
      </c>
      <c r="O66" s="61" t="s">
        <v>653</v>
      </c>
      <c r="P66" s="61" t="s">
        <v>63</v>
      </c>
      <c r="Q66" s="61" t="str">
        <f t="shared" si="6"/>
        <v>LCV</v>
      </c>
      <c r="R66" s="61" t="s">
        <v>680</v>
      </c>
      <c r="S66" s="65"/>
      <c r="T66" s="256" t="s">
        <v>701</v>
      </c>
      <c r="U66" s="256" t="s">
        <v>687</v>
      </c>
      <c r="V66" s="103">
        <f t="array" ref="V66">IF(V$18,INDEX('AEA2012 update'!$K$6:$R$104,MATCH($T66&amp;$R66,'AEA2012 update'!$A$6:$A$104&amp;'AEA2012 update'!$B$6:$B$104,0),MATCH(V$16,'AEA2012 update'!$S$4:$Z$4,0)),INDEX('AEA2012 update'!$K$6:$R$104,MATCH($T66&amp;$U66,'AEA2012 update'!$A$6:$A$104&amp;'AEA2012 update'!$B$6:$B$104,0),MATCH(V$16,'AEA2012 update'!$S$4:$Z$4,0)))</f>
        <v>449299.91329948109</v>
      </c>
      <c r="W66" s="103">
        <f t="array" ref="W66">IF(W$18,INDEX('AEA2012 update'!$K$6:$R$104,MATCH($T66&amp;$R66,'AEA2012 update'!$A$6:$A$104&amp;'AEA2012 update'!$B$6:$B$104,0),MATCH(W$16,'AEA2012 update'!$S$4:$Z$4,0)),INDEX('AEA2012 update'!$K$6:$R$104,MATCH($T66&amp;$U66,'AEA2012 update'!$A$6:$A$104&amp;'AEA2012 update'!$B$6:$B$104,0),MATCH(W$16,'AEA2012 update'!$S$4:$Z$4,0)))</f>
        <v>496024.31464990409</v>
      </c>
      <c r="X66" s="103">
        <f t="array" ref="X66">IF(X$18,INDEX('AEA2012 update'!$K$6:$R$104,MATCH($T66&amp;$R66,'AEA2012 update'!$A$6:$A$104&amp;'AEA2012 update'!$B$6:$B$104,0),MATCH(X$16,'AEA2012 update'!$S$4:$Z$4,0)),INDEX('AEA2012 update'!$K$6:$R$104,MATCH($T66&amp;$U66,'AEA2012 update'!$A$6:$A$104&amp;'AEA2012 update'!$B$6:$B$104,0),MATCH(X$16,'AEA2012 update'!$S$4:$Z$4,0)))</f>
        <v>504862.6389695133</v>
      </c>
      <c r="Y66" s="103">
        <f t="array" ref="Y66">IF(Y$18,INDEX('AEA2012 update'!$K$6:$R$104,MATCH($T66&amp;$R66,'AEA2012 update'!$A$6:$A$104&amp;'AEA2012 update'!$B$6:$B$104,0),MATCH(Y$16,'AEA2012 update'!$S$4:$Z$4,0)),INDEX('AEA2012 update'!$K$6:$R$104,MATCH($T66&amp;$U66,'AEA2012 update'!$A$6:$A$104&amp;'AEA2012 update'!$B$6:$B$104,0),MATCH(Y$16,'AEA2012 update'!$S$4:$Z$4,0)))</f>
        <v>363561.36717159278</v>
      </c>
      <c r="Z66" s="103">
        <f t="array" ref="Z66">IF(Z$18,INDEX('AEA2012 update'!$K$6:$R$104,MATCH($T66&amp;$R66,'AEA2012 update'!$A$6:$A$104&amp;'AEA2012 update'!$B$6:$B$104,0),MATCH(Z$16,'AEA2012 update'!$S$4:$Z$4,0)),INDEX('AEA2012 update'!$K$6:$R$104,MATCH($T66&amp;$U66,'AEA2012 update'!$A$6:$A$104&amp;'AEA2012 update'!$B$6:$B$104,0),MATCH(Z$16,'AEA2012 update'!$S$4:$Z$4,0)))</f>
        <v>371500.85823323019</v>
      </c>
      <c r="AA66" s="103">
        <f t="array" ref="AA66">IF(AA$18,INDEX('AEA2012 update'!$K$6:$R$104,MATCH($T66&amp;$R66,'AEA2012 update'!$A$6:$A$104&amp;'AEA2012 update'!$B$6:$B$104,0),MATCH(AA$16,'AEA2012 update'!$S$4:$Z$4,0)),INDEX('AEA2012 update'!$K$6:$R$104,MATCH($T66&amp;$U66,'AEA2012 update'!$A$6:$A$104&amp;'AEA2012 update'!$B$6:$B$104,0),MATCH(AA$16,'AEA2012 update'!$S$4:$Z$4,0)))</f>
        <v>379440.3492948676</v>
      </c>
      <c r="AB66" s="103">
        <f t="array" ref="AB66">IF(AB$18,INDEX('AEA2012 update'!$K$6:$R$104,MATCH($T66&amp;$R66,'AEA2012 update'!$A$6:$A$104&amp;'AEA2012 update'!$B$6:$B$104,0),MATCH(AB$16,'AEA2012 update'!$S$4:$Z$4,0)),INDEX('AEA2012 update'!$K$6:$R$104,MATCH($T66&amp;$U66,'AEA2012 update'!$A$6:$A$104&amp;'AEA2012 update'!$B$6:$B$104,0),MATCH(AB$16,'AEA2012 update'!$S$4:$Z$4,0)))</f>
        <v>387396.22422821133</v>
      </c>
      <c r="AC66" s="103" t="str">
        <f t="shared" si="11"/>
        <v>LCVODS</v>
      </c>
      <c r="AD66" s="67">
        <f>1/INDEX(Analytica!$AA$17:$AE$48,MATCH($AC66,Analytica!$A$17:$A$48,0),MATCH(AD$16,Analytica!$AA$16:$AE$16,0))</f>
        <v>4.2382643969590106</v>
      </c>
      <c r="AE66" s="67">
        <f t="array" ref="AE66">IF($W$1,AD66*(1+INDEX(AE$1:AE$2,MATCH($O66,$AA$1:$AA$2,0)))^(AE$16-AD$16),INDEX('AEA2012 update'!$AC$6:$AG$104,MATCH($T66&amp;$U66,'AEA2012 update'!$A$6:$A$104&amp;'AEA2012 update'!$B$6:$B$104,0),MATCH(AE$16,'AEA2012 update'!$AC$4:$AG$4,0)))</f>
        <v>4.2255623143230601</v>
      </c>
      <c r="AF66" s="67">
        <f t="array" ref="AF66">IF($W$1,AE66*(1+INDEX(AF$1:AF$2,MATCH($O66,$AA$1:$AA$2,0)))^(AF$16-AE$16),INDEX('AEA2012 update'!$AC$6:$AG$104,MATCH($T66&amp;$U66,'AEA2012 update'!$A$6:$A$104&amp;'AEA2012 update'!$B$6:$B$104,0),MATCH(AF$16,'AEA2012 update'!$AC$4:$AG$4,0)))</f>
        <v>3.9988248770466241</v>
      </c>
      <c r="AG66" s="67">
        <f t="array" ref="AG66">IF($W$1,AF66*(1+INDEX(AG$1:AG$2,MATCH($O66,$AA$1:$AA$2,0)))^(AG$16-AF$16),INDEX('AEA2012 update'!$AC$6:$AG$104,MATCH($T66&amp;$U66,'AEA2012 update'!$A$6:$A$104&amp;'AEA2012 update'!$B$6:$B$104,0),MATCH(AG$16,'AEA2012 update'!$AC$4:$AG$4,0)))</f>
        <v>3.6164655399002528</v>
      </c>
      <c r="AH66" s="67">
        <f t="array" ref="AH66">IF($W$1,AG66*(1+INDEX(AH$1:AH$2,MATCH($O66,$AA$1:$AA$2,0)))^(AH$16-AG$16),INDEX('AEA2012 update'!$AC$6:$AG$104,MATCH($T66&amp;$U66,'AEA2012 update'!$A$6:$A$104&amp;'AEA2012 update'!$B$6:$B$104,0),MATCH(AH$16,'AEA2012 update'!$AC$4:$AG$4,0)))</f>
        <v>3.2706666091728263</v>
      </c>
      <c r="AI66" s="67"/>
      <c r="AJ66" s="257">
        <f t="shared" si="8"/>
        <v>-9.9900033333333066E-4</v>
      </c>
      <c r="AK66" s="257">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75" thickBot="1" x14ac:dyDescent="0.3">
      <c r="A67" s="268" t="s">
        <v>266</v>
      </c>
      <c r="B67" s="269">
        <v>120270</v>
      </c>
      <c r="C67" s="266">
        <f t="shared" si="13"/>
        <v>4.6799559203952221E-2</v>
      </c>
      <c r="N67" s="61" t="s">
        <v>521</v>
      </c>
      <c r="O67" s="61" t="s">
        <v>653</v>
      </c>
      <c r="P67" s="61" t="s">
        <v>63</v>
      </c>
      <c r="Q67" s="61" t="str">
        <f t="shared" si="6"/>
        <v>LCV</v>
      </c>
      <c r="R67" s="61" t="s">
        <v>680</v>
      </c>
      <c r="S67" s="65"/>
      <c r="T67" s="256" t="s">
        <v>701</v>
      </c>
      <c r="U67" s="256" t="s">
        <v>689</v>
      </c>
      <c r="V67" s="103">
        <f t="array" ref="V67">IF(V$18,INDEX('AEA2012 update'!$K$6:$R$104,MATCH($T67&amp;$R67,'AEA2012 update'!$A$6:$A$104&amp;'AEA2012 update'!$B$6:$B$104,0),MATCH(V$16,'AEA2012 update'!$S$4:$Z$4,0)),INDEX('AEA2012 update'!$K$6:$R$104,MATCH($T67&amp;$U67,'AEA2012 update'!$A$6:$A$104&amp;'AEA2012 update'!$B$6:$B$104,0),MATCH(V$16,'AEA2012 update'!$S$4:$Z$4,0)))</f>
        <v>684967.98910243902</v>
      </c>
      <c r="W67" s="103">
        <f t="array" ref="W67">IF(W$18,INDEX('AEA2012 update'!$K$6:$R$104,MATCH($T67&amp;$R67,'AEA2012 update'!$A$6:$A$104&amp;'AEA2012 update'!$B$6:$B$104,0),MATCH(W$16,'AEA2012 update'!$S$4:$Z$4,0)),INDEX('AEA2012 update'!$K$6:$R$104,MATCH($T67&amp;$U67,'AEA2012 update'!$A$6:$A$104&amp;'AEA2012 update'!$B$6:$B$104,0),MATCH(W$16,'AEA2012 update'!$S$4:$Z$4,0)))</f>
        <v>676046.93374770158</v>
      </c>
      <c r="X67" s="103">
        <f t="array" ref="X67">IF(X$18,INDEX('AEA2012 update'!$K$6:$R$104,MATCH($T67&amp;$R67,'AEA2012 update'!$A$6:$A$104&amp;'AEA2012 update'!$B$6:$B$104,0),MATCH(X$16,'AEA2012 update'!$S$4:$Z$4,0)),INDEX('AEA2012 update'!$K$6:$R$104,MATCH($T67&amp;$U67,'AEA2012 update'!$A$6:$A$104&amp;'AEA2012 update'!$B$6:$B$104,0),MATCH(X$16,'AEA2012 update'!$S$4:$Z$4,0)))</f>
        <v>671504.019880448</v>
      </c>
      <c r="Y67" s="103">
        <f t="array" ref="Y67">IF(Y$18,INDEX('AEA2012 update'!$K$6:$R$104,MATCH($T67&amp;$R67,'AEA2012 update'!$A$6:$A$104&amp;'AEA2012 update'!$B$6:$B$104,0),MATCH(Y$16,'AEA2012 update'!$S$4:$Z$4,0)),INDEX('AEA2012 update'!$K$6:$R$104,MATCH($T67&amp;$U67,'AEA2012 update'!$A$6:$A$104&amp;'AEA2012 update'!$B$6:$B$104,0),MATCH(Y$16,'AEA2012 update'!$S$4:$Z$4,0)))</f>
        <v>363561.36717159278</v>
      </c>
      <c r="Z67" s="103">
        <f t="array" ref="Z67">IF(Z$18,INDEX('AEA2012 update'!$K$6:$R$104,MATCH($T67&amp;$R67,'AEA2012 update'!$A$6:$A$104&amp;'AEA2012 update'!$B$6:$B$104,0),MATCH(Z$16,'AEA2012 update'!$S$4:$Z$4,0)),INDEX('AEA2012 update'!$K$6:$R$104,MATCH($T67&amp;$U67,'AEA2012 update'!$A$6:$A$104&amp;'AEA2012 update'!$B$6:$B$104,0),MATCH(Z$16,'AEA2012 update'!$S$4:$Z$4,0)))</f>
        <v>371500.85823323019</v>
      </c>
      <c r="AA67" s="103">
        <f t="array" ref="AA67">IF(AA$18,INDEX('AEA2012 update'!$K$6:$R$104,MATCH($T67&amp;$R67,'AEA2012 update'!$A$6:$A$104&amp;'AEA2012 update'!$B$6:$B$104,0),MATCH(AA$16,'AEA2012 update'!$S$4:$Z$4,0)),INDEX('AEA2012 update'!$K$6:$R$104,MATCH($T67&amp;$U67,'AEA2012 update'!$A$6:$A$104&amp;'AEA2012 update'!$B$6:$B$104,0),MATCH(AA$16,'AEA2012 update'!$S$4:$Z$4,0)))</f>
        <v>379440.3492948676</v>
      </c>
      <c r="AB67" s="103">
        <f t="array" ref="AB67">IF(AB$18,INDEX('AEA2012 update'!$K$6:$R$104,MATCH($T67&amp;$R67,'AEA2012 update'!$A$6:$A$104&amp;'AEA2012 update'!$B$6:$B$104,0),MATCH(AB$16,'AEA2012 update'!$S$4:$Z$4,0)),INDEX('AEA2012 update'!$K$6:$R$104,MATCH($T67&amp;$U67,'AEA2012 update'!$A$6:$A$104&amp;'AEA2012 update'!$B$6:$B$104,0),MATCH(AB$16,'AEA2012 update'!$S$4:$Z$4,0)))</f>
        <v>387396.22422821133</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 update'!$AC$6:$AG$104,MATCH($T67&amp;$U67,'AEA2012 update'!$A$6:$A$104&amp;'AEA2012 update'!$B$6:$B$104,0),MATCH(AE$16,'AEA2012 update'!$AC$4:$AG$4,0)))</f>
        <v>4.1201444850685522</v>
      </c>
      <c r="AF67" s="67">
        <f t="array" ref="AF67">IF($W$1,AE67*(1+INDEX(AF$1:AF$2,MATCH($O67,$AA$1:$AA$2,0)))^(AF$16-AE$16),INDEX('AEA2012 update'!$AC$6:$AG$104,MATCH($T67&amp;$U67,'AEA2012 update'!$A$6:$A$104&amp;'AEA2012 update'!$B$6:$B$104,0),MATCH(AF$16,'AEA2012 update'!$AC$4:$AG$4,0)))</f>
        <v>3.8990636129236713</v>
      </c>
      <c r="AG67" s="67">
        <f t="array" ref="AG67">IF($W$1,AF67*(1+INDEX(AG$1:AG$2,MATCH($O67,$AA$1:$AA$2,0)))^(AG$16-AF$16),INDEX('AEA2012 update'!$AC$6:$AG$104,MATCH($T67&amp;$U67,'AEA2012 update'!$A$6:$A$104&amp;'AEA2012 update'!$B$6:$B$104,0),MATCH(AG$16,'AEA2012 update'!$AC$4:$AG$4,0)))</f>
        <v>3.5262432408472351</v>
      </c>
      <c r="AH67" s="67">
        <f t="array" ref="AH67">IF($W$1,AG67*(1+INDEX(AH$1:AH$2,MATCH($O67,$AA$1:$AA$2,0)))^(AH$16-AG$16),INDEX('AEA2012 update'!$AC$6:$AG$104,MATCH($T67&amp;$U67,'AEA2012 update'!$A$6:$A$104&amp;'AEA2012 update'!$B$6:$B$104,0),MATCH(AH$16,'AEA2012 update'!$AC$4:$AG$4,0)))</f>
        <v>3.1890711791431934</v>
      </c>
      <c r="AI67" s="67"/>
      <c r="AJ67" s="257">
        <f t="shared" si="8"/>
        <v>-9.9900033333336752E-4</v>
      </c>
      <c r="AK67" s="257">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75" thickBot="1" x14ac:dyDescent="0.3">
      <c r="A68" s="268" t="s">
        <v>263</v>
      </c>
      <c r="B68" s="269">
        <v>31074</v>
      </c>
      <c r="C68" s="266">
        <f t="shared" si="13"/>
        <v>1.2091539891108434E-2</v>
      </c>
      <c r="I68"/>
      <c r="N68" s="61" t="s">
        <v>501</v>
      </c>
      <c r="O68" s="61" t="s">
        <v>653</v>
      </c>
      <c r="P68" s="61" t="s">
        <v>63</v>
      </c>
      <c r="Q68" s="61" t="str">
        <f t="shared" si="6"/>
        <v>LCV</v>
      </c>
      <c r="R68" s="61" t="s">
        <v>680</v>
      </c>
      <c r="S68" s="65"/>
      <c r="T68" s="256" t="s">
        <v>701</v>
      </c>
      <c r="U68" s="256" t="s">
        <v>692</v>
      </c>
      <c r="V68" s="103">
        <f t="array" ref="V68">IF(V$18,INDEX('AEA2012 update'!$K$6:$R$104,MATCH($T68&amp;$R68,'AEA2012 update'!$A$6:$A$104&amp;'AEA2012 update'!$B$6:$B$104,0),MATCH(V$16,'AEA2012 update'!$S$4:$Z$4,0)),INDEX('AEA2012 update'!$K$6:$R$104,MATCH($T68&amp;$U68,'AEA2012 update'!$A$6:$A$104&amp;'AEA2012 update'!$B$6:$B$104,0),MATCH(V$16,'AEA2012 update'!$S$4:$Z$4,0)))</f>
        <v>1200355.9594665694</v>
      </c>
      <c r="W68" s="103">
        <f t="array" ref="W68">IF(W$18,INDEX('AEA2012 update'!$K$6:$R$104,MATCH($T68&amp;$R68,'AEA2012 update'!$A$6:$A$104&amp;'AEA2012 update'!$B$6:$B$104,0),MATCH(W$16,'AEA2012 update'!$S$4:$Z$4,0)),INDEX('AEA2012 update'!$K$6:$R$104,MATCH($T68&amp;$U68,'AEA2012 update'!$A$6:$A$104&amp;'AEA2012 update'!$B$6:$B$104,0),MATCH(W$16,'AEA2012 update'!$S$4:$Z$4,0)))</f>
        <v>820963.00033176108</v>
      </c>
      <c r="X68" s="103">
        <f t="array" ref="X68">IF(X$18,INDEX('AEA2012 update'!$K$6:$R$104,MATCH($T68&amp;$R68,'AEA2012 update'!$A$6:$A$104&amp;'AEA2012 update'!$B$6:$B$104,0),MATCH(X$16,'AEA2012 update'!$S$4:$Z$4,0)),INDEX('AEA2012 update'!$K$6:$R$104,MATCH($T68&amp;$U68,'AEA2012 update'!$A$6:$A$104&amp;'AEA2012 update'!$B$6:$B$104,0),MATCH(X$16,'AEA2012 update'!$S$4:$Z$4,0)))</f>
        <v>755333.69376548787</v>
      </c>
      <c r="Y68" s="103">
        <f t="array" ref="Y68">IF(Y$18,INDEX('AEA2012 update'!$K$6:$R$104,MATCH($T68&amp;$R68,'AEA2012 update'!$A$6:$A$104&amp;'AEA2012 update'!$B$6:$B$104,0),MATCH(Y$16,'AEA2012 update'!$S$4:$Z$4,0)),INDEX('AEA2012 update'!$K$6:$R$104,MATCH($T68&amp;$U68,'AEA2012 update'!$A$6:$A$104&amp;'AEA2012 update'!$B$6:$B$104,0),MATCH(Y$16,'AEA2012 update'!$S$4:$Z$4,0)))</f>
        <v>363561.36717159278</v>
      </c>
      <c r="Z68" s="103">
        <f t="array" ref="Z68">IF(Z$18,INDEX('AEA2012 update'!$K$6:$R$104,MATCH($T68&amp;$R68,'AEA2012 update'!$A$6:$A$104&amp;'AEA2012 update'!$B$6:$B$104,0),MATCH(Z$16,'AEA2012 update'!$S$4:$Z$4,0)),INDEX('AEA2012 update'!$K$6:$R$104,MATCH($T68&amp;$U68,'AEA2012 update'!$A$6:$A$104&amp;'AEA2012 update'!$B$6:$B$104,0),MATCH(Z$16,'AEA2012 update'!$S$4:$Z$4,0)))</f>
        <v>371500.85823323019</v>
      </c>
      <c r="AA68" s="103">
        <f t="array" ref="AA68">IF(AA$18,INDEX('AEA2012 update'!$K$6:$R$104,MATCH($T68&amp;$R68,'AEA2012 update'!$A$6:$A$104&amp;'AEA2012 update'!$B$6:$B$104,0),MATCH(AA$16,'AEA2012 update'!$S$4:$Z$4,0)),INDEX('AEA2012 update'!$K$6:$R$104,MATCH($T68&amp;$U68,'AEA2012 update'!$A$6:$A$104&amp;'AEA2012 update'!$B$6:$B$104,0),MATCH(AA$16,'AEA2012 update'!$S$4:$Z$4,0)))</f>
        <v>379440.3492948676</v>
      </c>
      <c r="AB68" s="103">
        <f t="array" ref="AB68">IF(AB$18,INDEX('AEA2012 update'!$K$6:$R$104,MATCH($T68&amp;$R68,'AEA2012 update'!$A$6:$A$104&amp;'AEA2012 update'!$B$6:$B$104,0),MATCH(AB$16,'AEA2012 update'!$S$4:$Z$4,0)),INDEX('AEA2012 update'!$K$6:$R$104,MATCH($T68&amp;$U68,'AEA2012 update'!$A$6:$A$104&amp;'AEA2012 update'!$B$6:$B$104,0),MATCH(AB$16,'AEA2012 update'!$S$4:$Z$4,0)))</f>
        <v>387396.22422821133</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 update'!$AC$6:$AG$104,MATCH($T68&amp;$U68,'AEA2012 update'!$A$6:$A$104&amp;'AEA2012 update'!$B$6:$B$104,0),MATCH(AE$16,'AEA2012 update'!$AC$4:$AG$4,0)))</f>
        <v>1.209636723293595</v>
      </c>
      <c r="AF68" s="67">
        <f t="array" ref="AF68">IF($W$1,AE68*(1+INDEX(AF$1:AF$2,MATCH($O68,$AA$1:$AA$2,0)))^(AF$16-AE$16),INDEX('AEA2012 update'!$AC$6:$AG$104,MATCH($T68&amp;$U68,'AEA2012 update'!$A$6:$A$104&amp;'AEA2012 update'!$B$6:$B$104,0),MATCH(AF$16,'AEA2012 update'!$AC$4:$AG$4,0)))</f>
        <v>1.1447294020252792</v>
      </c>
      <c r="AG68" s="67">
        <f t="array" ref="AG68">IF($W$1,AF68*(1+INDEX(AG$1:AG$2,MATCH($O68,$AA$1:$AA$2,0)))^(AG$16-AF$16),INDEX('AEA2012 update'!$AC$6:$AG$104,MATCH($T68&amp;$U68,'AEA2012 update'!$A$6:$A$104&amp;'AEA2012 update'!$B$6:$B$104,0),MATCH(AG$16,'AEA2012 update'!$AC$4:$AG$4,0)))</f>
        <v>1.0352727519272098</v>
      </c>
      <c r="AH68" s="67">
        <f t="array" ref="AH68">IF($W$1,AG68*(1+INDEX(AH$1:AH$2,MATCH($O68,$AA$1:$AA$2,0)))^(AH$16-AG$16),INDEX('AEA2012 update'!$AC$6:$AG$104,MATCH($T68&amp;$U68,'AEA2012 update'!$A$6:$A$104&amp;'AEA2012 update'!$B$6:$B$104,0),MATCH(AH$16,'AEA2012 update'!$AC$4:$AG$4,0)))</f>
        <v>0.93628211958800511</v>
      </c>
      <c r="AI68" s="67"/>
      <c r="AJ68" s="257">
        <f t="shared" si="8"/>
        <v>-9.9900033333332806E-4</v>
      </c>
      <c r="AK68" s="257">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75" thickBot="1" x14ac:dyDescent="0.3">
      <c r="A69" s="268" t="s">
        <v>261</v>
      </c>
      <c r="B69" s="269">
        <v>53763</v>
      </c>
      <c r="C69" s="266">
        <f t="shared" si="13"/>
        <v>2.0920301833225935E-2</v>
      </c>
      <c r="N69" s="61" t="s">
        <v>504</v>
      </c>
      <c r="O69" s="61" t="s">
        <v>653</v>
      </c>
      <c r="P69" s="61" t="s">
        <v>63</v>
      </c>
      <c r="Q69" s="61" t="str">
        <f t="shared" si="6"/>
        <v>LCV</v>
      </c>
      <c r="R69" s="61" t="s">
        <v>680</v>
      </c>
      <c r="S69" s="65"/>
      <c r="T69" s="256" t="s">
        <v>701</v>
      </c>
      <c r="U69" s="256" t="s">
        <v>699</v>
      </c>
      <c r="V69" s="103">
        <f t="array" ref="V69">IF(V$18,INDEX('AEA2012 update'!$K$6:$R$104,MATCH($T69&amp;$R69,'AEA2012 update'!$A$6:$A$104&amp;'AEA2012 update'!$B$6:$B$104,0),MATCH(V$16,'AEA2012 update'!$S$4:$Z$4,0)),INDEX('AEA2012 update'!$K$6:$R$104,MATCH($T69&amp;$U69,'AEA2012 update'!$A$6:$A$104&amp;'AEA2012 update'!$B$6:$B$104,0),MATCH(V$16,'AEA2012 update'!$S$4:$Z$4,0)))</f>
        <v>4486535.6914122794</v>
      </c>
      <c r="W69" s="103">
        <f t="array" ref="W69">IF(W$18,INDEX('AEA2012 update'!$K$6:$R$104,MATCH($T69&amp;$R69,'AEA2012 update'!$A$6:$A$104&amp;'AEA2012 update'!$B$6:$B$104,0),MATCH(W$16,'AEA2012 update'!$S$4:$Z$4,0)),INDEX('AEA2012 update'!$K$6:$R$104,MATCH($T69&amp;$U69,'AEA2012 update'!$A$6:$A$104&amp;'AEA2012 update'!$B$6:$B$104,0),MATCH(W$16,'AEA2012 update'!$S$4:$Z$4,0)))</f>
        <v>1793789.1316594642</v>
      </c>
      <c r="X69" s="103">
        <f t="array" ref="X69">IF(X$18,INDEX('AEA2012 update'!$K$6:$R$104,MATCH($T69&amp;$R69,'AEA2012 update'!$A$6:$A$104&amp;'AEA2012 update'!$B$6:$B$104,0),MATCH(X$16,'AEA2012 update'!$S$4:$Z$4,0)),INDEX('AEA2012 update'!$K$6:$R$104,MATCH($T69&amp;$U69,'AEA2012 update'!$A$6:$A$104&amp;'AEA2012 update'!$B$6:$B$104,0),MATCH(X$16,'AEA2012 update'!$S$4:$Z$4,0)))</f>
        <v>1377038.9964110029</v>
      </c>
      <c r="Y69" s="103">
        <f t="array" ref="Y69">IF(Y$18,INDEX('AEA2012 update'!$K$6:$R$104,MATCH($T69&amp;$R69,'AEA2012 update'!$A$6:$A$104&amp;'AEA2012 update'!$B$6:$B$104,0),MATCH(Y$16,'AEA2012 update'!$S$4:$Z$4,0)),INDEX('AEA2012 update'!$K$6:$R$104,MATCH($T69&amp;$U69,'AEA2012 update'!$A$6:$A$104&amp;'AEA2012 update'!$B$6:$B$104,0),MATCH(Y$16,'AEA2012 update'!$S$4:$Z$4,0)))</f>
        <v>363561.36717159278</v>
      </c>
      <c r="Z69" s="103">
        <f t="array" ref="Z69">IF(Z$18,INDEX('AEA2012 update'!$K$6:$R$104,MATCH($T69&amp;$R69,'AEA2012 update'!$A$6:$A$104&amp;'AEA2012 update'!$B$6:$B$104,0),MATCH(Z$16,'AEA2012 update'!$S$4:$Z$4,0)),INDEX('AEA2012 update'!$K$6:$R$104,MATCH($T69&amp;$U69,'AEA2012 update'!$A$6:$A$104&amp;'AEA2012 update'!$B$6:$B$104,0),MATCH(Z$16,'AEA2012 update'!$S$4:$Z$4,0)))</f>
        <v>371500.85823323019</v>
      </c>
      <c r="AA69" s="103">
        <f t="array" ref="AA69">IF(AA$18,INDEX('AEA2012 update'!$K$6:$R$104,MATCH($T69&amp;$R69,'AEA2012 update'!$A$6:$A$104&amp;'AEA2012 update'!$B$6:$B$104,0),MATCH(AA$16,'AEA2012 update'!$S$4:$Z$4,0)),INDEX('AEA2012 update'!$K$6:$R$104,MATCH($T69&amp;$U69,'AEA2012 update'!$A$6:$A$104&amp;'AEA2012 update'!$B$6:$B$104,0),MATCH(AA$16,'AEA2012 update'!$S$4:$Z$4,0)))</f>
        <v>379440.3492948676</v>
      </c>
      <c r="AB69" s="103">
        <f t="array" ref="AB69">IF(AB$18,INDEX('AEA2012 update'!$K$6:$R$104,MATCH($T69&amp;$R69,'AEA2012 update'!$A$6:$A$104&amp;'AEA2012 update'!$B$6:$B$104,0),MATCH(AB$16,'AEA2012 update'!$S$4:$Z$4,0)),INDEX('AEA2012 update'!$K$6:$R$104,MATCH($T69&amp;$U69,'AEA2012 update'!$A$6:$A$104&amp;'AEA2012 update'!$B$6:$B$104,0),MATCH(AB$16,'AEA2012 update'!$S$4:$Z$4,0)))</f>
        <v>387396.22422821133</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 update'!$AC$6:$AG$104,MATCH($T69&amp;$U69,'AEA2012 update'!$A$6:$A$104&amp;'AEA2012 update'!$B$6:$B$104,0),MATCH(AE$16,'AEA2012 update'!$AC$4:$AG$4,0)))</f>
        <v>2.3817244687326387</v>
      </c>
      <c r="AF69" s="67">
        <f t="array" ref="AF69">IF($W$1,AE69*(1+INDEX(AF$1:AF$2,MATCH($O69,$AA$1:$AA$2,0)))^(AF$16-AE$16),INDEX('AEA2012 update'!$AC$6:$AG$104,MATCH($T69&amp;$U69,'AEA2012 update'!$A$6:$A$104&amp;'AEA2012 update'!$B$6:$B$104,0),MATCH(AF$16,'AEA2012 update'!$AC$4:$AG$4,0)))</f>
        <v>2.2539246489291216</v>
      </c>
      <c r="AG69" s="67">
        <f t="array" ref="AG69">IF($W$1,AF69*(1+INDEX(AG$1:AG$2,MATCH($O69,$AA$1:$AA$2,0)))^(AG$16-AF$16),INDEX('AEA2012 update'!$AC$6:$AG$104,MATCH($T69&amp;$U69,'AEA2012 update'!$A$6:$A$104&amp;'AEA2012 update'!$B$6:$B$104,0),MATCH(AG$16,'AEA2012 update'!$AC$4:$AG$4,0)))</f>
        <v>2.0384090509120099</v>
      </c>
      <c r="AH69" s="67">
        <f t="array" ref="AH69">IF($W$1,AG69*(1+INDEX(AH$1:AH$2,MATCH($O69,$AA$1:$AA$2,0)))^(AH$16-AG$16),INDEX('AEA2012 update'!$AC$6:$AG$104,MATCH($T69&amp;$U69,'AEA2012 update'!$A$6:$A$104&amp;'AEA2012 update'!$B$6:$B$104,0),MATCH(AH$16,'AEA2012 update'!$AC$4:$AG$4,0)))</f>
        <v>1.8435006071805309</v>
      </c>
      <c r="AI69" s="67"/>
      <c r="AJ69" s="257">
        <f t="shared" si="8"/>
        <v>-9.9900033333331266E-4</v>
      </c>
      <c r="AK69" s="257">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75" thickBot="1" x14ac:dyDescent="0.3">
      <c r="A70" s="268" t="s">
        <v>259</v>
      </c>
      <c r="B70" s="269">
        <v>12249</v>
      </c>
      <c r="C70" s="266">
        <f t="shared" si="13"/>
        <v>4.7663407390804921E-3</v>
      </c>
      <c r="N70" s="61" t="s">
        <v>509</v>
      </c>
      <c r="O70" s="61" t="s">
        <v>653</v>
      </c>
      <c r="P70" s="61" t="s">
        <v>63</v>
      </c>
      <c r="Q70" s="61" t="str">
        <f t="shared" si="6"/>
        <v>LCV</v>
      </c>
      <c r="R70" s="61" t="s">
        <v>680</v>
      </c>
      <c r="S70" s="65"/>
      <c r="T70" s="256" t="s">
        <v>701</v>
      </c>
      <c r="U70" s="256" t="s">
        <v>700</v>
      </c>
      <c r="V70" s="103">
        <f t="array" ref="V70">IF(V$18,INDEX('AEA2012 update'!$K$6:$R$104,MATCH($T70&amp;$R70,'AEA2012 update'!$A$6:$A$104&amp;'AEA2012 update'!$B$6:$B$104,0),MATCH(V$16,'AEA2012 update'!$S$4:$Z$4,0)),INDEX('AEA2012 update'!$K$6:$R$104,MATCH($T70&amp;$U70,'AEA2012 update'!$A$6:$A$104&amp;'AEA2012 update'!$B$6:$B$104,0),MATCH(V$16,'AEA2012 update'!$S$4:$Z$4,0)))</f>
        <v>519120.41439989489</v>
      </c>
      <c r="W70" s="103">
        <f t="array" ref="W70">IF(W$18,INDEX('AEA2012 update'!$K$6:$R$104,MATCH($T70&amp;$R70,'AEA2012 update'!$A$6:$A$104&amp;'AEA2012 update'!$B$6:$B$104,0),MATCH(W$16,'AEA2012 update'!$S$4:$Z$4,0)),INDEX('AEA2012 update'!$K$6:$R$104,MATCH($T70&amp;$U70,'AEA2012 update'!$A$6:$A$104&amp;'AEA2012 update'!$B$6:$B$104,0),MATCH(W$16,'AEA2012 update'!$S$4:$Z$4,0)))</f>
        <v>545626.74611489451</v>
      </c>
      <c r="X70" s="103">
        <f t="array" ref="X70">IF(X$18,INDEX('AEA2012 update'!$K$6:$R$104,MATCH($T70&amp;$R70,'AEA2012 update'!$A$6:$A$104&amp;'AEA2012 update'!$B$6:$B$104,0),MATCH(X$16,'AEA2012 update'!$S$4:$Z$4,0)),INDEX('AEA2012 update'!$K$6:$R$104,MATCH($T70&amp;$U70,'AEA2012 update'!$A$6:$A$104&amp;'AEA2012 update'!$B$6:$B$104,0),MATCH(X$16,'AEA2012 update'!$S$4:$Z$4,0)))</f>
        <v>551370.12411759188</v>
      </c>
      <c r="Y70" s="103">
        <f t="array" ref="Y70">IF(Y$18,INDEX('AEA2012 update'!$K$6:$R$104,MATCH($T70&amp;$R70,'AEA2012 update'!$A$6:$A$104&amp;'AEA2012 update'!$B$6:$B$104,0),MATCH(Y$16,'AEA2012 update'!$S$4:$Z$4,0)),INDEX('AEA2012 update'!$K$6:$R$104,MATCH($T70&amp;$U70,'AEA2012 update'!$A$6:$A$104&amp;'AEA2012 update'!$B$6:$B$104,0),MATCH(Y$16,'AEA2012 update'!$S$4:$Z$4,0)))</f>
        <v>363561.36717159278</v>
      </c>
      <c r="Z70" s="103">
        <f t="array" ref="Z70">IF(Z$18,INDEX('AEA2012 update'!$K$6:$R$104,MATCH($T70&amp;$R70,'AEA2012 update'!$A$6:$A$104&amp;'AEA2012 update'!$B$6:$B$104,0),MATCH(Z$16,'AEA2012 update'!$S$4:$Z$4,0)),INDEX('AEA2012 update'!$K$6:$R$104,MATCH($T70&amp;$U70,'AEA2012 update'!$A$6:$A$104&amp;'AEA2012 update'!$B$6:$B$104,0),MATCH(Z$16,'AEA2012 update'!$S$4:$Z$4,0)))</f>
        <v>371500.85823323019</v>
      </c>
      <c r="AA70" s="103">
        <f t="array" ref="AA70">IF(AA$18,INDEX('AEA2012 update'!$K$6:$R$104,MATCH($T70&amp;$R70,'AEA2012 update'!$A$6:$A$104&amp;'AEA2012 update'!$B$6:$B$104,0),MATCH(AA$16,'AEA2012 update'!$S$4:$Z$4,0)),INDEX('AEA2012 update'!$K$6:$R$104,MATCH($T70&amp;$U70,'AEA2012 update'!$A$6:$A$104&amp;'AEA2012 update'!$B$6:$B$104,0),MATCH(AA$16,'AEA2012 update'!$S$4:$Z$4,0)))</f>
        <v>379440.3492948676</v>
      </c>
      <c r="AB70" s="103">
        <f t="array" ref="AB70">IF(AB$18,INDEX('AEA2012 update'!$K$6:$R$104,MATCH($T70&amp;$R70,'AEA2012 update'!$A$6:$A$104&amp;'AEA2012 update'!$B$6:$B$104,0),MATCH(AB$16,'AEA2012 update'!$S$4:$Z$4,0)),INDEX('AEA2012 update'!$K$6:$R$104,MATCH($T70&amp;$U70,'AEA2012 update'!$A$6:$A$104&amp;'AEA2012 update'!$B$6:$B$104,0),MATCH(AB$16,'AEA2012 update'!$S$4:$Z$4,0)))</f>
        <v>387396.22422821133</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 update'!$AC$6:$AG$104,MATCH($T70&amp;$U70,'AEA2012 update'!$A$6:$A$104&amp;'AEA2012 update'!$B$6:$B$104,0),MATCH(AE$16,'AEA2012 update'!$AC$4:$AG$4,0)))</f>
        <v>5.6716595078761793</v>
      </c>
      <c r="AF70" s="67">
        <f t="array" ref="AF70">IF($W$1,AE70*(1+INDEX(AF$1:AF$2,MATCH($O70,$AA$1:$AA$2,0)))^(AF$16-AE$16),INDEX('AEA2012 update'!$AC$6:$AG$104,MATCH($T70&amp;$U70,'AEA2012 update'!$A$6:$A$104&amp;'AEA2012 update'!$B$6:$B$104,0),MATCH(AF$16,'AEA2012 update'!$AC$4:$AG$4,0)))</f>
        <v>5.3673266294894617</v>
      </c>
      <c r="AG70" s="67">
        <f t="array" ref="AG70">IF($W$1,AF70*(1+INDEX(AG$1:AG$2,MATCH($O70,$AA$1:$AA$2,0)))^(AG$16-AF$16),INDEX('AEA2012 update'!$AC$6:$AG$104,MATCH($T70&amp;$U70,'AEA2012 update'!$A$6:$A$104&amp;'AEA2012 update'!$B$6:$B$104,0),MATCH(AG$16,'AEA2012 update'!$AC$4:$AG$4,0)))</f>
        <v>4.8541139944276912</v>
      </c>
      <c r="AH70" s="67">
        <f t="array" ref="AH70">IF($W$1,AG70*(1+INDEX(AH$1:AH$2,MATCH($O70,$AA$1:$AA$2,0)))^(AH$16-AG$16),INDEX('AEA2012 update'!$AC$6:$AG$104,MATCH($T70&amp;$U70,'AEA2012 update'!$A$6:$A$104&amp;'AEA2012 update'!$B$6:$B$104,0),MATCH(AH$16,'AEA2012 update'!$AC$4:$AG$4,0)))</f>
        <v>4.3899736866097907</v>
      </c>
      <c r="AI70" s="67"/>
      <c r="AJ70" s="257">
        <f t="shared" si="8"/>
        <v>-9.9900033333332329E-4</v>
      </c>
      <c r="AK70" s="257">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75" thickBot="1" x14ac:dyDescent="0.3">
      <c r="A71" s="268" t="s">
        <v>257</v>
      </c>
      <c r="B71" s="269">
        <v>5146</v>
      </c>
      <c r="C71" s="266">
        <f t="shared" si="13"/>
        <v>2.0024156619567485E-3</v>
      </c>
      <c r="O71" s="61" t="s">
        <v>653</v>
      </c>
      <c r="Q71" s="61" t="str">
        <f t="shared" si="6"/>
        <v/>
      </c>
      <c r="S71" s="65"/>
      <c r="T71" s="256"/>
      <c r="U71" s="260"/>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11"/>
        <v/>
      </c>
      <c r="AD71" s="67" t="e">
        <f>1/INDEX(Analytica!$AA$17:$AE$48,MATCH($AC71,Analytica!$A$17:$A$48,0),MATCH(AD$16,Analytica!$AA$16:$AE$16,0))</f>
        <v>#N/A</v>
      </c>
      <c r="AE71" s="67" t="e">
        <f t="array" ref="AE71">IF($W$1,AD71*(1+INDEX(AE$1:AE$2,MATCH($O71,$AA$1:$AA$2,0)))^(AE$16-AD$16),INDEX('AEA2012 update'!$AC$6:$AG$104,MATCH($T71&amp;$U71,'AEA2012 update'!$A$6:$A$104&amp;'AEA2012 update'!$B$6:$B$104,0),MATCH(AE$16,'AEA2012 update'!$AC$4:$AG$4,0)))</f>
        <v>#N/A</v>
      </c>
      <c r="AF71" s="67" t="e">
        <f t="array" ref="AF71">IF($W$1,AE71*(1+INDEX(AF$1:AF$2,MATCH($O71,$AA$1:$AA$2,0)))^(AF$16-AE$16),INDEX('AEA2012 update'!$AC$6:$AG$104,MATCH($T71&amp;$U71,'AEA2012 update'!$A$6:$A$104&amp;'AEA2012 update'!$B$6:$B$104,0),MATCH(AF$16,'AEA2012 update'!$AC$4:$AG$4,0)))</f>
        <v>#N/A</v>
      </c>
      <c r="AG71" s="67" t="e">
        <f t="array" ref="AG71">IF($W$1,AF71*(1+INDEX(AG$1:AG$2,MATCH($O71,$AA$1:$AA$2,0)))^(AG$16-AF$16),INDEX('AEA2012 update'!$AC$6:$AG$104,MATCH($T71&amp;$U71,'AEA2012 update'!$A$6:$A$104&amp;'AEA2012 update'!$B$6:$B$104,0),MATCH(AG$16,'AEA2012 update'!$AC$4:$AG$4,0)))</f>
        <v>#N/A</v>
      </c>
      <c r="AH71" s="67" t="e">
        <f t="array" ref="AH71">IF($W$1,AG71*(1+INDEX(AH$1:AH$2,MATCH($O71,$AA$1:$AA$2,0)))^(AH$16-AG$16),INDEX('AEA2012 update'!$AC$6:$AG$104,MATCH($T71&amp;$U71,'AEA2012 update'!$A$6:$A$104&amp;'AEA2012 update'!$B$6:$B$104,0),MATCH(AH$16,'AEA2012 update'!$AC$4:$AG$4,0)))</f>
        <v>#N/A</v>
      </c>
      <c r="AI71" s="67"/>
      <c r="AJ71" s="257" t="e">
        <f t="shared" si="8"/>
        <v>#N/A</v>
      </c>
      <c r="AK71" s="257"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75" thickBot="1" x14ac:dyDescent="0.3">
      <c r="A72" s="268" t="s">
        <v>255</v>
      </c>
      <c r="B72" s="269">
        <v>74175</v>
      </c>
      <c r="C72" s="266">
        <f t="shared" si="13"/>
        <v>2.8863035702612089E-2</v>
      </c>
      <c r="N72" s="61" t="s">
        <v>511</v>
      </c>
      <c r="O72" s="61" t="s">
        <v>653</v>
      </c>
      <c r="P72" s="61" t="s">
        <v>724</v>
      </c>
      <c r="Q72" s="61" t="str">
        <f t="shared" si="6"/>
        <v>CV1</v>
      </c>
      <c r="R72" s="61" t="s">
        <v>687</v>
      </c>
      <c r="S72" s="65"/>
      <c r="T72" s="256" t="s">
        <v>725</v>
      </c>
      <c r="U72" s="256" t="s">
        <v>687</v>
      </c>
      <c r="V72" s="103">
        <f t="array" ref="V72">IF(V$18,INDEX('AEA2012 update'!$K$6:$R$104,MATCH($T72&amp;$R72,'AEA2012 update'!$A$6:$A$104&amp;'AEA2012 update'!$B$6:$B$104,0),MATCH(V$16,'AEA2012 update'!$S$4:$Z$4,0)),INDEX('AEA2012 update'!$K$6:$R$104,MATCH($T72&amp;$U72,'AEA2012 update'!$A$6:$A$104&amp;'AEA2012 update'!$B$6:$B$104,0),MATCH(V$16,'AEA2012 update'!$S$4:$Z$4,0)))</f>
        <v>396204.1631410002</v>
      </c>
      <c r="W72" s="103">
        <f t="array" ref="W72">IF(W$18,INDEX('AEA2012 update'!$K$6:$R$104,MATCH($T72&amp;$R72,'AEA2012 update'!$A$6:$A$104&amp;'AEA2012 update'!$B$6:$B$104,0),MATCH(W$16,'AEA2012 update'!$S$4:$Z$4,0)),INDEX('AEA2012 update'!$K$6:$R$104,MATCH($T72&amp;$U72,'AEA2012 update'!$A$6:$A$104&amp;'AEA2012 update'!$B$6:$B$104,0),MATCH(W$16,'AEA2012 update'!$S$4:$Z$4,0)))</f>
        <v>476747.78352540621</v>
      </c>
      <c r="X72" s="103">
        <f t="array" ref="X72">IF(X$18,INDEX('AEA2012 update'!$K$6:$R$104,MATCH($T72&amp;$R72,'AEA2012 update'!$A$6:$A$104&amp;'AEA2012 update'!$B$6:$B$104,0),MATCH(X$16,'AEA2012 update'!$S$4:$Z$4,0)),INDEX('AEA2012 update'!$K$6:$R$104,MATCH($T72&amp;$U72,'AEA2012 update'!$A$6:$A$104&amp;'AEA2012 update'!$B$6:$B$104,0),MATCH(X$16,'AEA2012 update'!$S$4:$Z$4,0)))</f>
        <v>491831.97524024436</v>
      </c>
      <c r="Y72" s="103">
        <f t="array" ref="Y72">IF(Y$18,INDEX('AEA2012 update'!$K$6:$R$104,MATCH($T72&amp;$R72,'AEA2012 update'!$A$6:$A$104&amp;'AEA2012 update'!$B$6:$B$104,0),MATCH(Y$16,'AEA2012 update'!$S$4:$Z$4,0)),INDEX('AEA2012 update'!$K$6:$R$104,MATCH($T72&amp;$U72,'AEA2012 update'!$A$6:$A$104&amp;'AEA2012 update'!$B$6:$B$104,0),MATCH(Y$16,'AEA2012 update'!$S$4:$Z$4,0)))</f>
        <v>506916.16695508256</v>
      </c>
      <c r="Z72" s="103">
        <f t="array" ref="Z72">IF(Z$18,INDEX('AEA2012 update'!$K$6:$R$104,MATCH($T72&amp;$R72,'AEA2012 update'!$A$6:$A$104&amp;'AEA2012 update'!$B$6:$B$104,0),MATCH(Z$16,'AEA2012 update'!$S$4:$Z$4,0)),INDEX('AEA2012 update'!$K$6:$R$104,MATCH($T72&amp;$U72,'AEA2012 update'!$A$6:$A$104&amp;'AEA2012 update'!$B$6:$B$104,0),MATCH(Z$16,'AEA2012 update'!$S$4:$Z$4,0)))</f>
        <v>520424.31194208184</v>
      </c>
      <c r="AA72" s="103">
        <f t="array" ref="AA72">IF(AA$18,INDEX('AEA2012 update'!$K$6:$R$104,MATCH($T72&amp;$R72,'AEA2012 update'!$A$6:$A$104&amp;'AEA2012 update'!$B$6:$B$104,0),MATCH(AA$16,'AEA2012 update'!$S$4:$Z$4,0)),INDEX('AEA2012 update'!$K$6:$R$104,MATCH($T72&amp;$U72,'AEA2012 update'!$A$6:$A$104&amp;'AEA2012 update'!$B$6:$B$104,0),MATCH(AA$16,'AEA2012 update'!$S$4:$Z$4,0)))</f>
        <v>533932.45692908112</v>
      </c>
      <c r="AB72" s="103">
        <f t="array" ref="AB72">IF(AB$18,INDEX('AEA2012 update'!$K$6:$R$104,MATCH($T72&amp;$R72,'AEA2012 update'!$A$6:$A$104&amp;'AEA2012 update'!$B$6:$B$104,0),MATCH(AB$16,'AEA2012 update'!$S$4:$Z$4,0)),INDEX('AEA2012 update'!$K$6:$R$104,MATCH($T72&amp;$U72,'AEA2012 update'!$A$6:$A$104&amp;'AEA2012 update'!$B$6:$B$104,0),MATCH(AB$16,'AEA2012 update'!$S$4:$Z$4,0)))</f>
        <v>551671.18115070788</v>
      </c>
      <c r="AC72" s="103" t="str">
        <f t="shared" si="11"/>
        <v>CV1ODS</v>
      </c>
      <c r="AD72" s="67">
        <f>1/INDEX(Analytica!$AA$17:$AE$48,MATCH($AC72,Analytica!$A$17:$A$48,0),MATCH(AD$16,Analytica!$AA$16:$AE$16,0))</f>
        <v>5.8711571257638555</v>
      </c>
      <c r="AE72" s="67">
        <f t="array" ref="AE72">IF($W$1,AD72*(1+INDEX(AE$1:AE$2,MATCH($O72,$AA$1:$AA$2,0)))^(AE$16-AD$16),INDEX('AEA2012 update'!$AC$6:$AG$104,MATCH($T72&amp;$U72,'AEA2012 update'!$A$6:$A$104&amp;'AEA2012 update'!$B$6:$B$104,0),MATCH(AE$16,'AEA2012 update'!$AC$4:$AG$4,0)))</f>
        <v>5.8535612619867843</v>
      </c>
      <c r="AF72" s="67">
        <f t="array" ref="AF72">IF($W$1,AE72*(1+INDEX(AF$1:AF$2,MATCH($O72,$AA$1:$AA$2,0)))^(AF$16-AE$16),INDEX('AEA2012 update'!$AC$6:$AG$104,MATCH($T72&amp;$U72,'AEA2012 update'!$A$6:$A$104&amp;'AEA2012 update'!$B$6:$B$104,0),MATCH(AF$16,'AEA2012 update'!$AC$4:$AG$4,0)))</f>
        <v>5.539467803943408</v>
      </c>
      <c r="AG72" s="67">
        <f t="array" ref="AG72">IF($W$1,AF72*(1+INDEX(AG$1:AG$2,MATCH($O72,$AA$1:$AA$2,0)))^(AG$16-AF$16),INDEX('AEA2012 update'!$AC$6:$AG$104,MATCH($T72&amp;$U72,'AEA2012 update'!$A$6:$A$104&amp;'AEA2012 update'!$B$6:$B$104,0),MATCH(AG$16,'AEA2012 update'!$AC$4:$AG$4,0)))</f>
        <v>5.0097953869748038</v>
      </c>
      <c r="AH72" s="67">
        <f t="array" ref="AH72">IF($W$1,AG72*(1+INDEX(AH$1:AH$2,MATCH($O72,$AA$1:$AA$2,0)))^(AH$16-AG$16),INDEX('AEA2012 update'!$AC$6:$AG$104,MATCH($T72&amp;$U72,'AEA2012 update'!$A$6:$A$104&amp;'AEA2012 update'!$B$6:$B$104,0),MATCH(AH$16,'AEA2012 update'!$AC$4:$AG$4,0)))</f>
        <v>4.5307691474418084</v>
      </c>
      <c r="AI72" s="67"/>
      <c r="AJ72" s="257">
        <f t="shared" si="8"/>
        <v>-9.9900033333332372E-4</v>
      </c>
      <c r="AK72" s="257">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75" thickBot="1" x14ac:dyDescent="0.3">
      <c r="A73" s="268" t="s">
        <v>253</v>
      </c>
      <c r="B73" s="269">
        <v>19406</v>
      </c>
      <c r="C73" s="266">
        <f t="shared" si="13"/>
        <v>7.5512783396682204E-3</v>
      </c>
      <c r="N73" s="61" t="s">
        <v>573</v>
      </c>
      <c r="O73" s="61" t="s">
        <v>653</v>
      </c>
      <c r="P73" s="61" t="s">
        <v>724</v>
      </c>
      <c r="Q73" s="61" t="str">
        <f t="shared" si="6"/>
        <v>CV1</v>
      </c>
      <c r="R73" s="61" t="s">
        <v>687</v>
      </c>
      <c r="S73" s="65"/>
      <c r="T73" s="256" t="s">
        <v>725</v>
      </c>
      <c r="U73" s="256" t="s">
        <v>680</v>
      </c>
      <c r="V73" s="103">
        <f t="array" ref="V73">IF(V$18,INDEX('AEA2012 update'!$K$6:$R$104,MATCH($T73&amp;$R73,'AEA2012 update'!$A$6:$A$104&amp;'AEA2012 update'!$B$6:$B$104,0),MATCH(V$16,'AEA2012 update'!$S$4:$Z$4,0)),INDEX('AEA2012 update'!$K$6:$R$104,MATCH($T73&amp;$U73,'AEA2012 update'!$A$6:$A$104&amp;'AEA2012 update'!$B$6:$B$104,0),MATCH(V$16,'AEA2012 update'!$S$4:$Z$4,0)))</f>
        <v>312164.0168491315</v>
      </c>
      <c r="W73" s="103">
        <f t="array" ref="W73">IF(W$18,INDEX('AEA2012 update'!$K$6:$R$104,MATCH($T73&amp;$R73,'AEA2012 update'!$A$6:$A$104&amp;'AEA2012 update'!$B$6:$B$104,0),MATCH(W$16,'AEA2012 update'!$S$4:$Z$4,0)),INDEX('AEA2012 update'!$K$6:$R$104,MATCH($T73&amp;$U73,'AEA2012 update'!$A$6:$A$104&amp;'AEA2012 update'!$B$6:$B$104,0),MATCH(W$16,'AEA2012 update'!$S$4:$Z$4,0)))</f>
        <v>375623.26945122989</v>
      </c>
      <c r="X73" s="103">
        <f t="array" ref="X73">IF(X$18,INDEX('AEA2012 update'!$K$6:$R$104,MATCH($T73&amp;$R73,'AEA2012 update'!$A$6:$A$104&amp;'AEA2012 update'!$B$6:$B$104,0),MATCH(X$16,'AEA2012 update'!$S$4:$Z$4,0)),INDEX('AEA2012 update'!$K$6:$R$104,MATCH($T73&amp;$U73,'AEA2012 update'!$A$6:$A$104&amp;'AEA2012 update'!$B$6:$B$104,0),MATCH(X$16,'AEA2012 update'!$S$4:$Z$4,0)))</f>
        <v>387507.90448206</v>
      </c>
      <c r="Y73" s="103">
        <f t="array" ref="Y73">IF(Y$18,INDEX('AEA2012 update'!$K$6:$R$104,MATCH($T73&amp;$R73,'AEA2012 update'!$A$6:$A$104&amp;'AEA2012 update'!$B$6:$B$104,0),MATCH(Y$16,'AEA2012 update'!$S$4:$Z$4,0)),INDEX('AEA2012 update'!$K$6:$R$104,MATCH($T73&amp;$U73,'AEA2012 update'!$A$6:$A$104&amp;'AEA2012 update'!$B$6:$B$104,0),MATCH(Y$16,'AEA2012 update'!$S$4:$Z$4,0)))</f>
        <v>506916.16695508256</v>
      </c>
      <c r="Z73" s="103">
        <f t="array" ref="Z73">IF(Z$18,INDEX('AEA2012 update'!$K$6:$R$104,MATCH($T73&amp;$R73,'AEA2012 update'!$A$6:$A$104&amp;'AEA2012 update'!$B$6:$B$104,0),MATCH(Z$16,'AEA2012 update'!$S$4:$Z$4,0)),INDEX('AEA2012 update'!$K$6:$R$104,MATCH($T73&amp;$U73,'AEA2012 update'!$A$6:$A$104&amp;'AEA2012 update'!$B$6:$B$104,0),MATCH(Z$16,'AEA2012 update'!$S$4:$Z$4,0)))</f>
        <v>520424.31194208184</v>
      </c>
      <c r="AA73" s="103">
        <f t="array" ref="AA73">IF(AA$18,INDEX('AEA2012 update'!$K$6:$R$104,MATCH($T73&amp;$R73,'AEA2012 update'!$A$6:$A$104&amp;'AEA2012 update'!$B$6:$B$104,0),MATCH(AA$16,'AEA2012 update'!$S$4:$Z$4,0)),INDEX('AEA2012 update'!$K$6:$R$104,MATCH($T73&amp;$U73,'AEA2012 update'!$A$6:$A$104&amp;'AEA2012 update'!$B$6:$B$104,0),MATCH(AA$16,'AEA2012 update'!$S$4:$Z$4,0)))</f>
        <v>533932.45692908112</v>
      </c>
      <c r="AB73" s="103">
        <f t="array" ref="AB73">IF(AB$18,INDEX('AEA2012 update'!$K$6:$R$104,MATCH($T73&amp;$R73,'AEA2012 update'!$A$6:$A$104&amp;'AEA2012 update'!$B$6:$B$104,0),MATCH(AB$16,'AEA2012 update'!$S$4:$Z$4,0)),INDEX('AEA2012 update'!$K$6:$R$104,MATCH($T73&amp;$U73,'AEA2012 update'!$A$6:$A$104&amp;'AEA2012 update'!$B$6:$B$104,0),MATCH(AB$16,'AEA2012 update'!$S$4:$Z$4,0)))</f>
        <v>551671.18115070788</v>
      </c>
      <c r="AC73" s="103" t="str">
        <f t="shared" si="11"/>
        <v>CV1OGS</v>
      </c>
      <c r="AD73" s="67">
        <f>1/INDEX(Analytica!$AA$17:$AE$48,MATCH($AC73,Analytica!$A$17:$A$48,0),MATCH(AD$16,Analytica!$AA$16:$AE$16,0))</f>
        <v>6.7130154689796147</v>
      </c>
      <c r="AE73" s="67">
        <f t="array" ref="AE73">IF($W$1,AD73*(1+INDEX(AE$1:AE$2,MATCH($O73,$AA$1:$AA$2,0)))^(AE$16-AD$16),INDEX('AEA2012 update'!$AC$6:$AG$104,MATCH($T73&amp;$U73,'AEA2012 update'!$A$6:$A$104&amp;'AEA2012 update'!$B$6:$B$104,0),MATCH(AE$16,'AEA2012 update'!$AC$4:$AG$4,0)))</f>
        <v>6.6928965549060671</v>
      </c>
      <c r="AF73" s="67">
        <f t="array" ref="AF73">IF($W$1,AE73*(1+INDEX(AF$1:AF$2,MATCH($O73,$AA$1:$AA$2,0)))^(AF$16-AE$16),INDEX('AEA2012 update'!$AC$6:$AG$104,MATCH($T73&amp;$U73,'AEA2012 update'!$A$6:$A$104&amp;'AEA2012 update'!$B$6:$B$104,0),MATCH(AF$16,'AEA2012 update'!$AC$4:$AG$4,0)))</f>
        <v>6.3337656038201411</v>
      </c>
      <c r="AG73" s="67">
        <f t="array" ref="AG73">IF($W$1,AF73*(1+INDEX(AG$1:AG$2,MATCH($O73,$AA$1:$AA$2,0)))^(AG$16-AF$16),INDEX('AEA2012 update'!$AC$6:$AG$104,MATCH($T73&amp;$U73,'AEA2012 update'!$A$6:$A$104&amp;'AEA2012 update'!$B$6:$B$104,0),MATCH(AG$16,'AEA2012 update'!$AC$4:$AG$4,0)))</f>
        <v>5.7281440794022513</v>
      </c>
      <c r="AH73" s="67">
        <f t="array" ref="AH73">IF($W$1,AG73*(1+INDEX(AH$1:AH$2,MATCH($O73,$AA$1:$AA$2,0)))^(AH$16-AG$16),INDEX('AEA2012 update'!$AC$6:$AG$104,MATCH($T73&amp;$U73,'AEA2012 update'!$A$6:$A$104&amp;'AEA2012 update'!$B$6:$B$104,0),MATCH(AH$16,'AEA2012 update'!$AC$4:$AG$4,0)))</f>
        <v>5.1804308284792056</v>
      </c>
      <c r="AI73" s="67"/>
      <c r="AJ73" s="257">
        <f t="shared" si="8"/>
        <v>-9.9900033333334454E-4</v>
      </c>
      <c r="AK73" s="257">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75" thickBot="1" x14ac:dyDescent="0.3">
      <c r="A74" s="268" t="s">
        <v>251</v>
      </c>
      <c r="B74" s="269">
        <v>434</v>
      </c>
      <c r="C74" s="266">
        <f t="shared" si="13"/>
        <v>1.688784293216535E-4</v>
      </c>
      <c r="N74" s="61" t="s">
        <v>501</v>
      </c>
      <c r="O74" s="61" t="s">
        <v>653</v>
      </c>
      <c r="P74" s="61" t="s">
        <v>724</v>
      </c>
      <c r="Q74" s="61" t="str">
        <f t="shared" si="6"/>
        <v>CV1</v>
      </c>
      <c r="R74" s="61" t="s">
        <v>687</v>
      </c>
      <c r="S74" s="65"/>
      <c r="T74" s="256" t="s">
        <v>725</v>
      </c>
      <c r="U74" s="256" t="s">
        <v>692</v>
      </c>
      <c r="V74" s="103">
        <f t="array" ref="V74">IF(V$18,INDEX('AEA2012 update'!$K$6:$R$104,MATCH($T74&amp;$R74,'AEA2012 update'!$A$6:$A$104&amp;'AEA2012 update'!$B$6:$B$104,0),MATCH(V$16,'AEA2012 update'!$S$4:$Z$4,0)),INDEX('AEA2012 update'!$K$6:$R$104,MATCH($T74&amp;$U74,'AEA2012 update'!$A$6:$A$104&amp;'AEA2012 update'!$B$6:$B$104,0),MATCH(V$16,'AEA2012 update'!$S$4:$Z$4,0)))</f>
        <v>1327792.7757726812</v>
      </c>
      <c r="W74" s="103">
        <f t="array" ref="W74">IF(W$18,INDEX('AEA2012 update'!$K$6:$R$104,MATCH($T74&amp;$R74,'AEA2012 update'!$A$6:$A$104&amp;'AEA2012 update'!$B$6:$B$104,0),MATCH(W$16,'AEA2012 update'!$S$4:$Z$4,0)),INDEX('AEA2012 update'!$K$6:$R$104,MATCH($T74&amp;$U74,'AEA2012 update'!$A$6:$A$104&amp;'AEA2012 update'!$B$6:$B$104,0),MATCH(W$16,'AEA2012 update'!$S$4:$Z$4,0)))</f>
        <v>871544.47239677189</v>
      </c>
      <c r="X74" s="103">
        <f t="array" ref="X74">IF(X$18,INDEX('AEA2012 update'!$K$6:$R$104,MATCH($T74&amp;$R74,'AEA2012 update'!$A$6:$A$104&amp;'AEA2012 update'!$B$6:$B$104,0),MATCH(X$16,'AEA2012 update'!$S$4:$Z$4,0)),INDEX('AEA2012 update'!$K$6:$R$104,MATCH($T74&amp;$U74,'AEA2012 update'!$A$6:$A$104&amp;'AEA2012 update'!$B$6:$B$104,0),MATCH(X$16,'AEA2012 update'!$S$4:$Z$4,0)))</f>
        <v>791404.01330598292</v>
      </c>
      <c r="Y74" s="103">
        <f t="array" ref="Y74">IF(Y$18,INDEX('AEA2012 update'!$K$6:$R$104,MATCH($T74&amp;$R74,'AEA2012 update'!$A$6:$A$104&amp;'AEA2012 update'!$B$6:$B$104,0),MATCH(Y$16,'AEA2012 update'!$S$4:$Z$4,0)),INDEX('AEA2012 update'!$K$6:$R$104,MATCH($T74&amp;$U74,'AEA2012 update'!$A$6:$A$104&amp;'AEA2012 update'!$B$6:$B$104,0),MATCH(Y$16,'AEA2012 update'!$S$4:$Z$4,0)))</f>
        <v>506916.16695508256</v>
      </c>
      <c r="Z74" s="103">
        <f t="array" ref="Z74">IF(Z$18,INDEX('AEA2012 update'!$K$6:$R$104,MATCH($T74&amp;$R74,'AEA2012 update'!$A$6:$A$104&amp;'AEA2012 update'!$B$6:$B$104,0),MATCH(Z$16,'AEA2012 update'!$S$4:$Z$4,0)),INDEX('AEA2012 update'!$K$6:$R$104,MATCH($T74&amp;$U74,'AEA2012 update'!$A$6:$A$104&amp;'AEA2012 update'!$B$6:$B$104,0),MATCH(Z$16,'AEA2012 update'!$S$4:$Z$4,0)))</f>
        <v>520424.31194208184</v>
      </c>
      <c r="AA74" s="103">
        <f t="array" ref="AA74">IF(AA$18,INDEX('AEA2012 update'!$K$6:$R$104,MATCH($T74&amp;$R74,'AEA2012 update'!$A$6:$A$104&amp;'AEA2012 update'!$B$6:$B$104,0),MATCH(AA$16,'AEA2012 update'!$S$4:$Z$4,0)),INDEX('AEA2012 update'!$K$6:$R$104,MATCH($T74&amp;$U74,'AEA2012 update'!$A$6:$A$104&amp;'AEA2012 update'!$B$6:$B$104,0),MATCH(AA$16,'AEA2012 update'!$S$4:$Z$4,0)))</f>
        <v>533932.45692908112</v>
      </c>
      <c r="AB74" s="103">
        <f t="array" ref="AB74">IF(AB$18,INDEX('AEA2012 update'!$K$6:$R$104,MATCH($T74&amp;$R74,'AEA2012 update'!$A$6:$A$104&amp;'AEA2012 update'!$B$6:$B$104,0),MATCH(AB$16,'AEA2012 update'!$S$4:$Z$4,0)),INDEX('AEA2012 update'!$K$6:$R$104,MATCH($T74&amp;$U74,'AEA2012 update'!$A$6:$A$104&amp;'AEA2012 update'!$B$6:$B$104,0),MATCH(AB$16,'AEA2012 update'!$S$4:$Z$4,0)))</f>
        <v>551671.18115070788</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 update'!$AC$6:$AG$104,MATCH($T74&amp;$U74,'AEA2012 update'!$A$6:$A$104&amp;'AEA2012 update'!$B$6:$B$104,0),MATCH(AE$16,'AEA2012 update'!$AC$4:$AG$4,0)))</f>
        <v>1.7877509043529869</v>
      </c>
      <c r="AF74" s="67">
        <f t="array" ref="AF74">IF($W$1,AE74*(1+INDEX(AF$1:AF$2,MATCH($O74,$AA$1:$AA$2,0)))^(AF$16-AE$16),INDEX('AEA2012 update'!$AC$6:$AG$104,MATCH($T74&amp;$U74,'AEA2012 update'!$A$6:$A$104&amp;'AEA2012 update'!$B$6:$B$104,0),MATCH(AF$16,'AEA2012 update'!$AC$4:$AG$4,0)))</f>
        <v>1.6918228293681161</v>
      </c>
      <c r="AG74" s="67">
        <f t="array" ref="AG74">IF($W$1,AF74*(1+INDEX(AG$1:AG$2,MATCH($O74,$AA$1:$AA$2,0)))^(AG$16-AF$16),INDEX('AEA2012 update'!$AC$6:$AG$104,MATCH($T74&amp;$U74,'AEA2012 update'!$A$6:$A$104&amp;'AEA2012 update'!$B$6:$B$104,0),MATCH(AG$16,'AEA2012 update'!$AC$4:$AG$4,0)))</f>
        <v>1.530054240971203</v>
      </c>
      <c r="AH74" s="67">
        <f t="array" ref="AH74">IF($W$1,AG74*(1+INDEX(AH$1:AH$2,MATCH($O74,$AA$1:$AA$2,0)))^(AH$16-AG$16),INDEX('AEA2012 update'!$AC$6:$AG$104,MATCH($T74&amp;$U74,'AEA2012 update'!$A$6:$A$104&amp;'AEA2012 update'!$B$6:$B$104,0),MATCH(AH$16,'AEA2012 update'!$AC$4:$AG$4,0)))</f>
        <v>1.3837536293255577</v>
      </c>
      <c r="AI74" s="67"/>
      <c r="AJ74" s="257">
        <f t="shared" si="8"/>
        <v>-9.9900033333332199E-4</v>
      </c>
      <c r="AK74" s="257">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75" thickBot="1" x14ac:dyDescent="0.3">
      <c r="A75" s="268" t="s">
        <v>249</v>
      </c>
      <c r="B75" s="269">
        <v>514</v>
      </c>
      <c r="C75" s="266">
        <f t="shared" si="13"/>
        <v>2.000080937127417E-4</v>
      </c>
      <c r="N75" s="61" t="s">
        <v>504</v>
      </c>
      <c r="O75" s="61" t="s">
        <v>653</v>
      </c>
      <c r="P75" s="61" t="s">
        <v>724</v>
      </c>
      <c r="Q75" s="61" t="str">
        <f t="shared" si="6"/>
        <v>CV1</v>
      </c>
      <c r="R75" s="61" t="s">
        <v>687</v>
      </c>
      <c r="S75" s="65"/>
      <c r="T75" s="256" t="s">
        <v>725</v>
      </c>
      <c r="U75" s="256" t="s">
        <v>699</v>
      </c>
      <c r="V75" s="103">
        <f t="array" ref="V75">IF(V$18,INDEX('AEA2012 update'!$K$6:$R$104,MATCH($T75&amp;$R75,'AEA2012 update'!$A$6:$A$104&amp;'AEA2012 update'!$B$6:$B$104,0),MATCH(V$16,'AEA2012 update'!$S$4:$Z$4,0)),INDEX('AEA2012 update'!$K$6:$R$104,MATCH($T75&amp;$U75,'AEA2012 update'!$A$6:$A$104&amp;'AEA2012 update'!$B$6:$B$104,0),MATCH(V$16,'AEA2012 update'!$S$4:$Z$4,0)))</f>
        <v>2522990.6381765995</v>
      </c>
      <c r="W75" s="103">
        <f t="array" ref="W75">IF(W$18,INDEX('AEA2012 update'!$K$6:$R$104,MATCH($T75&amp;$R75,'AEA2012 update'!$A$6:$A$104&amp;'AEA2012 update'!$B$6:$B$104,0),MATCH(W$16,'AEA2012 update'!$S$4:$Z$4,0)),INDEX('AEA2012 update'!$K$6:$R$104,MATCH($T75&amp;$U75,'AEA2012 update'!$A$6:$A$104&amp;'AEA2012 update'!$B$6:$B$104,0),MATCH(W$16,'AEA2012 update'!$S$4:$Z$4,0)))</f>
        <v>1080982.7502171779</v>
      </c>
      <c r="X75" s="103">
        <f t="array" ref="X75">IF(X$18,INDEX('AEA2012 update'!$K$6:$R$104,MATCH($T75&amp;$R75,'AEA2012 update'!$A$6:$A$104&amp;'AEA2012 update'!$B$6:$B$104,0),MATCH(X$16,'AEA2012 update'!$S$4:$Z$4,0)),INDEX('AEA2012 update'!$K$6:$R$104,MATCH($T75&amp;$U75,'AEA2012 update'!$A$6:$A$104&amp;'AEA2012 update'!$B$6:$B$104,0),MATCH(X$16,'AEA2012 update'!$S$4:$Z$4,0)))</f>
        <v>851672.91194386315</v>
      </c>
      <c r="Y75" s="103">
        <f t="array" ref="Y75">IF(Y$18,INDEX('AEA2012 update'!$K$6:$R$104,MATCH($T75&amp;$R75,'AEA2012 update'!$A$6:$A$104&amp;'AEA2012 update'!$B$6:$B$104,0),MATCH(Y$16,'AEA2012 update'!$S$4:$Z$4,0)),INDEX('AEA2012 update'!$K$6:$R$104,MATCH($T75&amp;$U75,'AEA2012 update'!$A$6:$A$104&amp;'AEA2012 update'!$B$6:$B$104,0),MATCH(Y$16,'AEA2012 update'!$S$4:$Z$4,0)))</f>
        <v>506916.16695508256</v>
      </c>
      <c r="Z75" s="103">
        <f t="array" ref="Z75">IF(Z$18,INDEX('AEA2012 update'!$K$6:$R$104,MATCH($T75&amp;$R75,'AEA2012 update'!$A$6:$A$104&amp;'AEA2012 update'!$B$6:$B$104,0),MATCH(Z$16,'AEA2012 update'!$S$4:$Z$4,0)),INDEX('AEA2012 update'!$K$6:$R$104,MATCH($T75&amp;$U75,'AEA2012 update'!$A$6:$A$104&amp;'AEA2012 update'!$B$6:$B$104,0),MATCH(Z$16,'AEA2012 update'!$S$4:$Z$4,0)))</f>
        <v>520424.31194208184</v>
      </c>
      <c r="AA75" s="103">
        <f t="array" ref="AA75">IF(AA$18,INDEX('AEA2012 update'!$K$6:$R$104,MATCH($T75&amp;$R75,'AEA2012 update'!$A$6:$A$104&amp;'AEA2012 update'!$B$6:$B$104,0),MATCH(AA$16,'AEA2012 update'!$S$4:$Z$4,0)),INDEX('AEA2012 update'!$K$6:$R$104,MATCH($T75&amp;$U75,'AEA2012 update'!$A$6:$A$104&amp;'AEA2012 update'!$B$6:$B$104,0),MATCH(AA$16,'AEA2012 update'!$S$4:$Z$4,0)))</f>
        <v>533932.45692908112</v>
      </c>
      <c r="AB75" s="103">
        <f t="array" ref="AB75">IF(AB$18,INDEX('AEA2012 update'!$K$6:$R$104,MATCH($T75&amp;$R75,'AEA2012 update'!$A$6:$A$104&amp;'AEA2012 update'!$B$6:$B$104,0),MATCH(AB$16,'AEA2012 update'!$S$4:$Z$4,0)),INDEX('AEA2012 update'!$K$6:$R$104,MATCH($T75&amp;$U75,'AEA2012 update'!$A$6:$A$104&amp;'AEA2012 update'!$B$6:$B$104,0),MATCH(AB$16,'AEA2012 update'!$S$4:$Z$4,0)))</f>
        <v>551671.18115070788</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 update'!$AC$6:$AG$104,MATCH($T75&amp;$U75,'AEA2012 update'!$A$6:$A$104&amp;'AEA2012 update'!$B$6:$B$104,0),MATCH(AE$16,'AEA2012 update'!$AC$4:$AG$4,0)))</f>
        <v>2.7600364839133826</v>
      </c>
      <c r="AF75" s="67">
        <f t="array" ref="AF75">IF($W$1,AE75*(1+INDEX(AF$1:AF$2,MATCH($O75,$AA$1:$AA$2,0)))^(AF$16-AE$16),INDEX('AEA2012 update'!$AC$6:$AG$104,MATCH($T75&amp;$U75,'AEA2012 update'!$A$6:$A$104&amp;'AEA2012 update'!$B$6:$B$104,0),MATCH(AF$16,'AEA2012 update'!$AC$4:$AG$4,0)))</f>
        <v>2.6119369997262138</v>
      </c>
      <c r="AG75" s="67">
        <f t="array" ref="AG75">IF($W$1,AF75*(1+INDEX(AG$1:AG$2,MATCH($O75,$AA$1:$AA$2,0)))^(AG$16-AF$16),INDEX('AEA2012 update'!$AC$6:$AG$104,MATCH($T75&amp;$U75,'AEA2012 update'!$A$6:$A$104&amp;'AEA2012 update'!$B$6:$B$104,0),MATCH(AG$16,'AEA2012 update'!$AC$4:$AG$4,0)))</f>
        <v>2.362189003604664</v>
      </c>
      <c r="AH75" s="67">
        <f t="array" ref="AH75">IF($W$1,AG75*(1+INDEX(AH$1:AH$2,MATCH($O75,$AA$1:$AA$2,0)))^(AH$16-AG$16),INDEX('AEA2012 update'!$AC$6:$AG$104,MATCH($T75&amp;$U75,'AEA2012 update'!$A$6:$A$104&amp;'AEA2012 update'!$B$6:$B$104,0),MATCH(AH$16,'AEA2012 update'!$AC$4:$AG$4,0)))</f>
        <v>2.1363213926429658</v>
      </c>
      <c r="AI75" s="67"/>
      <c r="AJ75" s="257">
        <f t="shared" si="8"/>
        <v>-9.990003333333222E-4</v>
      </c>
      <c r="AK75" s="257">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75" thickBot="1" x14ac:dyDescent="0.3">
      <c r="A76" s="270" t="s">
        <v>726</v>
      </c>
      <c r="B76" s="271">
        <f>SUM(B64:B75)</f>
        <v>2569896</v>
      </c>
      <c r="C76" s="272">
        <f>SUM(C64:C75)</f>
        <v>1</v>
      </c>
      <c r="N76" s="61" t="s">
        <v>509</v>
      </c>
      <c r="O76" s="61" t="s">
        <v>653</v>
      </c>
      <c r="P76" s="61" t="s">
        <v>724</v>
      </c>
      <c r="Q76" s="61" t="str">
        <f t="shared" si="6"/>
        <v>CV1</v>
      </c>
      <c r="R76" s="61" t="s">
        <v>687</v>
      </c>
      <c r="S76" s="65"/>
      <c r="T76" s="256" t="s">
        <v>725</v>
      </c>
      <c r="U76" s="256" t="s">
        <v>700</v>
      </c>
      <c r="V76" s="103">
        <f t="array" ref="V76">IF(V$18,INDEX('AEA2012 update'!$K$6:$R$104,MATCH($T76&amp;$R76,'AEA2012 update'!$A$6:$A$104&amp;'AEA2012 update'!$B$6:$B$104,0),MATCH(V$16,'AEA2012 update'!$S$4:$Z$4,0)),INDEX('AEA2012 update'!$K$6:$R$104,MATCH($T76&amp;$U76,'AEA2012 update'!$A$6:$A$104&amp;'AEA2012 update'!$B$6:$B$104,0),MATCH(V$16,'AEA2012 update'!$S$4:$Z$4,0)))</f>
        <v>598309.30679972272</v>
      </c>
      <c r="W76" s="103">
        <f t="array" ref="W76">IF(W$18,INDEX('AEA2012 update'!$K$6:$R$104,MATCH($T76&amp;$R76,'AEA2012 update'!$A$6:$A$104&amp;'AEA2012 update'!$B$6:$B$104,0),MATCH(W$16,'AEA2012 update'!$S$4:$Z$4,0)),INDEX('AEA2012 update'!$K$6:$R$104,MATCH($T76&amp;$U76,'AEA2012 update'!$A$6:$A$104&amp;'AEA2012 update'!$B$6:$B$104,0),MATCH(W$16,'AEA2012 update'!$S$4:$Z$4,0)))</f>
        <v>588990.88834881992</v>
      </c>
      <c r="X76" s="103">
        <f t="array" ref="X76">IF(X$18,INDEX('AEA2012 update'!$K$6:$R$104,MATCH($T76&amp;$R76,'AEA2012 update'!$A$6:$A$104&amp;'AEA2012 update'!$B$6:$B$104,0),MATCH(X$16,'AEA2012 update'!$S$4:$Z$4,0)),INDEX('AEA2012 update'!$K$6:$R$104,MATCH($T76&amp;$U76,'AEA2012 update'!$A$6:$A$104&amp;'AEA2012 update'!$B$6:$B$104,0),MATCH(X$16,'AEA2012 update'!$S$4:$Z$4,0)))</f>
        <v>591035.13773094804</v>
      </c>
      <c r="Y76" s="103">
        <f t="array" ref="Y76">IF(Y$18,INDEX('AEA2012 update'!$K$6:$R$104,MATCH($T76&amp;$R76,'AEA2012 update'!$A$6:$A$104&amp;'AEA2012 update'!$B$6:$B$104,0),MATCH(Y$16,'AEA2012 update'!$S$4:$Z$4,0)),INDEX('AEA2012 update'!$K$6:$R$104,MATCH($T76&amp;$U76,'AEA2012 update'!$A$6:$A$104&amp;'AEA2012 update'!$B$6:$B$104,0),MATCH(Y$16,'AEA2012 update'!$S$4:$Z$4,0)))</f>
        <v>506916.16695508256</v>
      </c>
      <c r="Z76" s="103">
        <f t="array" ref="Z76">IF(Z$18,INDEX('AEA2012 update'!$K$6:$R$104,MATCH($T76&amp;$R76,'AEA2012 update'!$A$6:$A$104&amp;'AEA2012 update'!$B$6:$B$104,0),MATCH(Z$16,'AEA2012 update'!$S$4:$Z$4,0)),INDEX('AEA2012 update'!$K$6:$R$104,MATCH($T76&amp;$U76,'AEA2012 update'!$A$6:$A$104&amp;'AEA2012 update'!$B$6:$B$104,0),MATCH(Z$16,'AEA2012 update'!$S$4:$Z$4,0)))</f>
        <v>520424.31194208184</v>
      </c>
      <c r="AA76" s="103">
        <f t="array" ref="AA76">IF(AA$18,INDEX('AEA2012 update'!$K$6:$R$104,MATCH($T76&amp;$R76,'AEA2012 update'!$A$6:$A$104&amp;'AEA2012 update'!$B$6:$B$104,0),MATCH(AA$16,'AEA2012 update'!$S$4:$Z$4,0)),INDEX('AEA2012 update'!$K$6:$R$104,MATCH($T76&amp;$U76,'AEA2012 update'!$A$6:$A$104&amp;'AEA2012 update'!$B$6:$B$104,0),MATCH(AA$16,'AEA2012 update'!$S$4:$Z$4,0)))</f>
        <v>533932.45692908112</v>
      </c>
      <c r="AB76" s="103">
        <f t="array" ref="AB76">IF(AB$18,INDEX('AEA2012 update'!$K$6:$R$104,MATCH($T76&amp;$R76,'AEA2012 update'!$A$6:$A$104&amp;'AEA2012 update'!$B$6:$B$104,0),MATCH(AB$16,'AEA2012 update'!$S$4:$Z$4,0)),INDEX('AEA2012 update'!$K$6:$R$104,MATCH($T76&amp;$U76,'AEA2012 update'!$A$6:$A$104&amp;'AEA2012 update'!$B$6:$B$104,0),MATCH(AB$16,'AEA2012 update'!$S$4:$Z$4,0)))</f>
        <v>551671.18115070788</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 update'!$AC$6:$AG$104,MATCH($T76&amp;$U76,'AEA2012 update'!$A$6:$A$104&amp;'AEA2012 update'!$B$6:$B$104,0),MATCH(AE$16,'AEA2012 update'!$AC$4:$AG$4,0)))</f>
        <v>6.7315954512848011</v>
      </c>
      <c r="AF76" s="67">
        <f t="array" ref="AF76">IF($W$1,AE76*(1+INDEX(AF$1:AF$2,MATCH($O76,$AA$1:$AA$2,0)))^(AF$16-AE$16),INDEX('AEA2012 update'!$AC$6:$AG$104,MATCH($T76&amp;$U76,'AEA2012 update'!$A$6:$A$104&amp;'AEA2012 update'!$B$6:$B$104,0),MATCH(AF$16,'AEA2012 update'!$AC$4:$AG$4,0)))</f>
        <v>6.3703879745349177</v>
      </c>
      <c r="AG76" s="67">
        <f t="array" ref="AG76">IF($W$1,AF76*(1+INDEX(AG$1:AG$2,MATCH($O76,$AA$1:$AA$2,0)))^(AG$16-AF$16),INDEX('AEA2012 update'!$AC$6:$AG$104,MATCH($T76&amp;$U76,'AEA2012 update'!$A$6:$A$104&amp;'AEA2012 update'!$B$6:$B$104,0),MATCH(AG$16,'AEA2012 update'!$AC$4:$AG$4,0)))</f>
        <v>5.7612646950210227</v>
      </c>
      <c r="AH76" s="67">
        <f t="array" ref="AH76">IF($W$1,AG76*(1+INDEX(AH$1:AH$2,MATCH($O76,$AA$1:$AA$2,0)))^(AH$16-AG$16),INDEX('AEA2012 update'!$AC$6:$AG$104,MATCH($T76&amp;$U76,'AEA2012 update'!$A$6:$A$104&amp;'AEA2012 update'!$B$6:$B$104,0),MATCH(AH$16,'AEA2012 update'!$AC$4:$AG$4,0)))</f>
        <v>5.2103845195580787</v>
      </c>
      <c r="AI76" s="67"/>
      <c r="AJ76" s="257">
        <f t="shared" si="8"/>
        <v>-9.9900033333332372E-4</v>
      </c>
      <c r="AK76" s="257">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77.25" thickBot="1" x14ac:dyDescent="0.3">
      <c r="A77" s="273" t="s">
        <v>727</v>
      </c>
      <c r="B77" s="274"/>
      <c r="C77" s="275"/>
      <c r="O77" s="61" t="s">
        <v>653</v>
      </c>
      <c r="Q77" s="61" t="str">
        <f t="shared" si="6"/>
        <v/>
      </c>
      <c r="S77" s="65"/>
      <c r="T77" s="256"/>
      <c r="U77" s="260"/>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11"/>
        <v/>
      </c>
      <c r="AD77" s="67" t="e">
        <f>1/INDEX(Analytica!$AA$17:$AE$48,MATCH($AC77,Analytica!$A$17:$A$48,0),MATCH(AD$16,Analytica!$AA$16:$AE$16,0))</f>
        <v>#N/A</v>
      </c>
      <c r="AE77" s="67" t="e">
        <f t="array" ref="AE77">IF($W$1,AD77*(1+INDEX(AE$1:AE$2,MATCH($O77,$AA$1:$AA$2,0)))^(AE$16-AD$16),INDEX('AEA2012 update'!$AC$6:$AG$104,MATCH($T77&amp;$U77,'AEA2012 update'!$A$6:$A$104&amp;'AEA2012 update'!$B$6:$B$104,0),MATCH(AE$16,'AEA2012 update'!$AC$4:$AG$4,0)))</f>
        <v>#N/A</v>
      </c>
      <c r="AF77" s="67" t="e">
        <f t="array" ref="AF77">IF($W$1,AE77*(1+INDEX(AF$1:AF$2,MATCH($O77,$AA$1:$AA$2,0)))^(AF$16-AE$16),INDEX('AEA2012 update'!$AC$6:$AG$104,MATCH($T77&amp;$U77,'AEA2012 update'!$A$6:$A$104&amp;'AEA2012 update'!$B$6:$B$104,0),MATCH(AF$16,'AEA2012 update'!$AC$4:$AG$4,0)))</f>
        <v>#N/A</v>
      </c>
      <c r="AG77" s="67" t="e">
        <f t="array" ref="AG77">IF($W$1,AF77*(1+INDEX(AG$1:AG$2,MATCH($O77,$AA$1:$AA$2,0)))^(AG$16-AF$16),INDEX('AEA2012 update'!$AC$6:$AG$104,MATCH($T77&amp;$U77,'AEA2012 update'!$A$6:$A$104&amp;'AEA2012 update'!$B$6:$B$104,0),MATCH(AG$16,'AEA2012 update'!$AC$4:$AG$4,0)))</f>
        <v>#N/A</v>
      </c>
      <c r="AH77" s="67" t="e">
        <f t="array" ref="AH77">IF($W$1,AG77*(1+INDEX(AH$1:AH$2,MATCH($O77,$AA$1:$AA$2,0)))^(AH$16-AG$16),INDEX('AEA2012 update'!$AC$6:$AG$104,MATCH($T77&amp;$U77,'AEA2012 update'!$A$6:$A$104&amp;'AEA2012 update'!$B$6:$B$104,0),MATCH(AH$16,'AEA2012 update'!$AC$4:$AG$4,0)))</f>
        <v>#N/A</v>
      </c>
      <c r="AI77" s="67"/>
      <c r="AJ77" s="257" t="e">
        <f t="shared" si="8"/>
        <v>#N/A</v>
      </c>
      <c r="AK77" s="257"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25">
      <c r="N78" s="61" t="s">
        <v>511</v>
      </c>
      <c r="O78" s="61" t="s">
        <v>653</v>
      </c>
      <c r="P78" s="61" t="s">
        <v>728</v>
      </c>
      <c r="Q78" s="61" t="str">
        <f t="shared" si="6"/>
        <v>CV2</v>
      </c>
      <c r="R78" s="61" t="s">
        <v>687</v>
      </c>
      <c r="S78" s="65"/>
      <c r="T78" s="256" t="s">
        <v>725</v>
      </c>
      <c r="U78" s="256" t="s">
        <v>687</v>
      </c>
      <c r="V78" s="103">
        <f t="array" ref="V78">IF(V$18,INDEX('AEA2012 update'!$K$6:$R$104,MATCH($T78&amp;$R78,'AEA2012 update'!$A$6:$A$104&amp;'AEA2012 update'!$B$6:$B$104,0),MATCH(V$16,'AEA2012 update'!$S$4:$Z$4,0)),INDEX('AEA2012 update'!$K$6:$R$104,MATCH($T78&amp;$U78,'AEA2012 update'!$A$6:$A$104&amp;'AEA2012 update'!$B$6:$B$104,0),MATCH(V$16,'AEA2012 update'!$S$4:$Z$4,0)))</f>
        <v>396204.1631410002</v>
      </c>
      <c r="W78" s="103">
        <f t="array" ref="W78">IF(W$18,INDEX('AEA2012 update'!$K$6:$R$104,MATCH($T78&amp;$R78,'AEA2012 update'!$A$6:$A$104&amp;'AEA2012 update'!$B$6:$B$104,0),MATCH(W$16,'AEA2012 update'!$S$4:$Z$4,0)),INDEX('AEA2012 update'!$K$6:$R$104,MATCH($T78&amp;$U78,'AEA2012 update'!$A$6:$A$104&amp;'AEA2012 update'!$B$6:$B$104,0),MATCH(W$16,'AEA2012 update'!$S$4:$Z$4,0)))</f>
        <v>476747.78352540621</v>
      </c>
      <c r="X78" s="103">
        <f t="array" ref="X78">IF(X$18,INDEX('AEA2012 update'!$K$6:$R$104,MATCH($T78&amp;$R78,'AEA2012 update'!$A$6:$A$104&amp;'AEA2012 update'!$B$6:$B$104,0),MATCH(X$16,'AEA2012 update'!$S$4:$Z$4,0)),INDEX('AEA2012 update'!$K$6:$R$104,MATCH($T78&amp;$U78,'AEA2012 update'!$A$6:$A$104&amp;'AEA2012 update'!$B$6:$B$104,0),MATCH(X$16,'AEA2012 update'!$S$4:$Z$4,0)))</f>
        <v>491831.97524024436</v>
      </c>
      <c r="Y78" s="103">
        <f t="array" ref="Y78">IF(Y$18,INDEX('AEA2012 update'!$K$6:$R$104,MATCH($T78&amp;$R78,'AEA2012 update'!$A$6:$A$104&amp;'AEA2012 update'!$B$6:$B$104,0),MATCH(Y$16,'AEA2012 update'!$S$4:$Z$4,0)),INDEX('AEA2012 update'!$K$6:$R$104,MATCH($T78&amp;$U78,'AEA2012 update'!$A$6:$A$104&amp;'AEA2012 update'!$B$6:$B$104,0),MATCH(Y$16,'AEA2012 update'!$S$4:$Z$4,0)))</f>
        <v>506916.16695508256</v>
      </c>
      <c r="Z78" s="103">
        <f t="array" ref="Z78">IF(Z$18,INDEX('AEA2012 update'!$K$6:$R$104,MATCH($T78&amp;$R78,'AEA2012 update'!$A$6:$A$104&amp;'AEA2012 update'!$B$6:$B$104,0),MATCH(Z$16,'AEA2012 update'!$S$4:$Z$4,0)),INDEX('AEA2012 update'!$K$6:$R$104,MATCH($T78&amp;$U78,'AEA2012 update'!$A$6:$A$104&amp;'AEA2012 update'!$B$6:$B$104,0),MATCH(Z$16,'AEA2012 update'!$S$4:$Z$4,0)))</f>
        <v>520424.31194208184</v>
      </c>
      <c r="AA78" s="103">
        <f t="array" ref="AA78">IF(AA$18,INDEX('AEA2012 update'!$K$6:$R$104,MATCH($T78&amp;$R78,'AEA2012 update'!$A$6:$A$104&amp;'AEA2012 update'!$B$6:$B$104,0),MATCH(AA$16,'AEA2012 update'!$S$4:$Z$4,0)),INDEX('AEA2012 update'!$K$6:$R$104,MATCH($T78&amp;$U78,'AEA2012 update'!$A$6:$A$104&amp;'AEA2012 update'!$B$6:$B$104,0),MATCH(AA$16,'AEA2012 update'!$S$4:$Z$4,0)))</f>
        <v>533932.45692908112</v>
      </c>
      <c r="AB78" s="103">
        <f t="array" ref="AB78">IF(AB$18,INDEX('AEA2012 update'!$K$6:$R$104,MATCH($T78&amp;$R78,'AEA2012 update'!$A$6:$A$104&amp;'AEA2012 update'!$B$6:$B$104,0),MATCH(AB$16,'AEA2012 update'!$S$4:$Z$4,0)),INDEX('AEA2012 update'!$K$6:$R$104,MATCH($T78&amp;$U78,'AEA2012 update'!$A$6:$A$104&amp;'AEA2012 update'!$B$6:$B$104,0),MATCH(AB$16,'AEA2012 update'!$S$4:$Z$4,0)))</f>
        <v>551671.18115070788</v>
      </c>
      <c r="AC78" s="103" t="str">
        <f t="shared" si="11"/>
        <v>CV2ODS</v>
      </c>
      <c r="AD78" s="67">
        <f>1/INDEX(Analytica!$AA$17:$AE$48,MATCH($AC78,Analytica!$A$17:$A$48,0),MATCH(AD$16,Analytica!$AA$16:$AE$16,0))</f>
        <v>7.3296679530566031</v>
      </c>
      <c r="AE78" s="67">
        <f t="array" ref="AE78">IF($W$1,AD78*(1+INDEX(AE$1:AE$2,MATCH($O78,$AA$1:$AA$2,0)))^(AE$16-AD$16),INDEX('AEA2012 update'!$AC$6:$AG$104,MATCH($T78&amp;$U78,'AEA2012 update'!$A$6:$A$104&amp;'AEA2012 update'!$B$6:$B$104,0),MATCH(AE$16,'AEA2012 update'!$AC$4:$AG$4,0)))</f>
        <v>7.3077009308716248</v>
      </c>
      <c r="AF78" s="67">
        <f t="array" ref="AF78">IF($W$1,AE78*(1+INDEX(AF$1:AF$2,MATCH($O78,$AA$1:$AA$2,0)))^(AF$16-AE$16),INDEX('AEA2012 update'!$AC$6:$AG$104,MATCH($T78&amp;$U78,'AEA2012 update'!$A$6:$A$104&amp;'AEA2012 update'!$B$6:$B$104,0),MATCH(AF$16,'AEA2012 update'!$AC$4:$AG$4,0)))</f>
        <v>6.9155804843615609</v>
      </c>
      <c r="AG78" s="67">
        <f t="array" ref="AG78">IF($W$1,AF78*(1+INDEX(AG$1:AG$2,MATCH($O78,$AA$1:$AA$2,0)))^(AG$16-AF$16),INDEX('AEA2012 update'!$AC$6:$AG$104,MATCH($T78&amp;$U78,'AEA2012 update'!$A$6:$A$104&amp;'AEA2012 update'!$B$6:$B$104,0),MATCH(AG$16,'AEA2012 update'!$AC$4:$AG$4,0)))</f>
        <v>6.2543270283373005</v>
      </c>
      <c r="AH78" s="67">
        <f t="array" ref="AH78">IF($W$1,AG78*(1+INDEX(AH$1:AH$2,MATCH($O78,$AA$1:$AA$2,0)))^(AH$16-AG$16),INDEX('AEA2012 update'!$AC$6:$AG$104,MATCH($T78&amp;$U78,'AEA2012 update'!$A$6:$A$104&amp;'AEA2012 update'!$B$6:$B$104,0),MATCH(AH$16,'AEA2012 update'!$AC$4:$AG$4,0)))</f>
        <v>5.6563012556713366</v>
      </c>
      <c r="AI78" s="67"/>
      <c r="AJ78" s="257">
        <f t="shared" si="8"/>
        <v>-9.9900033333332307E-4</v>
      </c>
      <c r="AK78" s="257">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25">
      <c r="N79" s="61" t="s">
        <v>501</v>
      </c>
      <c r="O79" s="61" t="s">
        <v>653</v>
      </c>
      <c r="P79" s="61" t="s">
        <v>728</v>
      </c>
      <c r="Q79" s="61" t="str">
        <f t="shared" si="6"/>
        <v>CV2</v>
      </c>
      <c r="R79" s="61" t="s">
        <v>687</v>
      </c>
      <c r="S79" s="65"/>
      <c r="T79" s="256" t="s">
        <v>725</v>
      </c>
      <c r="U79" s="256" t="s">
        <v>692</v>
      </c>
      <c r="V79" s="103">
        <f t="array" ref="V79">IF(V$18,INDEX('AEA2012 update'!$K$6:$R$104,MATCH($T79&amp;$R79,'AEA2012 update'!$A$6:$A$104&amp;'AEA2012 update'!$B$6:$B$104,0),MATCH(V$16,'AEA2012 update'!$S$4:$Z$4,0)),INDEX('AEA2012 update'!$K$6:$R$104,MATCH($T79&amp;$U79,'AEA2012 update'!$A$6:$A$104&amp;'AEA2012 update'!$B$6:$B$104,0),MATCH(V$16,'AEA2012 update'!$S$4:$Z$4,0)))</f>
        <v>1327792.7757726812</v>
      </c>
      <c r="W79" s="103">
        <f t="array" ref="W79">IF(W$18,INDEX('AEA2012 update'!$K$6:$R$104,MATCH($T79&amp;$R79,'AEA2012 update'!$A$6:$A$104&amp;'AEA2012 update'!$B$6:$B$104,0),MATCH(W$16,'AEA2012 update'!$S$4:$Z$4,0)),INDEX('AEA2012 update'!$K$6:$R$104,MATCH($T79&amp;$U79,'AEA2012 update'!$A$6:$A$104&amp;'AEA2012 update'!$B$6:$B$104,0),MATCH(W$16,'AEA2012 update'!$S$4:$Z$4,0)))</f>
        <v>871544.47239677189</v>
      </c>
      <c r="X79" s="103">
        <f t="array" ref="X79">IF(X$18,INDEX('AEA2012 update'!$K$6:$R$104,MATCH($T79&amp;$R79,'AEA2012 update'!$A$6:$A$104&amp;'AEA2012 update'!$B$6:$B$104,0),MATCH(X$16,'AEA2012 update'!$S$4:$Z$4,0)),INDEX('AEA2012 update'!$K$6:$R$104,MATCH($T79&amp;$U79,'AEA2012 update'!$A$6:$A$104&amp;'AEA2012 update'!$B$6:$B$104,0),MATCH(X$16,'AEA2012 update'!$S$4:$Z$4,0)))</f>
        <v>791404.01330598292</v>
      </c>
      <c r="Y79" s="103">
        <f t="array" ref="Y79">IF(Y$18,INDEX('AEA2012 update'!$K$6:$R$104,MATCH($T79&amp;$R79,'AEA2012 update'!$A$6:$A$104&amp;'AEA2012 update'!$B$6:$B$104,0),MATCH(Y$16,'AEA2012 update'!$S$4:$Z$4,0)),INDEX('AEA2012 update'!$K$6:$R$104,MATCH($T79&amp;$U79,'AEA2012 update'!$A$6:$A$104&amp;'AEA2012 update'!$B$6:$B$104,0),MATCH(Y$16,'AEA2012 update'!$S$4:$Z$4,0)))</f>
        <v>506916.16695508256</v>
      </c>
      <c r="Z79" s="103">
        <f t="array" ref="Z79">IF(Z$18,INDEX('AEA2012 update'!$K$6:$R$104,MATCH($T79&amp;$R79,'AEA2012 update'!$A$6:$A$104&amp;'AEA2012 update'!$B$6:$B$104,0),MATCH(Z$16,'AEA2012 update'!$S$4:$Z$4,0)),INDEX('AEA2012 update'!$K$6:$R$104,MATCH($T79&amp;$U79,'AEA2012 update'!$A$6:$A$104&amp;'AEA2012 update'!$B$6:$B$104,0),MATCH(Z$16,'AEA2012 update'!$S$4:$Z$4,0)))</f>
        <v>520424.31194208184</v>
      </c>
      <c r="AA79" s="103">
        <f t="array" ref="AA79">IF(AA$18,INDEX('AEA2012 update'!$K$6:$R$104,MATCH($T79&amp;$R79,'AEA2012 update'!$A$6:$A$104&amp;'AEA2012 update'!$B$6:$B$104,0),MATCH(AA$16,'AEA2012 update'!$S$4:$Z$4,0)),INDEX('AEA2012 update'!$K$6:$R$104,MATCH($T79&amp;$U79,'AEA2012 update'!$A$6:$A$104&amp;'AEA2012 update'!$B$6:$B$104,0),MATCH(AA$16,'AEA2012 update'!$S$4:$Z$4,0)))</f>
        <v>533932.45692908112</v>
      </c>
      <c r="AB79" s="103">
        <f t="array" ref="AB79">IF(AB$18,INDEX('AEA2012 update'!$K$6:$R$104,MATCH($T79&amp;$R79,'AEA2012 update'!$A$6:$A$104&amp;'AEA2012 update'!$B$6:$B$104,0),MATCH(AB$16,'AEA2012 update'!$S$4:$Z$4,0)),INDEX('AEA2012 update'!$K$6:$R$104,MATCH($T79&amp;$U79,'AEA2012 update'!$A$6:$A$104&amp;'AEA2012 update'!$B$6:$B$104,0),MATCH(AB$16,'AEA2012 update'!$S$4:$Z$4,0)))</f>
        <v>551671.18115070788</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 update'!$AC$6:$AG$104,MATCH($T79&amp;$U79,'AEA2012 update'!$A$6:$A$104&amp;'AEA2012 update'!$B$6:$B$104,0),MATCH(AE$16,'AEA2012 update'!$AC$4:$AG$4,0)))</f>
        <v>2.231863367134673</v>
      </c>
      <c r="AF79" s="67">
        <f t="array" ref="AF79">IF($W$1,AE79*(1+INDEX(AF$1:AF$2,MATCH($O79,$AA$1:$AA$2,0)))^(AF$16-AE$16),INDEX('AEA2012 update'!$AC$6:$AG$104,MATCH($T79&amp;$U79,'AEA2012 update'!$A$6:$A$104&amp;'AEA2012 update'!$B$6:$B$104,0),MATCH(AF$16,'AEA2012 update'!$AC$4:$AG$4,0)))</f>
        <v>2.1121048728628065</v>
      </c>
      <c r="AG79" s="67">
        <f t="array" ref="AG79">IF($W$1,AF79*(1+INDEX(AG$1:AG$2,MATCH($O79,$AA$1:$AA$2,0)))^(AG$16-AF$16),INDEX('AEA2012 update'!$AC$6:$AG$104,MATCH($T79&amp;$U79,'AEA2012 update'!$A$6:$A$104&amp;'AEA2012 update'!$B$6:$B$104,0),MATCH(AG$16,'AEA2012 update'!$AC$4:$AG$4,0)))</f>
        <v>1.9101497875558717</v>
      </c>
      <c r="AH79" s="67">
        <f t="array" ref="AH79">IF($W$1,AG79*(1+INDEX(AH$1:AH$2,MATCH($O79,$AA$1:$AA$2,0)))^(AH$16-AG$16),INDEX('AEA2012 update'!$AC$6:$AG$104,MATCH($T79&amp;$U79,'AEA2012 update'!$A$6:$A$104&amp;'AEA2012 update'!$B$6:$B$104,0),MATCH(AH$16,'AEA2012 update'!$AC$4:$AG$4,0)))</f>
        <v>1.7275052284474059</v>
      </c>
      <c r="AI79" s="67"/>
      <c r="AJ79" s="257">
        <f t="shared" si="8"/>
        <v>-9.9900033333336384E-4</v>
      </c>
      <c r="AK79" s="257">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25">
      <c r="A80" s="61" t="s">
        <v>729</v>
      </c>
      <c r="N80" s="61" t="s">
        <v>504</v>
      </c>
      <c r="O80" s="61" t="s">
        <v>653</v>
      </c>
      <c r="P80" s="61" t="s">
        <v>728</v>
      </c>
      <c r="Q80" s="61" t="str">
        <f t="shared" si="6"/>
        <v>CV2</v>
      </c>
      <c r="R80" s="61" t="s">
        <v>687</v>
      </c>
      <c r="S80" s="65"/>
      <c r="T80" s="256" t="s">
        <v>725</v>
      </c>
      <c r="U80" s="256" t="s">
        <v>699</v>
      </c>
      <c r="V80" s="103">
        <f t="array" ref="V80">IF(V$18,INDEX('AEA2012 update'!$K$6:$R$104,MATCH($T80&amp;$R80,'AEA2012 update'!$A$6:$A$104&amp;'AEA2012 update'!$B$6:$B$104,0),MATCH(V$16,'AEA2012 update'!$S$4:$Z$4,0)),INDEX('AEA2012 update'!$K$6:$R$104,MATCH($T80&amp;$U80,'AEA2012 update'!$A$6:$A$104&amp;'AEA2012 update'!$B$6:$B$104,0),MATCH(V$16,'AEA2012 update'!$S$4:$Z$4,0)))</f>
        <v>2522990.6381765995</v>
      </c>
      <c r="W80" s="103">
        <f t="array" ref="W80">IF(W$18,INDEX('AEA2012 update'!$K$6:$R$104,MATCH($T80&amp;$R80,'AEA2012 update'!$A$6:$A$104&amp;'AEA2012 update'!$B$6:$B$104,0),MATCH(W$16,'AEA2012 update'!$S$4:$Z$4,0)),INDEX('AEA2012 update'!$K$6:$R$104,MATCH($T80&amp;$U80,'AEA2012 update'!$A$6:$A$104&amp;'AEA2012 update'!$B$6:$B$104,0),MATCH(W$16,'AEA2012 update'!$S$4:$Z$4,0)))</f>
        <v>1080982.7502171779</v>
      </c>
      <c r="X80" s="103">
        <f t="array" ref="X80">IF(X$18,INDEX('AEA2012 update'!$K$6:$R$104,MATCH($T80&amp;$R80,'AEA2012 update'!$A$6:$A$104&amp;'AEA2012 update'!$B$6:$B$104,0),MATCH(X$16,'AEA2012 update'!$S$4:$Z$4,0)),INDEX('AEA2012 update'!$K$6:$R$104,MATCH($T80&amp;$U80,'AEA2012 update'!$A$6:$A$104&amp;'AEA2012 update'!$B$6:$B$104,0),MATCH(X$16,'AEA2012 update'!$S$4:$Z$4,0)))</f>
        <v>851672.91194386315</v>
      </c>
      <c r="Y80" s="103">
        <f t="array" ref="Y80">IF(Y$18,INDEX('AEA2012 update'!$K$6:$R$104,MATCH($T80&amp;$R80,'AEA2012 update'!$A$6:$A$104&amp;'AEA2012 update'!$B$6:$B$104,0),MATCH(Y$16,'AEA2012 update'!$S$4:$Z$4,0)),INDEX('AEA2012 update'!$K$6:$R$104,MATCH($T80&amp;$U80,'AEA2012 update'!$A$6:$A$104&amp;'AEA2012 update'!$B$6:$B$104,0),MATCH(Y$16,'AEA2012 update'!$S$4:$Z$4,0)))</f>
        <v>506916.16695508256</v>
      </c>
      <c r="Z80" s="103">
        <f t="array" ref="Z80">IF(Z$18,INDEX('AEA2012 update'!$K$6:$R$104,MATCH($T80&amp;$R80,'AEA2012 update'!$A$6:$A$104&amp;'AEA2012 update'!$B$6:$B$104,0),MATCH(Z$16,'AEA2012 update'!$S$4:$Z$4,0)),INDEX('AEA2012 update'!$K$6:$R$104,MATCH($T80&amp;$U80,'AEA2012 update'!$A$6:$A$104&amp;'AEA2012 update'!$B$6:$B$104,0),MATCH(Z$16,'AEA2012 update'!$S$4:$Z$4,0)))</f>
        <v>520424.31194208184</v>
      </c>
      <c r="AA80" s="103">
        <f t="array" ref="AA80">IF(AA$18,INDEX('AEA2012 update'!$K$6:$R$104,MATCH($T80&amp;$R80,'AEA2012 update'!$A$6:$A$104&amp;'AEA2012 update'!$B$6:$B$104,0),MATCH(AA$16,'AEA2012 update'!$S$4:$Z$4,0)),INDEX('AEA2012 update'!$K$6:$R$104,MATCH($T80&amp;$U80,'AEA2012 update'!$A$6:$A$104&amp;'AEA2012 update'!$B$6:$B$104,0),MATCH(AA$16,'AEA2012 update'!$S$4:$Z$4,0)))</f>
        <v>533932.45692908112</v>
      </c>
      <c r="AB80" s="103">
        <f t="array" ref="AB80">IF(AB$18,INDEX('AEA2012 update'!$K$6:$R$104,MATCH($T80&amp;$R80,'AEA2012 update'!$A$6:$A$104&amp;'AEA2012 update'!$B$6:$B$104,0),MATCH(AB$16,'AEA2012 update'!$S$4:$Z$4,0)),INDEX('AEA2012 update'!$K$6:$R$104,MATCH($T80&amp;$U80,'AEA2012 update'!$A$6:$A$104&amp;'AEA2012 update'!$B$6:$B$104,0),MATCH(AB$16,'AEA2012 update'!$S$4:$Z$4,0)))</f>
        <v>551671.18115070788</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 update'!$AC$6:$AG$104,MATCH($T80&amp;$U80,'AEA2012 update'!$A$6:$A$104&amp;'AEA2012 update'!$B$6:$B$104,0),MATCH(AE$16,'AEA2012 update'!$AC$4:$AG$4,0)))</f>
        <v>3.4456837948745824</v>
      </c>
      <c r="AF80" s="67">
        <f t="array" ref="AF80">IF($W$1,AE80*(1+INDEX(AF$1:AF$2,MATCH($O80,$AA$1:$AA$2,0)))^(AF$16-AE$16),INDEX('AEA2012 update'!$AC$6:$AG$104,MATCH($T80&amp;$U80,'AEA2012 update'!$A$6:$A$104&amp;'AEA2012 update'!$B$6:$B$104,0),MATCH(AF$16,'AEA2012 update'!$AC$4:$AG$4,0)))</f>
        <v>3.260793487928543</v>
      </c>
      <c r="AG80" s="67">
        <f t="array" ref="AG80">IF($W$1,AF80*(1+INDEX(AG$1:AG$2,MATCH($O80,$AA$1:$AA$2,0)))^(AG$16-AF$16),INDEX('AEA2012 update'!$AC$6:$AG$104,MATCH($T80&amp;$U80,'AEA2012 update'!$A$6:$A$104&amp;'AEA2012 update'!$B$6:$B$104,0),MATCH(AG$16,'AEA2012 update'!$AC$4:$AG$4,0)))</f>
        <v>2.9490031807880119</v>
      </c>
      <c r="AH80" s="67">
        <f t="array" ref="AH80">IF($W$1,AG80*(1+INDEX(AH$1:AH$2,MATCH($O80,$AA$1:$AA$2,0)))^(AH$16-AG$16),INDEX('AEA2012 update'!$AC$6:$AG$104,MATCH($T80&amp;$U80,'AEA2012 update'!$A$6:$A$104&amp;'AEA2012 update'!$B$6:$B$104,0),MATCH(AH$16,'AEA2012 update'!$AC$4:$AG$4,0)))</f>
        <v>2.6670256158486261</v>
      </c>
      <c r="AI80" s="67"/>
      <c r="AJ80" s="257">
        <f t="shared" si="8"/>
        <v>-9.9900033333334302E-4</v>
      </c>
      <c r="AK80" s="257">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25">
      <c r="D81" s="61">
        <v>2012</v>
      </c>
      <c r="N81" s="61" t="s">
        <v>509</v>
      </c>
      <c r="O81" s="61" t="s">
        <v>653</v>
      </c>
      <c r="P81" s="61" t="s">
        <v>728</v>
      </c>
      <c r="Q81" s="61" t="str">
        <f t="shared" si="6"/>
        <v>CV2</v>
      </c>
      <c r="R81" s="61" t="s">
        <v>687</v>
      </c>
      <c r="S81" s="65"/>
      <c r="T81" s="256" t="s">
        <v>725</v>
      </c>
      <c r="U81" s="256" t="s">
        <v>700</v>
      </c>
      <c r="V81" s="103">
        <f t="array" ref="V81">IF(V$18,INDEX('AEA2012 update'!$K$6:$R$104,MATCH($T81&amp;$R81,'AEA2012 update'!$A$6:$A$104&amp;'AEA2012 update'!$B$6:$B$104,0),MATCH(V$16,'AEA2012 update'!$S$4:$Z$4,0)),INDEX('AEA2012 update'!$K$6:$R$104,MATCH($T81&amp;$U81,'AEA2012 update'!$A$6:$A$104&amp;'AEA2012 update'!$B$6:$B$104,0),MATCH(V$16,'AEA2012 update'!$S$4:$Z$4,0)))</f>
        <v>598309.30679972272</v>
      </c>
      <c r="W81" s="103">
        <f t="array" ref="W81">IF(W$18,INDEX('AEA2012 update'!$K$6:$R$104,MATCH($T81&amp;$R81,'AEA2012 update'!$A$6:$A$104&amp;'AEA2012 update'!$B$6:$B$104,0),MATCH(W$16,'AEA2012 update'!$S$4:$Z$4,0)),INDEX('AEA2012 update'!$K$6:$R$104,MATCH($T81&amp;$U81,'AEA2012 update'!$A$6:$A$104&amp;'AEA2012 update'!$B$6:$B$104,0),MATCH(W$16,'AEA2012 update'!$S$4:$Z$4,0)))</f>
        <v>588990.88834881992</v>
      </c>
      <c r="X81" s="103">
        <f t="array" ref="X81">IF(X$18,INDEX('AEA2012 update'!$K$6:$R$104,MATCH($T81&amp;$R81,'AEA2012 update'!$A$6:$A$104&amp;'AEA2012 update'!$B$6:$B$104,0),MATCH(X$16,'AEA2012 update'!$S$4:$Z$4,0)),INDEX('AEA2012 update'!$K$6:$R$104,MATCH($T81&amp;$U81,'AEA2012 update'!$A$6:$A$104&amp;'AEA2012 update'!$B$6:$B$104,0),MATCH(X$16,'AEA2012 update'!$S$4:$Z$4,0)))</f>
        <v>591035.13773094804</v>
      </c>
      <c r="Y81" s="103">
        <f t="array" ref="Y81">IF(Y$18,INDEX('AEA2012 update'!$K$6:$R$104,MATCH($T81&amp;$R81,'AEA2012 update'!$A$6:$A$104&amp;'AEA2012 update'!$B$6:$B$104,0),MATCH(Y$16,'AEA2012 update'!$S$4:$Z$4,0)),INDEX('AEA2012 update'!$K$6:$R$104,MATCH($T81&amp;$U81,'AEA2012 update'!$A$6:$A$104&amp;'AEA2012 update'!$B$6:$B$104,0),MATCH(Y$16,'AEA2012 update'!$S$4:$Z$4,0)))</f>
        <v>506916.16695508256</v>
      </c>
      <c r="Z81" s="103">
        <f t="array" ref="Z81">IF(Z$18,INDEX('AEA2012 update'!$K$6:$R$104,MATCH($T81&amp;$R81,'AEA2012 update'!$A$6:$A$104&amp;'AEA2012 update'!$B$6:$B$104,0),MATCH(Z$16,'AEA2012 update'!$S$4:$Z$4,0)),INDEX('AEA2012 update'!$K$6:$R$104,MATCH($T81&amp;$U81,'AEA2012 update'!$A$6:$A$104&amp;'AEA2012 update'!$B$6:$B$104,0),MATCH(Z$16,'AEA2012 update'!$S$4:$Z$4,0)))</f>
        <v>520424.31194208184</v>
      </c>
      <c r="AA81" s="103">
        <f t="array" ref="AA81">IF(AA$18,INDEX('AEA2012 update'!$K$6:$R$104,MATCH($T81&amp;$R81,'AEA2012 update'!$A$6:$A$104&amp;'AEA2012 update'!$B$6:$B$104,0),MATCH(AA$16,'AEA2012 update'!$S$4:$Z$4,0)),INDEX('AEA2012 update'!$K$6:$R$104,MATCH($T81&amp;$U81,'AEA2012 update'!$A$6:$A$104&amp;'AEA2012 update'!$B$6:$B$104,0),MATCH(AA$16,'AEA2012 update'!$S$4:$Z$4,0)))</f>
        <v>533932.45692908112</v>
      </c>
      <c r="AB81" s="103">
        <f t="array" ref="AB81">IF(AB$18,INDEX('AEA2012 update'!$K$6:$R$104,MATCH($T81&amp;$R81,'AEA2012 update'!$A$6:$A$104&amp;'AEA2012 update'!$B$6:$B$104,0),MATCH(AB$16,'AEA2012 update'!$S$4:$Z$4,0)),INDEX('AEA2012 update'!$K$6:$R$104,MATCH($T81&amp;$U81,'AEA2012 update'!$A$6:$A$104&amp;'AEA2012 update'!$B$6:$B$104,0),MATCH(AB$16,'AEA2012 update'!$S$4:$Z$4,0)))</f>
        <v>551671.18115070788</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 update'!$AC$6:$AG$104,MATCH($T81&amp;$U81,'AEA2012 update'!$A$6:$A$104&amp;'AEA2012 update'!$B$6:$B$104,0),MATCH(AE$16,'AEA2012 update'!$AC$4:$AG$4,0)))</f>
        <v>8.4038560705023677</v>
      </c>
      <c r="AF81" s="67">
        <f t="array" ref="AF81">IF($W$1,AE81*(1+INDEX(AF$1:AF$2,MATCH($O81,$AA$1:$AA$2,0)))^(AF$16-AE$16),INDEX('AEA2012 update'!$AC$6:$AG$104,MATCH($T81&amp;$U81,'AEA2012 update'!$A$6:$A$104&amp;'AEA2012 update'!$B$6:$B$104,0),MATCH(AF$16,'AEA2012 update'!$AC$4:$AG$4,0)))</f>
        <v>7.9529175570157946</v>
      </c>
      <c r="AG81" s="67">
        <f t="array" ref="AG81">IF($W$1,AF81*(1+INDEX(AG$1:AG$2,MATCH($O81,$AA$1:$AA$2,0)))^(AG$16-AF$16),INDEX('AEA2012 update'!$AC$6:$AG$104,MATCH($T81&amp;$U81,'AEA2012 update'!$A$6:$A$104&amp;'AEA2012 update'!$B$6:$B$104,0),MATCH(AG$16,'AEA2012 update'!$AC$4:$AG$4,0)))</f>
        <v>7.1924760825878948</v>
      </c>
      <c r="AH81" s="67">
        <f t="array" ref="AH81">IF($W$1,AG81*(1+INDEX(AH$1:AH$2,MATCH($O81,$AA$1:$AA$2,0)))^(AH$16-AG$16),INDEX('AEA2012 update'!$AC$6:$AG$104,MATCH($T81&amp;$U81,'AEA2012 update'!$A$6:$A$104&amp;'AEA2012 update'!$B$6:$B$104,0),MATCH(AH$16,'AEA2012 update'!$AC$4:$AG$4,0)))</f>
        <v>6.5047464440220368</v>
      </c>
      <c r="AI81" s="67"/>
      <c r="AJ81" s="257">
        <f t="shared" si="8"/>
        <v>-9.9900033333330399E-4</v>
      </c>
      <c r="AK81" s="257">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25">
      <c r="A82" s="61" t="s">
        <v>730</v>
      </c>
      <c r="C82" s="276">
        <f>SUM(C68:C75)</f>
        <v>7.6563798690686316E-2</v>
      </c>
      <c r="D82" s="277">
        <f>D58-D91</f>
        <v>0</v>
      </c>
      <c r="O82" s="61" t="s">
        <v>653</v>
      </c>
      <c r="Q82" s="61" t="str">
        <f t="shared" si="6"/>
        <v/>
      </c>
      <c r="S82" s="65"/>
      <c r="T82" s="256"/>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11"/>
        <v/>
      </c>
      <c r="AD82" s="67" t="e">
        <f>1/INDEX(Analytica!$AA$17:$AE$48,MATCH($AC82,Analytica!$A$17:$A$48,0),MATCH(AD$16,Analytica!$AA$16:$AE$16,0))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57" t="e">
        <f t="shared" si="8"/>
        <v>#N/A</v>
      </c>
      <c r="AK82" s="257"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2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56" t="s">
        <v>725</v>
      </c>
      <c r="U83" s="256" t="s">
        <v>687</v>
      </c>
      <c r="V83" s="103">
        <f t="array" ref="V83">IF(V$18,INDEX('AEA2012 update'!$K$6:$R$104,MATCH($T83&amp;$R83,'AEA2012 update'!$A$6:$A$104&amp;'AEA2012 update'!$B$6:$B$104,0),MATCH(V$16,'AEA2012 update'!$S$4:$Z$4,0)),INDEX('AEA2012 update'!$K$6:$R$104,MATCH($T83&amp;$U83,'AEA2012 update'!$A$6:$A$104&amp;'AEA2012 update'!$B$6:$B$104,0),MATCH(V$16,'AEA2012 update'!$S$4:$Z$4,0)))</f>
        <v>396204.1631410002</v>
      </c>
      <c r="W83" s="103">
        <f t="array" ref="W83">IF(W$18,INDEX('AEA2012 update'!$K$6:$R$104,MATCH($T83&amp;$R83,'AEA2012 update'!$A$6:$A$104&amp;'AEA2012 update'!$B$6:$B$104,0),MATCH(W$16,'AEA2012 update'!$S$4:$Z$4,0)),INDEX('AEA2012 update'!$K$6:$R$104,MATCH($T83&amp;$U83,'AEA2012 update'!$A$6:$A$104&amp;'AEA2012 update'!$B$6:$B$104,0),MATCH(W$16,'AEA2012 update'!$S$4:$Z$4,0)))</f>
        <v>476747.78352540621</v>
      </c>
      <c r="X83" s="103">
        <f t="array" ref="X83">IF(X$18,INDEX('AEA2012 update'!$K$6:$R$104,MATCH($T83&amp;$R83,'AEA2012 update'!$A$6:$A$104&amp;'AEA2012 update'!$B$6:$B$104,0),MATCH(X$16,'AEA2012 update'!$S$4:$Z$4,0)),INDEX('AEA2012 update'!$K$6:$R$104,MATCH($T83&amp;$U83,'AEA2012 update'!$A$6:$A$104&amp;'AEA2012 update'!$B$6:$B$104,0),MATCH(X$16,'AEA2012 update'!$S$4:$Z$4,0)))</f>
        <v>491831.97524024436</v>
      </c>
      <c r="Y83" s="103">
        <f t="array" ref="Y83">IF(Y$18,INDEX('AEA2012 update'!$K$6:$R$104,MATCH($T83&amp;$R83,'AEA2012 update'!$A$6:$A$104&amp;'AEA2012 update'!$B$6:$B$104,0),MATCH(Y$16,'AEA2012 update'!$S$4:$Z$4,0)),INDEX('AEA2012 update'!$K$6:$R$104,MATCH($T83&amp;$U83,'AEA2012 update'!$A$6:$A$104&amp;'AEA2012 update'!$B$6:$B$104,0),MATCH(Y$16,'AEA2012 update'!$S$4:$Z$4,0)))</f>
        <v>506916.16695508256</v>
      </c>
      <c r="Z83" s="103">
        <f t="array" ref="Z83">IF(Z$18,INDEX('AEA2012 update'!$K$6:$R$104,MATCH($T83&amp;$R83,'AEA2012 update'!$A$6:$A$104&amp;'AEA2012 update'!$B$6:$B$104,0),MATCH(Z$16,'AEA2012 update'!$S$4:$Z$4,0)),INDEX('AEA2012 update'!$K$6:$R$104,MATCH($T83&amp;$U83,'AEA2012 update'!$A$6:$A$104&amp;'AEA2012 update'!$B$6:$B$104,0),MATCH(Z$16,'AEA2012 update'!$S$4:$Z$4,0)))</f>
        <v>520424.31194208184</v>
      </c>
      <c r="AA83" s="103">
        <f t="array" ref="AA83">IF(AA$18,INDEX('AEA2012 update'!$K$6:$R$104,MATCH($T83&amp;$R83,'AEA2012 update'!$A$6:$A$104&amp;'AEA2012 update'!$B$6:$B$104,0),MATCH(AA$16,'AEA2012 update'!$S$4:$Z$4,0)),INDEX('AEA2012 update'!$K$6:$R$104,MATCH($T83&amp;$U83,'AEA2012 update'!$A$6:$A$104&amp;'AEA2012 update'!$B$6:$B$104,0),MATCH(AA$16,'AEA2012 update'!$S$4:$Z$4,0)))</f>
        <v>533932.45692908112</v>
      </c>
      <c r="AB83" s="103">
        <f t="array" ref="AB83">IF(AB$18,INDEX('AEA2012 update'!$K$6:$R$104,MATCH($T83&amp;$R83,'AEA2012 update'!$A$6:$A$104&amp;'AEA2012 update'!$B$6:$B$104,0),MATCH(AB$16,'AEA2012 update'!$S$4:$Z$4,0)),INDEX('AEA2012 update'!$K$6:$R$104,MATCH($T83&amp;$U83,'AEA2012 update'!$A$6:$A$104&amp;'AEA2012 update'!$B$6:$B$104,0),MATCH(AB$16,'AEA2012 update'!$S$4:$Z$4,0)))</f>
        <v>551671.18115070788</v>
      </c>
      <c r="AC83" s="103" t="str">
        <f t="shared" si="11"/>
        <v>CV3ODS</v>
      </c>
      <c r="AD83" s="67">
        <f>1/INDEX(Analytica!$AA$17:$AE$48,MATCH($AC83,Analytica!$A$17:$A$48,0),MATCH(AD$16,Analytica!$AA$16:$AE$16,0))</f>
        <v>8.3835108522496302</v>
      </c>
      <c r="AE83" s="67">
        <f t="array" ref="AE83">IF($W$1,AD83*(1+INDEX(AE$1:AE$2,MATCH($O83,$AA$1:$AA$2,0)))^(AE$16-AD$16),INDEX('AEA2012 update'!$AC$6:$AG$104,MATCH($T83&amp;$U83,'AEA2012 update'!$A$6:$A$104&amp;'AEA2012 update'!$B$6:$B$104,0),MATCH(AE$16,'AEA2012 update'!$AC$4:$AG$4,0)))</f>
        <v>8.3583854618419267</v>
      </c>
      <c r="AF83" s="67">
        <f t="array" ref="AF83">IF($W$1,AE83*(1+INDEX(AF$1:AF$2,MATCH($O83,$AA$1:$AA$2,0)))^(AF$16-AE$16),INDEX('AEA2012 update'!$AC$6:$AG$104,MATCH($T83&amp;$U83,'AEA2012 update'!$A$6:$A$104&amp;'AEA2012 update'!$B$6:$B$104,0),MATCH(AF$16,'AEA2012 update'!$AC$4:$AG$4,0)))</f>
        <v>7.909886834105972</v>
      </c>
      <c r="AG83" s="67">
        <f t="array" ref="AG83">IF($W$1,AF83*(1+INDEX(AG$1:AG$2,MATCH($O83,$AA$1:$AA$2,0)))^(AG$16-AF$16),INDEX('AEA2012 update'!$AC$6:$AG$104,MATCH($T83&amp;$U83,'AEA2012 update'!$A$6:$A$104&amp;'AEA2012 update'!$B$6:$B$104,0),MATCH(AG$16,'AEA2012 update'!$AC$4:$AG$4,0)))</f>
        <v>7.1535598681135806</v>
      </c>
      <c r="AH83" s="67">
        <f t="array" ref="AH83">IF($W$1,AG83*(1+INDEX(AH$1:AH$2,MATCH($O83,$AA$1:$AA$2,0)))^(AH$16-AG$16),INDEX('AEA2012 update'!$AC$6:$AG$104,MATCH($T83&amp;$U83,'AEA2012 update'!$A$6:$A$104&amp;'AEA2012 update'!$B$6:$B$104,0),MATCH(AH$16,'AEA2012 update'!$AC$4:$AG$4,0)))</f>
        <v>6.4695513172242682</v>
      </c>
      <c r="AI83" s="67"/>
      <c r="AJ83" s="257">
        <f t="shared" si="8"/>
        <v>-9.9900033333335603E-4</v>
      </c>
      <c r="AK83" s="257">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25">
      <c r="A84" s="61" t="s">
        <v>261</v>
      </c>
      <c r="C84" s="100">
        <f t="shared" si="14"/>
        <v>0.27324012380502233</v>
      </c>
      <c r="D84" s="7">
        <f t="shared" si="15"/>
        <v>4270.4698949486938</v>
      </c>
      <c r="N84" s="61" t="s">
        <v>501</v>
      </c>
      <c r="O84" s="61" t="s">
        <v>653</v>
      </c>
      <c r="P84" s="61" t="s">
        <v>731</v>
      </c>
      <c r="Q84" s="61" t="str">
        <f t="shared" si="6"/>
        <v>CV3</v>
      </c>
      <c r="R84" s="61" t="s">
        <v>687</v>
      </c>
      <c r="S84" s="65"/>
      <c r="T84" s="256" t="s">
        <v>725</v>
      </c>
      <c r="U84" s="256" t="s">
        <v>692</v>
      </c>
      <c r="V84" s="103">
        <f t="array" ref="V84">IF(V$18,INDEX('AEA2012 update'!$K$6:$R$104,MATCH($T84&amp;$R84,'AEA2012 update'!$A$6:$A$104&amp;'AEA2012 update'!$B$6:$B$104,0),MATCH(V$16,'AEA2012 update'!$S$4:$Z$4,0)),INDEX('AEA2012 update'!$K$6:$R$104,MATCH($T84&amp;$U84,'AEA2012 update'!$A$6:$A$104&amp;'AEA2012 update'!$B$6:$B$104,0),MATCH(V$16,'AEA2012 update'!$S$4:$Z$4,0)))</f>
        <v>1327792.7757726812</v>
      </c>
      <c r="W84" s="103">
        <f t="array" ref="W84">IF(W$18,INDEX('AEA2012 update'!$K$6:$R$104,MATCH($T84&amp;$R84,'AEA2012 update'!$A$6:$A$104&amp;'AEA2012 update'!$B$6:$B$104,0),MATCH(W$16,'AEA2012 update'!$S$4:$Z$4,0)),INDEX('AEA2012 update'!$K$6:$R$104,MATCH($T84&amp;$U84,'AEA2012 update'!$A$6:$A$104&amp;'AEA2012 update'!$B$6:$B$104,0),MATCH(W$16,'AEA2012 update'!$S$4:$Z$4,0)))</f>
        <v>871544.47239677189</v>
      </c>
      <c r="X84" s="103">
        <f t="array" ref="X84">IF(X$18,INDEX('AEA2012 update'!$K$6:$R$104,MATCH($T84&amp;$R84,'AEA2012 update'!$A$6:$A$104&amp;'AEA2012 update'!$B$6:$B$104,0),MATCH(X$16,'AEA2012 update'!$S$4:$Z$4,0)),INDEX('AEA2012 update'!$K$6:$R$104,MATCH($T84&amp;$U84,'AEA2012 update'!$A$6:$A$104&amp;'AEA2012 update'!$B$6:$B$104,0),MATCH(X$16,'AEA2012 update'!$S$4:$Z$4,0)))</f>
        <v>791404.01330598292</v>
      </c>
      <c r="Y84" s="103">
        <f t="array" ref="Y84">IF(Y$18,INDEX('AEA2012 update'!$K$6:$R$104,MATCH($T84&amp;$R84,'AEA2012 update'!$A$6:$A$104&amp;'AEA2012 update'!$B$6:$B$104,0),MATCH(Y$16,'AEA2012 update'!$S$4:$Z$4,0)),INDEX('AEA2012 update'!$K$6:$R$104,MATCH($T84&amp;$U84,'AEA2012 update'!$A$6:$A$104&amp;'AEA2012 update'!$B$6:$B$104,0),MATCH(Y$16,'AEA2012 update'!$S$4:$Z$4,0)))</f>
        <v>506916.16695508256</v>
      </c>
      <c r="Z84" s="103">
        <f t="array" ref="Z84">IF(Z$18,INDEX('AEA2012 update'!$K$6:$R$104,MATCH($T84&amp;$R84,'AEA2012 update'!$A$6:$A$104&amp;'AEA2012 update'!$B$6:$B$104,0),MATCH(Z$16,'AEA2012 update'!$S$4:$Z$4,0)),INDEX('AEA2012 update'!$K$6:$R$104,MATCH($T84&amp;$U84,'AEA2012 update'!$A$6:$A$104&amp;'AEA2012 update'!$B$6:$B$104,0),MATCH(Z$16,'AEA2012 update'!$S$4:$Z$4,0)))</f>
        <v>520424.31194208184</v>
      </c>
      <c r="AA84" s="103">
        <f t="array" ref="AA84">IF(AA$18,INDEX('AEA2012 update'!$K$6:$R$104,MATCH($T84&amp;$R84,'AEA2012 update'!$A$6:$A$104&amp;'AEA2012 update'!$B$6:$B$104,0),MATCH(AA$16,'AEA2012 update'!$S$4:$Z$4,0)),INDEX('AEA2012 update'!$K$6:$R$104,MATCH($T84&amp;$U84,'AEA2012 update'!$A$6:$A$104&amp;'AEA2012 update'!$B$6:$B$104,0),MATCH(AA$16,'AEA2012 update'!$S$4:$Z$4,0)))</f>
        <v>533932.45692908112</v>
      </c>
      <c r="AB84" s="103">
        <f t="array" ref="AB84">IF(AB$18,INDEX('AEA2012 update'!$K$6:$R$104,MATCH($T84&amp;$R84,'AEA2012 update'!$A$6:$A$104&amp;'AEA2012 update'!$B$6:$B$104,0),MATCH(AB$16,'AEA2012 update'!$S$4:$Z$4,0)),INDEX('AEA2012 update'!$K$6:$R$104,MATCH($T84&amp;$U84,'AEA2012 update'!$A$6:$A$104&amp;'AEA2012 update'!$B$6:$B$104,0),MATCH(AB$16,'AEA2012 update'!$S$4:$Z$4,0)))</f>
        <v>551671.18115070788</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 update'!$AC$6:$AG$104,MATCH($T84&amp;$U84,'AEA2012 update'!$A$6:$A$104&amp;'AEA2012 update'!$B$6:$B$104,0),MATCH(AE$16,'AEA2012 update'!$AC$4:$AG$4,0)))</f>
        <v>2.5527555789630516</v>
      </c>
      <c r="AF84" s="67">
        <f t="array" ref="AF84">IF($W$1,AE84*(1+INDEX(AF$1:AF$2,MATCH($O84,$AA$1:$AA$2,0)))^(AF$16-AE$16),INDEX('AEA2012 update'!$AC$6:$AG$104,MATCH($T84&amp;$U84,'AEA2012 update'!$A$6:$A$104&amp;'AEA2012 update'!$B$6:$B$104,0),MATCH(AF$16,'AEA2012 update'!$AC$4:$AG$4,0)))</f>
        <v>2.4157784822094963</v>
      </c>
      <c r="AG84" s="67">
        <f t="array" ref="AG84">IF($W$1,AF84*(1+INDEX(AG$1:AG$2,MATCH($O84,$AA$1:$AA$2,0)))^(AG$16-AF$16),INDEX('AEA2012 update'!$AC$6:$AG$104,MATCH($T84&amp;$U84,'AEA2012 update'!$A$6:$A$104&amp;'AEA2012 update'!$B$6:$B$104,0),MATCH(AG$16,'AEA2012 update'!$AC$4:$AG$4,0)))</f>
        <v>2.1847867565022443</v>
      </c>
      <c r="AH84" s="67">
        <f t="array" ref="AH84">IF($W$1,AG84*(1+INDEX(AH$1:AH$2,MATCH($O84,$AA$1:$AA$2,0)))^(AH$16-AG$16),INDEX('AEA2012 update'!$AC$6:$AG$104,MATCH($T84&amp;$U84,'AEA2012 update'!$A$6:$A$104&amp;'AEA2012 update'!$B$6:$B$104,0),MATCH(AH$16,'AEA2012 update'!$AC$4:$AG$4,0)))</f>
        <v>1.9758819802972549</v>
      </c>
      <c r="AI84" s="67"/>
      <c r="AJ84" s="257">
        <f t="shared" si="8"/>
        <v>-9.9900033333332459E-4</v>
      </c>
      <c r="AK84" s="257">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25">
      <c r="A85" s="61" t="s">
        <v>259</v>
      </c>
      <c r="C85" s="100">
        <f t="shared" si="14"/>
        <v>6.2253190418833003E-2</v>
      </c>
      <c r="D85" s="7">
        <f t="shared" si="15"/>
        <v>972.95511305594096</v>
      </c>
      <c r="N85" s="61" t="s">
        <v>504</v>
      </c>
      <c r="O85" s="61" t="s">
        <v>653</v>
      </c>
      <c r="P85" s="61" t="s">
        <v>731</v>
      </c>
      <c r="Q85" s="61" t="str">
        <f t="shared" si="6"/>
        <v>CV3</v>
      </c>
      <c r="R85" s="61" t="s">
        <v>687</v>
      </c>
      <c r="S85" s="65"/>
      <c r="T85" s="256" t="s">
        <v>725</v>
      </c>
      <c r="U85" s="256" t="s">
        <v>699</v>
      </c>
      <c r="V85" s="103">
        <f t="array" ref="V85">IF(V$18,INDEX('AEA2012 update'!$K$6:$R$104,MATCH($T85&amp;$R85,'AEA2012 update'!$A$6:$A$104&amp;'AEA2012 update'!$B$6:$B$104,0),MATCH(V$16,'AEA2012 update'!$S$4:$Z$4,0)),INDEX('AEA2012 update'!$K$6:$R$104,MATCH($T85&amp;$U85,'AEA2012 update'!$A$6:$A$104&amp;'AEA2012 update'!$B$6:$B$104,0),MATCH(V$16,'AEA2012 update'!$S$4:$Z$4,0)))</f>
        <v>2522990.6381765995</v>
      </c>
      <c r="W85" s="103">
        <f t="array" ref="W85">IF(W$18,INDEX('AEA2012 update'!$K$6:$R$104,MATCH($T85&amp;$R85,'AEA2012 update'!$A$6:$A$104&amp;'AEA2012 update'!$B$6:$B$104,0),MATCH(W$16,'AEA2012 update'!$S$4:$Z$4,0)),INDEX('AEA2012 update'!$K$6:$R$104,MATCH($T85&amp;$U85,'AEA2012 update'!$A$6:$A$104&amp;'AEA2012 update'!$B$6:$B$104,0),MATCH(W$16,'AEA2012 update'!$S$4:$Z$4,0)))</f>
        <v>1080982.7502171779</v>
      </c>
      <c r="X85" s="103">
        <f t="array" ref="X85">IF(X$18,INDEX('AEA2012 update'!$K$6:$R$104,MATCH($T85&amp;$R85,'AEA2012 update'!$A$6:$A$104&amp;'AEA2012 update'!$B$6:$B$104,0),MATCH(X$16,'AEA2012 update'!$S$4:$Z$4,0)),INDEX('AEA2012 update'!$K$6:$R$104,MATCH($T85&amp;$U85,'AEA2012 update'!$A$6:$A$104&amp;'AEA2012 update'!$B$6:$B$104,0),MATCH(X$16,'AEA2012 update'!$S$4:$Z$4,0)))</f>
        <v>851672.91194386315</v>
      </c>
      <c r="Y85" s="103">
        <f t="array" ref="Y85">IF(Y$18,INDEX('AEA2012 update'!$K$6:$R$104,MATCH($T85&amp;$R85,'AEA2012 update'!$A$6:$A$104&amp;'AEA2012 update'!$B$6:$B$104,0),MATCH(Y$16,'AEA2012 update'!$S$4:$Z$4,0)),INDEX('AEA2012 update'!$K$6:$R$104,MATCH($T85&amp;$U85,'AEA2012 update'!$A$6:$A$104&amp;'AEA2012 update'!$B$6:$B$104,0),MATCH(Y$16,'AEA2012 update'!$S$4:$Z$4,0)))</f>
        <v>506916.16695508256</v>
      </c>
      <c r="Z85" s="103">
        <f t="array" ref="Z85">IF(Z$18,INDEX('AEA2012 update'!$K$6:$R$104,MATCH($T85&amp;$R85,'AEA2012 update'!$A$6:$A$104&amp;'AEA2012 update'!$B$6:$B$104,0),MATCH(Z$16,'AEA2012 update'!$S$4:$Z$4,0)),INDEX('AEA2012 update'!$K$6:$R$104,MATCH($T85&amp;$U85,'AEA2012 update'!$A$6:$A$104&amp;'AEA2012 update'!$B$6:$B$104,0),MATCH(Z$16,'AEA2012 update'!$S$4:$Z$4,0)))</f>
        <v>520424.31194208184</v>
      </c>
      <c r="AA85" s="103">
        <f t="array" ref="AA85">IF(AA$18,INDEX('AEA2012 update'!$K$6:$R$104,MATCH($T85&amp;$R85,'AEA2012 update'!$A$6:$A$104&amp;'AEA2012 update'!$B$6:$B$104,0),MATCH(AA$16,'AEA2012 update'!$S$4:$Z$4,0)),INDEX('AEA2012 update'!$K$6:$R$104,MATCH($T85&amp;$U85,'AEA2012 update'!$A$6:$A$104&amp;'AEA2012 update'!$B$6:$B$104,0),MATCH(AA$16,'AEA2012 update'!$S$4:$Z$4,0)))</f>
        <v>533932.45692908112</v>
      </c>
      <c r="AB85" s="103">
        <f t="array" ref="AB85">IF(AB$18,INDEX('AEA2012 update'!$K$6:$R$104,MATCH($T85&amp;$R85,'AEA2012 update'!$A$6:$A$104&amp;'AEA2012 update'!$B$6:$B$104,0),MATCH(AB$16,'AEA2012 update'!$S$4:$Z$4,0)),INDEX('AEA2012 update'!$K$6:$R$104,MATCH($T85&amp;$U85,'AEA2012 update'!$A$6:$A$104&amp;'AEA2012 update'!$B$6:$B$104,0),MATCH(AB$16,'AEA2012 update'!$S$4:$Z$4,0)))</f>
        <v>551671.18115070788</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 update'!$AC$6:$AG$104,MATCH($T85&amp;$U85,'AEA2012 update'!$A$6:$A$104&amp;'AEA2012 update'!$B$6:$B$104,0),MATCH(AE$16,'AEA2012 update'!$AC$4:$AG$4,0)))</f>
        <v>3.9410963324341841</v>
      </c>
      <c r="AF85" s="67">
        <f t="array" ref="AF85">IF($W$1,AE85*(1+INDEX(AF$1:AF$2,MATCH($O85,$AA$1:$AA$2,0)))^(AF$16-AE$16),INDEX('AEA2012 update'!$AC$6:$AG$104,MATCH($T85&amp;$U85,'AEA2012 update'!$A$6:$A$104&amp;'AEA2012 update'!$B$6:$B$104,0),MATCH(AF$16,'AEA2012 update'!$AC$4:$AG$4,0)))</f>
        <v>3.7296229199023796</v>
      </c>
      <c r="AG85" s="67">
        <f t="array" ref="AG85">IF($W$1,AF85*(1+INDEX(AG$1:AG$2,MATCH($O85,$AA$1:$AA$2,0)))^(AG$16-AF$16),INDEX('AEA2012 update'!$AC$6:$AG$104,MATCH($T85&amp;$U85,'AEA2012 update'!$A$6:$A$104&amp;'AEA2012 update'!$B$6:$B$104,0),MATCH(AG$16,'AEA2012 update'!$AC$4:$AG$4,0)))</f>
        <v>3.3730041153017094</v>
      </c>
      <c r="AH85" s="67">
        <f t="array" ref="AH85">IF($W$1,AG85*(1+INDEX(AH$1:AH$2,MATCH($O85,$AA$1:$AA$2,0)))^(AH$16-AG$16),INDEX('AEA2012 update'!$AC$6:$AG$104,MATCH($T85&amp;$U85,'AEA2012 update'!$A$6:$A$104&amp;'AEA2012 update'!$B$6:$B$104,0),MATCH(AH$16,'AEA2012 update'!$AC$4:$AG$4,0)))</f>
        <v>3.0504844608097961</v>
      </c>
      <c r="AI85" s="67"/>
      <c r="AJ85" s="257">
        <f t="shared" si="8"/>
        <v>-9.9900033333332719E-4</v>
      </c>
      <c r="AK85" s="257">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25">
      <c r="A86" s="61" t="s">
        <v>257</v>
      </c>
      <c r="C86" s="100">
        <f t="shared" si="14"/>
        <v>2.6153556853238193E-2</v>
      </c>
      <c r="D86" s="7">
        <f t="shared" si="15"/>
        <v>408.75394005925972</v>
      </c>
      <c r="N86" s="61" t="s">
        <v>509</v>
      </c>
      <c r="O86" s="61" t="s">
        <v>653</v>
      </c>
      <c r="P86" s="61" t="s">
        <v>731</v>
      </c>
      <c r="Q86" s="61" t="str">
        <f t="shared" si="6"/>
        <v>CV3</v>
      </c>
      <c r="R86" s="61" t="s">
        <v>687</v>
      </c>
      <c r="S86" s="65"/>
      <c r="T86" s="256" t="s">
        <v>725</v>
      </c>
      <c r="U86" s="256" t="s">
        <v>700</v>
      </c>
      <c r="V86" s="103">
        <f t="array" ref="V86">IF(V$18,INDEX('AEA2012 update'!$K$6:$R$104,MATCH($T86&amp;$R86,'AEA2012 update'!$A$6:$A$104&amp;'AEA2012 update'!$B$6:$B$104,0),MATCH(V$16,'AEA2012 update'!$S$4:$Z$4,0)),INDEX('AEA2012 update'!$K$6:$R$104,MATCH($T86&amp;$U86,'AEA2012 update'!$A$6:$A$104&amp;'AEA2012 update'!$B$6:$B$104,0),MATCH(V$16,'AEA2012 update'!$S$4:$Z$4,0)))</f>
        <v>598309.30679972272</v>
      </c>
      <c r="W86" s="103">
        <f t="array" ref="W86">IF(W$18,INDEX('AEA2012 update'!$K$6:$R$104,MATCH($T86&amp;$R86,'AEA2012 update'!$A$6:$A$104&amp;'AEA2012 update'!$B$6:$B$104,0),MATCH(W$16,'AEA2012 update'!$S$4:$Z$4,0)),INDEX('AEA2012 update'!$K$6:$R$104,MATCH($T86&amp;$U86,'AEA2012 update'!$A$6:$A$104&amp;'AEA2012 update'!$B$6:$B$104,0),MATCH(W$16,'AEA2012 update'!$S$4:$Z$4,0)))</f>
        <v>588990.88834881992</v>
      </c>
      <c r="X86" s="103">
        <f t="array" ref="X86">IF(X$18,INDEX('AEA2012 update'!$K$6:$R$104,MATCH($T86&amp;$R86,'AEA2012 update'!$A$6:$A$104&amp;'AEA2012 update'!$B$6:$B$104,0),MATCH(X$16,'AEA2012 update'!$S$4:$Z$4,0)),INDEX('AEA2012 update'!$K$6:$R$104,MATCH($T86&amp;$U86,'AEA2012 update'!$A$6:$A$104&amp;'AEA2012 update'!$B$6:$B$104,0),MATCH(X$16,'AEA2012 update'!$S$4:$Z$4,0)))</f>
        <v>591035.13773094804</v>
      </c>
      <c r="Y86" s="103">
        <f t="array" ref="Y86">IF(Y$18,INDEX('AEA2012 update'!$K$6:$R$104,MATCH($T86&amp;$R86,'AEA2012 update'!$A$6:$A$104&amp;'AEA2012 update'!$B$6:$B$104,0),MATCH(Y$16,'AEA2012 update'!$S$4:$Z$4,0)),INDEX('AEA2012 update'!$K$6:$R$104,MATCH($T86&amp;$U86,'AEA2012 update'!$A$6:$A$104&amp;'AEA2012 update'!$B$6:$B$104,0),MATCH(Y$16,'AEA2012 update'!$S$4:$Z$4,0)))</f>
        <v>506916.16695508256</v>
      </c>
      <c r="Z86" s="103">
        <f t="array" ref="Z86">IF(Z$18,INDEX('AEA2012 update'!$K$6:$R$104,MATCH($T86&amp;$R86,'AEA2012 update'!$A$6:$A$104&amp;'AEA2012 update'!$B$6:$B$104,0),MATCH(Z$16,'AEA2012 update'!$S$4:$Z$4,0)),INDEX('AEA2012 update'!$K$6:$R$104,MATCH($T86&amp;$U86,'AEA2012 update'!$A$6:$A$104&amp;'AEA2012 update'!$B$6:$B$104,0),MATCH(Z$16,'AEA2012 update'!$S$4:$Z$4,0)))</f>
        <v>520424.31194208184</v>
      </c>
      <c r="AA86" s="103">
        <f t="array" ref="AA86">IF(AA$18,INDEX('AEA2012 update'!$K$6:$R$104,MATCH($T86&amp;$R86,'AEA2012 update'!$A$6:$A$104&amp;'AEA2012 update'!$B$6:$B$104,0),MATCH(AA$16,'AEA2012 update'!$S$4:$Z$4,0)),INDEX('AEA2012 update'!$K$6:$R$104,MATCH($T86&amp;$U86,'AEA2012 update'!$A$6:$A$104&amp;'AEA2012 update'!$B$6:$B$104,0),MATCH(AA$16,'AEA2012 update'!$S$4:$Z$4,0)))</f>
        <v>533932.45692908112</v>
      </c>
      <c r="AB86" s="103">
        <f t="array" ref="AB86">IF(AB$18,INDEX('AEA2012 update'!$K$6:$R$104,MATCH($T86&amp;$R86,'AEA2012 update'!$A$6:$A$104&amp;'AEA2012 update'!$B$6:$B$104,0),MATCH(AB$16,'AEA2012 update'!$S$4:$Z$4,0)),INDEX('AEA2012 update'!$K$6:$R$104,MATCH($T86&amp;$U86,'AEA2012 update'!$A$6:$A$104&amp;'AEA2012 update'!$B$6:$B$104,0),MATCH(AB$16,'AEA2012 update'!$S$4:$Z$4,0)))</f>
        <v>551671.18115070788</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 update'!$AC$6:$AG$104,MATCH($T86&amp;$U86,'AEA2012 update'!$A$6:$A$104&amp;'AEA2012 update'!$B$6:$B$104,0),MATCH(AE$16,'AEA2012 update'!$AC$4:$AG$4,0)))</f>
        <v>9.6121432811182164</v>
      </c>
      <c r="AF86" s="67">
        <f t="array" ref="AF86">IF($W$1,AE86*(1+INDEX(AF$1:AF$2,MATCH($O86,$AA$1:$AA$2,0)))^(AF$16-AE$16),INDEX('AEA2012 update'!$AC$6:$AG$104,MATCH($T86&amp;$U86,'AEA2012 update'!$A$6:$A$104&amp;'AEA2012 update'!$B$6:$B$104,0),MATCH(AF$16,'AEA2012 update'!$AC$4:$AG$4,0)))</f>
        <v>9.096369859221868</v>
      </c>
      <c r="AG86" s="67">
        <f t="array" ref="AG86">IF($W$1,AF86*(1+INDEX(AG$1:AG$2,MATCH($O86,$AA$1:$AA$2,0)))^(AG$16-AF$16),INDEX('AEA2012 update'!$AC$6:$AG$104,MATCH($T86&amp;$U86,'AEA2012 update'!$A$6:$A$104&amp;'AEA2012 update'!$B$6:$B$104,0),MATCH(AG$16,'AEA2012 update'!$AC$4:$AG$4,0)))</f>
        <v>8.2265938483306176</v>
      </c>
      <c r="AH86" s="67">
        <f t="array" ref="AH86">IF($W$1,AG86*(1+INDEX(AH$1:AH$2,MATCH($O86,$AA$1:$AA$2,0)))^(AH$16-AG$16),INDEX('AEA2012 update'!$AC$6:$AG$104,MATCH($T86&amp;$U86,'AEA2012 update'!$A$6:$A$104&amp;'AEA2012 update'!$B$6:$B$104,0),MATCH(AH$16,'AEA2012 update'!$AC$4:$AG$4,0)))</f>
        <v>7.4399840148079086</v>
      </c>
      <c r="AI86" s="67"/>
      <c r="AJ86" s="257">
        <f t="shared" si="8"/>
        <v>-9.9900033333333435E-4</v>
      </c>
      <c r="AK86" s="257">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25">
      <c r="A87" s="61" t="s">
        <v>255</v>
      </c>
      <c r="C87" s="100">
        <f t="shared" si="14"/>
        <v>0.37698019424581086</v>
      </c>
      <c r="D87" s="7">
        <f t="shared" si="15"/>
        <v>5891.8234558677777</v>
      </c>
      <c r="O87" s="61" t="s">
        <v>653</v>
      </c>
      <c r="Q87" s="61" t="str">
        <f t="shared" si="6"/>
        <v/>
      </c>
      <c r="S87" s="65"/>
      <c r="T87" s="256"/>
      <c r="U87" s="260"/>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11"/>
        <v/>
      </c>
      <c r="AD87" s="67" t="e">
        <f>1/INDEX(Analytica!$AA$17:$AE$48,MATCH($AC87,Analytica!$A$17:$A$48,0),MATCH(AD$16,Analytica!$AA$16:$AE$16,0))</f>
        <v>#N/A</v>
      </c>
      <c r="AE87" s="67" t="e">
        <f t="array" ref="AE87">IF($W$1,AD87*(1+INDEX(AE$1:AE$2,MATCH($O87,$AA$1:$AA$2,0)))^(AE$16-AD$16),INDEX('AEA2012 update'!$AC$6:$AG$104,MATCH($T87&amp;$U87,'AEA2012 update'!$A$6:$A$104&amp;'AEA2012 update'!$B$6:$B$104,0),MATCH(AE$16,'AEA2012 update'!$AC$4:$AG$4,0)))</f>
        <v>#N/A</v>
      </c>
      <c r="AF87" s="67" t="e">
        <f t="array" ref="AF87">IF($W$1,AE87*(1+INDEX(AF$1:AF$2,MATCH($O87,$AA$1:$AA$2,0)))^(AF$16-AE$16),INDEX('AEA2012 update'!$AC$6:$AG$104,MATCH($T87&amp;$U87,'AEA2012 update'!$A$6:$A$104&amp;'AEA2012 update'!$B$6:$B$104,0),MATCH(AF$16,'AEA2012 update'!$AC$4:$AG$4,0)))</f>
        <v>#N/A</v>
      </c>
      <c r="AG87" s="67" t="e">
        <f t="array" ref="AG87">IF($W$1,AF87*(1+INDEX(AG$1:AG$2,MATCH($O87,$AA$1:$AA$2,0)))^(AG$16-AF$16),INDEX('AEA2012 update'!$AC$6:$AG$104,MATCH($T87&amp;$U87,'AEA2012 update'!$A$6:$A$104&amp;'AEA2012 update'!$B$6:$B$104,0),MATCH(AG$16,'AEA2012 update'!$AC$4:$AG$4,0)))</f>
        <v>#N/A</v>
      </c>
      <c r="AH87" s="67" t="e">
        <f t="array" ref="AH87">IF($W$1,AG87*(1+INDEX(AH$1:AH$2,MATCH($O87,$AA$1:$AA$2,0)))^(AH$16-AG$16),INDEX('AEA2012 update'!$AC$6:$AG$104,MATCH($T87&amp;$U87,'AEA2012 update'!$A$6:$A$104&amp;'AEA2012 update'!$B$6:$B$104,0),MATCH(AH$16,'AEA2012 update'!$AC$4:$AG$4,0)))</f>
        <v>#N/A</v>
      </c>
      <c r="AI87" s="67"/>
      <c r="AJ87" s="257" t="e">
        <f t="shared" si="8"/>
        <v>#N/A</v>
      </c>
      <c r="AK87" s="257"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25">
      <c r="A88" s="61" t="s">
        <v>253</v>
      </c>
      <c r="C88" s="100">
        <f t="shared" si="14"/>
        <v>9.8627268615223557E-2</v>
      </c>
      <c r="D88" s="7">
        <f t="shared" si="15"/>
        <v>1541.445581187329</v>
      </c>
      <c r="N88" s="61" t="s">
        <v>511</v>
      </c>
      <c r="O88" s="61" t="s">
        <v>653</v>
      </c>
      <c r="P88" s="61" t="s">
        <v>732</v>
      </c>
      <c r="Q88" s="61" t="str">
        <f t="shared" si="6"/>
        <v>CV4</v>
      </c>
      <c r="R88" s="61" t="s">
        <v>687</v>
      </c>
      <c r="S88" s="65"/>
      <c r="T88" s="256" t="s">
        <v>733</v>
      </c>
      <c r="U88" s="256" t="s">
        <v>687</v>
      </c>
      <c r="V88" s="103">
        <f t="array" ref="V88">IF(V$18,INDEX('AEA2012 update'!$K$6:$R$104,MATCH($T88&amp;$R88,'AEA2012 update'!$A$6:$A$104&amp;'AEA2012 update'!$B$6:$B$104,0),MATCH(V$16,'AEA2012 update'!$S$4:$Z$4,0)),INDEX('AEA2012 update'!$K$6:$R$104,MATCH($T88&amp;$U88,'AEA2012 update'!$A$6:$A$104&amp;'AEA2012 update'!$B$6:$B$104,0),MATCH(V$16,'AEA2012 update'!$S$4:$Z$4,0)))</f>
        <v>715690.83454664785</v>
      </c>
      <c r="W88" s="103">
        <f t="array" ref="W88">IF(W$18,INDEX('AEA2012 update'!$K$6:$R$104,MATCH($T88&amp;$R88,'AEA2012 update'!$A$6:$A$104&amp;'AEA2012 update'!$B$6:$B$104,0),MATCH(W$16,'AEA2012 update'!$S$4:$Z$4,0)),INDEX('AEA2012 update'!$K$6:$R$104,MATCH($T88&amp;$U88,'AEA2012 update'!$A$6:$A$104&amp;'AEA2012 update'!$B$6:$B$104,0),MATCH(W$16,'AEA2012 update'!$S$4:$Z$4,0)))</f>
        <v>870657.84692986368</v>
      </c>
      <c r="X88" s="103">
        <f t="array" ref="X88">IF(X$18,INDEX('AEA2012 update'!$K$6:$R$104,MATCH($T88&amp;$R88,'AEA2012 update'!$A$6:$A$104&amp;'AEA2012 update'!$B$6:$B$104,0),MATCH(X$16,'AEA2012 update'!$S$4:$Z$4,0)),INDEX('AEA2012 update'!$K$6:$R$104,MATCH($T88&amp;$U88,'AEA2012 update'!$A$6:$A$104&amp;'AEA2012 update'!$B$6:$B$104,0),MATCH(X$16,'AEA2012 update'!$S$4:$Z$4,0)))</f>
        <v>894652.34635689482</v>
      </c>
      <c r="Y88" s="103">
        <f t="array" ref="Y88">IF(Y$18,INDEX('AEA2012 update'!$K$6:$R$104,MATCH($T88&amp;$R88,'AEA2012 update'!$A$6:$A$104&amp;'AEA2012 update'!$B$6:$B$104,0),MATCH(Y$16,'AEA2012 update'!$S$4:$Z$4,0)),INDEX('AEA2012 update'!$K$6:$R$104,MATCH($T88&amp;$U88,'AEA2012 update'!$A$6:$A$104&amp;'AEA2012 update'!$B$6:$B$104,0),MATCH(Y$16,'AEA2012 update'!$S$4:$Z$4,0)))</f>
        <v>918646.84578392608</v>
      </c>
      <c r="Z88" s="103">
        <f t="array" ref="Z88">IF(Z$18,INDEX('AEA2012 update'!$K$6:$R$104,MATCH($T88&amp;$R88,'AEA2012 update'!$A$6:$A$104&amp;'AEA2012 update'!$B$6:$B$104,0),MATCH(Z$16,'AEA2012 update'!$S$4:$Z$4,0)),INDEX('AEA2012 update'!$K$6:$R$104,MATCH($T88&amp;$U88,'AEA2012 update'!$A$6:$A$104&amp;'AEA2012 update'!$B$6:$B$104,0),MATCH(Z$16,'AEA2012 update'!$S$4:$Z$4,0)))</f>
        <v>938124.95950684301</v>
      </c>
      <c r="AA88" s="103">
        <f t="array" ref="AA88">IF(AA$18,INDEX('AEA2012 update'!$K$6:$R$104,MATCH($T88&amp;$R88,'AEA2012 update'!$A$6:$A$104&amp;'AEA2012 update'!$B$6:$B$104,0),MATCH(AA$16,'AEA2012 update'!$S$4:$Z$4,0)),INDEX('AEA2012 update'!$K$6:$R$104,MATCH($T88&amp;$U88,'AEA2012 update'!$A$6:$A$104&amp;'AEA2012 update'!$B$6:$B$104,0),MATCH(AA$16,'AEA2012 update'!$S$4:$Z$4,0)))</f>
        <v>957603.07322975982</v>
      </c>
      <c r="AB88" s="103">
        <f t="array" ref="AB88">IF(AB$18,INDEX('AEA2012 update'!$K$6:$R$104,MATCH($T88&amp;$R88,'AEA2012 update'!$A$6:$A$104&amp;'AEA2012 update'!$B$6:$B$104,0),MATCH(AB$16,'AEA2012 update'!$S$4:$Z$4,0)),INDEX('AEA2012 update'!$K$6:$R$104,MATCH($T88&amp;$U88,'AEA2012 update'!$A$6:$A$104&amp;'AEA2012 update'!$B$6:$B$104,0),MATCH(AB$16,'AEA2012 update'!$S$4:$Z$4,0)))</f>
        <v>993485.23967858823</v>
      </c>
      <c r="AC88" s="103" t="str">
        <f t="shared" si="11"/>
        <v>CV4ODS</v>
      </c>
      <c r="AD88" s="67">
        <f>1/INDEX(Analytica!$AA$17:$AE$48,MATCH($AC88,Analytica!$A$17:$A$48,0),MATCH(AD$16,Analytica!$AA$16:$AE$16,0))</f>
        <v>9.7550044464299983</v>
      </c>
      <c r="AE88" s="67">
        <f t="array" ref="AE88">IF($W$1,AD88*(1+INDEX(AE$1:AE$2,MATCH($O88,$AA$1:$AA$2,0)))^(AE$16-AD$16),INDEX('AEA2012 update'!$AC$6:$AG$104,MATCH($T88&amp;$U88,'AEA2012 update'!$A$6:$A$104&amp;'AEA2012 update'!$B$6:$B$104,0),MATCH(AE$16,'AEA2012 update'!$AC$4:$AG$4,0)))</f>
        <v>9.725768688349044</v>
      </c>
      <c r="AF88" s="67">
        <f t="array" ref="AF88">IF($W$1,AE88*(1+INDEX(AF$1:AF$2,MATCH($O88,$AA$1:$AA$2,0)))^(AF$16-AE$16),INDEX('AEA2012 update'!$AC$6:$AG$104,MATCH($T88&amp;$U88,'AEA2012 update'!$A$6:$A$104&amp;'AEA2012 update'!$B$6:$B$104,0),MATCH(AF$16,'AEA2012 update'!$AC$4:$AG$4,0)))</f>
        <v>9.203898294800501</v>
      </c>
      <c r="AG88" s="67">
        <f t="array" ref="AG88">IF($W$1,AF88*(1+INDEX(AG$1:AG$2,MATCH($O88,$AA$1:$AA$2,0)))^(AG$16-AF$16),INDEX('AEA2012 update'!$AC$6:$AG$104,MATCH($T88&amp;$U88,'AEA2012 update'!$A$6:$A$104&amp;'AEA2012 update'!$B$6:$B$104,0),MATCH(AG$16,'AEA2012 update'!$AC$4:$AG$4,0)))</f>
        <v>8.3238406380216734</v>
      </c>
      <c r="AH88" s="67">
        <f t="array" ref="AH88">IF($W$1,AG88*(1+INDEX(AH$1:AH$2,MATCH($O88,$AA$1:$AA$2,0)))^(AH$16-AG$16),INDEX('AEA2012 update'!$AC$6:$AG$104,MATCH($T88&amp;$U88,'AEA2012 update'!$A$6:$A$104&amp;'AEA2012 update'!$B$6:$B$104,0),MATCH(AH$16,'AEA2012 update'!$AC$4:$AG$4,0)))</f>
        <v>7.5279322682566505</v>
      </c>
      <c r="AI88" s="67"/>
      <c r="AJ88" s="257">
        <f t="shared" si="8"/>
        <v>-9.9900033333330616E-4</v>
      </c>
      <c r="AK88" s="257">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25">
      <c r="A89" s="61" t="s">
        <v>251</v>
      </c>
      <c r="C89" s="100">
        <f t="shared" si="14"/>
        <v>2.2057216623212936E-3</v>
      </c>
      <c r="D89" s="7">
        <f t="shared" si="15"/>
        <v>34.473223860419495</v>
      </c>
      <c r="N89" s="61" t="s">
        <v>504</v>
      </c>
      <c r="O89" s="61" t="s">
        <v>653</v>
      </c>
      <c r="P89" s="61" t="s">
        <v>732</v>
      </c>
      <c r="Q89" s="61" t="str">
        <f t="shared" si="6"/>
        <v>CV4</v>
      </c>
      <c r="R89" s="61" t="s">
        <v>687</v>
      </c>
      <c r="S89" s="65"/>
      <c r="T89" s="256" t="s">
        <v>733</v>
      </c>
      <c r="U89" s="256" t="s">
        <v>699</v>
      </c>
      <c r="V89" s="103">
        <f t="array" ref="V89">IF(V$18,INDEX('AEA2012 update'!$K$6:$R$104,MATCH($T89&amp;$R89,'AEA2012 update'!$A$6:$A$104&amp;'AEA2012 update'!$B$6:$B$104,0),MATCH(V$16,'AEA2012 update'!$S$4:$Z$4,0)),INDEX('AEA2012 update'!$K$6:$R$104,MATCH($T89&amp;$U89,'AEA2012 update'!$A$6:$A$104&amp;'AEA2012 update'!$B$6:$B$104,0),MATCH(V$16,'AEA2012 update'!$S$4:$Z$4,0)))</f>
        <v>4002189.5351525573</v>
      </c>
      <c r="W89" s="103">
        <f t="array" ref="W89">IF(W$18,INDEX('AEA2012 update'!$K$6:$R$104,MATCH($T89&amp;$R89,'AEA2012 update'!$A$6:$A$104&amp;'AEA2012 update'!$B$6:$B$104,0),MATCH(W$16,'AEA2012 update'!$S$4:$Z$4,0)),INDEX('AEA2012 update'!$K$6:$R$104,MATCH($T89&amp;$U89,'AEA2012 update'!$A$6:$A$104&amp;'AEA2012 update'!$B$6:$B$104,0),MATCH(W$16,'AEA2012 update'!$S$4:$Z$4,0)))</f>
        <v>1781373.718472468</v>
      </c>
      <c r="X89" s="103">
        <f t="array" ref="X89">IF(X$18,INDEX('AEA2012 update'!$K$6:$R$104,MATCH($T89&amp;$R89,'AEA2012 update'!$A$6:$A$104&amp;'AEA2012 update'!$B$6:$B$104,0),MATCH(X$16,'AEA2012 update'!$S$4:$Z$4,0)),INDEX('AEA2012 update'!$K$6:$R$104,MATCH($T89&amp;$U89,'AEA2012 update'!$A$6:$A$104&amp;'AEA2012 update'!$B$6:$B$104,0),MATCH(X$16,'AEA2012 update'!$S$4:$Z$4,0)))</f>
        <v>1429905.8145549258</v>
      </c>
      <c r="Y89" s="103">
        <f t="array" ref="Y89">IF(Y$18,INDEX('AEA2012 update'!$K$6:$R$104,MATCH($T89&amp;$R89,'AEA2012 update'!$A$6:$A$104&amp;'AEA2012 update'!$B$6:$B$104,0),MATCH(Y$16,'AEA2012 update'!$S$4:$Z$4,0)),INDEX('AEA2012 update'!$K$6:$R$104,MATCH($T89&amp;$U89,'AEA2012 update'!$A$6:$A$104&amp;'AEA2012 update'!$B$6:$B$104,0),MATCH(Y$16,'AEA2012 update'!$S$4:$Z$4,0)))</f>
        <v>918646.84578392608</v>
      </c>
      <c r="Z89" s="103">
        <f t="array" ref="Z89">IF(Z$18,INDEX('AEA2012 update'!$K$6:$R$104,MATCH($T89&amp;$R89,'AEA2012 update'!$A$6:$A$104&amp;'AEA2012 update'!$B$6:$B$104,0),MATCH(Z$16,'AEA2012 update'!$S$4:$Z$4,0)),INDEX('AEA2012 update'!$K$6:$R$104,MATCH($T89&amp;$U89,'AEA2012 update'!$A$6:$A$104&amp;'AEA2012 update'!$B$6:$B$104,0),MATCH(Z$16,'AEA2012 update'!$S$4:$Z$4,0)))</f>
        <v>938124.95950684301</v>
      </c>
      <c r="AA89" s="103">
        <f t="array" ref="AA89">IF(AA$18,INDEX('AEA2012 update'!$K$6:$R$104,MATCH($T89&amp;$R89,'AEA2012 update'!$A$6:$A$104&amp;'AEA2012 update'!$B$6:$B$104,0),MATCH(AA$16,'AEA2012 update'!$S$4:$Z$4,0)),INDEX('AEA2012 update'!$K$6:$R$104,MATCH($T89&amp;$U89,'AEA2012 update'!$A$6:$A$104&amp;'AEA2012 update'!$B$6:$B$104,0),MATCH(AA$16,'AEA2012 update'!$S$4:$Z$4,0)))</f>
        <v>957603.07322975982</v>
      </c>
      <c r="AB89" s="103">
        <f t="array" ref="AB89">IF(AB$18,INDEX('AEA2012 update'!$K$6:$R$104,MATCH($T89&amp;$R89,'AEA2012 update'!$A$6:$A$104&amp;'AEA2012 update'!$B$6:$B$104,0),MATCH(AB$16,'AEA2012 update'!$S$4:$Z$4,0)),INDEX('AEA2012 update'!$K$6:$R$104,MATCH($T89&amp;$U89,'AEA2012 update'!$A$6:$A$104&amp;'AEA2012 update'!$B$6:$B$104,0),MATCH(AB$16,'AEA2012 update'!$S$4:$Z$4,0)))</f>
        <v>993485.23967858823</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 update'!$AC$6:$AG$104,MATCH($T89&amp;$U89,'AEA2012 update'!$A$6:$A$104&amp;'AEA2012 update'!$B$6:$B$104,0),MATCH(AE$16,'AEA2012 update'!$AC$4:$AG$4,0)))</f>
        <v>4.609962970465193</v>
      </c>
      <c r="AF89" s="67">
        <f t="array" ref="AF89">IF($W$1,AE89*(1+INDEX(AF$1:AF$2,MATCH($O89,$AA$1:$AA$2,0)))^(AF$16-AE$16),INDEX('AEA2012 update'!$AC$6:$AG$104,MATCH($T89&amp;$U89,'AEA2012 update'!$A$6:$A$104&amp;'AEA2012 update'!$B$6:$B$104,0),MATCH(AF$16,'AEA2012 update'!$AC$4:$AG$4,0)))</f>
        <v>4.3625991613173465</v>
      </c>
      <c r="AG89" s="67">
        <f t="array" ref="AG89">IF($W$1,AF89*(1+INDEX(AG$1:AG$2,MATCH($O89,$AA$1:$AA$2,0)))^(AG$16-AF$16),INDEX('AEA2012 update'!$AC$6:$AG$104,MATCH($T89&amp;$U89,'AEA2012 update'!$A$6:$A$104&amp;'AEA2012 update'!$B$6:$B$104,0),MATCH(AG$16,'AEA2012 update'!$AC$4:$AG$4,0)))</f>
        <v>3.9454564819438511</v>
      </c>
      <c r="AH89" s="67">
        <f t="array" ref="AH89">IF($W$1,AG89*(1+INDEX(AH$1:AH$2,MATCH($O89,$AA$1:$AA$2,0)))^(AH$16-AG$16),INDEX('AEA2012 update'!$AC$6:$AG$104,MATCH($T89&amp;$U89,'AEA2012 update'!$A$6:$A$104&amp;'AEA2012 update'!$B$6:$B$104,0),MATCH(AH$16,'AEA2012 update'!$AC$4:$AG$4,0)))</f>
        <v>3.568200119997317</v>
      </c>
      <c r="AI89" s="67"/>
      <c r="AJ89" s="257">
        <f t="shared" si="8"/>
        <v>-9.9900033333330941E-4</v>
      </c>
      <c r="AK89" s="257">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2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56" t="s">
        <v>733</v>
      </c>
      <c r="U90" s="256" t="s">
        <v>700</v>
      </c>
      <c r="V90" s="103">
        <f t="array" ref="V90">IF(V$18,INDEX('AEA2012 update'!$K$6:$R$104,MATCH($T90&amp;$R90,'AEA2012 update'!$A$6:$A$104&amp;'AEA2012 update'!$B$6:$B$104,0),MATCH(V$16,'AEA2012 update'!$S$4:$Z$4,0)),INDEX('AEA2012 update'!$K$6:$R$104,MATCH($T90&amp;$U90,'AEA2012 update'!$A$6:$A$104&amp;'AEA2012 update'!$B$6:$B$104,0),MATCH(V$16,'AEA2012 update'!$S$4:$Z$4,0)))</f>
        <v>1022416.0439057859</v>
      </c>
      <c r="W90" s="103">
        <f t="array" ref="W90">IF(W$18,INDEX('AEA2012 update'!$K$6:$R$104,MATCH($T90&amp;$R90,'AEA2012 update'!$A$6:$A$104&amp;'AEA2012 update'!$B$6:$B$104,0),MATCH(W$16,'AEA2012 update'!$S$4:$Z$4,0)),INDEX('AEA2012 update'!$K$6:$R$104,MATCH($T90&amp;$U90,'AEA2012 update'!$A$6:$A$104&amp;'AEA2012 update'!$B$6:$B$104,0),MATCH(W$16,'AEA2012 update'!$S$4:$Z$4,0)))</f>
        <v>1047637.8756772528</v>
      </c>
      <c r="X90" s="103">
        <f t="array" ref="X90">IF(X$18,INDEX('AEA2012 update'!$K$6:$R$104,MATCH($T90&amp;$R90,'AEA2012 update'!$A$6:$A$104&amp;'AEA2012 update'!$B$6:$B$104,0),MATCH(X$16,'AEA2012 update'!$S$4:$Z$4,0)),INDEX('AEA2012 update'!$K$6:$R$104,MATCH($T90&amp;$U90,'AEA2012 update'!$A$6:$A$104&amp;'AEA2012 update'!$B$6:$B$104,0),MATCH(X$16,'AEA2012 update'!$S$4:$Z$4,0)))</f>
        <v>1050009.7772323459</v>
      </c>
      <c r="Y90" s="103">
        <f t="array" ref="Y90">IF(Y$18,INDEX('AEA2012 update'!$K$6:$R$104,MATCH($T90&amp;$R90,'AEA2012 update'!$A$6:$A$104&amp;'AEA2012 update'!$B$6:$B$104,0),MATCH(Y$16,'AEA2012 update'!$S$4:$Z$4,0)),INDEX('AEA2012 update'!$K$6:$R$104,MATCH($T90&amp;$U90,'AEA2012 update'!$A$6:$A$104&amp;'AEA2012 update'!$B$6:$B$104,0),MATCH(Y$16,'AEA2012 update'!$S$4:$Z$4,0)))</f>
        <v>918646.84578392608</v>
      </c>
      <c r="Z90" s="103">
        <f t="array" ref="Z90">IF(Z$18,INDEX('AEA2012 update'!$K$6:$R$104,MATCH($T90&amp;$R90,'AEA2012 update'!$A$6:$A$104&amp;'AEA2012 update'!$B$6:$B$104,0),MATCH(Z$16,'AEA2012 update'!$S$4:$Z$4,0)),INDEX('AEA2012 update'!$K$6:$R$104,MATCH($T90&amp;$U90,'AEA2012 update'!$A$6:$A$104&amp;'AEA2012 update'!$B$6:$B$104,0),MATCH(Z$16,'AEA2012 update'!$S$4:$Z$4,0)))</f>
        <v>938124.95950684301</v>
      </c>
      <c r="AA90" s="103">
        <f t="array" ref="AA90">IF(AA$18,INDEX('AEA2012 update'!$K$6:$R$104,MATCH($T90&amp;$R90,'AEA2012 update'!$A$6:$A$104&amp;'AEA2012 update'!$B$6:$B$104,0),MATCH(AA$16,'AEA2012 update'!$S$4:$Z$4,0)),INDEX('AEA2012 update'!$K$6:$R$104,MATCH($T90&amp;$U90,'AEA2012 update'!$A$6:$A$104&amp;'AEA2012 update'!$B$6:$B$104,0),MATCH(AA$16,'AEA2012 update'!$S$4:$Z$4,0)))</f>
        <v>957603.07322975982</v>
      </c>
      <c r="AB90" s="103">
        <f t="array" ref="AB90">IF(AB$18,INDEX('AEA2012 update'!$K$6:$R$104,MATCH($T90&amp;$R90,'AEA2012 update'!$A$6:$A$104&amp;'AEA2012 update'!$B$6:$B$104,0),MATCH(AB$16,'AEA2012 update'!$S$4:$Z$4,0)),INDEX('AEA2012 update'!$K$6:$R$104,MATCH($T90&amp;$U90,'AEA2012 update'!$A$6:$A$104&amp;'AEA2012 update'!$B$6:$B$104,0),MATCH(AB$16,'AEA2012 update'!$S$4:$Z$4,0)))</f>
        <v>993485.23967858823</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 update'!$AC$6:$AG$104,MATCH($T90&amp;$U90,'AEA2012 update'!$A$6:$A$104&amp;'AEA2012 update'!$B$6:$B$104,0),MATCH(AE$16,'AEA2012 update'!$AC$4:$AG$4,0)))</f>
        <v>11.184633991601398</v>
      </c>
      <c r="AF90" s="67">
        <f t="array" ref="AF90">IF($W$1,AE90*(1+INDEX(AF$1:AF$2,MATCH($O90,$AA$1:$AA$2,0)))^(AF$16-AE$16),INDEX('AEA2012 update'!$AC$6:$AG$104,MATCH($T90&amp;$U90,'AEA2012 update'!$A$6:$A$104&amp;'AEA2012 update'!$B$6:$B$104,0),MATCH(AF$16,'AEA2012 update'!$AC$4:$AG$4,0)))</f>
        <v>10.584483039020574</v>
      </c>
      <c r="AG90" s="67">
        <f t="array" ref="AG90">IF($W$1,AF90*(1+INDEX(AG$1:AG$2,MATCH($O90,$AA$1:$AA$2,0)))^(AG$16-AF$16),INDEX('AEA2012 update'!$AC$6:$AG$104,MATCH($T90&amp;$U90,'AEA2012 update'!$A$6:$A$104&amp;'AEA2012 update'!$B$6:$B$104,0),MATCH(AG$16,'AEA2012 update'!$AC$4:$AG$4,0)))</f>
        <v>9.5724167337249213</v>
      </c>
      <c r="AH90" s="67">
        <f t="array" ref="AH90">IF($W$1,AG90*(1+INDEX(AH$1:AH$2,MATCH($O90,$AA$1:$AA$2,0)))^(AH$16-AG$16),INDEX('AEA2012 update'!$AC$6:$AG$104,MATCH($T90&amp;$U90,'AEA2012 update'!$A$6:$A$104&amp;'AEA2012 update'!$B$6:$B$104,0),MATCH(AH$16,'AEA2012 update'!$AC$4:$AG$4,0)))</f>
        <v>8.6571221084951446</v>
      </c>
      <c r="AI90" s="67"/>
      <c r="AJ90" s="257">
        <f t="shared" ref="AJ90:AJ111" si="18">-((AD90-AE90)/($AE$16-$AD$16))/AD90</f>
        <v>-9.9900033333333261E-4</v>
      </c>
      <c r="AK90" s="257">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25">
      <c r="C91" s="76">
        <f>SUM(C83:C90)</f>
        <v>0.99999999999999989</v>
      </c>
      <c r="D91" s="7">
        <f>SUM(D83:D90)</f>
        <v>15628.999999999998</v>
      </c>
      <c r="O91" s="61" t="s">
        <v>653</v>
      </c>
      <c r="Q91" s="61" t="str">
        <f t="shared" si="17"/>
        <v/>
      </c>
      <c r="S91" s="65"/>
      <c r="T91" s="256"/>
      <c r="U91" s="260"/>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11"/>
        <v/>
      </c>
      <c r="AD91" s="67" t="e">
        <f>1/INDEX(Analytica!$AA$17:$AE$48,MATCH($AC91,Analytica!$A$17:$A$48,0),MATCH(AD$16,Analytica!$AA$16:$AE$16,0))</f>
        <v>#N/A</v>
      </c>
      <c r="AE91" s="67" t="e">
        <f t="array" ref="AE91">IF($W$1,AD91*(1+INDEX(AE$1:AE$2,MATCH($O91,$AA$1:$AA$2,0)))^(AE$16-AD$16),INDEX('AEA2012 update'!$AC$6:$AG$104,MATCH($T91&amp;$U91,'AEA2012 update'!$A$6:$A$104&amp;'AEA2012 update'!$B$6:$B$104,0),MATCH(AE$16,'AEA2012 update'!$AC$4:$AG$4,0)))</f>
        <v>#N/A</v>
      </c>
      <c r="AF91" s="67" t="e">
        <f t="array" ref="AF91">IF($W$1,AE91*(1+INDEX(AF$1:AF$2,MATCH($O91,$AA$1:$AA$2,0)))^(AF$16-AE$16),INDEX('AEA2012 update'!$AC$6:$AG$104,MATCH($T91&amp;$U91,'AEA2012 update'!$A$6:$A$104&amp;'AEA2012 update'!$B$6:$B$104,0),MATCH(AF$16,'AEA2012 update'!$AC$4:$AG$4,0)))</f>
        <v>#N/A</v>
      </c>
      <c r="AG91" s="67" t="e">
        <f t="array" ref="AG91">IF($W$1,AF91*(1+INDEX(AG$1:AG$2,MATCH($O91,$AA$1:$AA$2,0)))^(AG$16-AF$16),INDEX('AEA2012 update'!$AC$6:$AG$104,MATCH($T91&amp;$U91,'AEA2012 update'!$A$6:$A$104&amp;'AEA2012 update'!$B$6:$B$104,0),MATCH(AG$16,'AEA2012 update'!$AC$4:$AG$4,0)))</f>
        <v>#N/A</v>
      </c>
      <c r="AH91" s="67" t="e">
        <f t="array" ref="AH91">IF($W$1,AG91*(1+INDEX(AH$1:AH$2,MATCH($O91,$AA$1:$AA$2,0)))^(AH$16-AG$16),INDEX('AEA2012 update'!$AC$6:$AG$104,MATCH($T91&amp;$U91,'AEA2012 update'!$A$6:$A$104&amp;'AEA2012 update'!$B$6:$B$104,0),MATCH(AH$16,'AEA2012 update'!$AC$4:$AG$4,0)))</f>
        <v>#N/A</v>
      </c>
      <c r="AI91" s="67"/>
      <c r="AJ91" s="257" t="e">
        <f t="shared" si="18"/>
        <v>#N/A</v>
      </c>
      <c r="AK91" s="257"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25">
      <c r="N92" s="61" t="s">
        <v>511</v>
      </c>
      <c r="O92" s="61" t="s">
        <v>653</v>
      </c>
      <c r="P92" s="61" t="s">
        <v>734</v>
      </c>
      <c r="Q92" s="61" t="str">
        <f t="shared" si="17"/>
        <v>CV5</v>
      </c>
      <c r="R92" s="61" t="s">
        <v>687</v>
      </c>
      <c r="S92" s="65"/>
      <c r="T92" s="256" t="s">
        <v>735</v>
      </c>
      <c r="U92" s="256" t="s">
        <v>687</v>
      </c>
      <c r="V92" s="103">
        <f t="array" ref="V92">IF(V$18,INDEX('AEA2012 update'!$K$6:$R$104,MATCH($T92&amp;$R92,'AEA2012 update'!$A$6:$A$104&amp;'AEA2012 update'!$B$6:$B$104,0),MATCH(V$16,'AEA2012 update'!$S$4:$Z$4,0)),INDEX('AEA2012 update'!$K$6:$R$104,MATCH($T92&amp;$U92,'AEA2012 update'!$A$6:$A$104&amp;'AEA2012 update'!$B$6:$B$104,0),MATCH(V$16,'AEA2012 update'!$S$4:$Z$4,0)))</f>
        <v>685854.55456102896</v>
      </c>
      <c r="W92" s="103">
        <f t="array" ref="W92">IF(W$18,INDEX('AEA2012 update'!$K$6:$R$104,MATCH($T92&amp;$R92,'AEA2012 update'!$A$6:$A$104&amp;'AEA2012 update'!$B$6:$B$104,0),MATCH(W$16,'AEA2012 update'!$S$4:$Z$4,0)),INDEX('AEA2012 update'!$K$6:$R$104,MATCH($T92&amp;$U92,'AEA2012 update'!$A$6:$A$104&amp;'AEA2012 update'!$B$6:$B$104,0),MATCH(W$16,'AEA2012 update'!$S$4:$Z$4,0)))</f>
        <v>827727.74685699318</v>
      </c>
      <c r="X92" s="103">
        <f t="array" ref="X92">IF(X$18,INDEX('AEA2012 update'!$K$6:$R$104,MATCH($T92&amp;$R92,'AEA2012 update'!$A$6:$A$104&amp;'AEA2012 update'!$B$6:$B$104,0),MATCH(X$16,'AEA2012 update'!$S$4:$Z$4,0)),INDEX('AEA2012 update'!$K$6:$R$104,MATCH($T92&amp;$U92,'AEA2012 update'!$A$6:$A$104&amp;'AEA2012 update'!$B$6:$B$104,0),MATCH(X$16,'AEA2012 update'!$S$4:$Z$4,0)))</f>
        <v>854497.09320833592</v>
      </c>
      <c r="Y92" s="103">
        <f t="array" ref="Y92">IF(Y$18,INDEX('AEA2012 update'!$K$6:$R$104,MATCH($T92&amp;$R92,'AEA2012 update'!$A$6:$A$104&amp;'AEA2012 update'!$B$6:$B$104,0),MATCH(Y$16,'AEA2012 update'!$S$4:$Z$4,0)),INDEX('AEA2012 update'!$K$6:$R$104,MATCH($T92&amp;$U92,'AEA2012 update'!$A$6:$A$104&amp;'AEA2012 update'!$B$6:$B$104,0),MATCH(Y$16,'AEA2012 update'!$S$4:$Z$4,0)))</f>
        <v>881266.43955967901</v>
      </c>
      <c r="Z92" s="103">
        <f t="array" ref="Z92">IF(Z$18,INDEX('AEA2012 update'!$K$6:$R$104,MATCH($T92&amp;$R92,'AEA2012 update'!$A$6:$A$104&amp;'AEA2012 update'!$B$6:$B$104,0),MATCH(Z$16,'AEA2012 update'!$S$4:$Z$4,0)),INDEX('AEA2012 update'!$K$6:$R$104,MATCH($T92&amp;$U92,'AEA2012 update'!$A$6:$A$104&amp;'AEA2012 update'!$B$6:$B$104,0),MATCH(Z$16,'AEA2012 update'!$S$4:$Z$4,0)))</f>
        <v>898447.87511458865</v>
      </c>
      <c r="AA92" s="103">
        <f t="array" ref="AA92">IF(AA$18,INDEX('AEA2012 update'!$K$6:$R$104,MATCH($T92&amp;$R92,'AEA2012 update'!$A$6:$A$104&amp;'AEA2012 update'!$B$6:$B$104,0),MATCH(AA$16,'AEA2012 update'!$S$4:$Z$4,0)),INDEX('AEA2012 update'!$K$6:$R$104,MATCH($T92&amp;$U92,'AEA2012 update'!$A$6:$A$104&amp;'AEA2012 update'!$B$6:$B$104,0),MATCH(AA$16,'AEA2012 update'!$S$4:$Z$4,0)))</f>
        <v>915629.31066949805</v>
      </c>
      <c r="AB92" s="103">
        <f t="array" ref="AB92">IF(AB$18,INDEX('AEA2012 update'!$K$6:$R$104,MATCH($T92&amp;$R92,'AEA2012 update'!$A$6:$A$104&amp;'AEA2012 update'!$B$6:$B$104,0),MATCH(AB$16,'AEA2012 update'!$S$4:$Z$4,0)),INDEX('AEA2012 update'!$K$6:$R$104,MATCH($T92&amp;$U92,'AEA2012 update'!$A$6:$A$104&amp;'AEA2012 update'!$B$6:$B$104,0),MATCH(AB$16,'AEA2012 update'!$S$4:$Z$4,0)))</f>
        <v>945215.87798179325</v>
      </c>
      <c r="AC92" s="103" t="str">
        <f t="shared" ref="AC92:AC110" si="20">Q92&amp;N92</f>
        <v>CV5ODS</v>
      </c>
      <c r="AD92" s="67">
        <f>1/INDEX(Analytica!$AA$17:$AE$48,MATCH($AC92,Analytica!$A$17:$A$48,0),MATCH(AD$16,Analytica!$AA$16:$AE$16,0))</f>
        <v>10.588781032925946</v>
      </c>
      <c r="AE92" s="67">
        <f t="array" ref="AE92">IF($W$1,AD92*(1+INDEX(AE$1:AE$2,MATCH($O92,$AA$1:$AA$2,0)))^(AE$16-AD$16),INDEX('AEA2012 update'!$AC$6:$AG$104,MATCH($T92&amp;$U92,'AEA2012 update'!$A$6:$A$104&amp;'AEA2012 update'!$B$6:$B$104,0),MATCH(AE$16,'AEA2012 update'!$AC$4:$AG$4,0)))</f>
        <v>10.557046445581486</v>
      </c>
      <c r="AF92" s="67">
        <f t="array" ref="AF92">IF($W$1,AE92*(1+INDEX(AF$1:AF$2,MATCH($O92,$AA$1:$AA$2,0)))^(AF$16-AE$16),INDEX('AEA2012 update'!$AC$6:$AG$104,MATCH($T92&amp;$U92,'AEA2012 update'!$A$6:$A$104&amp;'AEA2012 update'!$B$6:$B$104,0),MATCH(AF$16,'AEA2012 update'!$AC$4:$AG$4,0)))</f>
        <v>9.9905709144632269</v>
      </c>
      <c r="AG92" s="67">
        <f t="array" ref="AG92">IF($W$1,AF92*(1+INDEX(AG$1:AG$2,MATCH($O92,$AA$1:$AA$2,0)))^(AG$16-AF$16),INDEX('AEA2012 update'!$AC$6:$AG$104,MATCH($T92&amp;$U92,'AEA2012 update'!$A$6:$A$104&amp;'AEA2012 update'!$B$6:$B$104,0),MATCH(AG$16,'AEA2012 update'!$AC$4:$AG$4,0)))</f>
        <v>9.035293254144861</v>
      </c>
      <c r="AH92" s="67">
        <f t="array" ref="AH92">IF($W$1,AG92*(1+INDEX(AH$1:AH$2,MATCH($O92,$AA$1:$AA$2,0)))^(AH$16-AG$16),INDEX('AEA2012 update'!$AC$6:$AG$104,MATCH($T92&amp;$U92,'AEA2012 update'!$A$6:$A$104&amp;'AEA2012 update'!$B$6:$B$104,0),MATCH(AH$16,'AEA2012 update'!$AC$4:$AG$4,0)))</f>
        <v>8.1713572614965813</v>
      </c>
      <c r="AI92" s="67"/>
      <c r="AJ92" s="257">
        <f t="shared" si="18"/>
        <v>-9.9900033333331288E-4</v>
      </c>
      <c r="AK92" s="257">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25">
      <c r="N93" s="61" t="s">
        <v>504</v>
      </c>
      <c r="O93" s="61" t="s">
        <v>653</v>
      </c>
      <c r="P93" s="61" t="s">
        <v>734</v>
      </c>
      <c r="Q93" s="61" t="str">
        <f t="shared" si="17"/>
        <v>CV5</v>
      </c>
      <c r="R93" s="61" t="s">
        <v>687</v>
      </c>
      <c r="S93" s="65"/>
      <c r="T93" s="256" t="s">
        <v>735</v>
      </c>
      <c r="U93" s="256" t="s">
        <v>699</v>
      </c>
      <c r="V93" s="103">
        <f t="array" ref="V93">IF(V$18,INDEX('AEA2012 update'!$K$6:$R$104,MATCH($T93&amp;$R93,'AEA2012 update'!$A$6:$A$104&amp;'AEA2012 update'!$B$6:$B$104,0),MATCH(V$16,'AEA2012 update'!$S$4:$Z$4,0)),INDEX('AEA2012 update'!$K$6:$R$104,MATCH($T93&amp;$U93,'AEA2012 update'!$A$6:$A$104&amp;'AEA2012 update'!$B$6:$B$104,0),MATCH(V$16,'AEA2012 update'!$S$4:$Z$4,0)))</f>
        <v>4181375.5668412126</v>
      </c>
      <c r="W93" s="103">
        <f t="array" ref="W93">IF(W$18,INDEX('AEA2012 update'!$K$6:$R$104,MATCH($T93&amp;$R93,'AEA2012 update'!$A$6:$A$104&amp;'AEA2012 update'!$B$6:$B$104,0),MATCH(W$16,'AEA2012 update'!$S$4:$Z$4,0)),INDEX('AEA2012 update'!$K$6:$R$104,MATCH($T93&amp;$U93,'AEA2012 update'!$A$6:$A$104&amp;'AEA2012 update'!$B$6:$B$104,0),MATCH(W$16,'AEA2012 update'!$S$4:$Z$4,0)))</f>
        <v>1813107.7355248218</v>
      </c>
      <c r="X93" s="103">
        <f t="array" ref="X93">IF(X$18,INDEX('AEA2012 update'!$K$6:$R$104,MATCH($T93&amp;$R93,'AEA2012 update'!$A$6:$A$104&amp;'AEA2012 update'!$B$6:$B$104,0),MATCH(X$16,'AEA2012 update'!$S$4:$Z$4,0)),INDEX('AEA2012 update'!$K$6:$R$104,MATCH($T93&amp;$U93,'AEA2012 update'!$A$6:$A$104&amp;'AEA2012 update'!$B$6:$B$104,0),MATCH(X$16,'AEA2012 update'!$S$4:$Z$4,0)))</f>
        <v>1437160.6416999607</v>
      </c>
      <c r="Y93" s="103">
        <f t="array" ref="Y93">IF(Y$18,INDEX('AEA2012 update'!$K$6:$R$104,MATCH($T93&amp;$R93,'AEA2012 update'!$A$6:$A$104&amp;'AEA2012 update'!$B$6:$B$104,0),MATCH(Y$16,'AEA2012 update'!$S$4:$Z$4,0)),INDEX('AEA2012 update'!$K$6:$R$104,MATCH($T93&amp;$U93,'AEA2012 update'!$A$6:$A$104&amp;'AEA2012 update'!$B$6:$B$104,0),MATCH(Y$16,'AEA2012 update'!$S$4:$Z$4,0)))</f>
        <v>881266.43955967901</v>
      </c>
      <c r="Z93" s="103">
        <f t="array" ref="Z93">IF(Z$18,INDEX('AEA2012 update'!$K$6:$R$104,MATCH($T93&amp;$R93,'AEA2012 update'!$A$6:$A$104&amp;'AEA2012 update'!$B$6:$B$104,0),MATCH(Z$16,'AEA2012 update'!$S$4:$Z$4,0)),INDEX('AEA2012 update'!$K$6:$R$104,MATCH($T93&amp;$U93,'AEA2012 update'!$A$6:$A$104&amp;'AEA2012 update'!$B$6:$B$104,0),MATCH(Z$16,'AEA2012 update'!$S$4:$Z$4,0)))</f>
        <v>898447.87511458865</v>
      </c>
      <c r="AA93" s="103">
        <f t="array" ref="AA93">IF(AA$18,INDEX('AEA2012 update'!$K$6:$R$104,MATCH($T93&amp;$R93,'AEA2012 update'!$A$6:$A$104&amp;'AEA2012 update'!$B$6:$B$104,0),MATCH(AA$16,'AEA2012 update'!$S$4:$Z$4,0)),INDEX('AEA2012 update'!$K$6:$R$104,MATCH($T93&amp;$U93,'AEA2012 update'!$A$6:$A$104&amp;'AEA2012 update'!$B$6:$B$104,0),MATCH(AA$16,'AEA2012 update'!$S$4:$Z$4,0)))</f>
        <v>915629.31066949805</v>
      </c>
      <c r="AB93" s="103">
        <f t="array" ref="AB93">IF(AB$18,INDEX('AEA2012 update'!$K$6:$R$104,MATCH($T93&amp;$R93,'AEA2012 update'!$A$6:$A$104&amp;'AEA2012 update'!$B$6:$B$104,0),MATCH(AB$16,'AEA2012 update'!$S$4:$Z$4,0)),INDEX('AEA2012 update'!$K$6:$R$104,MATCH($T93&amp;$U93,'AEA2012 update'!$A$6:$A$104&amp;'AEA2012 update'!$B$6:$B$104,0),MATCH(AB$16,'AEA2012 update'!$S$4:$Z$4,0)))</f>
        <v>945215.87798179325</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 update'!$AC$6:$AG$104,MATCH($T93&amp;$U93,'AEA2012 update'!$A$6:$A$104&amp;'AEA2012 update'!$B$6:$B$104,0),MATCH(AE$16,'AEA2012 update'!$AC$4:$AG$4,0)))</f>
        <v>5.0039842351908934</v>
      </c>
      <c r="AF93" s="67">
        <f t="array" ref="AF93">IF($W$1,AE93*(1+INDEX(AF$1:AF$2,MATCH($O93,$AA$1:$AA$2,0)))^(AF$16-AE$16),INDEX('AEA2012 update'!$AC$6:$AG$104,MATCH($T93&amp;$U93,'AEA2012 update'!$A$6:$A$104&amp;'AEA2012 update'!$B$6:$B$104,0),MATCH(AF$16,'AEA2012 update'!$AC$4:$AG$4,0)))</f>
        <v>4.7354778265141038</v>
      </c>
      <c r="AG93" s="67">
        <f t="array" ref="AG93">IF($W$1,AF93*(1+INDEX(AG$1:AG$2,MATCH($O93,$AA$1:$AA$2,0)))^(AG$16-AF$16),INDEX('AEA2012 update'!$AC$6:$AG$104,MATCH($T93&amp;$U93,'AEA2012 update'!$A$6:$A$104&amp;'AEA2012 update'!$B$6:$B$104,0),MATCH(AG$16,'AEA2012 update'!$AC$4:$AG$4,0)))</f>
        <v>4.2826812629010078</v>
      </c>
      <c r="AH93" s="67">
        <f t="array" ref="AH93">IF($W$1,AG93*(1+INDEX(AH$1:AH$2,MATCH($O93,$AA$1:$AA$2,0)))^(AH$16-AG$16),INDEX('AEA2012 update'!$AC$6:$AG$104,MATCH($T93&amp;$U93,'AEA2012 update'!$A$6:$A$104&amp;'AEA2012 update'!$B$6:$B$104,0),MATCH(AH$16,'AEA2012 update'!$AC$4:$AG$4,0)))</f>
        <v>3.8731801671437398</v>
      </c>
      <c r="AI93" s="67"/>
      <c r="AJ93" s="257">
        <f t="shared" si="18"/>
        <v>-9.9900033333335018E-4</v>
      </c>
      <c r="AK93" s="257">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25">
      <c r="N94" s="61" t="s">
        <v>509</v>
      </c>
      <c r="O94" s="61" t="s">
        <v>653</v>
      </c>
      <c r="P94" s="61" t="s">
        <v>734</v>
      </c>
      <c r="Q94" s="61" t="str">
        <f t="shared" si="17"/>
        <v>CV5</v>
      </c>
      <c r="R94" s="61" t="s">
        <v>687</v>
      </c>
      <c r="S94" s="65"/>
      <c r="T94" s="256" t="s">
        <v>735</v>
      </c>
      <c r="U94" s="256" t="s">
        <v>700</v>
      </c>
      <c r="V94" s="103">
        <f t="array" ref="V94">IF(V$18,INDEX('AEA2012 update'!$K$6:$R$104,MATCH($T94&amp;$R94,'AEA2012 update'!$A$6:$A$104&amp;'AEA2012 update'!$B$6:$B$104,0),MATCH(V$16,'AEA2012 update'!$S$4:$Z$4,0)),INDEX('AEA2012 update'!$K$6:$R$104,MATCH($T94&amp;$U94,'AEA2012 update'!$A$6:$A$104&amp;'AEA2012 update'!$B$6:$B$104,0),MATCH(V$16,'AEA2012 update'!$S$4:$Z$4,0)))</f>
        <v>935580.03017164103</v>
      </c>
      <c r="W94" s="103">
        <f t="array" ref="W94">IF(W$18,INDEX('AEA2012 update'!$K$6:$R$104,MATCH($T94&amp;$R94,'AEA2012 update'!$A$6:$A$104&amp;'AEA2012 update'!$B$6:$B$104,0),MATCH(W$16,'AEA2012 update'!$S$4:$Z$4,0)),INDEX('AEA2012 update'!$K$6:$R$104,MATCH($T94&amp;$U94,'AEA2012 update'!$A$6:$A$104&amp;'AEA2012 update'!$B$6:$B$104,0),MATCH(W$16,'AEA2012 update'!$S$4:$Z$4,0)))</f>
        <v>955910.20610261254</v>
      </c>
      <c r="X94" s="103">
        <f t="array" ref="X94">IF(X$18,INDEX('AEA2012 update'!$K$6:$R$104,MATCH($T94&amp;$R94,'AEA2012 update'!$A$6:$A$104&amp;'AEA2012 update'!$B$6:$B$104,0),MATCH(X$16,'AEA2012 update'!$S$4:$Z$4,0)),INDEX('AEA2012 update'!$K$6:$R$104,MATCH($T94&amp;$U94,'AEA2012 update'!$A$6:$A$104&amp;'AEA2012 update'!$B$6:$B$104,0),MATCH(X$16,'AEA2012 update'!$S$4:$Z$4,0)))</f>
        <v>961413.7558443757</v>
      </c>
      <c r="Y94" s="103">
        <f t="array" ref="Y94">IF(Y$18,INDEX('AEA2012 update'!$K$6:$R$104,MATCH($T94&amp;$R94,'AEA2012 update'!$A$6:$A$104&amp;'AEA2012 update'!$B$6:$B$104,0),MATCH(Y$16,'AEA2012 update'!$S$4:$Z$4,0)),INDEX('AEA2012 update'!$K$6:$R$104,MATCH($T94&amp;$U94,'AEA2012 update'!$A$6:$A$104&amp;'AEA2012 update'!$B$6:$B$104,0),MATCH(Y$16,'AEA2012 update'!$S$4:$Z$4,0)))</f>
        <v>881266.43955967901</v>
      </c>
      <c r="Z94" s="103">
        <f t="array" ref="Z94">IF(Z$18,INDEX('AEA2012 update'!$K$6:$R$104,MATCH($T94&amp;$R94,'AEA2012 update'!$A$6:$A$104&amp;'AEA2012 update'!$B$6:$B$104,0),MATCH(Z$16,'AEA2012 update'!$S$4:$Z$4,0)),INDEX('AEA2012 update'!$K$6:$R$104,MATCH($T94&amp;$U94,'AEA2012 update'!$A$6:$A$104&amp;'AEA2012 update'!$B$6:$B$104,0),MATCH(Z$16,'AEA2012 update'!$S$4:$Z$4,0)))</f>
        <v>898447.87511458865</v>
      </c>
      <c r="AA94" s="103">
        <f t="array" ref="AA94">IF(AA$18,INDEX('AEA2012 update'!$K$6:$R$104,MATCH($T94&amp;$R94,'AEA2012 update'!$A$6:$A$104&amp;'AEA2012 update'!$B$6:$B$104,0),MATCH(AA$16,'AEA2012 update'!$S$4:$Z$4,0)),INDEX('AEA2012 update'!$K$6:$R$104,MATCH($T94&amp;$U94,'AEA2012 update'!$A$6:$A$104&amp;'AEA2012 update'!$B$6:$B$104,0),MATCH(AA$16,'AEA2012 update'!$S$4:$Z$4,0)))</f>
        <v>915629.31066949805</v>
      </c>
      <c r="AB94" s="103">
        <f t="array" ref="AB94">IF(AB$18,INDEX('AEA2012 update'!$K$6:$R$104,MATCH($T94&amp;$R94,'AEA2012 update'!$A$6:$A$104&amp;'AEA2012 update'!$B$6:$B$104,0),MATCH(AB$16,'AEA2012 update'!$S$4:$Z$4,0)),INDEX('AEA2012 update'!$K$6:$R$104,MATCH($T94&amp;$U94,'AEA2012 update'!$A$6:$A$104&amp;'AEA2012 update'!$B$6:$B$104,0),MATCH(AB$16,'AEA2012 update'!$S$4:$Z$4,0)))</f>
        <v>945215.87798179325</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 update'!$AC$6:$AG$104,MATCH($T94&amp;$U94,'AEA2012 update'!$A$6:$A$104&amp;'AEA2012 update'!$B$6:$B$104,0),MATCH(AE$16,'AEA2012 update'!$AC$4:$AG$4,0)))</f>
        <v>12.140603412418706</v>
      </c>
      <c r="AF94" s="67">
        <f t="array" ref="AF94">IF($W$1,AE94*(1+INDEX(AF$1:AF$2,MATCH($O94,$AA$1:$AA$2,0)))^(AF$16-AE$16),INDEX('AEA2012 update'!$AC$6:$AG$104,MATCH($T94&amp;$U94,'AEA2012 update'!$A$6:$A$104&amp;'AEA2012 update'!$B$6:$B$104,0),MATCH(AF$16,'AEA2012 update'!$AC$4:$AG$4,0)))</f>
        <v>11.489156551632709</v>
      </c>
      <c r="AG94" s="67">
        <f t="array" ref="AG94">IF($W$1,AF94*(1+INDEX(AG$1:AG$2,MATCH($O94,$AA$1:$AA$2,0)))^(AG$16-AF$16),INDEX('AEA2012 update'!$AC$6:$AG$104,MATCH($T94&amp;$U94,'AEA2012 update'!$A$6:$A$104&amp;'AEA2012 update'!$B$6:$B$104,0),MATCH(AG$16,'AEA2012 update'!$AC$4:$AG$4,0)))</f>
        <v>10.390587242266587</v>
      </c>
      <c r="AH94" s="67">
        <f t="array" ref="AH94">IF($W$1,AG94*(1+INDEX(AH$1:AH$2,MATCH($O94,$AA$1:$AA$2,0)))^(AH$16-AG$16),INDEX('AEA2012 update'!$AC$6:$AG$104,MATCH($T94&amp;$U94,'AEA2012 update'!$A$6:$A$104&amp;'AEA2012 update'!$B$6:$B$104,0),MATCH(AH$16,'AEA2012 update'!$AC$4:$AG$4,0)))</f>
        <v>9.3970608507210649</v>
      </c>
      <c r="AI94" s="67"/>
      <c r="AJ94" s="257">
        <f t="shared" si="18"/>
        <v>-9.9900033333335191E-4</v>
      </c>
      <c r="AK94" s="257">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25">
      <c r="B95"/>
      <c r="C95"/>
      <c r="D95"/>
      <c r="E95"/>
      <c r="F95"/>
      <c r="G95"/>
      <c r="H95"/>
      <c r="I95"/>
      <c r="J95"/>
      <c r="O95" s="61" t="s">
        <v>653</v>
      </c>
      <c r="Q95" s="61" t="str">
        <f t="shared" si="17"/>
        <v/>
      </c>
      <c r="S95" s="65"/>
      <c r="T95" s="256"/>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0"/>
        <v/>
      </c>
      <c r="AD95" s="67" t="e">
        <f>1/INDEX(Analytica!$AA$17:$AE$48,MATCH($AC95,Analytica!$A$17:$A$48,0),MATCH(AD$16,Analytica!$AA$16:$AE$16,0))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57" t="e">
        <f t="shared" si="18"/>
        <v>#N/A</v>
      </c>
      <c r="AK95" s="257"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2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56" t="s">
        <v>735</v>
      </c>
      <c r="U96" s="256" t="s">
        <v>687</v>
      </c>
      <c r="V96" s="103">
        <f t="array" ref="V96">IF(V$18,INDEX('AEA2012 update'!$K$6:$R$104,MATCH($T96&amp;$R96,'AEA2012 update'!$A$6:$A$104&amp;'AEA2012 update'!$B$6:$B$104,0),MATCH(V$16,'AEA2012 update'!$S$4:$Z$4,0)),INDEX('AEA2012 update'!$K$6:$R$104,MATCH($T96&amp;$U96,'AEA2012 update'!$A$6:$A$104&amp;'AEA2012 update'!$B$6:$B$104,0),MATCH(V$16,'AEA2012 update'!$S$4:$Z$4,0)))</f>
        <v>685854.55456102896</v>
      </c>
      <c r="W96" s="103">
        <f t="array" ref="W96">IF(W$18,INDEX('AEA2012 update'!$K$6:$R$104,MATCH($T96&amp;$R96,'AEA2012 update'!$A$6:$A$104&amp;'AEA2012 update'!$B$6:$B$104,0),MATCH(W$16,'AEA2012 update'!$S$4:$Z$4,0)),INDEX('AEA2012 update'!$K$6:$R$104,MATCH($T96&amp;$U96,'AEA2012 update'!$A$6:$A$104&amp;'AEA2012 update'!$B$6:$B$104,0),MATCH(W$16,'AEA2012 update'!$S$4:$Z$4,0)))</f>
        <v>827727.74685699318</v>
      </c>
      <c r="X96" s="103">
        <f t="array" ref="X96">IF(X$18,INDEX('AEA2012 update'!$K$6:$R$104,MATCH($T96&amp;$R96,'AEA2012 update'!$A$6:$A$104&amp;'AEA2012 update'!$B$6:$B$104,0),MATCH(X$16,'AEA2012 update'!$S$4:$Z$4,0)),INDEX('AEA2012 update'!$K$6:$R$104,MATCH($T96&amp;$U96,'AEA2012 update'!$A$6:$A$104&amp;'AEA2012 update'!$B$6:$B$104,0),MATCH(X$16,'AEA2012 update'!$S$4:$Z$4,0)))</f>
        <v>854497.09320833592</v>
      </c>
      <c r="Y96" s="103">
        <f t="array" ref="Y96">IF(Y$18,INDEX('AEA2012 update'!$K$6:$R$104,MATCH($T96&amp;$R96,'AEA2012 update'!$A$6:$A$104&amp;'AEA2012 update'!$B$6:$B$104,0),MATCH(Y$16,'AEA2012 update'!$S$4:$Z$4,0)),INDEX('AEA2012 update'!$K$6:$R$104,MATCH($T96&amp;$U96,'AEA2012 update'!$A$6:$A$104&amp;'AEA2012 update'!$B$6:$B$104,0),MATCH(Y$16,'AEA2012 update'!$S$4:$Z$4,0)))</f>
        <v>881266.43955967901</v>
      </c>
      <c r="Z96" s="103">
        <f t="array" ref="Z96">IF(Z$18,INDEX('AEA2012 update'!$K$6:$R$104,MATCH($T96&amp;$R96,'AEA2012 update'!$A$6:$A$104&amp;'AEA2012 update'!$B$6:$B$104,0),MATCH(Z$16,'AEA2012 update'!$S$4:$Z$4,0)),INDEX('AEA2012 update'!$K$6:$R$104,MATCH($T96&amp;$U96,'AEA2012 update'!$A$6:$A$104&amp;'AEA2012 update'!$B$6:$B$104,0),MATCH(Z$16,'AEA2012 update'!$S$4:$Z$4,0)))</f>
        <v>898447.87511458865</v>
      </c>
      <c r="AA96" s="103">
        <f t="array" ref="AA96">IF(AA$18,INDEX('AEA2012 update'!$K$6:$R$104,MATCH($T96&amp;$R96,'AEA2012 update'!$A$6:$A$104&amp;'AEA2012 update'!$B$6:$B$104,0),MATCH(AA$16,'AEA2012 update'!$S$4:$Z$4,0)),INDEX('AEA2012 update'!$K$6:$R$104,MATCH($T96&amp;$U96,'AEA2012 update'!$A$6:$A$104&amp;'AEA2012 update'!$B$6:$B$104,0),MATCH(AA$16,'AEA2012 update'!$S$4:$Z$4,0)))</f>
        <v>915629.31066949805</v>
      </c>
      <c r="AB96" s="103">
        <f t="array" ref="AB96">IF(AB$18,INDEX('AEA2012 update'!$K$6:$R$104,MATCH($T96&amp;$R96,'AEA2012 update'!$A$6:$A$104&amp;'AEA2012 update'!$B$6:$B$104,0),MATCH(AB$16,'AEA2012 update'!$S$4:$Z$4,0)),INDEX('AEA2012 update'!$K$6:$R$104,MATCH($T96&amp;$U96,'AEA2012 update'!$A$6:$A$104&amp;'AEA2012 update'!$B$6:$B$104,0),MATCH(AB$16,'AEA2012 update'!$S$4:$Z$4,0)))</f>
        <v>945215.87798179325</v>
      </c>
      <c r="AC96" s="103" t="str">
        <f t="shared" si="20"/>
        <v>CV6ODS</v>
      </c>
      <c r="AD96" s="67">
        <f>1/INDEX(Analytica!$AA$17:$AE$48,MATCH($AC96,Analytica!$A$17:$A$48,0),MATCH(AD$16,Analytica!$AA$16:$AE$16,0))</f>
        <v>15.351533031153163</v>
      </c>
      <c r="AE96" s="67">
        <f t="array" ref="AE96">IF($W$1,AD96*(1+INDEX(AE$1:AE$2,MATCH($O96,$AA$1:$AA$2,0)))^(AE$16-AD$16),INDEX('AEA2012 update'!$AC$6:$AG$104,MATCH($T96&amp;$U96,'AEA2012 update'!$A$6:$A$104&amp;'AEA2012 update'!$B$6:$B$104,0),MATCH(AE$16,'AEA2012 update'!$AC$4:$AG$4,0)))</f>
        <v>15.305524471307264</v>
      </c>
      <c r="AF96" s="67">
        <f t="array" ref="AF96">IF($W$1,AE96*(1+INDEX(AF$1:AF$2,MATCH($O96,$AA$1:$AA$2,0)))^(AF$16-AE$16),INDEX('AEA2012 update'!$AC$6:$AG$104,MATCH($T96&amp;$U96,'AEA2012 update'!$A$6:$A$104&amp;'AEA2012 update'!$B$6:$B$104,0),MATCH(AF$16,'AEA2012 update'!$AC$4:$AG$4,0)))</f>
        <v>14.484252617610334</v>
      </c>
      <c r="AG96" s="67">
        <f t="array" ref="AG96">IF($W$1,AF96*(1+INDEX(AG$1:AG$2,MATCH($O96,$AA$1:$AA$2,0)))^(AG$16-AF$16),INDEX('AEA2012 update'!$AC$6:$AG$104,MATCH($T96&amp;$U96,'AEA2012 update'!$A$6:$A$104&amp;'AEA2012 update'!$B$6:$B$104,0),MATCH(AG$16,'AEA2012 update'!$AC$4:$AG$4,0)))</f>
        <v>13.099298437266139</v>
      </c>
      <c r="AH96" s="67">
        <f t="array" ref="AH96">IF($W$1,AG96*(1+INDEX(AH$1:AH$2,MATCH($O96,$AA$1:$AA$2,0)))^(AH$16-AG$16),INDEX('AEA2012 update'!$AC$6:$AG$104,MATCH($T96&amp;$U96,'AEA2012 update'!$A$6:$A$104&amp;'AEA2012 update'!$B$6:$B$104,0),MATCH(AH$16,'AEA2012 update'!$AC$4:$AG$4,0)))</f>
        <v>11.846770701854338</v>
      </c>
      <c r="AI96" s="67"/>
      <c r="AJ96" s="257">
        <f t="shared" si="18"/>
        <v>-9.9900033333335169E-4</v>
      </c>
      <c r="AK96" s="257">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2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56" t="s">
        <v>735</v>
      </c>
      <c r="U97" s="256" t="s">
        <v>699</v>
      </c>
      <c r="V97" s="103">
        <f t="array" ref="V97">IF(V$18,INDEX('AEA2012 update'!$K$6:$R$104,MATCH($T97&amp;$R97,'AEA2012 update'!$A$6:$A$104&amp;'AEA2012 update'!$B$6:$B$104,0),MATCH(V$16,'AEA2012 update'!$S$4:$Z$4,0)),INDEX('AEA2012 update'!$K$6:$R$104,MATCH($T97&amp;$U97,'AEA2012 update'!$A$6:$A$104&amp;'AEA2012 update'!$B$6:$B$104,0),MATCH(V$16,'AEA2012 update'!$S$4:$Z$4,0)))</f>
        <v>4181375.5668412126</v>
      </c>
      <c r="W97" s="103">
        <f t="array" ref="W97">IF(W$18,INDEX('AEA2012 update'!$K$6:$R$104,MATCH($T97&amp;$R97,'AEA2012 update'!$A$6:$A$104&amp;'AEA2012 update'!$B$6:$B$104,0),MATCH(W$16,'AEA2012 update'!$S$4:$Z$4,0)),INDEX('AEA2012 update'!$K$6:$R$104,MATCH($T97&amp;$U97,'AEA2012 update'!$A$6:$A$104&amp;'AEA2012 update'!$B$6:$B$104,0),MATCH(W$16,'AEA2012 update'!$S$4:$Z$4,0)))</f>
        <v>1813107.7355248218</v>
      </c>
      <c r="X97" s="103">
        <f t="array" ref="X97">IF(X$18,INDEX('AEA2012 update'!$K$6:$R$104,MATCH($T97&amp;$R97,'AEA2012 update'!$A$6:$A$104&amp;'AEA2012 update'!$B$6:$B$104,0),MATCH(X$16,'AEA2012 update'!$S$4:$Z$4,0)),INDEX('AEA2012 update'!$K$6:$R$104,MATCH($T97&amp;$U97,'AEA2012 update'!$A$6:$A$104&amp;'AEA2012 update'!$B$6:$B$104,0),MATCH(X$16,'AEA2012 update'!$S$4:$Z$4,0)))</f>
        <v>1437160.6416999607</v>
      </c>
      <c r="Y97" s="103">
        <f t="array" ref="Y97">IF(Y$18,INDEX('AEA2012 update'!$K$6:$R$104,MATCH($T97&amp;$R97,'AEA2012 update'!$A$6:$A$104&amp;'AEA2012 update'!$B$6:$B$104,0),MATCH(Y$16,'AEA2012 update'!$S$4:$Z$4,0)),INDEX('AEA2012 update'!$K$6:$R$104,MATCH($T97&amp;$U97,'AEA2012 update'!$A$6:$A$104&amp;'AEA2012 update'!$B$6:$B$104,0),MATCH(Y$16,'AEA2012 update'!$S$4:$Z$4,0)))</f>
        <v>881266.43955967901</v>
      </c>
      <c r="Z97" s="103">
        <f t="array" ref="Z97">IF(Z$18,INDEX('AEA2012 update'!$K$6:$R$104,MATCH($T97&amp;$R97,'AEA2012 update'!$A$6:$A$104&amp;'AEA2012 update'!$B$6:$B$104,0),MATCH(Z$16,'AEA2012 update'!$S$4:$Z$4,0)),INDEX('AEA2012 update'!$K$6:$R$104,MATCH($T97&amp;$U97,'AEA2012 update'!$A$6:$A$104&amp;'AEA2012 update'!$B$6:$B$104,0),MATCH(Z$16,'AEA2012 update'!$S$4:$Z$4,0)))</f>
        <v>898447.87511458865</v>
      </c>
      <c r="AA97" s="103">
        <f t="array" ref="AA97">IF(AA$18,INDEX('AEA2012 update'!$K$6:$R$104,MATCH($T97&amp;$R97,'AEA2012 update'!$A$6:$A$104&amp;'AEA2012 update'!$B$6:$B$104,0),MATCH(AA$16,'AEA2012 update'!$S$4:$Z$4,0)),INDEX('AEA2012 update'!$K$6:$R$104,MATCH($T97&amp;$U97,'AEA2012 update'!$A$6:$A$104&amp;'AEA2012 update'!$B$6:$B$104,0),MATCH(AA$16,'AEA2012 update'!$S$4:$Z$4,0)))</f>
        <v>915629.31066949805</v>
      </c>
      <c r="AB97" s="103">
        <f t="array" ref="AB97">IF(AB$18,INDEX('AEA2012 update'!$K$6:$R$104,MATCH($T97&amp;$R97,'AEA2012 update'!$A$6:$A$104&amp;'AEA2012 update'!$B$6:$B$104,0),MATCH(AB$16,'AEA2012 update'!$S$4:$Z$4,0)),INDEX('AEA2012 update'!$K$6:$R$104,MATCH($T97&amp;$U97,'AEA2012 update'!$A$6:$A$104&amp;'AEA2012 update'!$B$6:$B$104,0),MATCH(AB$16,'AEA2012 update'!$S$4:$Z$4,0)))</f>
        <v>945215.87798179325</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 update'!$AC$6:$AG$104,MATCH($T97&amp;$U97,'AEA2012 update'!$A$6:$A$104&amp;'AEA2012 update'!$B$6:$B$104,0),MATCH(AE$16,'AEA2012 update'!$AC$4:$AG$4,0)))</f>
        <v>7.2547377299647247</v>
      </c>
      <c r="AF97" s="67">
        <f t="array" ref="AF97">IF($W$1,AE97*(1+INDEX(AF$1:AF$2,MATCH($O97,$AA$1:$AA$2,0)))^(AF$16-AE$16),INDEX('AEA2012 update'!$AC$6:$AG$104,MATCH($T97&amp;$U97,'AEA2012 update'!$A$6:$A$104&amp;'AEA2012 update'!$B$6:$B$104,0),MATCH(AF$16,'AEA2012 update'!$AC$4:$AG$4,0)))</f>
        <v>6.865459210646903</v>
      </c>
      <c r="AG97" s="67">
        <f t="array" ref="AG97">IF($W$1,AF97*(1+INDEX(AG$1:AG$2,MATCH($O97,$AA$1:$AA$2,0)))^(AG$16-AF$16),INDEX('AEA2012 update'!$AC$6:$AG$104,MATCH($T97&amp;$U97,'AEA2012 update'!$A$6:$A$104&amp;'AEA2012 update'!$B$6:$B$104,0),MATCH(AG$16,'AEA2012 update'!$AC$4:$AG$4,0)))</f>
        <v>6.2089982468131542</v>
      </c>
      <c r="AH97" s="67">
        <f t="array" ref="AH97">IF($W$1,AG97*(1+INDEX(AH$1:AH$2,MATCH($O97,$AA$1:$AA$2,0)))^(AH$16-AG$16),INDEX('AEA2012 update'!$AC$6:$AG$104,MATCH($T97&amp;$U97,'AEA2012 update'!$A$6:$A$104&amp;'AEA2012 update'!$B$6:$B$104,0),MATCH(AH$16,'AEA2012 update'!$AC$4:$AG$4,0)))</f>
        <v>5.6153067181789087</v>
      </c>
      <c r="AI97" s="67"/>
      <c r="AJ97" s="257">
        <f t="shared" si="18"/>
        <v>-9.9900033333334953E-4</v>
      </c>
      <c r="AK97" s="257">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56" t="s">
        <v>735</v>
      </c>
      <c r="U98" s="256" t="s">
        <v>700</v>
      </c>
      <c r="V98" s="103">
        <f t="array" ref="V98">IF(V$18,INDEX('AEA2012 update'!$K$6:$R$104,MATCH($T98&amp;$R98,'AEA2012 update'!$A$6:$A$104&amp;'AEA2012 update'!$B$6:$B$104,0),MATCH(V$16,'AEA2012 update'!$S$4:$Z$4,0)),INDEX('AEA2012 update'!$K$6:$R$104,MATCH($T98&amp;$U98,'AEA2012 update'!$A$6:$A$104&amp;'AEA2012 update'!$B$6:$B$104,0),MATCH(V$16,'AEA2012 update'!$S$4:$Z$4,0)))</f>
        <v>935580.03017164103</v>
      </c>
      <c r="W98" s="103">
        <f t="array" ref="W98">IF(W$18,INDEX('AEA2012 update'!$K$6:$R$104,MATCH($T98&amp;$R98,'AEA2012 update'!$A$6:$A$104&amp;'AEA2012 update'!$B$6:$B$104,0),MATCH(W$16,'AEA2012 update'!$S$4:$Z$4,0)),INDEX('AEA2012 update'!$K$6:$R$104,MATCH($T98&amp;$U98,'AEA2012 update'!$A$6:$A$104&amp;'AEA2012 update'!$B$6:$B$104,0),MATCH(W$16,'AEA2012 update'!$S$4:$Z$4,0)))</f>
        <v>955910.20610261254</v>
      </c>
      <c r="X98" s="103">
        <f t="array" ref="X98">IF(X$18,INDEX('AEA2012 update'!$K$6:$R$104,MATCH($T98&amp;$R98,'AEA2012 update'!$A$6:$A$104&amp;'AEA2012 update'!$B$6:$B$104,0),MATCH(X$16,'AEA2012 update'!$S$4:$Z$4,0)),INDEX('AEA2012 update'!$K$6:$R$104,MATCH($T98&amp;$U98,'AEA2012 update'!$A$6:$A$104&amp;'AEA2012 update'!$B$6:$B$104,0),MATCH(X$16,'AEA2012 update'!$S$4:$Z$4,0)))</f>
        <v>961413.7558443757</v>
      </c>
      <c r="Y98" s="103">
        <f t="array" ref="Y98">IF(Y$18,INDEX('AEA2012 update'!$K$6:$R$104,MATCH($T98&amp;$R98,'AEA2012 update'!$A$6:$A$104&amp;'AEA2012 update'!$B$6:$B$104,0),MATCH(Y$16,'AEA2012 update'!$S$4:$Z$4,0)),INDEX('AEA2012 update'!$K$6:$R$104,MATCH($T98&amp;$U98,'AEA2012 update'!$A$6:$A$104&amp;'AEA2012 update'!$B$6:$B$104,0),MATCH(Y$16,'AEA2012 update'!$S$4:$Z$4,0)))</f>
        <v>881266.43955967901</v>
      </c>
      <c r="Z98" s="103">
        <f t="array" ref="Z98">IF(Z$18,INDEX('AEA2012 update'!$K$6:$R$104,MATCH($T98&amp;$R98,'AEA2012 update'!$A$6:$A$104&amp;'AEA2012 update'!$B$6:$B$104,0),MATCH(Z$16,'AEA2012 update'!$S$4:$Z$4,0)),INDEX('AEA2012 update'!$K$6:$R$104,MATCH($T98&amp;$U98,'AEA2012 update'!$A$6:$A$104&amp;'AEA2012 update'!$B$6:$B$104,0),MATCH(Z$16,'AEA2012 update'!$S$4:$Z$4,0)))</f>
        <v>898447.87511458865</v>
      </c>
      <c r="AA98" s="103">
        <f t="array" ref="AA98">IF(AA$18,INDEX('AEA2012 update'!$K$6:$R$104,MATCH($T98&amp;$R98,'AEA2012 update'!$A$6:$A$104&amp;'AEA2012 update'!$B$6:$B$104,0),MATCH(AA$16,'AEA2012 update'!$S$4:$Z$4,0)),INDEX('AEA2012 update'!$K$6:$R$104,MATCH($T98&amp;$U98,'AEA2012 update'!$A$6:$A$104&amp;'AEA2012 update'!$B$6:$B$104,0),MATCH(AA$16,'AEA2012 update'!$S$4:$Z$4,0)))</f>
        <v>915629.31066949805</v>
      </c>
      <c r="AB98" s="103">
        <f t="array" ref="AB98">IF(AB$18,INDEX('AEA2012 update'!$K$6:$R$104,MATCH($T98&amp;$R98,'AEA2012 update'!$A$6:$A$104&amp;'AEA2012 update'!$B$6:$B$104,0),MATCH(AB$16,'AEA2012 update'!$S$4:$Z$4,0)),INDEX('AEA2012 update'!$K$6:$R$104,MATCH($T98&amp;$U98,'AEA2012 update'!$A$6:$A$104&amp;'AEA2012 update'!$B$6:$B$104,0),MATCH(AB$16,'AEA2012 update'!$S$4:$Z$4,0)))</f>
        <v>945215.87798179325</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 update'!$AC$6:$AG$104,MATCH($T98&amp;$U98,'AEA2012 update'!$A$6:$A$104&amp;'AEA2012 update'!$B$6:$B$104,0),MATCH(AE$16,'AEA2012 update'!$AC$4:$AG$4,0)))</f>
        <v>17.601353142003351</v>
      </c>
      <c r="AF98" s="67">
        <f t="array" ref="AF98">IF($W$1,AE98*(1+INDEX(AF$1:AF$2,MATCH($O98,$AA$1:$AA$2,0)))^(AF$16-AE$16),INDEX('AEA2012 update'!$AC$6:$AG$104,MATCH($T98&amp;$U98,'AEA2012 update'!$A$6:$A$104&amp;'AEA2012 update'!$B$6:$B$104,0),MATCH(AF$16,'AEA2012 update'!$AC$4:$AG$4,0)))</f>
        <v>16.656890510251884</v>
      </c>
      <c r="AG98" s="67">
        <f t="array" ref="AG98">IF($W$1,AF98*(1+INDEX(AG$1:AG$2,MATCH($O98,$AA$1:$AA$2,0)))^(AG$16-AF$16),INDEX('AEA2012 update'!$AC$6:$AG$104,MATCH($T98&amp;$U98,'AEA2012 update'!$A$6:$A$104&amp;'AEA2012 update'!$B$6:$B$104,0),MATCH(AG$16,'AEA2012 update'!$AC$4:$AG$4,0)))</f>
        <v>15.06419320285606</v>
      </c>
      <c r="AH98" s="67">
        <f t="array" ref="AH98">IF($W$1,AG98*(1+INDEX(AH$1:AH$2,MATCH($O98,$AA$1:$AA$2,0)))^(AH$16-AG$16),INDEX('AEA2012 update'!$AC$6:$AG$104,MATCH($T98&amp;$U98,'AEA2012 update'!$A$6:$A$104&amp;'AEA2012 update'!$B$6:$B$104,0),MATCH(AH$16,'AEA2012 update'!$AC$4:$AG$4,0)))</f>
        <v>13.623786307132489</v>
      </c>
      <c r="AI98" s="67"/>
      <c r="AJ98" s="257">
        <f t="shared" si="18"/>
        <v>-9.9900033333336362E-4</v>
      </c>
      <c r="AK98" s="257">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2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56"/>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0"/>
        <v/>
      </c>
      <c r="AD99" s="67" t="e">
        <f>1/INDEX(Analytica!$AA$17:$AE$48,MATCH($AC99,Analytica!$A$17:$A$48,0),MATCH(AD$16,Analytica!$AA$16:$AE$16,0))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57" t="e">
        <f t="shared" si="18"/>
        <v>#N/A</v>
      </c>
      <c r="AK99" s="257"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2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56" t="s">
        <v>747</v>
      </c>
      <c r="U100" s="256" t="s">
        <v>687</v>
      </c>
      <c r="V100" s="103">
        <f t="array" ref="V100">IF(V$18,INDEX('AEA2012 update'!$K$6:$R$104,MATCH($T100&amp;$R100,'AEA2012 update'!$A$6:$A$104&amp;'AEA2012 update'!$B$6:$B$104,0),MATCH(V$16,'AEA2012 update'!$S$4:$Z$4,0)),INDEX('AEA2012 update'!$K$6:$R$104,MATCH($T100&amp;$U100,'AEA2012 update'!$A$6:$A$104&amp;'AEA2012 update'!$B$6:$B$104,0),MATCH(V$16,'AEA2012 update'!$S$4:$Z$4,0)))</f>
        <v>877700.13388008508</v>
      </c>
      <c r="W100" s="103">
        <f t="array" ref="W100">IF(W$18,INDEX('AEA2012 update'!$K$6:$R$104,MATCH($T100&amp;$R100,'AEA2012 update'!$A$6:$A$104&amp;'AEA2012 update'!$B$6:$B$104,0),MATCH(W$16,'AEA2012 update'!$S$4:$Z$4,0)),INDEX('AEA2012 update'!$K$6:$R$104,MATCH($T100&amp;$U100,'AEA2012 update'!$A$6:$A$104&amp;'AEA2012 update'!$B$6:$B$104,0),MATCH(W$16,'AEA2012 update'!$S$4:$Z$4,0)))</f>
        <v>1088428.6604757041</v>
      </c>
      <c r="X100" s="103">
        <f t="array" ref="X100">IF(X$18,INDEX('AEA2012 update'!$K$6:$R$104,MATCH($T100&amp;$R100,'AEA2012 update'!$A$6:$A$104&amp;'AEA2012 update'!$B$6:$B$104,0),MATCH(X$16,'AEA2012 update'!$S$4:$Z$4,0)),INDEX('AEA2012 update'!$K$6:$R$104,MATCH($T100&amp;$U100,'AEA2012 update'!$A$6:$A$104&amp;'AEA2012 update'!$B$6:$B$104,0),MATCH(X$16,'AEA2012 update'!$S$4:$Z$4,0)))</f>
        <v>1116561.6285591619</v>
      </c>
      <c r="Y100" s="103">
        <f t="array" ref="Y100">IF(Y$18,INDEX('AEA2012 update'!$K$6:$R$104,MATCH($T100&amp;$R100,'AEA2012 update'!$A$6:$A$104&amp;'AEA2012 update'!$B$6:$B$104,0),MATCH(Y$16,'AEA2012 update'!$S$4:$Z$4,0)),INDEX('AEA2012 update'!$K$6:$R$104,MATCH($T100&amp;$U100,'AEA2012 update'!$A$6:$A$104&amp;'AEA2012 update'!$B$6:$B$104,0),MATCH(Y$16,'AEA2012 update'!$S$4:$Z$4,0)))</f>
        <v>1144694.5966426195</v>
      </c>
      <c r="Z100" s="103">
        <f t="array" ref="Z100">IF(Z$18,INDEX('AEA2012 update'!$K$6:$R$104,MATCH($T100&amp;$R100,'AEA2012 update'!$A$6:$A$104&amp;'AEA2012 update'!$B$6:$B$104,0),MATCH(Z$16,'AEA2012 update'!$S$4:$Z$4,0)),INDEX('AEA2012 update'!$K$6:$R$104,MATCH($T100&amp;$U100,'AEA2012 update'!$A$6:$A$104&amp;'AEA2012 update'!$B$6:$B$104,0),MATCH(Z$16,'AEA2012 update'!$S$4:$Z$4,0)))</f>
        <v>1166651.8949681348</v>
      </c>
      <c r="AA100" s="103">
        <f t="array" ref="AA100">IF(AA$18,INDEX('AEA2012 update'!$K$6:$R$104,MATCH($T100&amp;$R100,'AEA2012 update'!$A$6:$A$104&amp;'AEA2012 update'!$B$6:$B$104,0),MATCH(AA$16,'AEA2012 update'!$S$4:$Z$4,0)),INDEX('AEA2012 update'!$K$6:$R$104,MATCH($T100&amp;$U100,'AEA2012 update'!$A$6:$A$104&amp;'AEA2012 update'!$B$6:$B$104,0),MATCH(AA$16,'AEA2012 update'!$S$4:$Z$4,0)))</f>
        <v>1188609.1932936499</v>
      </c>
      <c r="AB100" s="103">
        <f t="array" ref="AB100">IF(AB$18,INDEX('AEA2012 update'!$K$6:$R$104,MATCH($T100&amp;$R100,'AEA2012 update'!$A$6:$A$104&amp;'AEA2012 update'!$B$6:$B$104,0),MATCH(AB$16,'AEA2012 update'!$S$4:$Z$4,0)),INDEX('AEA2012 update'!$K$6:$R$104,MATCH($T100&amp;$U100,'AEA2012 update'!$A$6:$A$104&amp;'AEA2012 update'!$B$6:$B$104,0),MATCH(AB$16,'AEA2012 update'!$S$4:$Z$4,0)))</f>
        <v>1215891.7526997081</v>
      </c>
      <c r="AC100" s="103" t="str">
        <f t="shared" si="20"/>
        <v>CV7ODS</v>
      </c>
      <c r="AD100" s="67">
        <f>1/INDEX(Analytica!$AA$17:$AE$48,MATCH($AC100,Analytica!$A$17:$A$48,0),MATCH(AD$16,Analytica!$AA$16:$AE$16,0))</f>
        <v>14.221141864653497</v>
      </c>
      <c r="AE100" s="67">
        <f t="array" ref="AE100">IF($W$1,AD100*(1+INDEX(AE$1:AE$2,MATCH($O100,$AA$1:$AA$2,0)))^(AE$16-AD$16),INDEX('AEA2012 update'!$AC$6:$AG$104,MATCH($T100&amp;$U100,'AEA2012 update'!$A$6:$A$104&amp;'AEA2012 update'!$B$6:$B$104,0),MATCH(AE$16,'AEA2012 update'!$AC$4:$AG$4,0)))</f>
        <v>14.178521088263988</v>
      </c>
      <c r="AF100" s="67">
        <f t="array" ref="AF100">IF($W$1,AE100*(1+INDEX(AF$1:AF$2,MATCH($O100,$AA$1:$AA$2,0)))^(AF$16-AE$16),INDEX('AEA2012 update'!$AC$6:$AG$104,MATCH($T100&amp;$U100,'AEA2012 update'!$A$6:$A$104&amp;'AEA2012 update'!$B$6:$B$104,0),MATCH(AF$16,'AEA2012 update'!$AC$4:$AG$4,0)))</f>
        <v>13.417722572756142</v>
      </c>
      <c r="AG100" s="67">
        <f t="array" ref="AG100">IF($W$1,AF100*(1+INDEX(AG$1:AG$2,MATCH($O100,$AA$1:$AA$2,0)))^(AG$16-AF$16),INDEX('AEA2012 update'!$AC$6:$AG$104,MATCH($T100&amp;$U100,'AEA2012 update'!$A$6:$A$104&amp;'AEA2012 update'!$B$6:$B$104,0),MATCH(AG$16,'AEA2012 update'!$AC$4:$AG$4,0)))</f>
        <v>12.134747782241671</v>
      </c>
      <c r="AH100" s="67">
        <f t="array" ref="AH100">IF($W$1,AG100*(1+INDEX(AH$1:AH$2,MATCH($O100,$AA$1:$AA$2,0)))^(AH$16-AG$16),INDEX('AEA2012 update'!$AC$6:$AG$104,MATCH($T100&amp;$U100,'AEA2012 update'!$A$6:$A$104&amp;'AEA2012 update'!$B$6:$B$104,0),MATCH(AH$16,'AEA2012 update'!$AC$4:$AG$4,0)))</f>
        <v>10.974448379012209</v>
      </c>
      <c r="AI100" s="67"/>
      <c r="AJ100" s="257">
        <f t="shared" si="18"/>
        <v>-9.9900033333333717E-4</v>
      </c>
      <c r="AK100" s="257">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2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56" t="s">
        <v>747</v>
      </c>
      <c r="U101" s="256" t="s">
        <v>699</v>
      </c>
      <c r="V101" s="103">
        <f t="array" ref="V101">IF(V$18,INDEX('AEA2012 update'!$K$6:$R$104,MATCH($T101&amp;$R101,'AEA2012 update'!$A$6:$A$104&amp;'AEA2012 update'!$B$6:$B$104,0),MATCH(V$16,'AEA2012 update'!$S$4:$Z$4,0)),INDEX('AEA2012 update'!$K$6:$R$104,MATCH($T101&amp;$U101,'AEA2012 update'!$A$6:$A$104&amp;'AEA2012 update'!$B$6:$B$104,0),MATCH(V$16,'AEA2012 update'!$S$4:$Z$4,0)))</f>
        <v>5872968.0361672165</v>
      </c>
      <c r="W101" s="103">
        <f t="array" ref="W101">IF(W$18,INDEX('AEA2012 update'!$K$6:$R$104,MATCH($T101&amp;$R101,'AEA2012 update'!$A$6:$A$104&amp;'AEA2012 update'!$B$6:$B$104,0),MATCH(W$16,'AEA2012 update'!$S$4:$Z$4,0)),INDEX('AEA2012 update'!$K$6:$R$104,MATCH($T101&amp;$U101,'AEA2012 update'!$A$6:$A$104&amp;'AEA2012 update'!$B$6:$B$104,0),MATCH(W$16,'AEA2012 update'!$S$4:$Z$4,0)))</f>
        <v>2464487.1540335203</v>
      </c>
      <c r="X101" s="103">
        <f t="array" ref="X101">IF(X$18,INDEX('AEA2012 update'!$K$6:$R$104,MATCH($T101&amp;$R101,'AEA2012 update'!$A$6:$A$104&amp;'AEA2012 update'!$B$6:$B$104,0),MATCH(X$16,'AEA2012 update'!$S$4:$Z$4,0)),INDEX('AEA2012 update'!$K$6:$R$104,MATCH($T101&amp;$U101,'AEA2012 update'!$A$6:$A$104&amp;'AEA2012 update'!$B$6:$B$104,0),MATCH(X$16,'AEA2012 update'!$S$4:$Z$4,0)))</f>
        <v>1930209.4138028375</v>
      </c>
      <c r="Y101" s="103">
        <f t="array" ref="Y101">IF(Y$18,INDEX('AEA2012 update'!$K$6:$R$104,MATCH($T101&amp;$R101,'AEA2012 update'!$A$6:$A$104&amp;'AEA2012 update'!$B$6:$B$104,0),MATCH(Y$16,'AEA2012 update'!$S$4:$Z$4,0)),INDEX('AEA2012 update'!$K$6:$R$104,MATCH($T101&amp;$U101,'AEA2012 update'!$A$6:$A$104&amp;'AEA2012 update'!$B$6:$B$104,0),MATCH(Y$16,'AEA2012 update'!$S$4:$Z$4,0)))</f>
        <v>1144694.5966426195</v>
      </c>
      <c r="Z101" s="103">
        <f t="array" ref="Z101">IF(Z$18,INDEX('AEA2012 update'!$K$6:$R$104,MATCH($T101&amp;$R101,'AEA2012 update'!$A$6:$A$104&amp;'AEA2012 update'!$B$6:$B$104,0),MATCH(Z$16,'AEA2012 update'!$S$4:$Z$4,0)),INDEX('AEA2012 update'!$K$6:$R$104,MATCH($T101&amp;$U101,'AEA2012 update'!$A$6:$A$104&amp;'AEA2012 update'!$B$6:$B$104,0),MATCH(Z$16,'AEA2012 update'!$S$4:$Z$4,0)))</f>
        <v>1166651.8949681348</v>
      </c>
      <c r="AA101" s="103">
        <f t="array" ref="AA101">IF(AA$18,INDEX('AEA2012 update'!$K$6:$R$104,MATCH($T101&amp;$R101,'AEA2012 update'!$A$6:$A$104&amp;'AEA2012 update'!$B$6:$B$104,0),MATCH(AA$16,'AEA2012 update'!$S$4:$Z$4,0)),INDEX('AEA2012 update'!$K$6:$R$104,MATCH($T101&amp;$U101,'AEA2012 update'!$A$6:$A$104&amp;'AEA2012 update'!$B$6:$B$104,0),MATCH(AA$16,'AEA2012 update'!$S$4:$Z$4,0)))</f>
        <v>1188609.1932936499</v>
      </c>
      <c r="AB101" s="103">
        <f t="array" ref="AB101">IF(AB$18,INDEX('AEA2012 update'!$K$6:$R$104,MATCH($T101&amp;$R101,'AEA2012 update'!$A$6:$A$104&amp;'AEA2012 update'!$B$6:$B$104,0),MATCH(AB$16,'AEA2012 update'!$S$4:$Z$4,0)),INDEX('AEA2012 update'!$K$6:$R$104,MATCH($T101&amp;$U101,'AEA2012 update'!$A$6:$A$104&amp;'AEA2012 update'!$B$6:$B$104,0),MATCH(AB$16,'AEA2012 update'!$S$4:$Z$4,0)))</f>
        <v>1215891.7526997081</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 update'!$AC$6:$AG$104,MATCH($T101&amp;$U101,'AEA2012 update'!$A$6:$A$104&amp;'AEA2012 update'!$B$6:$B$104,0),MATCH(AE$16,'AEA2012 update'!$AC$4:$AG$4,0)))</f>
        <v>6.7343497741541869</v>
      </c>
      <c r="AF101" s="67">
        <f t="array" ref="AF101">IF($W$1,AE101*(1+INDEX(AF$1:AF$2,MATCH($O101,$AA$1:$AA$2,0)))^(AF$16-AE$16),INDEX('AEA2012 update'!$AC$6:$AG$104,MATCH($T101&amp;$U101,'AEA2012 update'!$A$6:$A$104&amp;'AEA2012 update'!$B$6:$B$104,0),MATCH(AF$16,'AEA2012 update'!$AC$4:$AG$4,0)))</f>
        <v>6.3729945045042395</v>
      </c>
      <c r="AG101" s="67">
        <f t="array" ref="AG101">IF($W$1,AF101*(1+INDEX(AG$1:AG$2,MATCH($O101,$AA$1:$AA$2,0)))^(AG$16-AF$16),INDEX('AEA2012 update'!$AC$6:$AG$104,MATCH($T101&amp;$U101,'AEA2012 update'!$A$6:$A$104&amp;'AEA2012 update'!$B$6:$B$104,0),MATCH(AG$16,'AEA2012 update'!$AC$4:$AG$4,0)))</f>
        <v>5.7636219940032509</v>
      </c>
      <c r="AH101" s="67">
        <f t="array" ref="AH101">IF($W$1,AG101*(1+INDEX(AH$1:AH$2,MATCH($O101,$AA$1:$AA$2,0)))^(AH$16-AG$16),INDEX('AEA2012 update'!$AC$6:$AG$104,MATCH($T101&amp;$U101,'AEA2012 update'!$A$6:$A$104&amp;'AEA2012 update'!$B$6:$B$104,0),MATCH(AH$16,'AEA2012 update'!$AC$4:$AG$4,0)))</f>
        <v>5.2125164185030419</v>
      </c>
      <c r="AI101" s="67"/>
      <c r="AJ101" s="257">
        <f t="shared" si="18"/>
        <v>-9.9900033333333066E-4</v>
      </c>
      <c r="AK101" s="257">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25">
      <c r="A102"/>
      <c r="B102"/>
      <c r="C102"/>
      <c r="D102"/>
      <c r="E102"/>
      <c r="F102"/>
      <c r="G102" s="278">
        <f>AVERAGE(G98:G101)</f>
        <v>0.86428571428571432</v>
      </c>
      <c r="H102" s="278">
        <f>AVERAGE(H98:H101)</f>
        <v>0.78788676619240683</v>
      </c>
      <c r="I102" s="278"/>
      <c r="J102" s="279">
        <v>-9.9999999999999992E-2</v>
      </c>
      <c r="N102" s="61" t="s">
        <v>509</v>
      </c>
      <c r="O102" s="61" t="s">
        <v>653</v>
      </c>
      <c r="P102" s="61" t="s">
        <v>746</v>
      </c>
      <c r="Q102" s="61" t="str">
        <f t="shared" si="17"/>
        <v>CV7</v>
      </c>
      <c r="R102" s="61" t="s">
        <v>687</v>
      </c>
      <c r="S102" s="65"/>
      <c r="T102" s="256" t="s">
        <v>747</v>
      </c>
      <c r="U102" s="256" t="s">
        <v>700</v>
      </c>
      <c r="V102" s="103">
        <f t="array" ref="V102">IF(V$18,INDEX('AEA2012 update'!$K$6:$R$104,MATCH($T102&amp;$R102,'AEA2012 update'!$A$6:$A$104&amp;'AEA2012 update'!$B$6:$B$104,0),MATCH(V$16,'AEA2012 update'!$S$4:$Z$4,0)),INDEX('AEA2012 update'!$K$6:$R$104,MATCH($T102&amp;$U102,'AEA2012 update'!$A$6:$A$104&amp;'AEA2012 update'!$B$6:$B$104,0),MATCH(V$16,'AEA2012 update'!$S$4:$Z$4,0)))</f>
        <v>1216871.9571458176</v>
      </c>
      <c r="W102" s="103">
        <f t="array" ref="W102">IF(W$18,INDEX('AEA2012 update'!$K$6:$R$104,MATCH($T102&amp;$R102,'AEA2012 update'!$A$6:$A$104&amp;'AEA2012 update'!$B$6:$B$104,0),MATCH(W$16,'AEA2012 update'!$S$4:$Z$4,0)),INDEX('AEA2012 update'!$K$6:$R$104,MATCH($T102&amp;$U102,'AEA2012 update'!$A$6:$A$104&amp;'AEA2012 update'!$B$6:$B$104,0),MATCH(W$16,'AEA2012 update'!$S$4:$Z$4,0)))</f>
        <v>1262276.8438934449</v>
      </c>
      <c r="X102" s="103">
        <f t="array" ref="X102">IF(X$18,INDEX('AEA2012 update'!$K$6:$R$104,MATCH($T102&amp;$R102,'AEA2012 update'!$A$6:$A$104&amp;'AEA2012 update'!$B$6:$B$104,0),MATCH(X$16,'AEA2012 update'!$S$4:$Z$4,0)),INDEX('AEA2012 update'!$K$6:$R$104,MATCH($T102&amp;$U102,'AEA2012 update'!$A$6:$A$104&amp;'AEA2012 update'!$B$6:$B$104,0),MATCH(X$16,'AEA2012 update'!$S$4:$Z$4,0)))</f>
        <v>1258634.2158304008</v>
      </c>
      <c r="Y102" s="103">
        <f t="array" ref="Y102">IF(Y$18,INDEX('AEA2012 update'!$K$6:$R$104,MATCH($T102&amp;$R102,'AEA2012 update'!$A$6:$A$104&amp;'AEA2012 update'!$B$6:$B$104,0),MATCH(Y$16,'AEA2012 update'!$S$4:$Z$4,0)),INDEX('AEA2012 update'!$K$6:$R$104,MATCH($T102&amp;$U102,'AEA2012 update'!$A$6:$A$104&amp;'AEA2012 update'!$B$6:$B$104,0),MATCH(Y$16,'AEA2012 update'!$S$4:$Z$4,0)))</f>
        <v>1144694.5966426195</v>
      </c>
      <c r="Z102" s="103">
        <f t="array" ref="Z102">IF(Z$18,INDEX('AEA2012 update'!$K$6:$R$104,MATCH($T102&amp;$R102,'AEA2012 update'!$A$6:$A$104&amp;'AEA2012 update'!$B$6:$B$104,0),MATCH(Z$16,'AEA2012 update'!$S$4:$Z$4,0)),INDEX('AEA2012 update'!$K$6:$R$104,MATCH($T102&amp;$U102,'AEA2012 update'!$A$6:$A$104&amp;'AEA2012 update'!$B$6:$B$104,0),MATCH(Z$16,'AEA2012 update'!$S$4:$Z$4,0)))</f>
        <v>1166651.8949681348</v>
      </c>
      <c r="AA102" s="103">
        <f t="array" ref="AA102">IF(AA$18,INDEX('AEA2012 update'!$K$6:$R$104,MATCH($T102&amp;$R102,'AEA2012 update'!$A$6:$A$104&amp;'AEA2012 update'!$B$6:$B$104,0),MATCH(AA$16,'AEA2012 update'!$S$4:$Z$4,0)),INDEX('AEA2012 update'!$K$6:$R$104,MATCH($T102&amp;$U102,'AEA2012 update'!$A$6:$A$104&amp;'AEA2012 update'!$B$6:$B$104,0),MATCH(AA$16,'AEA2012 update'!$S$4:$Z$4,0)))</f>
        <v>1188609.1932936499</v>
      </c>
      <c r="AB102" s="103">
        <f t="array" ref="AB102">IF(AB$18,INDEX('AEA2012 update'!$K$6:$R$104,MATCH($T102&amp;$R102,'AEA2012 update'!$A$6:$A$104&amp;'AEA2012 update'!$B$6:$B$104,0),MATCH(AB$16,'AEA2012 update'!$S$4:$Z$4,0)),INDEX('AEA2012 update'!$K$6:$R$104,MATCH($T102&amp;$U102,'AEA2012 update'!$A$6:$A$104&amp;'AEA2012 update'!$B$6:$B$104,0),MATCH(AB$16,'AEA2012 update'!$S$4:$Z$4,0)))</f>
        <v>1215891.7526997081</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 update'!$AC$6:$AG$104,MATCH($T102&amp;$U102,'AEA2012 update'!$A$6:$A$104&amp;'AEA2012 update'!$B$6:$B$104,0),MATCH(AE$16,'AEA2012 update'!$AC$4:$AG$4,0)))</f>
        <v>16.305299251503584</v>
      </c>
      <c r="AF102" s="67">
        <f t="array" ref="AF102">IF($W$1,AE102*(1+INDEX(AF$1:AF$2,MATCH($O102,$AA$1:$AA$2,0)))^(AF$16-AE$16),INDEX('AEA2012 update'!$AC$6:$AG$104,MATCH($T102&amp;$U102,'AEA2012 update'!$A$6:$A$104&amp;'AEA2012 update'!$B$6:$B$104,0),MATCH(AF$16,'AEA2012 update'!$AC$4:$AG$4,0)))</f>
        <v>15.430380958669563</v>
      </c>
      <c r="AG102" s="67">
        <f t="array" ref="AG102">IF($W$1,AF102*(1+INDEX(AG$1:AG$2,MATCH($O102,$AA$1:$AA$2,0)))^(AG$16-AF$16),INDEX('AEA2012 update'!$AC$6:$AG$104,MATCH($T102&amp;$U102,'AEA2012 update'!$A$6:$A$104&amp;'AEA2012 update'!$B$6:$B$104,0),MATCH(AG$16,'AEA2012 update'!$AC$4:$AG$4,0)))</f>
        <v>13.954959949577923</v>
      </c>
      <c r="AH102" s="67">
        <f t="array" ref="AH102">IF($W$1,AG102*(1+INDEX(AH$1:AH$2,MATCH($O102,$AA$1:$AA$2,0)))^(AH$16-AG$16),INDEX('AEA2012 update'!$AC$6:$AG$104,MATCH($T102&amp;$U102,'AEA2012 update'!$A$6:$A$104&amp;'AEA2012 update'!$B$6:$B$104,0),MATCH(AH$16,'AEA2012 update'!$AC$4:$AG$4,0)))</f>
        <v>12.620615635864041</v>
      </c>
      <c r="AI102" s="67"/>
      <c r="AJ102" s="257">
        <f t="shared" si="18"/>
        <v>-9.9900033333333391E-4</v>
      </c>
      <c r="AK102" s="257">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25">
      <c r="A103" t="s">
        <v>748</v>
      </c>
      <c r="B103"/>
      <c r="C103"/>
      <c r="D103"/>
      <c r="E103"/>
      <c r="F103"/>
      <c r="G103"/>
      <c r="H103"/>
      <c r="I103"/>
      <c r="J103"/>
      <c r="O103" s="61" t="s">
        <v>653</v>
      </c>
      <c r="Q103" s="61" t="str">
        <f t="shared" si="17"/>
        <v/>
      </c>
      <c r="S103" s="65"/>
      <c r="T103" s="256"/>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57" t="e">
        <f t="shared" si="18"/>
        <v>#N/A</v>
      </c>
      <c r="AK103" s="257"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25">
      <c r="A104" t="s">
        <v>749</v>
      </c>
      <c r="B104"/>
      <c r="C104"/>
      <c r="D104"/>
      <c r="E104"/>
      <c r="F104"/>
      <c r="G104"/>
      <c r="H104"/>
      <c r="I104"/>
      <c r="J104"/>
      <c r="N104" s="61" t="s">
        <v>511</v>
      </c>
      <c r="O104" s="61" t="s">
        <v>653</v>
      </c>
      <c r="P104" s="61" t="s">
        <v>750</v>
      </c>
      <c r="Q104" s="61" t="str">
        <f t="shared" si="17"/>
        <v>CV8</v>
      </c>
      <c r="R104" s="61" t="s">
        <v>687</v>
      </c>
      <c r="S104" s="65"/>
      <c r="T104" s="256" t="s">
        <v>747</v>
      </c>
      <c r="U104" s="256" t="s">
        <v>687</v>
      </c>
      <c r="V104" s="103">
        <f t="array" ref="V104">IF(V$18,INDEX('AEA2012 update'!$K$6:$R$104,MATCH($T104&amp;$R104,'AEA2012 update'!$A$6:$A$104&amp;'AEA2012 update'!$B$6:$B$104,0),MATCH(V$16,'AEA2012 update'!$S$4:$Z$4,0)),INDEX('AEA2012 update'!$K$6:$R$104,MATCH($T104&amp;$U104,'AEA2012 update'!$A$6:$A$104&amp;'AEA2012 update'!$B$6:$B$104,0),MATCH(V$16,'AEA2012 update'!$S$4:$Z$4,0)))</f>
        <v>877700.13388008508</v>
      </c>
      <c r="W104" s="103">
        <f t="array" ref="W104">IF(W$18,INDEX('AEA2012 update'!$K$6:$R$104,MATCH($T104&amp;$R104,'AEA2012 update'!$A$6:$A$104&amp;'AEA2012 update'!$B$6:$B$104,0),MATCH(W$16,'AEA2012 update'!$S$4:$Z$4,0)),INDEX('AEA2012 update'!$K$6:$R$104,MATCH($T104&amp;$U104,'AEA2012 update'!$A$6:$A$104&amp;'AEA2012 update'!$B$6:$B$104,0),MATCH(W$16,'AEA2012 update'!$S$4:$Z$4,0)))</f>
        <v>1088428.6604757041</v>
      </c>
      <c r="X104" s="103">
        <f t="array" ref="X104">IF(X$18,INDEX('AEA2012 update'!$K$6:$R$104,MATCH($T104&amp;$R104,'AEA2012 update'!$A$6:$A$104&amp;'AEA2012 update'!$B$6:$B$104,0),MATCH(X$16,'AEA2012 update'!$S$4:$Z$4,0)),INDEX('AEA2012 update'!$K$6:$R$104,MATCH($T104&amp;$U104,'AEA2012 update'!$A$6:$A$104&amp;'AEA2012 update'!$B$6:$B$104,0),MATCH(X$16,'AEA2012 update'!$S$4:$Z$4,0)))</f>
        <v>1116561.6285591619</v>
      </c>
      <c r="Y104" s="103">
        <f t="array" ref="Y104">IF(Y$18,INDEX('AEA2012 update'!$K$6:$R$104,MATCH($T104&amp;$R104,'AEA2012 update'!$A$6:$A$104&amp;'AEA2012 update'!$B$6:$B$104,0),MATCH(Y$16,'AEA2012 update'!$S$4:$Z$4,0)),INDEX('AEA2012 update'!$K$6:$R$104,MATCH($T104&amp;$U104,'AEA2012 update'!$A$6:$A$104&amp;'AEA2012 update'!$B$6:$B$104,0),MATCH(Y$16,'AEA2012 update'!$S$4:$Z$4,0)))</f>
        <v>1144694.5966426195</v>
      </c>
      <c r="Z104" s="103">
        <f t="array" ref="Z104">IF(Z$18,INDEX('AEA2012 update'!$K$6:$R$104,MATCH($T104&amp;$R104,'AEA2012 update'!$A$6:$A$104&amp;'AEA2012 update'!$B$6:$B$104,0),MATCH(Z$16,'AEA2012 update'!$S$4:$Z$4,0)),INDEX('AEA2012 update'!$K$6:$R$104,MATCH($T104&amp;$U104,'AEA2012 update'!$A$6:$A$104&amp;'AEA2012 update'!$B$6:$B$104,0),MATCH(Z$16,'AEA2012 update'!$S$4:$Z$4,0)))</f>
        <v>1166651.8949681348</v>
      </c>
      <c r="AA104" s="103">
        <f t="array" ref="AA104">IF(AA$18,INDEX('AEA2012 update'!$K$6:$R$104,MATCH($T104&amp;$R104,'AEA2012 update'!$A$6:$A$104&amp;'AEA2012 update'!$B$6:$B$104,0),MATCH(AA$16,'AEA2012 update'!$S$4:$Z$4,0)),INDEX('AEA2012 update'!$K$6:$R$104,MATCH($T104&amp;$U104,'AEA2012 update'!$A$6:$A$104&amp;'AEA2012 update'!$B$6:$B$104,0),MATCH(AA$16,'AEA2012 update'!$S$4:$Z$4,0)))</f>
        <v>1188609.1932936499</v>
      </c>
      <c r="AB104" s="103">
        <f t="array" ref="AB104">IF(AB$18,INDEX('AEA2012 update'!$K$6:$R$104,MATCH($T104&amp;$R104,'AEA2012 update'!$A$6:$A$104&amp;'AEA2012 update'!$B$6:$B$104,0),MATCH(AB$16,'AEA2012 update'!$S$4:$Z$4,0)),INDEX('AEA2012 update'!$K$6:$R$104,MATCH($T104&amp;$U104,'AEA2012 update'!$A$6:$A$104&amp;'AEA2012 update'!$B$6:$B$104,0),MATCH(AB$16,'AEA2012 update'!$S$4:$Z$4,0)))</f>
        <v>1215891.7526997081</v>
      </c>
      <c r="AC104" s="103" t="str">
        <f t="shared" si="20"/>
        <v>CV8ODS</v>
      </c>
      <c r="AD104" s="67">
        <f>1/INDEX(Analytica!$AA$17:$AE$48,MATCH($AC104,Analytica!$A$17:$A$48,0),MATCH(AD$16,Analytica!$AA$16:$AE$16,0))</f>
        <v>14.452202013338351</v>
      </c>
      <c r="AE104" s="67">
        <f t="array" ref="AE104">IF($W$1,AD104*(1+INDEX(AE$1:AE$2,MATCH($O104,$AA$1:$AA$2,0)))^(AE$16-AD$16),INDEX('AEA2012 update'!$AC$6:$AG$104,MATCH($T104&amp;$U104,'AEA2012 update'!$A$6:$A$104&amp;'AEA2012 update'!$B$6:$B$104,0),MATCH(AE$16,'AEA2012 update'!$AC$4:$AG$4,0)))</f>
        <v>14.408888749452174</v>
      </c>
      <c r="AF104" s="67">
        <f t="array" ref="AF104">IF($W$1,AE104*(1+INDEX(AF$1:AF$2,MATCH($O104,$AA$1:$AA$2,0)))^(AF$16-AE$16),INDEX('AEA2012 update'!$AC$6:$AG$104,MATCH($T104&amp;$U104,'AEA2012 update'!$A$6:$A$104&amp;'AEA2012 update'!$B$6:$B$104,0),MATCH(AF$16,'AEA2012 update'!$AC$4:$AG$4,0)))</f>
        <v>13.63572904524475</v>
      </c>
      <c r="AG104" s="67">
        <f t="array" ref="AG104">IF($W$1,AF104*(1+INDEX(AG$1:AG$2,MATCH($O104,$AA$1:$AA$2,0)))^(AG$16-AF$16),INDEX('AEA2012 update'!$AC$6:$AG$104,MATCH($T104&amp;$U104,'AEA2012 update'!$A$6:$A$104&amp;'AEA2012 update'!$B$6:$B$104,0),MATCH(AG$16,'AEA2012 update'!$AC$4:$AG$4,0)))</f>
        <v>12.331908928196269</v>
      </c>
      <c r="AH104" s="67">
        <f t="array" ref="AH104">IF($W$1,AG104*(1+INDEX(AH$1:AH$2,MATCH($O104,$AA$1:$AA$2,0)))^(AH$16-AG$16),INDEX('AEA2012 update'!$AC$6:$AG$104,MATCH($T104&amp;$U104,'AEA2012 update'!$A$6:$A$104&amp;'AEA2012 update'!$B$6:$B$104,0),MATCH(AH$16,'AEA2012 update'!$AC$4:$AG$4,0)))</f>
        <v>11.152757385301742</v>
      </c>
      <c r="AI104" s="67"/>
      <c r="AJ104" s="257">
        <f t="shared" si="18"/>
        <v>-9.990003333333183E-4</v>
      </c>
      <c r="AK104" s="257">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75" thickBot="1" x14ac:dyDescent="0.3">
      <c r="N105" s="61" t="s">
        <v>504</v>
      </c>
      <c r="O105" s="61" t="s">
        <v>653</v>
      </c>
      <c r="P105" s="61" t="s">
        <v>750</v>
      </c>
      <c r="Q105" s="61" t="str">
        <f t="shared" si="17"/>
        <v>CV8</v>
      </c>
      <c r="R105" s="61" t="s">
        <v>687</v>
      </c>
      <c r="S105" s="65"/>
      <c r="T105" s="256" t="s">
        <v>747</v>
      </c>
      <c r="U105" s="256" t="s">
        <v>699</v>
      </c>
      <c r="V105" s="103">
        <f t="array" ref="V105">IF(V$18,INDEX('AEA2012 update'!$K$6:$R$104,MATCH($T105&amp;$R105,'AEA2012 update'!$A$6:$A$104&amp;'AEA2012 update'!$B$6:$B$104,0),MATCH(V$16,'AEA2012 update'!$S$4:$Z$4,0)),INDEX('AEA2012 update'!$K$6:$R$104,MATCH($T105&amp;$U105,'AEA2012 update'!$A$6:$A$104&amp;'AEA2012 update'!$B$6:$B$104,0),MATCH(V$16,'AEA2012 update'!$S$4:$Z$4,0)))</f>
        <v>5872968.0361672165</v>
      </c>
      <c r="W105" s="103">
        <f t="array" ref="W105">IF(W$18,INDEX('AEA2012 update'!$K$6:$R$104,MATCH($T105&amp;$R105,'AEA2012 update'!$A$6:$A$104&amp;'AEA2012 update'!$B$6:$B$104,0),MATCH(W$16,'AEA2012 update'!$S$4:$Z$4,0)),INDEX('AEA2012 update'!$K$6:$R$104,MATCH($T105&amp;$U105,'AEA2012 update'!$A$6:$A$104&amp;'AEA2012 update'!$B$6:$B$104,0),MATCH(W$16,'AEA2012 update'!$S$4:$Z$4,0)))</f>
        <v>2464487.1540335203</v>
      </c>
      <c r="X105" s="103">
        <f t="array" ref="X105">IF(X$18,INDEX('AEA2012 update'!$K$6:$R$104,MATCH($T105&amp;$R105,'AEA2012 update'!$A$6:$A$104&amp;'AEA2012 update'!$B$6:$B$104,0),MATCH(X$16,'AEA2012 update'!$S$4:$Z$4,0)),INDEX('AEA2012 update'!$K$6:$R$104,MATCH($T105&amp;$U105,'AEA2012 update'!$A$6:$A$104&amp;'AEA2012 update'!$B$6:$B$104,0),MATCH(X$16,'AEA2012 update'!$S$4:$Z$4,0)))</f>
        <v>1930209.4138028375</v>
      </c>
      <c r="Y105" s="103">
        <f t="array" ref="Y105">IF(Y$18,INDEX('AEA2012 update'!$K$6:$R$104,MATCH($T105&amp;$R105,'AEA2012 update'!$A$6:$A$104&amp;'AEA2012 update'!$B$6:$B$104,0),MATCH(Y$16,'AEA2012 update'!$S$4:$Z$4,0)),INDEX('AEA2012 update'!$K$6:$R$104,MATCH($T105&amp;$U105,'AEA2012 update'!$A$6:$A$104&amp;'AEA2012 update'!$B$6:$B$104,0),MATCH(Y$16,'AEA2012 update'!$S$4:$Z$4,0)))</f>
        <v>1144694.5966426195</v>
      </c>
      <c r="Z105" s="103">
        <f t="array" ref="Z105">IF(Z$18,INDEX('AEA2012 update'!$K$6:$R$104,MATCH($T105&amp;$R105,'AEA2012 update'!$A$6:$A$104&amp;'AEA2012 update'!$B$6:$B$104,0),MATCH(Z$16,'AEA2012 update'!$S$4:$Z$4,0)),INDEX('AEA2012 update'!$K$6:$R$104,MATCH($T105&amp;$U105,'AEA2012 update'!$A$6:$A$104&amp;'AEA2012 update'!$B$6:$B$104,0),MATCH(Z$16,'AEA2012 update'!$S$4:$Z$4,0)))</f>
        <v>1166651.8949681348</v>
      </c>
      <c r="AA105" s="103">
        <f t="array" ref="AA105">IF(AA$18,INDEX('AEA2012 update'!$K$6:$R$104,MATCH($T105&amp;$R105,'AEA2012 update'!$A$6:$A$104&amp;'AEA2012 update'!$B$6:$B$104,0),MATCH(AA$16,'AEA2012 update'!$S$4:$Z$4,0)),INDEX('AEA2012 update'!$K$6:$R$104,MATCH($T105&amp;$U105,'AEA2012 update'!$A$6:$A$104&amp;'AEA2012 update'!$B$6:$B$104,0),MATCH(AA$16,'AEA2012 update'!$S$4:$Z$4,0)))</f>
        <v>1188609.1932936499</v>
      </c>
      <c r="AB105" s="103">
        <f t="array" ref="AB105">IF(AB$18,INDEX('AEA2012 update'!$K$6:$R$104,MATCH($T105&amp;$R105,'AEA2012 update'!$A$6:$A$104&amp;'AEA2012 update'!$B$6:$B$104,0),MATCH(AB$16,'AEA2012 update'!$S$4:$Z$4,0)),INDEX('AEA2012 update'!$K$6:$R$104,MATCH($T105&amp;$U105,'AEA2012 update'!$A$6:$A$104&amp;'AEA2012 update'!$B$6:$B$104,0),MATCH(AB$16,'AEA2012 update'!$S$4:$Z$4,0)))</f>
        <v>1215891.7526997081</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 update'!$AC$6:$AG$104,MATCH($T105&amp;$U105,'AEA2012 update'!$A$6:$A$104&amp;'AEA2012 update'!$B$6:$B$104,0),MATCH(AE$16,'AEA2012 update'!$AC$4:$AG$4,0)))</f>
        <v>6.8437671384503274</v>
      </c>
      <c r="AF105" s="67">
        <f t="array" ref="AF105">IF($W$1,AE105*(1+INDEX(AF$1:AF$2,MATCH($O105,$AA$1:$AA$2,0)))^(AF$16-AE$16),INDEX('AEA2012 update'!$AC$6:$AG$104,MATCH($T105&amp;$U105,'AEA2012 update'!$A$6:$A$104&amp;'AEA2012 update'!$B$6:$B$104,0),MATCH(AF$16,'AEA2012 update'!$AC$4:$AG$4,0)))</f>
        <v>6.4765406945214075</v>
      </c>
      <c r="AG105" s="67">
        <f t="array" ref="AG105">IF($W$1,AF105*(1+INDEX(AG$1:AG$2,MATCH($O105,$AA$1:$AA$2,0)))^(AG$16-AF$16),INDEX('AEA2012 update'!$AC$6:$AG$104,MATCH($T105&amp;$U105,'AEA2012 update'!$A$6:$A$104&amp;'AEA2012 update'!$B$6:$B$104,0),MATCH(AG$16,'AEA2012 update'!$AC$4:$AG$4,0)))</f>
        <v>5.857267312190233</v>
      </c>
      <c r="AH105" s="67">
        <f t="array" ref="AH105">IF($W$1,AG105*(1+INDEX(AH$1:AH$2,MATCH($O105,$AA$1:$AA$2,0)))^(AH$16-AG$16),INDEX('AEA2012 update'!$AC$6:$AG$104,MATCH($T105&amp;$U105,'AEA2012 update'!$A$6:$A$104&amp;'AEA2012 update'!$B$6:$B$104,0),MATCH(AH$16,'AEA2012 update'!$AC$4:$AG$4,0)))</f>
        <v>5.2972075656798445</v>
      </c>
      <c r="AI105" s="67"/>
      <c r="AJ105" s="257">
        <f t="shared" si="18"/>
        <v>-9.9900033333332784E-4</v>
      </c>
      <c r="AK105" s="257">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1.5" x14ac:dyDescent="0.25">
      <c r="A106" s="280"/>
      <c r="B106" s="281" t="s">
        <v>751</v>
      </c>
      <c r="C106" s="282" t="s">
        <v>752</v>
      </c>
      <c r="D106" s="281" t="s">
        <v>751</v>
      </c>
      <c r="E106" s="281" t="s">
        <v>752</v>
      </c>
      <c r="N106" s="61" t="s">
        <v>509</v>
      </c>
      <c r="O106" s="61" t="s">
        <v>653</v>
      </c>
      <c r="P106" s="61" t="s">
        <v>750</v>
      </c>
      <c r="Q106" s="61" t="str">
        <f t="shared" si="17"/>
        <v>CV8</v>
      </c>
      <c r="R106" s="61" t="s">
        <v>687</v>
      </c>
      <c r="S106" s="65"/>
      <c r="T106" s="256" t="s">
        <v>747</v>
      </c>
      <c r="U106" s="256" t="s">
        <v>700</v>
      </c>
      <c r="V106" s="103">
        <f t="array" ref="V106">IF(V$18,INDEX('AEA2012 update'!$K$6:$R$104,MATCH($T106&amp;$R106,'AEA2012 update'!$A$6:$A$104&amp;'AEA2012 update'!$B$6:$B$104,0),MATCH(V$16,'AEA2012 update'!$S$4:$Z$4,0)),INDEX('AEA2012 update'!$K$6:$R$104,MATCH($T106&amp;$U106,'AEA2012 update'!$A$6:$A$104&amp;'AEA2012 update'!$B$6:$B$104,0),MATCH(V$16,'AEA2012 update'!$S$4:$Z$4,0)))</f>
        <v>1216871.9571458176</v>
      </c>
      <c r="W106" s="103">
        <f t="array" ref="W106">IF(W$18,INDEX('AEA2012 update'!$K$6:$R$104,MATCH($T106&amp;$R106,'AEA2012 update'!$A$6:$A$104&amp;'AEA2012 update'!$B$6:$B$104,0),MATCH(W$16,'AEA2012 update'!$S$4:$Z$4,0)),INDEX('AEA2012 update'!$K$6:$R$104,MATCH($T106&amp;$U106,'AEA2012 update'!$A$6:$A$104&amp;'AEA2012 update'!$B$6:$B$104,0),MATCH(W$16,'AEA2012 update'!$S$4:$Z$4,0)))</f>
        <v>1262276.8438934449</v>
      </c>
      <c r="X106" s="103">
        <f t="array" ref="X106">IF(X$18,INDEX('AEA2012 update'!$K$6:$R$104,MATCH($T106&amp;$R106,'AEA2012 update'!$A$6:$A$104&amp;'AEA2012 update'!$B$6:$B$104,0),MATCH(X$16,'AEA2012 update'!$S$4:$Z$4,0)),INDEX('AEA2012 update'!$K$6:$R$104,MATCH($T106&amp;$U106,'AEA2012 update'!$A$6:$A$104&amp;'AEA2012 update'!$B$6:$B$104,0),MATCH(X$16,'AEA2012 update'!$S$4:$Z$4,0)))</f>
        <v>1258634.2158304008</v>
      </c>
      <c r="Y106" s="103">
        <f t="array" ref="Y106">IF(Y$18,INDEX('AEA2012 update'!$K$6:$R$104,MATCH($T106&amp;$R106,'AEA2012 update'!$A$6:$A$104&amp;'AEA2012 update'!$B$6:$B$104,0),MATCH(Y$16,'AEA2012 update'!$S$4:$Z$4,0)),INDEX('AEA2012 update'!$K$6:$R$104,MATCH($T106&amp;$U106,'AEA2012 update'!$A$6:$A$104&amp;'AEA2012 update'!$B$6:$B$104,0),MATCH(Y$16,'AEA2012 update'!$S$4:$Z$4,0)))</f>
        <v>1144694.5966426195</v>
      </c>
      <c r="Z106" s="103">
        <f t="array" ref="Z106">IF(Z$18,INDEX('AEA2012 update'!$K$6:$R$104,MATCH($T106&amp;$R106,'AEA2012 update'!$A$6:$A$104&amp;'AEA2012 update'!$B$6:$B$104,0),MATCH(Z$16,'AEA2012 update'!$S$4:$Z$4,0)),INDEX('AEA2012 update'!$K$6:$R$104,MATCH($T106&amp;$U106,'AEA2012 update'!$A$6:$A$104&amp;'AEA2012 update'!$B$6:$B$104,0),MATCH(Z$16,'AEA2012 update'!$S$4:$Z$4,0)))</f>
        <v>1166651.8949681348</v>
      </c>
      <c r="AA106" s="103">
        <f t="array" ref="AA106">IF(AA$18,INDEX('AEA2012 update'!$K$6:$R$104,MATCH($T106&amp;$R106,'AEA2012 update'!$A$6:$A$104&amp;'AEA2012 update'!$B$6:$B$104,0),MATCH(AA$16,'AEA2012 update'!$S$4:$Z$4,0)),INDEX('AEA2012 update'!$K$6:$R$104,MATCH($T106&amp;$U106,'AEA2012 update'!$A$6:$A$104&amp;'AEA2012 update'!$B$6:$B$104,0),MATCH(AA$16,'AEA2012 update'!$S$4:$Z$4,0)))</f>
        <v>1188609.1932936499</v>
      </c>
      <c r="AB106" s="103">
        <f t="array" ref="AB106">IF(AB$18,INDEX('AEA2012 update'!$K$6:$R$104,MATCH($T106&amp;$R106,'AEA2012 update'!$A$6:$A$104&amp;'AEA2012 update'!$B$6:$B$104,0),MATCH(AB$16,'AEA2012 update'!$S$4:$Z$4,0)),INDEX('AEA2012 update'!$K$6:$R$104,MATCH($T106&amp;$U106,'AEA2012 update'!$A$6:$A$104&amp;'AEA2012 update'!$B$6:$B$104,0),MATCH(AB$16,'AEA2012 update'!$S$4:$Z$4,0)))</f>
        <v>1215891.7526997081</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 update'!$AC$6:$AG$104,MATCH($T106&amp;$U106,'AEA2012 update'!$A$6:$A$104&amp;'AEA2012 update'!$B$6:$B$104,0),MATCH(AE$16,'AEA2012 update'!$AC$4:$AG$4,0)))</f>
        <v>16.570222061869998</v>
      </c>
      <c r="AF106" s="67">
        <f t="array" ref="AF106">IF($W$1,AE106*(1+INDEX(AF$1:AF$2,MATCH($O106,$AA$1:$AA$2,0)))^(AF$16-AE$16),INDEX('AEA2012 update'!$AC$6:$AG$104,MATCH($T106&amp;$U106,'AEA2012 update'!$A$6:$A$104&amp;'AEA2012 update'!$B$6:$B$104,0),MATCH(AF$16,'AEA2012 update'!$AC$4:$AG$4,0)))</f>
        <v>15.681088402031461</v>
      </c>
      <c r="AG106" s="67">
        <f t="array" ref="AG106">IF($W$1,AF106*(1+INDEX(AG$1:AG$2,MATCH($O106,$AA$1:$AA$2,0)))^(AG$16-AF$16),INDEX('AEA2012 update'!$AC$6:$AG$104,MATCH($T106&amp;$U106,'AEA2012 update'!$A$6:$A$104&amp;'AEA2012 update'!$B$6:$B$104,0),MATCH(AG$16,'AEA2012 update'!$AC$4:$AG$4,0)))</f>
        <v>14.181695267425708</v>
      </c>
      <c r="AH106" s="67">
        <f t="array" ref="AH106">IF($W$1,AG106*(1+INDEX(AH$1:AH$2,MATCH($O106,$AA$1:$AA$2,0)))^(AH$16-AG$16),INDEX('AEA2012 update'!$AC$6:$AG$104,MATCH($T106&amp;$U106,'AEA2012 update'!$A$6:$A$104&amp;'AEA2012 update'!$B$6:$B$104,0),MATCH(AH$16,'AEA2012 update'!$AC$4:$AG$4,0)))</f>
        <v>12.825670993097001</v>
      </c>
      <c r="AI106" s="67"/>
      <c r="AJ106" s="257">
        <f t="shared" si="18"/>
        <v>-9.9900033333334692E-4</v>
      </c>
      <c r="AK106" s="257">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2.25" thickBot="1" x14ac:dyDescent="0.3">
      <c r="A107" s="283" t="s">
        <v>753</v>
      </c>
      <c r="B107" s="284" t="s">
        <v>754</v>
      </c>
      <c r="C107" s="285" t="s">
        <v>754</v>
      </c>
      <c r="D107" s="284" t="s">
        <v>755</v>
      </c>
      <c r="E107" s="284" t="s">
        <v>755</v>
      </c>
      <c r="O107" s="61" t="s">
        <v>653</v>
      </c>
      <c r="P107"/>
      <c r="Q107" s="61" t="str">
        <f t="shared" si="17"/>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0"/>
        <v/>
      </c>
      <c r="AD107" s="67" t="e">
        <f>1/INDEX(Analytica!$AA$17:$AE$48,MATCH($AC107,Analytica!$A$17:$A$48,0),MATCH(AD$16,Analytica!$AA$16:$AE$16,0))</f>
        <v>#N/A</v>
      </c>
      <c r="AE107" s="67" t="e">
        <f t="array" ref="AE107">IF($W$1,AD107*(1+INDEX(AE$1:AE$2,MATCH($O107,$AA$1:$AA$2,0)))^(AE$16-AD$16),INDEX('AEA2012 update'!$AC$6:$AG$104,MATCH($T107&amp;$U107,'AEA2012 update'!$A$6:$A$104&amp;'AEA2012 update'!$B$6:$B$104,0),MATCH(AE$16,'AEA2012 update'!$AC$4:$AG$4,0)))</f>
        <v>#N/A</v>
      </c>
      <c r="AF107" s="67" t="e">
        <f t="array" ref="AF107">IF($W$1,AE107*(1+INDEX(AF$1:AF$2,MATCH($O107,$AA$1:$AA$2,0)))^(AF$16-AE$16),INDEX('AEA2012 update'!$AC$6:$AG$104,MATCH($T107&amp;$U107,'AEA2012 update'!$A$6:$A$104&amp;'AEA2012 update'!$B$6:$B$104,0),MATCH(AF$16,'AEA2012 update'!$AC$4:$AG$4,0)))</f>
        <v>#N/A</v>
      </c>
      <c r="AG107" s="67" t="e">
        <f t="array" ref="AG107">IF($W$1,AF107*(1+INDEX(AG$1:AG$2,MATCH($O107,$AA$1:$AA$2,0)))^(AG$16-AF$16),INDEX('AEA2012 update'!$AC$6:$AG$104,MATCH($T107&amp;$U107,'AEA2012 update'!$A$6:$A$104&amp;'AEA2012 update'!$B$6:$B$104,0),MATCH(AG$16,'AEA2012 update'!$AC$4:$AG$4,0)))</f>
        <v>#N/A</v>
      </c>
      <c r="AH107" s="67" t="e">
        <f t="array" ref="AH107">IF($W$1,AG107*(1+INDEX(AH$1:AH$2,MATCH($O107,$AA$1:$AA$2,0)))^(AH$16-AG$16),INDEX('AEA2012 update'!$AC$6:$AG$104,MATCH($T107&amp;$U107,'AEA2012 update'!$A$6:$A$104&amp;'AEA2012 update'!$B$6:$B$104,0),MATCH(AH$16,'AEA2012 update'!$AC$4:$AG$4,0)))</f>
        <v>#N/A</v>
      </c>
      <c r="AI107" s="67"/>
      <c r="AJ107" s="257" t="e">
        <f t="shared" si="18"/>
        <v>#N/A</v>
      </c>
      <c r="AK107" s="257"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6.5" thickBot="1" x14ac:dyDescent="0.3">
      <c r="A108" s="286" t="s">
        <v>756</v>
      </c>
      <c r="B108" s="287"/>
      <c r="C108" s="288"/>
      <c r="D108" s="288"/>
      <c r="E108" s="288"/>
      <c r="N108" s="61" t="s">
        <v>511</v>
      </c>
      <c r="O108" s="61" t="s">
        <v>653</v>
      </c>
      <c r="P108" s="61" t="s">
        <v>757</v>
      </c>
      <c r="Q108" s="61" t="str">
        <f t="shared" si="17"/>
        <v>CV9</v>
      </c>
      <c r="R108" s="61" t="s">
        <v>687</v>
      </c>
      <c r="S108" s="65"/>
      <c r="T108" s="256" t="s">
        <v>747</v>
      </c>
      <c r="U108" s="256" t="s">
        <v>687</v>
      </c>
      <c r="V108" s="103">
        <f t="array" ref="V108">IF(V$18,INDEX('AEA2012 update'!$K$6:$R$104,MATCH($T108&amp;$R108,'AEA2012 update'!$A$6:$A$104&amp;'AEA2012 update'!$B$6:$B$104,0),MATCH(V$16,'AEA2012 update'!$S$4:$Z$4,0)),INDEX('AEA2012 update'!$K$6:$R$104,MATCH($T108&amp;$U108,'AEA2012 update'!$A$6:$A$104&amp;'AEA2012 update'!$B$6:$B$104,0),MATCH(V$16,'AEA2012 update'!$S$4:$Z$4,0)))</f>
        <v>877700.13388008508</v>
      </c>
      <c r="W108" s="103">
        <f t="array" ref="W108">IF(W$18,INDEX('AEA2012 update'!$K$6:$R$104,MATCH($T108&amp;$R108,'AEA2012 update'!$A$6:$A$104&amp;'AEA2012 update'!$B$6:$B$104,0),MATCH(W$16,'AEA2012 update'!$S$4:$Z$4,0)),INDEX('AEA2012 update'!$K$6:$R$104,MATCH($T108&amp;$U108,'AEA2012 update'!$A$6:$A$104&amp;'AEA2012 update'!$B$6:$B$104,0),MATCH(W$16,'AEA2012 update'!$S$4:$Z$4,0)))</f>
        <v>1088428.6604757041</v>
      </c>
      <c r="X108" s="103">
        <f t="array" ref="X108">IF(X$18,INDEX('AEA2012 update'!$K$6:$R$104,MATCH($T108&amp;$R108,'AEA2012 update'!$A$6:$A$104&amp;'AEA2012 update'!$B$6:$B$104,0),MATCH(X$16,'AEA2012 update'!$S$4:$Z$4,0)),INDEX('AEA2012 update'!$K$6:$R$104,MATCH($T108&amp;$U108,'AEA2012 update'!$A$6:$A$104&amp;'AEA2012 update'!$B$6:$B$104,0),MATCH(X$16,'AEA2012 update'!$S$4:$Z$4,0)))</f>
        <v>1116561.6285591619</v>
      </c>
      <c r="Y108" s="103">
        <f t="array" ref="Y108">IF(Y$18,INDEX('AEA2012 update'!$K$6:$R$104,MATCH($T108&amp;$R108,'AEA2012 update'!$A$6:$A$104&amp;'AEA2012 update'!$B$6:$B$104,0),MATCH(Y$16,'AEA2012 update'!$S$4:$Z$4,0)),INDEX('AEA2012 update'!$K$6:$R$104,MATCH($T108&amp;$U108,'AEA2012 update'!$A$6:$A$104&amp;'AEA2012 update'!$B$6:$B$104,0),MATCH(Y$16,'AEA2012 update'!$S$4:$Z$4,0)))</f>
        <v>1144694.5966426195</v>
      </c>
      <c r="Z108" s="103">
        <f t="array" ref="Z108">IF(Z$18,INDEX('AEA2012 update'!$K$6:$R$104,MATCH($T108&amp;$R108,'AEA2012 update'!$A$6:$A$104&amp;'AEA2012 update'!$B$6:$B$104,0),MATCH(Z$16,'AEA2012 update'!$S$4:$Z$4,0)),INDEX('AEA2012 update'!$K$6:$R$104,MATCH($T108&amp;$U108,'AEA2012 update'!$A$6:$A$104&amp;'AEA2012 update'!$B$6:$B$104,0),MATCH(Z$16,'AEA2012 update'!$S$4:$Z$4,0)))</f>
        <v>1166651.8949681348</v>
      </c>
      <c r="AA108" s="103">
        <f t="array" ref="AA108">IF(AA$18,INDEX('AEA2012 update'!$K$6:$R$104,MATCH($T108&amp;$R108,'AEA2012 update'!$A$6:$A$104&amp;'AEA2012 update'!$B$6:$B$104,0),MATCH(AA$16,'AEA2012 update'!$S$4:$Z$4,0)),INDEX('AEA2012 update'!$K$6:$R$104,MATCH($T108&amp;$U108,'AEA2012 update'!$A$6:$A$104&amp;'AEA2012 update'!$B$6:$B$104,0),MATCH(AA$16,'AEA2012 update'!$S$4:$Z$4,0)))</f>
        <v>1188609.1932936499</v>
      </c>
      <c r="AB108" s="103">
        <f t="array" ref="AB108">IF(AB$18,INDEX('AEA2012 update'!$K$6:$R$104,MATCH($T108&amp;$R108,'AEA2012 update'!$A$6:$A$104&amp;'AEA2012 update'!$B$6:$B$104,0),MATCH(AB$16,'AEA2012 update'!$S$4:$Z$4,0)),INDEX('AEA2012 update'!$K$6:$R$104,MATCH($T108&amp;$U108,'AEA2012 update'!$A$6:$A$104&amp;'AEA2012 update'!$B$6:$B$104,0),MATCH(AB$16,'AEA2012 update'!$S$4:$Z$4,0)))</f>
        <v>1215891.7526997081</v>
      </c>
      <c r="AC108" s="103" t="str">
        <f t="shared" si="20"/>
        <v>CV9ODS</v>
      </c>
      <c r="AD108" s="67">
        <f>1/INDEX(Analytica!$AA$17:$AE$48,MATCH($AC108,Analytica!$A$17:$A$48,0),MATCH(AD$16,Analytica!$AA$16:$AE$16,0))</f>
        <v>18.392034419546842</v>
      </c>
      <c r="AE108" s="67">
        <f t="array" ref="AE108">IF($W$1,AD108*(1+INDEX(AE$1:AE$2,MATCH($O108,$AA$1:$AA$2,0)))^(AE$16-AD$16),INDEX('AEA2012 update'!$AC$6:$AG$104,MATCH($T108&amp;$U108,'AEA2012 update'!$A$6:$A$104&amp;'AEA2012 update'!$B$6:$B$104,0),MATCH(AE$16,'AEA2012 update'!$AC$4:$AG$4,0)))</f>
        <v>18.336913473999427</v>
      </c>
      <c r="AF108" s="67">
        <f t="array" ref="AF108">IF($W$1,AE108*(1+INDEX(AF$1:AF$2,MATCH($O108,$AA$1:$AA$2,0)))^(AF$16-AE$16),INDEX('AEA2012 update'!$AC$6:$AG$104,MATCH($T108&amp;$U108,'AEA2012 update'!$A$6:$A$104&amp;'AEA2012 update'!$B$6:$B$104,0),MATCH(AF$16,'AEA2012 update'!$AC$4:$AG$4,0)))</f>
        <v>17.352981760447015</v>
      </c>
      <c r="AG108" s="67">
        <f t="array" ref="AG108">IF($W$1,AF108*(1+INDEX(AG$1:AG$2,MATCH($O108,$AA$1:$AA$2,0)))^(AG$16-AF$16),INDEX('AEA2012 update'!$AC$6:$AG$104,MATCH($T108&amp;$U108,'AEA2012 update'!$A$6:$A$104&amp;'AEA2012 update'!$B$6:$B$104,0),MATCH(AG$16,'AEA2012 update'!$AC$4:$AG$4,0)))</f>
        <v>15.693725652103005</v>
      </c>
      <c r="AH108" s="67">
        <f t="array" ref="AH108">IF($W$1,AG108*(1+INDEX(AH$1:AH$2,MATCH($O108,$AA$1:$AA$2,0)))^(AH$16-AG$16),INDEX('AEA2012 update'!$AC$6:$AG$104,MATCH($T108&amp;$U108,'AEA2012 update'!$A$6:$A$104&amp;'AEA2012 update'!$B$6:$B$104,0),MATCH(AH$16,'AEA2012 update'!$AC$4:$AG$4,0)))</f>
        <v>14.193124169867817</v>
      </c>
      <c r="AI108" s="67"/>
      <c r="AJ108" s="257">
        <f t="shared" si="18"/>
        <v>-9.9900033333331136E-4</v>
      </c>
      <c r="AK108" s="257">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5" thickBot="1" x14ac:dyDescent="0.3">
      <c r="A109" s="289" t="s">
        <v>758</v>
      </c>
      <c r="B109" s="290">
        <v>25</v>
      </c>
      <c r="C109" s="291">
        <v>29522</v>
      </c>
      <c r="D109" s="290">
        <v>34</v>
      </c>
      <c r="E109" s="292">
        <v>31213</v>
      </c>
      <c r="G109" s="61">
        <f>B109/D109</f>
        <v>0.73529411764705888</v>
      </c>
      <c r="H109" s="61">
        <f>C109/E109</f>
        <v>0.94582385544484671</v>
      </c>
      <c r="N109" s="61" t="s">
        <v>504</v>
      </c>
      <c r="O109" s="61" t="s">
        <v>653</v>
      </c>
      <c r="P109" s="61" t="s">
        <v>757</v>
      </c>
      <c r="Q109" s="61" t="str">
        <f t="shared" si="17"/>
        <v>CV9</v>
      </c>
      <c r="R109" s="61" t="s">
        <v>687</v>
      </c>
      <c r="S109" s="65"/>
      <c r="T109" s="256" t="s">
        <v>747</v>
      </c>
      <c r="U109" s="256" t="s">
        <v>699</v>
      </c>
      <c r="V109" s="103">
        <f t="array" ref="V109">IF(V$18,INDEX('AEA2012 update'!$K$6:$R$104,MATCH($T109&amp;$R109,'AEA2012 update'!$A$6:$A$104&amp;'AEA2012 update'!$B$6:$B$104,0),MATCH(V$16,'AEA2012 update'!$S$4:$Z$4,0)),INDEX('AEA2012 update'!$K$6:$R$104,MATCH($T109&amp;$U109,'AEA2012 update'!$A$6:$A$104&amp;'AEA2012 update'!$B$6:$B$104,0),MATCH(V$16,'AEA2012 update'!$S$4:$Z$4,0)))</f>
        <v>5872968.0361672165</v>
      </c>
      <c r="W109" s="103">
        <f t="array" ref="W109">IF(W$18,INDEX('AEA2012 update'!$K$6:$R$104,MATCH($T109&amp;$R109,'AEA2012 update'!$A$6:$A$104&amp;'AEA2012 update'!$B$6:$B$104,0),MATCH(W$16,'AEA2012 update'!$S$4:$Z$4,0)),INDEX('AEA2012 update'!$K$6:$R$104,MATCH($T109&amp;$U109,'AEA2012 update'!$A$6:$A$104&amp;'AEA2012 update'!$B$6:$B$104,0),MATCH(W$16,'AEA2012 update'!$S$4:$Z$4,0)))</f>
        <v>2464487.1540335203</v>
      </c>
      <c r="X109" s="103">
        <f t="array" ref="X109">IF(X$18,INDEX('AEA2012 update'!$K$6:$R$104,MATCH($T109&amp;$R109,'AEA2012 update'!$A$6:$A$104&amp;'AEA2012 update'!$B$6:$B$104,0),MATCH(X$16,'AEA2012 update'!$S$4:$Z$4,0)),INDEX('AEA2012 update'!$K$6:$R$104,MATCH($T109&amp;$U109,'AEA2012 update'!$A$6:$A$104&amp;'AEA2012 update'!$B$6:$B$104,0),MATCH(X$16,'AEA2012 update'!$S$4:$Z$4,0)))</f>
        <v>1930209.4138028375</v>
      </c>
      <c r="Y109" s="103">
        <f t="array" ref="Y109">IF(Y$18,INDEX('AEA2012 update'!$K$6:$R$104,MATCH($T109&amp;$R109,'AEA2012 update'!$A$6:$A$104&amp;'AEA2012 update'!$B$6:$B$104,0),MATCH(Y$16,'AEA2012 update'!$S$4:$Z$4,0)),INDEX('AEA2012 update'!$K$6:$R$104,MATCH($T109&amp;$U109,'AEA2012 update'!$A$6:$A$104&amp;'AEA2012 update'!$B$6:$B$104,0),MATCH(Y$16,'AEA2012 update'!$S$4:$Z$4,0)))</f>
        <v>1144694.5966426195</v>
      </c>
      <c r="Z109" s="103">
        <f t="array" ref="Z109">IF(Z$18,INDEX('AEA2012 update'!$K$6:$R$104,MATCH($T109&amp;$R109,'AEA2012 update'!$A$6:$A$104&amp;'AEA2012 update'!$B$6:$B$104,0),MATCH(Z$16,'AEA2012 update'!$S$4:$Z$4,0)),INDEX('AEA2012 update'!$K$6:$R$104,MATCH($T109&amp;$U109,'AEA2012 update'!$A$6:$A$104&amp;'AEA2012 update'!$B$6:$B$104,0),MATCH(Z$16,'AEA2012 update'!$S$4:$Z$4,0)))</f>
        <v>1166651.8949681348</v>
      </c>
      <c r="AA109" s="103">
        <f t="array" ref="AA109">IF(AA$18,INDEX('AEA2012 update'!$K$6:$R$104,MATCH($T109&amp;$R109,'AEA2012 update'!$A$6:$A$104&amp;'AEA2012 update'!$B$6:$B$104,0),MATCH(AA$16,'AEA2012 update'!$S$4:$Z$4,0)),INDEX('AEA2012 update'!$K$6:$R$104,MATCH($T109&amp;$U109,'AEA2012 update'!$A$6:$A$104&amp;'AEA2012 update'!$B$6:$B$104,0),MATCH(AA$16,'AEA2012 update'!$S$4:$Z$4,0)))</f>
        <v>1188609.1932936499</v>
      </c>
      <c r="AB109" s="103">
        <f t="array" ref="AB109">IF(AB$18,INDEX('AEA2012 update'!$K$6:$R$104,MATCH($T109&amp;$R109,'AEA2012 update'!$A$6:$A$104&amp;'AEA2012 update'!$B$6:$B$104,0),MATCH(AB$16,'AEA2012 update'!$S$4:$Z$4,0)),INDEX('AEA2012 update'!$K$6:$R$104,MATCH($T109&amp;$U109,'AEA2012 update'!$A$6:$A$104&amp;'AEA2012 update'!$B$6:$B$104,0),MATCH(AB$16,'AEA2012 update'!$S$4:$Z$4,0)))</f>
        <v>1215891.7526997081</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 update'!$AC$6:$AG$104,MATCH($T109&amp;$U109,'AEA2012 update'!$A$6:$A$104&amp;'AEA2012 update'!$B$6:$B$104,0),MATCH(AE$16,'AEA2012 update'!$AC$4:$AG$4,0)))</f>
        <v>8.7094548397242342</v>
      </c>
      <c r="AF109" s="67">
        <f t="array" ref="AF109">IF($W$1,AE109*(1+INDEX(AF$1:AF$2,MATCH($O109,$AA$1:$AA$2,0)))^(AF$16-AE$16),INDEX('AEA2012 update'!$AC$6:$AG$104,MATCH($T109&amp;$U109,'AEA2012 update'!$A$6:$A$104&amp;'AEA2012 update'!$B$6:$B$104,0),MATCH(AF$16,'AEA2012 update'!$AC$4:$AG$4,0)))</f>
        <v>8.2421183473146353</v>
      </c>
      <c r="AG109" s="67">
        <f t="array" ref="AG109">IF($W$1,AF109*(1+INDEX(AG$1:AG$2,MATCH($O109,$AA$1:$AA$2,0)))^(AG$16-AF$16),INDEX('AEA2012 update'!$AC$6:$AG$104,MATCH($T109&amp;$U109,'AEA2012 update'!$A$6:$A$104&amp;'AEA2012 update'!$B$6:$B$104,0),MATCH(AG$16,'AEA2012 update'!$AC$4:$AG$4,0)))</f>
        <v>7.4540240934125466</v>
      </c>
      <c r="AH109" s="67">
        <f t="array" ref="AH109">IF($W$1,AG109*(1+INDEX(AH$1:AH$2,MATCH($O109,$AA$1:$AA$2,0)))^(AH$16-AG$16),INDEX('AEA2012 update'!$AC$6:$AG$104,MATCH($T109&amp;$U109,'AEA2012 update'!$A$6:$A$104&amp;'AEA2012 update'!$B$6:$B$104,0),MATCH(AH$16,'AEA2012 update'!$AC$4:$AG$4,0)))</f>
        <v>6.7412857767660599</v>
      </c>
      <c r="AI109" s="67"/>
      <c r="AJ109" s="257">
        <f t="shared" si="18"/>
        <v>-9.9900033333331353E-4</v>
      </c>
      <c r="AK109" s="257">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5" thickBot="1" x14ac:dyDescent="0.3">
      <c r="A110" s="289" t="s">
        <v>759</v>
      </c>
      <c r="B110" s="290">
        <v>21</v>
      </c>
      <c r="C110" s="291" t="s">
        <v>760</v>
      </c>
      <c r="D110" s="290">
        <v>27</v>
      </c>
      <c r="E110" s="292" t="s">
        <v>761</v>
      </c>
      <c r="G110" s="61">
        <f>B110/D110</f>
        <v>0.77777777777777779</v>
      </c>
      <c r="H110" s="61" t="e">
        <f>C110/E110</f>
        <v>#VALUE!</v>
      </c>
      <c r="N110" s="61" t="s">
        <v>509</v>
      </c>
      <c r="O110" s="61" t="s">
        <v>653</v>
      </c>
      <c r="P110" s="61" t="s">
        <v>757</v>
      </c>
      <c r="Q110" s="61" t="str">
        <f t="shared" si="17"/>
        <v>CV9</v>
      </c>
      <c r="R110" s="61" t="s">
        <v>687</v>
      </c>
      <c r="S110" s="65"/>
      <c r="T110" s="256" t="s">
        <v>747</v>
      </c>
      <c r="U110" s="256" t="s">
        <v>700</v>
      </c>
      <c r="V110" s="103">
        <f t="array" ref="V110">IF(V$18,INDEX('AEA2012 update'!$K$6:$R$104,MATCH($T110&amp;$R110,'AEA2012 update'!$A$6:$A$104&amp;'AEA2012 update'!$B$6:$B$104,0),MATCH(V$16,'AEA2012 update'!$S$4:$Z$4,0)),INDEX('AEA2012 update'!$K$6:$R$104,MATCH($T110&amp;$U110,'AEA2012 update'!$A$6:$A$104&amp;'AEA2012 update'!$B$6:$B$104,0),MATCH(V$16,'AEA2012 update'!$S$4:$Z$4,0)))</f>
        <v>1216871.9571458176</v>
      </c>
      <c r="W110" s="103">
        <f t="array" ref="W110">IF(W$18,INDEX('AEA2012 update'!$K$6:$R$104,MATCH($T110&amp;$R110,'AEA2012 update'!$A$6:$A$104&amp;'AEA2012 update'!$B$6:$B$104,0),MATCH(W$16,'AEA2012 update'!$S$4:$Z$4,0)),INDEX('AEA2012 update'!$K$6:$R$104,MATCH($T110&amp;$U110,'AEA2012 update'!$A$6:$A$104&amp;'AEA2012 update'!$B$6:$B$104,0),MATCH(W$16,'AEA2012 update'!$S$4:$Z$4,0)))</f>
        <v>1262276.8438934449</v>
      </c>
      <c r="X110" s="103">
        <f t="array" ref="X110">IF(X$18,INDEX('AEA2012 update'!$K$6:$R$104,MATCH($T110&amp;$R110,'AEA2012 update'!$A$6:$A$104&amp;'AEA2012 update'!$B$6:$B$104,0),MATCH(X$16,'AEA2012 update'!$S$4:$Z$4,0)),INDEX('AEA2012 update'!$K$6:$R$104,MATCH($T110&amp;$U110,'AEA2012 update'!$A$6:$A$104&amp;'AEA2012 update'!$B$6:$B$104,0),MATCH(X$16,'AEA2012 update'!$S$4:$Z$4,0)))</f>
        <v>1258634.2158304008</v>
      </c>
      <c r="Y110" s="103">
        <f t="array" ref="Y110">IF(Y$18,INDEX('AEA2012 update'!$K$6:$R$104,MATCH($T110&amp;$R110,'AEA2012 update'!$A$6:$A$104&amp;'AEA2012 update'!$B$6:$B$104,0),MATCH(Y$16,'AEA2012 update'!$S$4:$Z$4,0)),INDEX('AEA2012 update'!$K$6:$R$104,MATCH($T110&amp;$U110,'AEA2012 update'!$A$6:$A$104&amp;'AEA2012 update'!$B$6:$B$104,0),MATCH(Y$16,'AEA2012 update'!$S$4:$Z$4,0)))</f>
        <v>1144694.5966426195</v>
      </c>
      <c r="Z110" s="103">
        <f t="array" ref="Z110">IF(Z$18,INDEX('AEA2012 update'!$K$6:$R$104,MATCH($T110&amp;$R110,'AEA2012 update'!$A$6:$A$104&amp;'AEA2012 update'!$B$6:$B$104,0),MATCH(Z$16,'AEA2012 update'!$S$4:$Z$4,0)),INDEX('AEA2012 update'!$K$6:$R$104,MATCH($T110&amp;$U110,'AEA2012 update'!$A$6:$A$104&amp;'AEA2012 update'!$B$6:$B$104,0),MATCH(Z$16,'AEA2012 update'!$S$4:$Z$4,0)))</f>
        <v>1166651.8949681348</v>
      </c>
      <c r="AA110" s="103">
        <f t="array" ref="AA110">IF(AA$18,INDEX('AEA2012 update'!$K$6:$R$104,MATCH($T110&amp;$R110,'AEA2012 update'!$A$6:$A$104&amp;'AEA2012 update'!$B$6:$B$104,0),MATCH(AA$16,'AEA2012 update'!$S$4:$Z$4,0)),INDEX('AEA2012 update'!$K$6:$R$104,MATCH($T110&amp;$U110,'AEA2012 update'!$A$6:$A$104&amp;'AEA2012 update'!$B$6:$B$104,0),MATCH(AA$16,'AEA2012 update'!$S$4:$Z$4,0)))</f>
        <v>1188609.1932936499</v>
      </c>
      <c r="AB110" s="103">
        <f t="array" ref="AB110">IF(AB$18,INDEX('AEA2012 update'!$K$6:$R$104,MATCH($T110&amp;$R110,'AEA2012 update'!$A$6:$A$104&amp;'AEA2012 update'!$B$6:$B$104,0),MATCH(AB$16,'AEA2012 update'!$S$4:$Z$4,0)),INDEX('AEA2012 update'!$K$6:$R$104,MATCH($T110&amp;$U110,'AEA2012 update'!$A$6:$A$104&amp;'AEA2012 update'!$B$6:$B$104,0),MATCH(AB$16,'AEA2012 update'!$S$4:$Z$4,0)))</f>
        <v>1215891.7526997081</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 update'!$AC$6:$AG$104,MATCH($T110&amp;$U110,'AEA2012 update'!$A$6:$A$104&amp;'AEA2012 update'!$B$6:$B$104,0),MATCH(AE$16,'AEA2012 update'!$AC$4:$AG$4,0)))</f>
        <v>21.087450495099336</v>
      </c>
      <c r="AF110" s="67">
        <f t="array" ref="AF110">IF($W$1,AE110*(1+INDEX(AF$1:AF$2,MATCH($O110,$AA$1:$AA$2,0)))^(AF$16-AE$16),INDEX('AEA2012 update'!$AC$6:$AG$104,MATCH($T110&amp;$U110,'AEA2012 update'!$A$6:$A$104&amp;'AEA2012 update'!$B$6:$B$104,0),MATCH(AF$16,'AEA2012 update'!$AC$4:$AG$4,0)))</f>
        <v>19.955929024514063</v>
      </c>
      <c r="AG110" s="67">
        <f t="array" ref="AG110">IF($W$1,AF110*(1+INDEX(AG$1:AG$2,MATCH($O110,$AA$1:$AA$2,0)))^(AG$16-AF$16),INDEX('AEA2012 update'!$AC$6:$AG$104,MATCH($T110&amp;$U110,'AEA2012 update'!$A$6:$A$104&amp;'AEA2012 update'!$B$6:$B$104,0),MATCH(AG$16,'AEA2012 update'!$AC$4:$AG$4,0)))</f>
        <v>18.047784499918453</v>
      </c>
      <c r="AH110" s="67">
        <f t="array" ref="AH110">IF($W$1,AG110*(1+INDEX(AH$1:AH$2,MATCH($O110,$AA$1:$AA$2,0)))^(AH$16-AG$16),INDEX('AEA2012 update'!$AC$6:$AG$104,MATCH($T110&amp;$U110,'AEA2012 update'!$A$6:$A$104&amp;'AEA2012 update'!$B$6:$B$104,0),MATCH(AH$16,'AEA2012 update'!$AC$4:$AG$4,0)))</f>
        <v>16.322092795347988</v>
      </c>
      <c r="AI110" s="67"/>
      <c r="AJ110" s="257">
        <f t="shared" si="18"/>
        <v>-9.9900033333335625E-4</v>
      </c>
      <c r="AK110" s="257">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5" thickBot="1" x14ac:dyDescent="0.3">
      <c r="A111" s="289" t="s">
        <v>762</v>
      </c>
      <c r="B111" s="290">
        <v>20</v>
      </c>
      <c r="C111" s="291" t="s">
        <v>763</v>
      </c>
      <c r="D111" s="290">
        <v>26</v>
      </c>
      <c r="E111" s="292" t="s">
        <v>764</v>
      </c>
      <c r="G111" s="61">
        <f t="shared" ref="G111:H126" si="22">B111/D111</f>
        <v>0.76923076923076927</v>
      </c>
      <c r="H111" s="61" t="e">
        <f t="shared" si="22"/>
        <v>#VALUE!</v>
      </c>
      <c r="N111"/>
      <c r="O111"/>
      <c r="P111"/>
      <c r="Q111"/>
      <c r="R111"/>
      <c r="S111"/>
      <c r="T111"/>
      <c r="U111"/>
      <c r="V111"/>
      <c r="W111"/>
      <c r="X111"/>
      <c r="Y111"/>
      <c r="Z111"/>
      <c r="AA111"/>
      <c r="AB111"/>
      <c r="AC111"/>
      <c r="AD111"/>
      <c r="AJ111" s="257" t="e">
        <f t="shared" si="18"/>
        <v>#DIV/0!</v>
      </c>
      <c r="AK111" s="257"/>
    </row>
    <row r="112" spans="1:51" ht="16.5" thickBot="1" x14ac:dyDescent="0.3">
      <c r="A112" s="289" t="s">
        <v>765</v>
      </c>
      <c r="B112" s="290">
        <v>26</v>
      </c>
      <c r="C112" s="291" t="s">
        <v>766</v>
      </c>
      <c r="D112" s="290">
        <v>34</v>
      </c>
      <c r="E112" s="292" t="s">
        <v>767</v>
      </c>
      <c r="G112" s="61">
        <f t="shared" si="22"/>
        <v>0.76470588235294112</v>
      </c>
      <c r="H112" s="61" t="e">
        <f t="shared" si="22"/>
        <v>#VALUE!</v>
      </c>
      <c r="N112"/>
      <c r="O112"/>
      <c r="P112"/>
      <c r="Q112"/>
      <c r="R112"/>
      <c r="S112"/>
      <c r="T112"/>
      <c r="U112"/>
      <c r="V112"/>
      <c r="W112"/>
      <c r="X112"/>
      <c r="Y112"/>
      <c r="Z112"/>
      <c r="AA112"/>
      <c r="AB112"/>
      <c r="AC112"/>
      <c r="AD112"/>
      <c r="AJ112" s="257"/>
      <c r="AK112" s="257"/>
    </row>
    <row r="113" spans="1:37" ht="16.5" thickBot="1" x14ac:dyDescent="0.3">
      <c r="A113" s="289" t="s">
        <v>768</v>
      </c>
      <c r="B113" s="290">
        <v>24</v>
      </c>
      <c r="C113" s="291" t="s">
        <v>769</v>
      </c>
      <c r="D113" s="290">
        <v>33</v>
      </c>
      <c r="E113" s="292" t="s">
        <v>770</v>
      </c>
      <c r="G113" s="61">
        <f t="shared" si="22"/>
        <v>0.72727272727272729</v>
      </c>
      <c r="H113" s="61" t="e">
        <f t="shared" si="22"/>
        <v>#VALUE!</v>
      </c>
      <c r="N113"/>
      <c r="O113"/>
      <c r="P113"/>
      <c r="Q113"/>
      <c r="R113"/>
      <c r="S113"/>
      <c r="T113"/>
      <c r="U113"/>
      <c r="AJ113" s="257"/>
      <c r="AK113" s="257"/>
    </row>
    <row r="114" spans="1:37" ht="32.25" thickBot="1" x14ac:dyDescent="0.3">
      <c r="A114" s="280" t="s">
        <v>771</v>
      </c>
      <c r="B114" s="293">
        <v>25</v>
      </c>
      <c r="C114" s="291" t="s">
        <v>772</v>
      </c>
      <c r="D114" s="293">
        <v>33</v>
      </c>
      <c r="E114" s="292" t="s">
        <v>773</v>
      </c>
      <c r="G114" s="61">
        <f t="shared" si="22"/>
        <v>0.75757575757575757</v>
      </c>
      <c r="H114" s="61" t="e">
        <f t="shared" si="22"/>
        <v>#VALUE!</v>
      </c>
      <c r="N114"/>
      <c r="O114"/>
      <c r="P114"/>
      <c r="Q114"/>
      <c r="R114"/>
      <c r="S114"/>
      <c r="T114"/>
      <c r="U114"/>
      <c r="V114"/>
      <c r="W114"/>
      <c r="X114"/>
      <c r="Y114"/>
      <c r="AB114"/>
      <c r="AC114"/>
      <c r="AJ114" s="257"/>
      <c r="AK114" s="257"/>
    </row>
    <row r="115" spans="1:37" ht="16.5" thickBot="1" x14ac:dyDescent="0.3">
      <c r="A115" s="289" t="s">
        <v>774</v>
      </c>
      <c r="B115" s="290">
        <v>23</v>
      </c>
      <c r="C115" s="291" t="s">
        <v>775</v>
      </c>
      <c r="D115" s="290">
        <v>34</v>
      </c>
      <c r="E115" s="292" t="s">
        <v>776</v>
      </c>
      <c r="G115" s="61">
        <f t="shared" si="22"/>
        <v>0.67647058823529416</v>
      </c>
      <c r="H115" s="61" t="e">
        <f t="shared" si="22"/>
        <v>#VALUE!</v>
      </c>
      <c r="N115"/>
      <c r="O115"/>
      <c r="P115"/>
      <c r="Q115"/>
      <c r="R115"/>
      <c r="S115"/>
      <c r="T115"/>
      <c r="U115"/>
      <c r="V115" s="294">
        <v>2010</v>
      </c>
      <c r="W115" s="294">
        <v>2018</v>
      </c>
      <c r="X115" s="294">
        <v>2020</v>
      </c>
      <c r="Y115" s="294">
        <v>2030</v>
      </c>
      <c r="Z115" s="294">
        <v>2040</v>
      </c>
      <c r="AA115" s="294">
        <v>2050</v>
      </c>
      <c r="AJ115" s="257"/>
      <c r="AK115" s="257"/>
    </row>
    <row r="116" spans="1:37" ht="16.5" thickBot="1" x14ac:dyDescent="0.3">
      <c r="A116" s="295" t="s">
        <v>777</v>
      </c>
      <c r="B116" s="296"/>
      <c r="C116" s="291"/>
      <c r="D116" s="296"/>
      <c r="E116" s="292"/>
      <c r="G116" s="61" t="e">
        <f t="shared" si="22"/>
        <v>#DIV/0!</v>
      </c>
      <c r="H116" s="61" t="e">
        <f t="shared" si="22"/>
        <v>#DIV/0!</v>
      </c>
      <c r="N116"/>
      <c r="O116"/>
      <c r="P116"/>
      <c r="Q116"/>
      <c r="R116"/>
      <c r="S116"/>
      <c r="T116"/>
      <c r="U116"/>
      <c r="V116" s="195">
        <f>V27/V20</f>
        <v>4.2113457361265105</v>
      </c>
      <c r="W116" s="195">
        <f>(H26/H27)</f>
        <v>2.0232263513513513</v>
      </c>
      <c r="X116" s="195">
        <f>W27/W20</f>
        <v>2.6404042872112137</v>
      </c>
      <c r="Y116" s="195">
        <f>Y27/Y20</f>
        <v>1</v>
      </c>
      <c r="Z116" s="195">
        <f>AA27/AA20</f>
        <v>1</v>
      </c>
      <c r="AA116" s="195">
        <f>AB27/AB20</f>
        <v>1</v>
      </c>
      <c r="AJ116" s="257"/>
      <c r="AK116" s="257"/>
    </row>
    <row r="117" spans="1:37" ht="16.5" thickBot="1" x14ac:dyDescent="0.3">
      <c r="A117" s="289" t="s">
        <v>778</v>
      </c>
      <c r="B117" s="290">
        <v>16</v>
      </c>
      <c r="C117" s="291" t="s">
        <v>779</v>
      </c>
      <c r="D117" s="290">
        <v>20</v>
      </c>
      <c r="E117" s="292" t="s">
        <v>780</v>
      </c>
      <c r="G117" s="61">
        <f t="shared" si="22"/>
        <v>0.8</v>
      </c>
      <c r="H117" s="61" t="e">
        <f t="shared" si="22"/>
        <v>#VALUE!</v>
      </c>
      <c r="N117"/>
      <c r="O117"/>
      <c r="P117"/>
      <c r="Q117"/>
      <c r="R117"/>
      <c r="S117"/>
      <c r="T117"/>
      <c r="U117"/>
      <c r="AJ117" s="257"/>
      <c r="AK117" s="257"/>
    </row>
    <row r="118" spans="1:37" ht="16.5" thickBot="1" x14ac:dyDescent="0.3">
      <c r="A118" s="289" t="s">
        <v>781</v>
      </c>
      <c r="B118" s="290">
        <v>16</v>
      </c>
      <c r="C118" s="291" t="s">
        <v>782</v>
      </c>
      <c r="D118" s="290">
        <v>22</v>
      </c>
      <c r="E118" s="292" t="s">
        <v>783</v>
      </c>
      <c r="G118" s="61">
        <f t="shared" si="22"/>
        <v>0.72727272727272729</v>
      </c>
      <c r="H118" s="61" t="e">
        <f t="shared" si="22"/>
        <v>#VALUE!</v>
      </c>
      <c r="N118"/>
      <c r="O118"/>
      <c r="P118"/>
      <c r="Q118"/>
      <c r="R118"/>
      <c r="S118"/>
      <c r="T118"/>
      <c r="U118"/>
      <c r="V118"/>
      <c r="W118"/>
      <c r="X118"/>
      <c r="Y118"/>
      <c r="Z118"/>
      <c r="AA118"/>
      <c r="AB118"/>
      <c r="AC118"/>
      <c r="AJ118" s="257"/>
      <c r="AK118" s="257"/>
    </row>
    <row r="119" spans="1:37" ht="16.5" thickBot="1" x14ac:dyDescent="0.3">
      <c r="A119" s="289" t="s">
        <v>784</v>
      </c>
      <c r="B119" s="290">
        <v>15</v>
      </c>
      <c r="C119" s="291" t="s">
        <v>785</v>
      </c>
      <c r="D119" s="290">
        <v>19</v>
      </c>
      <c r="E119" s="292" t="s">
        <v>786</v>
      </c>
      <c r="G119" s="61">
        <f t="shared" si="22"/>
        <v>0.78947368421052633</v>
      </c>
      <c r="H119" s="61" t="e">
        <f t="shared" si="22"/>
        <v>#VALUE!</v>
      </c>
      <c r="N119"/>
      <c r="O119"/>
      <c r="P119"/>
      <c r="Q119"/>
      <c r="R119"/>
      <c r="S119"/>
      <c r="U119" s="297" t="s">
        <v>787</v>
      </c>
      <c r="V119" s="298"/>
      <c r="W119" s="299"/>
      <c r="X119" s="299"/>
      <c r="Y119" s="299"/>
      <c r="Z119" s="299"/>
      <c r="AA119" s="298"/>
      <c r="AB119" s="300"/>
      <c r="AC119"/>
      <c r="AJ119" s="257"/>
      <c r="AK119" s="257"/>
    </row>
    <row r="120" spans="1:37" ht="16.5" thickBot="1" x14ac:dyDescent="0.3">
      <c r="A120" s="289" t="s">
        <v>788</v>
      </c>
      <c r="B120" s="290">
        <v>17</v>
      </c>
      <c r="C120" s="291" t="s">
        <v>789</v>
      </c>
      <c r="D120" s="290">
        <v>21</v>
      </c>
      <c r="E120" s="292" t="s">
        <v>790</v>
      </c>
      <c r="G120" s="61">
        <f t="shared" si="22"/>
        <v>0.80952380952380953</v>
      </c>
      <c r="H120" s="61" t="e">
        <f t="shared" si="22"/>
        <v>#VALUE!</v>
      </c>
      <c r="N120"/>
      <c r="O120"/>
      <c r="P120"/>
      <c r="Q120"/>
      <c r="R120"/>
      <c r="S120"/>
      <c r="U120" s="301" t="s">
        <v>791</v>
      </c>
      <c r="V120" s="294">
        <v>2010</v>
      </c>
      <c r="W120" s="294">
        <v>2020</v>
      </c>
      <c r="X120" s="294"/>
      <c r="Y120" s="294">
        <v>2030</v>
      </c>
      <c r="Z120" s="294"/>
      <c r="AA120" s="294">
        <v>2040</v>
      </c>
      <c r="AB120" s="294">
        <v>2050</v>
      </c>
      <c r="AC120"/>
      <c r="AJ120" s="257"/>
      <c r="AK120" s="257"/>
    </row>
    <row r="121" spans="1:37" ht="16.5" thickBot="1" x14ac:dyDescent="0.3">
      <c r="A121" s="289" t="s">
        <v>792</v>
      </c>
      <c r="B121" s="290">
        <v>16</v>
      </c>
      <c r="C121" s="291" t="s">
        <v>793</v>
      </c>
      <c r="D121" s="290">
        <v>22</v>
      </c>
      <c r="E121" s="292" t="s">
        <v>794</v>
      </c>
      <c r="G121" s="61">
        <f t="shared" si="22"/>
        <v>0.72727272727272729</v>
      </c>
      <c r="H121" s="61" t="e">
        <f t="shared" si="22"/>
        <v>#VALUE!</v>
      </c>
      <c r="N121"/>
      <c r="O121"/>
      <c r="P121"/>
      <c r="Q121"/>
      <c r="R121"/>
      <c r="S121"/>
      <c r="U121" s="302" t="s">
        <v>795</v>
      </c>
      <c r="V121" s="303">
        <v>11397.369670152857</v>
      </c>
      <c r="W121" s="303">
        <v>11397.369670152857</v>
      </c>
      <c r="X121" s="303"/>
      <c r="Y121" s="303">
        <v>11397.369670152857</v>
      </c>
      <c r="Z121" s="303"/>
      <c r="AA121" s="303">
        <v>11397.369670152857</v>
      </c>
      <c r="AB121" s="303">
        <v>11397.369670152857</v>
      </c>
      <c r="AC121"/>
      <c r="AJ121" s="257"/>
      <c r="AK121" s="257"/>
    </row>
    <row r="122" spans="1:37" ht="16.5" thickBot="1" x14ac:dyDescent="0.3">
      <c r="A122" s="304" t="s">
        <v>745</v>
      </c>
      <c r="B122" s="296"/>
      <c r="C122" s="291"/>
      <c r="D122" s="296"/>
      <c r="E122" s="292"/>
      <c r="G122" s="61" t="e">
        <f t="shared" si="22"/>
        <v>#DIV/0!</v>
      </c>
      <c r="H122" s="61" t="e">
        <f t="shared" si="22"/>
        <v>#DIV/0!</v>
      </c>
      <c r="N122"/>
      <c r="O122"/>
      <c r="P122"/>
      <c r="Q122"/>
      <c r="R122"/>
      <c r="S122"/>
      <c r="U122" s="302" t="s">
        <v>796</v>
      </c>
      <c r="V122" s="303">
        <v>4325.1030927835054</v>
      </c>
      <c r="W122" s="303">
        <v>2671.4241637609025</v>
      </c>
      <c r="X122" s="303"/>
      <c r="Y122" s="303">
        <v>1895.6429596763671</v>
      </c>
      <c r="Z122" s="303"/>
      <c r="AA122" s="303">
        <v>1722.8429596763672</v>
      </c>
      <c r="AB122" s="303">
        <v>1584.6029596763672</v>
      </c>
      <c r="AC122"/>
      <c r="AJ122" s="257"/>
      <c r="AK122" s="257"/>
    </row>
    <row r="123" spans="1:37" ht="32.25" thickBot="1" x14ac:dyDescent="0.3">
      <c r="A123" s="289" t="s">
        <v>797</v>
      </c>
      <c r="B123" s="290">
        <v>13</v>
      </c>
      <c r="C123" s="291" t="s">
        <v>798</v>
      </c>
      <c r="D123" s="290">
        <v>15</v>
      </c>
      <c r="E123" s="292" t="s">
        <v>799</v>
      </c>
      <c r="G123" s="61">
        <f t="shared" si="22"/>
        <v>0.8666666666666667</v>
      </c>
      <c r="H123" s="61" t="e">
        <f t="shared" si="22"/>
        <v>#VALUE!</v>
      </c>
      <c r="N123"/>
      <c r="O123"/>
      <c r="P123"/>
      <c r="Q123"/>
      <c r="R123"/>
      <c r="S123"/>
      <c r="U123" s="302" t="s">
        <v>800</v>
      </c>
      <c r="V123" s="303">
        <v>20516.123958396958</v>
      </c>
      <c r="W123" s="303">
        <v>10321.343218432934</v>
      </c>
      <c r="X123" s="303"/>
      <c r="Y123" s="303">
        <v>6664.450612276908</v>
      </c>
      <c r="Z123" s="303"/>
      <c r="AA123" s="303">
        <v>6947.4020113231627</v>
      </c>
      <c r="AB123" s="303">
        <v>7085.5672178836048</v>
      </c>
      <c r="AC123"/>
      <c r="AJ123" s="257"/>
      <c r="AK123" s="257"/>
    </row>
    <row r="124" spans="1:37" ht="16.5" thickBot="1" x14ac:dyDescent="0.3">
      <c r="A124" s="289" t="s">
        <v>801</v>
      </c>
      <c r="B124" s="290">
        <v>13</v>
      </c>
      <c r="C124" s="291" t="s">
        <v>802</v>
      </c>
      <c r="D124" s="290">
        <v>15</v>
      </c>
      <c r="E124" s="292" t="s">
        <v>803</v>
      </c>
      <c r="G124" s="61">
        <f t="shared" si="22"/>
        <v>0.8666666666666667</v>
      </c>
      <c r="H124" s="61" t="e">
        <f t="shared" si="22"/>
        <v>#VALUE!</v>
      </c>
      <c r="N124"/>
      <c r="O124"/>
      <c r="P124"/>
      <c r="Q124"/>
      <c r="R124"/>
      <c r="S124"/>
      <c r="U124" s="302" t="s">
        <v>804</v>
      </c>
      <c r="V124" s="303">
        <v>0</v>
      </c>
      <c r="W124" s="303">
        <v>0</v>
      </c>
      <c r="X124" s="303"/>
      <c r="Y124" s="303">
        <v>0</v>
      </c>
      <c r="Z124" s="303"/>
      <c r="AA124" s="303">
        <v>0</v>
      </c>
      <c r="AB124" s="303">
        <v>0</v>
      </c>
      <c r="AC124"/>
      <c r="AJ124" s="257"/>
      <c r="AK124" s="257"/>
    </row>
    <row r="125" spans="1:37" ht="16.5" thickBot="1" x14ac:dyDescent="0.3">
      <c r="A125" s="289" t="s">
        <v>805</v>
      </c>
      <c r="B125" s="290">
        <v>12</v>
      </c>
      <c r="C125" s="291" t="s">
        <v>806</v>
      </c>
      <c r="D125" s="290">
        <v>14</v>
      </c>
      <c r="E125" s="292" t="s">
        <v>807</v>
      </c>
      <c r="G125" s="61">
        <f t="shared" si="22"/>
        <v>0.8571428571428571</v>
      </c>
      <c r="H125" s="61" t="e">
        <f t="shared" si="22"/>
        <v>#VALUE!</v>
      </c>
      <c r="N125"/>
      <c r="O125"/>
      <c r="P125"/>
      <c r="Q125"/>
      <c r="R125"/>
      <c r="S125"/>
      <c r="U125" s="302" t="s">
        <v>808</v>
      </c>
      <c r="V125" s="303">
        <v>0</v>
      </c>
      <c r="W125" s="303">
        <v>8.9453706281175727</v>
      </c>
      <c r="X125" s="303"/>
      <c r="Y125" s="303">
        <v>20.952492987800643</v>
      </c>
      <c r="Z125" s="303"/>
      <c r="AA125" s="303">
        <v>25.793675678662378</v>
      </c>
      <c r="AB125" s="303">
        <v>27.725005798971225</v>
      </c>
      <c r="AC125"/>
      <c r="AJ125" s="257"/>
      <c r="AK125" s="257"/>
    </row>
    <row r="126" spans="1:37" ht="16.5" thickBot="1" x14ac:dyDescent="0.3">
      <c r="A126" s="289" t="s">
        <v>809</v>
      </c>
      <c r="B126" s="290">
        <v>13</v>
      </c>
      <c r="C126" s="291" t="s">
        <v>810</v>
      </c>
      <c r="D126" s="290">
        <v>15</v>
      </c>
      <c r="E126" s="292" t="s">
        <v>811</v>
      </c>
      <c r="G126" s="61">
        <f t="shared" si="22"/>
        <v>0.8666666666666667</v>
      </c>
      <c r="H126" s="61" t="e">
        <f t="shared" si="22"/>
        <v>#VALUE!</v>
      </c>
      <c r="N126"/>
      <c r="O126"/>
      <c r="P126"/>
      <c r="Q126"/>
      <c r="R126"/>
      <c r="S126"/>
      <c r="U126" s="302" t="s">
        <v>812</v>
      </c>
      <c r="V126" s="303">
        <v>0</v>
      </c>
      <c r="W126" s="303">
        <v>18.764296648724834</v>
      </c>
      <c r="X126" s="303"/>
      <c r="Y126" s="303">
        <v>17.385645895502968</v>
      </c>
      <c r="Z126" s="303"/>
      <c r="AA126" s="303">
        <v>16.734089353993042</v>
      </c>
      <c r="AB126" s="303">
        <v>16.302594462013452</v>
      </c>
      <c r="AC126"/>
      <c r="AJ126" s="257"/>
      <c r="AK126" s="257"/>
    </row>
    <row r="127" spans="1:37" ht="15.75" x14ac:dyDescent="0.25">
      <c r="A127" s="305"/>
      <c r="B127" s="306"/>
      <c r="C127" s="307"/>
      <c r="D127" s="306"/>
      <c r="E127" s="305"/>
      <c r="N127"/>
      <c r="O127"/>
      <c r="P127"/>
      <c r="Q127"/>
      <c r="R127"/>
      <c r="S127"/>
      <c r="U127" s="302" t="s">
        <v>813</v>
      </c>
      <c r="V127" s="303">
        <v>0</v>
      </c>
      <c r="W127" s="303">
        <v>96.680326472614169</v>
      </c>
      <c r="X127" s="303"/>
      <c r="Y127" s="303">
        <v>158.46373746443086</v>
      </c>
      <c r="Z127" s="303"/>
      <c r="AA127" s="303">
        <v>280.2703552373747</v>
      </c>
      <c r="AB127" s="303">
        <v>410.49323104529975</v>
      </c>
      <c r="AC127"/>
      <c r="AJ127" s="257"/>
      <c r="AK127" s="257"/>
    </row>
    <row r="128" spans="1:37" x14ac:dyDescent="0.25">
      <c r="N128"/>
      <c r="O128"/>
      <c r="P128"/>
      <c r="Q128"/>
      <c r="R128"/>
      <c r="S128"/>
      <c r="U128" s="302" t="s">
        <v>814</v>
      </c>
      <c r="V128" s="303">
        <v>0</v>
      </c>
      <c r="W128" s="303">
        <v>88.489721534076395</v>
      </c>
      <c r="X128" s="303"/>
      <c r="Y128" s="303">
        <v>219.26930496828516</v>
      </c>
      <c r="Z128" s="303"/>
      <c r="AA128" s="303">
        <v>257.49171484357635</v>
      </c>
      <c r="AB128" s="303">
        <v>266.18798500621233</v>
      </c>
      <c r="AC128"/>
      <c r="AJ128" s="257"/>
      <c r="AK128" s="257"/>
    </row>
    <row r="129" spans="14:37" x14ac:dyDescent="0.25">
      <c r="N129"/>
      <c r="O129"/>
      <c r="P129"/>
      <c r="Q129"/>
      <c r="R129"/>
      <c r="S129"/>
      <c r="U129" s="302" t="s">
        <v>815</v>
      </c>
      <c r="V129" s="303" t="s">
        <v>815</v>
      </c>
      <c r="W129" s="303" t="s">
        <v>815</v>
      </c>
      <c r="X129" s="303"/>
      <c r="Y129" s="303" t="s">
        <v>815</v>
      </c>
      <c r="Z129" s="303"/>
      <c r="AA129" s="303" t="s">
        <v>815</v>
      </c>
      <c r="AB129" s="303" t="s">
        <v>815</v>
      </c>
      <c r="AC129"/>
      <c r="AJ129" s="257"/>
      <c r="AK129" s="257"/>
    </row>
    <row r="130" spans="14:37" x14ac:dyDescent="0.25">
      <c r="N130"/>
      <c r="O130"/>
      <c r="P130"/>
      <c r="Q130"/>
      <c r="R130"/>
      <c r="S130"/>
      <c r="U130" s="308" t="s">
        <v>193</v>
      </c>
      <c r="V130" s="309">
        <v>36238.596721333321</v>
      </c>
      <c r="W130" s="309">
        <v>24603.016767630226</v>
      </c>
      <c r="X130" s="309"/>
      <c r="Y130" s="309">
        <v>20373.534423422148</v>
      </c>
      <c r="Z130" s="309"/>
      <c r="AA130" s="309">
        <v>20647.904476265994</v>
      </c>
      <c r="AB130" s="309">
        <v>20788.248664025326</v>
      </c>
      <c r="AC130"/>
      <c r="AJ130" s="257"/>
      <c r="AK130" s="257"/>
    </row>
    <row r="131" spans="14:37" x14ac:dyDescent="0.25">
      <c r="N131"/>
      <c r="O131"/>
      <c r="P131"/>
      <c r="Q131"/>
      <c r="R131"/>
      <c r="S131"/>
      <c r="U131" s="310" t="s">
        <v>816</v>
      </c>
      <c r="V131" s="311" t="s">
        <v>817</v>
      </c>
      <c r="W131" s="312"/>
      <c r="X131" s="312"/>
      <c r="Y131" s="312"/>
      <c r="Z131" s="312"/>
      <c r="AA131" s="312"/>
      <c r="AB131" s="312"/>
      <c r="AC131"/>
      <c r="AJ131" s="257"/>
      <c r="AK131" s="257"/>
    </row>
    <row r="132" spans="14:37" x14ac:dyDescent="0.25">
      <c r="N132"/>
      <c r="O132"/>
      <c r="P132"/>
      <c r="Q132"/>
      <c r="R132"/>
      <c r="S132"/>
      <c r="U132" s="301" t="s">
        <v>659</v>
      </c>
      <c r="V132" s="301">
        <v>2010</v>
      </c>
      <c r="W132" s="301">
        <v>2020</v>
      </c>
      <c r="X132" s="301"/>
      <c r="Y132" s="301">
        <v>2030</v>
      </c>
      <c r="Z132" s="301"/>
      <c r="AA132" s="301">
        <v>2040</v>
      </c>
      <c r="AB132" s="301">
        <v>2050</v>
      </c>
      <c r="AC132"/>
      <c r="AJ132" s="257"/>
      <c r="AK132" s="257"/>
    </row>
    <row r="133" spans="14:37" x14ac:dyDescent="0.25">
      <c r="N133"/>
      <c r="O133"/>
      <c r="P133"/>
      <c r="Q133"/>
      <c r="R133"/>
      <c r="S133"/>
      <c r="U133" s="302" t="s">
        <v>663</v>
      </c>
      <c r="V133" s="313">
        <v>0.693962607442839</v>
      </c>
      <c r="W133" s="313">
        <v>0.62851040218398957</v>
      </c>
      <c r="X133" s="313"/>
      <c r="Y133" s="313">
        <v>0.57642485729714654</v>
      </c>
      <c r="Z133" s="313"/>
      <c r="AA133" s="313">
        <v>0.54803234670758638</v>
      </c>
      <c r="AB133" s="313">
        <v>0.51817442685442938</v>
      </c>
      <c r="AC133"/>
      <c r="AJ133" s="257"/>
      <c r="AK133" s="257"/>
    </row>
    <row r="134" spans="14:37" x14ac:dyDescent="0.25">
      <c r="N134"/>
      <c r="O134"/>
      <c r="P134"/>
      <c r="Q134"/>
      <c r="R134"/>
      <c r="S134"/>
      <c r="U134" s="302" t="s">
        <v>818</v>
      </c>
      <c r="V134" s="313">
        <v>0</v>
      </c>
      <c r="W134" s="313">
        <v>1.3575641257771031E-2</v>
      </c>
      <c r="X134" s="313"/>
      <c r="Y134" s="313">
        <v>2.6931390587293953E-2</v>
      </c>
      <c r="Z134" s="313"/>
      <c r="AA134" s="313">
        <v>4.0071060917710608E-2</v>
      </c>
      <c r="AB134" s="313">
        <v>5.3113118258794126E-2</v>
      </c>
      <c r="AC134"/>
      <c r="AJ134" s="257"/>
      <c r="AK134" s="257"/>
    </row>
    <row r="135" spans="14:37" x14ac:dyDescent="0.25">
      <c r="N135"/>
      <c r="O135"/>
      <c r="P135"/>
      <c r="Q135"/>
      <c r="R135"/>
      <c r="S135"/>
      <c r="U135" s="302" t="s">
        <v>804</v>
      </c>
      <c r="V135" s="313">
        <v>0</v>
      </c>
      <c r="W135" s="313">
        <v>0</v>
      </c>
      <c r="X135" s="313"/>
      <c r="Y135" s="313">
        <v>0</v>
      </c>
      <c r="Z135" s="313"/>
      <c r="AA135" s="313">
        <v>0</v>
      </c>
      <c r="AB135" s="313">
        <v>0</v>
      </c>
      <c r="AC135"/>
      <c r="AJ135" s="257"/>
      <c r="AK135" s="257"/>
    </row>
    <row r="136" spans="14:37" x14ac:dyDescent="0.25">
      <c r="N136"/>
      <c r="O136"/>
      <c r="P136"/>
      <c r="Q136"/>
      <c r="R136"/>
      <c r="S136"/>
      <c r="U136" s="302" t="s">
        <v>808</v>
      </c>
      <c r="V136" s="313">
        <v>0</v>
      </c>
      <c r="W136" s="313">
        <v>2.9883677083482134E-3</v>
      </c>
      <c r="X136" s="313"/>
      <c r="Y136" s="313">
        <v>7.6702475362843978E-3</v>
      </c>
      <c r="Z136" s="313"/>
      <c r="AA136" s="313">
        <v>9.9023689878556705E-3</v>
      </c>
      <c r="AB136" s="313">
        <v>1.0950376546092409E-2</v>
      </c>
      <c r="AC136"/>
      <c r="AJ136" s="257"/>
      <c r="AK136" s="257"/>
    </row>
    <row r="137" spans="14:37" x14ac:dyDescent="0.25">
      <c r="N137"/>
      <c r="O137"/>
      <c r="P137"/>
      <c r="Q137"/>
      <c r="R137"/>
      <c r="S137"/>
      <c r="U137" s="302" t="s">
        <v>812</v>
      </c>
      <c r="V137" s="313">
        <v>0</v>
      </c>
      <c r="W137" s="313">
        <v>1.6321610603652417E-2</v>
      </c>
      <c r="X137" s="313"/>
      <c r="Y137" s="313">
        <v>1.5999293476344708E-2</v>
      </c>
      <c r="Z137" s="313"/>
      <c r="AA137" s="313">
        <v>1.5739274620495722E-2</v>
      </c>
      <c r="AB137" s="313">
        <v>1.5545253345222798E-2</v>
      </c>
      <c r="AC137"/>
      <c r="AJ137" s="257"/>
      <c r="AK137" s="257"/>
    </row>
    <row r="138" spans="14:37" x14ac:dyDescent="0.25">
      <c r="N138"/>
      <c r="O138"/>
      <c r="P138"/>
      <c r="Q138"/>
      <c r="R138"/>
      <c r="S138"/>
      <c r="U138" s="302" t="s">
        <v>813</v>
      </c>
      <c r="V138" s="313">
        <v>0</v>
      </c>
      <c r="W138" s="313">
        <v>1.1763752877724343E-2</v>
      </c>
      <c r="X138" s="313"/>
      <c r="Y138" s="313">
        <v>2.0723241302606065E-2</v>
      </c>
      <c r="Z138" s="313"/>
      <c r="AA138" s="313">
        <v>3.9372481044012829E-2</v>
      </c>
      <c r="AB138" s="313">
        <v>6.3066386807392419E-2</v>
      </c>
      <c r="AC138"/>
      <c r="AJ138" s="257"/>
      <c r="AK138" s="257"/>
    </row>
    <row r="139" spans="14:37" x14ac:dyDescent="0.25">
      <c r="N139"/>
      <c r="O139"/>
      <c r="P139"/>
      <c r="Q139"/>
      <c r="R139"/>
      <c r="S139"/>
      <c r="U139" s="302" t="s">
        <v>814</v>
      </c>
      <c r="V139" s="313">
        <v>0</v>
      </c>
      <c r="W139" s="313">
        <v>2.3471342820149014E-2</v>
      </c>
      <c r="X139" s="313"/>
      <c r="Y139" s="313">
        <v>5.3489836104930751E-2</v>
      </c>
      <c r="Z139" s="313"/>
      <c r="AA139" s="313">
        <v>5.2659006815223564E-2</v>
      </c>
      <c r="AB139" s="313">
        <v>5.0932822377237223E-2</v>
      </c>
      <c r="AC139"/>
      <c r="AJ139" s="257"/>
      <c r="AK139" s="257"/>
    </row>
    <row r="140" spans="14:37" x14ac:dyDescent="0.25">
      <c r="N140"/>
      <c r="O140"/>
      <c r="P140"/>
      <c r="Q140"/>
      <c r="R140"/>
      <c r="S140"/>
      <c r="U140" s="308" t="s">
        <v>193</v>
      </c>
      <c r="V140" s="314">
        <v>0.693962607442839</v>
      </c>
      <c r="W140" s="314">
        <v>0.69663111745163464</v>
      </c>
      <c r="X140" s="314"/>
      <c r="Y140" s="314">
        <v>0.70123886630460641</v>
      </c>
      <c r="Z140" s="314"/>
      <c r="AA140" s="314">
        <v>0.70577653909288474</v>
      </c>
      <c r="AB140" s="314">
        <v>0.71178238418916839</v>
      </c>
      <c r="AC140"/>
      <c r="AJ140" s="257"/>
      <c r="AK140" s="257"/>
    </row>
    <row r="141" spans="14:37" x14ac:dyDescent="0.25">
      <c r="N141"/>
      <c r="O141"/>
      <c r="P141"/>
      <c r="Q141"/>
      <c r="R141"/>
      <c r="S141"/>
      <c r="U141" s="315" t="s">
        <v>819</v>
      </c>
      <c r="V141" s="316">
        <v>0.24600000000000002</v>
      </c>
      <c r="W141" s="316">
        <v>0.25079127179951577</v>
      </c>
      <c r="X141" s="316"/>
      <c r="Y141" s="316">
        <v>0.25906441938589464</v>
      </c>
      <c r="Z141" s="316"/>
      <c r="AA141" s="316">
        <v>0.26721174639394329</v>
      </c>
      <c r="AB141" s="316">
        <v>0.2779951559173241</v>
      </c>
      <c r="AC141"/>
      <c r="AJ141" s="257"/>
      <c r="AK141" s="257"/>
    </row>
    <row r="142" spans="14:37" x14ac:dyDescent="0.25">
      <c r="N142"/>
      <c r="O142"/>
      <c r="P142"/>
      <c r="Q142"/>
      <c r="R142"/>
      <c r="S142"/>
      <c r="U142" s="315"/>
      <c r="V142" s="316"/>
      <c r="W142" s="316"/>
      <c r="X142" s="316"/>
      <c r="Y142" s="316"/>
      <c r="Z142" s="316"/>
      <c r="AA142" s="316"/>
      <c r="AB142" s="316"/>
      <c r="AC142"/>
      <c r="AJ142" s="257"/>
      <c r="AK142" s="257"/>
    </row>
    <row r="143" spans="14:37" x14ac:dyDescent="0.25">
      <c r="N143"/>
      <c r="O143"/>
      <c r="P143"/>
      <c r="Q143"/>
      <c r="R143"/>
      <c r="S143"/>
      <c r="U143" t="s">
        <v>820</v>
      </c>
      <c r="V143" s="317">
        <f>V123/V130</f>
        <v>0.56614013274745012</v>
      </c>
      <c r="W143" s="317">
        <f t="shared" ref="W143:AB143" si="23">W123/W130</f>
        <v>0.41951535114232619</v>
      </c>
      <c r="X143" s="317"/>
      <c r="Y143" s="317">
        <f t="shared" si="23"/>
        <v>0.32711312989538111</v>
      </c>
      <c r="Z143" s="317"/>
      <c r="AA143" s="317">
        <f t="shared" si="23"/>
        <v>0.33647007711164806</v>
      </c>
      <c r="AB143" s="317">
        <f t="shared" si="23"/>
        <v>0.34084483654197317</v>
      </c>
      <c r="AC143"/>
      <c r="AJ143" s="257"/>
      <c r="AK143" s="257"/>
    </row>
    <row r="144" spans="14:37" x14ac:dyDescent="0.25">
      <c r="N144"/>
      <c r="O144"/>
      <c r="P144"/>
      <c r="Q144"/>
      <c r="R144"/>
      <c r="S144"/>
      <c r="T144"/>
      <c r="U144"/>
      <c r="V144"/>
      <c r="W144"/>
      <c r="X144"/>
      <c r="Y144"/>
      <c r="Z144"/>
      <c r="AA144"/>
      <c r="AB144"/>
      <c r="AC144"/>
      <c r="AD144"/>
      <c r="AJ144" s="257"/>
      <c r="AK144" s="257"/>
    </row>
    <row r="145" spans="1:37" x14ac:dyDescent="0.25">
      <c r="N145"/>
      <c r="O145"/>
      <c r="P145"/>
      <c r="Q145"/>
      <c r="R145"/>
      <c r="S145"/>
      <c r="T145"/>
      <c r="U145"/>
      <c r="V145"/>
      <c r="W145"/>
      <c r="X145"/>
      <c r="Y145"/>
      <c r="Z145"/>
      <c r="AA145"/>
      <c r="AB145"/>
      <c r="AC145"/>
      <c r="AD145"/>
      <c r="AJ145" s="257"/>
      <c r="AK145" s="257"/>
    </row>
    <row r="146" spans="1:37" ht="15.75" x14ac:dyDescent="0.25">
      <c r="A146" s="305"/>
      <c r="B146" s="306"/>
      <c r="C146" s="307"/>
      <c r="D146" s="306"/>
      <c r="E146" s="305"/>
      <c r="N146"/>
      <c r="O146"/>
      <c r="P146"/>
      <c r="Q146"/>
      <c r="R146"/>
      <c r="S146"/>
      <c r="AD146"/>
    </row>
    <row r="147" spans="1:37" x14ac:dyDescent="0.25">
      <c r="N147"/>
      <c r="O147"/>
      <c r="P147"/>
      <c r="Q147"/>
      <c r="R147"/>
      <c r="S147"/>
      <c r="AD147"/>
    </row>
    <row r="148" spans="1:37" x14ac:dyDescent="0.25">
      <c r="N148"/>
      <c r="O148"/>
      <c r="P148"/>
      <c r="Q148"/>
      <c r="R148"/>
      <c r="S148"/>
      <c r="AD148"/>
    </row>
    <row r="149" spans="1:37" x14ac:dyDescent="0.25">
      <c r="N149"/>
      <c r="O149"/>
      <c r="P149"/>
      <c r="Q149"/>
      <c r="R149"/>
      <c r="S149"/>
      <c r="AD149"/>
    </row>
    <row r="150" spans="1:37" x14ac:dyDescent="0.25">
      <c r="N150"/>
      <c r="O150"/>
      <c r="P150"/>
      <c r="Q150"/>
      <c r="R150"/>
      <c r="S150"/>
      <c r="AD150"/>
    </row>
    <row r="151" spans="1:37" x14ac:dyDescent="0.25">
      <c r="N151"/>
      <c r="O151"/>
      <c r="P151"/>
      <c r="Q151"/>
      <c r="R151"/>
      <c r="S151"/>
      <c r="AD151"/>
    </row>
    <row r="152" spans="1:37" x14ac:dyDescent="0.25">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8" t="s">
        <v>822</v>
      </c>
      <c r="C266" s="319">
        <v>13.6</v>
      </c>
      <c r="H266" s="320">
        <f>2.266E+61</f>
        <v>2.2660000000000001E+61</v>
      </c>
      <c r="I266" s="61">
        <v>-7.0440000000000003E-2</v>
      </c>
      <c r="N266"/>
      <c r="O266"/>
      <c r="P266"/>
      <c r="Q266"/>
      <c r="R266"/>
      <c r="S266"/>
      <c r="T266"/>
      <c r="U266"/>
      <c r="V266"/>
      <c r="W266"/>
      <c r="X266"/>
      <c r="Y266"/>
      <c r="Z266"/>
      <c r="AA266"/>
      <c r="AB266"/>
      <c r="AC266"/>
      <c r="AD266"/>
    </row>
    <row r="267" spans="1:33" x14ac:dyDescent="0.25">
      <c r="B267" s="318" t="s">
        <v>823</v>
      </c>
      <c r="C267" s="319">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1">
        <v>0.52</v>
      </c>
      <c r="E270" s="322">
        <v>0.48</v>
      </c>
      <c r="F270" s="322">
        <v>0.36</v>
      </c>
      <c r="G270" s="322">
        <f>AVERAGE(0.27,0.24)</f>
        <v>0.255</v>
      </c>
      <c r="H270" s="322">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Q271" si="27">IF(EV.Battery,1-D271,1)</f>
        <v>1</v>
      </c>
      <c r="Q271" s="67">
        <f t="shared" si="27"/>
        <v>1</v>
      </c>
      <c r="R271" s="67">
        <f>IF(EV.Battery,1-F271,1)</f>
        <v>1</v>
      </c>
      <c r="S271" s="67">
        <f t="shared" ref="S271:W271" si="28">IF(EV.Battery,1-G271,1)</f>
        <v>1</v>
      </c>
      <c r="T271" s="67">
        <f t="shared" si="28"/>
        <v>1</v>
      </c>
      <c r="U271" s="67">
        <f t="shared" si="28"/>
        <v>1</v>
      </c>
      <c r="V271" s="67">
        <f t="shared" si="28"/>
        <v>1</v>
      </c>
      <c r="W271" s="67">
        <f t="shared" si="28"/>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50C0F0BC-341E-459A-A3A6-8799E37D873C}">
      <formula1>$AB$5:$AB$7</formula1>
    </dataValidation>
  </dataValidations>
  <hyperlinks>
    <hyperlink ref="E20" r:id="rId1" xr:uid="{2F47C5D4-6ECE-42C4-92D7-436FC94A3157}"/>
  </hyperlinks>
  <pageMargins left="0.7" right="0.7" top="0.75" bottom="0.75" header="0.3" footer="0.3"/>
  <pageSetup orientation="portrait" r:id="rId2"/>
  <drawing r:id="rId3"/>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91D4-886C-4C3F-8ADD-4B6F1D15FA3C}">
  <sheetPr codeName="Sheet12"/>
  <dimension ref="A1:AZ106"/>
  <sheetViews>
    <sheetView topLeftCell="A9" zoomScaleNormal="100" workbookViewId="0">
      <selection activeCell="L71" sqref="L71:L104"/>
    </sheetView>
  </sheetViews>
  <sheetFormatPr defaultColWidth="8.42578125" defaultRowHeight="12.75" x14ac:dyDescent="0.25"/>
  <cols>
    <col min="1" max="1" width="25" style="323" customWidth="1"/>
    <col min="2" max="2" width="22.85546875" style="323" customWidth="1"/>
    <col min="3" max="3" width="9.42578125" style="323" customWidth="1"/>
    <col min="4" max="4" width="10.28515625" style="323" customWidth="1"/>
    <col min="5" max="5" width="10.28515625" style="324" customWidth="1"/>
    <col min="6" max="7" width="10" style="323" customWidth="1"/>
    <col min="8" max="9" width="9.85546875" style="323" customWidth="1"/>
    <col min="10" max="10" width="10" style="323" customWidth="1"/>
    <col min="11" max="11" width="17.42578125" style="323" customWidth="1"/>
    <col min="12" max="13" width="19.85546875" style="323" customWidth="1"/>
    <col min="14" max="17" width="19.28515625" style="323" customWidth="1"/>
    <col min="18" max="18" width="20.5703125" style="323" customWidth="1"/>
    <col min="19" max="28" width="8.42578125" style="323"/>
    <col min="29" max="29" width="11.85546875" style="323" customWidth="1"/>
    <col min="30" max="16384" width="8.42578125" style="323"/>
  </cols>
  <sheetData>
    <row r="1" spans="1:52" ht="15" x14ac:dyDescent="0.25">
      <c r="B1" s="65" t="s">
        <v>702</v>
      </c>
      <c r="E1" s="323"/>
    </row>
    <row r="2" spans="1:52" x14ac:dyDescent="0.2">
      <c r="B2" s="515">
        <v>13.7674</v>
      </c>
      <c r="C2" s="323" t="s">
        <v>846</v>
      </c>
      <c r="E2" s="323"/>
    </row>
    <row r="3" spans="1:52" x14ac:dyDescent="0.2">
      <c r="B3" s="453" t="s">
        <v>832</v>
      </c>
      <c r="C3" s="457" t="s">
        <v>831</v>
      </c>
      <c r="D3" s="456">
        <v>0.08</v>
      </c>
      <c r="E3" s="514"/>
      <c r="F3" s="454"/>
      <c r="G3" s="454"/>
      <c r="H3" s="454"/>
      <c r="I3" s="454"/>
      <c r="J3" s="454"/>
      <c r="K3" s="513">
        <v>1.649</v>
      </c>
      <c r="L3" s="512" t="s">
        <v>1294</v>
      </c>
      <c r="M3" s="512"/>
      <c r="P3" s="454"/>
      <c r="Q3" s="454"/>
      <c r="R3" s="454"/>
      <c r="T3" s="454"/>
      <c r="U3" s="454"/>
      <c r="AB3" s="453" t="s">
        <v>816</v>
      </c>
      <c r="AC3" s="323" t="s">
        <v>834</v>
      </c>
      <c r="AI3" s="323" t="s">
        <v>845</v>
      </c>
      <c r="AO3" s="323" t="s">
        <v>844</v>
      </c>
    </row>
    <row r="4" spans="1:52" x14ac:dyDescent="0.2">
      <c r="B4" s="352" t="s">
        <v>681</v>
      </c>
      <c r="C4" s="352">
        <v>2010</v>
      </c>
      <c r="D4" s="352">
        <v>2020</v>
      </c>
      <c r="E4" s="511">
        <v>2025</v>
      </c>
      <c r="F4" s="352">
        <v>2030</v>
      </c>
      <c r="G4" s="510">
        <v>2035</v>
      </c>
      <c r="H4" s="352">
        <v>2040</v>
      </c>
      <c r="I4" s="510">
        <v>2045</v>
      </c>
      <c r="J4" s="352">
        <v>2050</v>
      </c>
      <c r="K4" s="354">
        <f t="shared" ref="K4:R4" si="0">C4</f>
        <v>2010</v>
      </c>
      <c r="L4" s="354">
        <f t="shared" si="0"/>
        <v>2020</v>
      </c>
      <c r="M4" s="354">
        <f t="shared" si="0"/>
        <v>2025</v>
      </c>
      <c r="N4" s="354">
        <f t="shared" si="0"/>
        <v>2030</v>
      </c>
      <c r="O4" s="354">
        <f t="shared" si="0"/>
        <v>2035</v>
      </c>
      <c r="P4" s="354">
        <f t="shared" si="0"/>
        <v>2040</v>
      </c>
      <c r="Q4" s="354">
        <f t="shared" si="0"/>
        <v>2045</v>
      </c>
      <c r="R4" s="354">
        <f t="shared" si="0"/>
        <v>2050</v>
      </c>
      <c r="S4" s="323">
        <f t="shared" ref="S4:Z4" si="1">C4</f>
        <v>2010</v>
      </c>
      <c r="T4" s="323">
        <f t="shared" si="1"/>
        <v>2020</v>
      </c>
      <c r="U4" s="323">
        <f t="shared" si="1"/>
        <v>2025</v>
      </c>
      <c r="V4" s="323">
        <f t="shared" si="1"/>
        <v>2030</v>
      </c>
      <c r="W4" s="323">
        <f t="shared" si="1"/>
        <v>2035</v>
      </c>
      <c r="X4" s="323">
        <f t="shared" si="1"/>
        <v>2040</v>
      </c>
      <c r="Y4" s="323">
        <f t="shared" si="1"/>
        <v>2045</v>
      </c>
      <c r="Z4" s="323">
        <f t="shared" si="1"/>
        <v>2050</v>
      </c>
      <c r="AB4" s="352" t="s">
        <v>681</v>
      </c>
      <c r="AC4" s="352">
        <v>2010</v>
      </c>
      <c r="AD4" s="352">
        <v>2020</v>
      </c>
      <c r="AE4" s="352">
        <v>2030</v>
      </c>
      <c r="AF4" s="352">
        <v>2040</v>
      </c>
      <c r="AG4" s="352">
        <v>2050</v>
      </c>
      <c r="AI4" s="323">
        <f>AC4</f>
        <v>2010</v>
      </c>
      <c r="AJ4" s="323">
        <f>AD4</f>
        <v>2020</v>
      </c>
      <c r="AK4" s="323">
        <f>AE4</f>
        <v>2030</v>
      </c>
      <c r="AL4" s="323">
        <f>AF4</f>
        <v>2040</v>
      </c>
      <c r="AM4" s="323">
        <f>AG4</f>
        <v>2050</v>
      </c>
      <c r="AO4" s="323">
        <f>AI4</f>
        <v>2010</v>
      </c>
      <c r="AP4" s="323">
        <f>AJ4</f>
        <v>2020</v>
      </c>
      <c r="AQ4" s="323">
        <f>AK4</f>
        <v>2030</v>
      </c>
      <c r="AR4" s="323">
        <f>AL4</f>
        <v>2040</v>
      </c>
      <c r="AS4" s="323">
        <f>AM4</f>
        <v>2050</v>
      </c>
    </row>
    <row r="5" spans="1:52" ht="13.5" thickBot="1" x14ac:dyDescent="0.25">
      <c r="B5" s="448" t="s">
        <v>791</v>
      </c>
      <c r="C5" s="449" t="s">
        <v>193</v>
      </c>
      <c r="D5" s="449" t="s">
        <v>193</v>
      </c>
      <c r="E5" s="509" t="s">
        <v>843</v>
      </c>
      <c r="F5" s="449" t="s">
        <v>193</v>
      </c>
      <c r="G5" s="508" t="s">
        <v>843</v>
      </c>
      <c r="H5" s="449" t="s">
        <v>193</v>
      </c>
      <c r="I5" s="508" t="s">
        <v>843</v>
      </c>
      <c r="J5" s="449" t="s">
        <v>193</v>
      </c>
      <c r="K5" s="323" t="s">
        <v>842</v>
      </c>
      <c r="L5" s="323" t="s">
        <v>842</v>
      </c>
      <c r="N5" s="323" t="s">
        <v>842</v>
      </c>
      <c r="P5" s="323" t="s">
        <v>842</v>
      </c>
      <c r="R5" s="323" t="s">
        <v>842</v>
      </c>
      <c r="S5" s="323" t="s">
        <v>841</v>
      </c>
      <c r="T5" s="323" t="s">
        <v>841</v>
      </c>
      <c r="AB5" s="448" t="s">
        <v>659</v>
      </c>
      <c r="AC5" s="447" t="s">
        <v>663</v>
      </c>
      <c r="AD5" s="447" t="s">
        <v>663</v>
      </c>
      <c r="AE5" s="447" t="s">
        <v>663</v>
      </c>
      <c r="AF5" s="447" t="s">
        <v>663</v>
      </c>
      <c r="AG5" s="447" t="s">
        <v>663</v>
      </c>
    </row>
    <row r="6" spans="1:52" ht="15" x14ac:dyDescent="0.2">
      <c r="A6" s="323" t="str">
        <f>B4</f>
        <v>Passenger Car</v>
      </c>
      <c r="B6" s="256" t="s">
        <v>680</v>
      </c>
      <c r="C6" s="443">
        <v>14106.969670152857</v>
      </c>
      <c r="D6" s="443">
        <v>15275.702468545833</v>
      </c>
      <c r="E6" s="333">
        <f t="shared" ref="E6:E18" si="2">AVERAGE(D6,F6)</f>
        <v>15535.838446469748</v>
      </c>
      <c r="F6" s="443">
        <v>15795.974424393664</v>
      </c>
      <c r="G6" s="333">
        <f t="shared" ref="G6:G18" si="3">AVERAGE(F6,H6)</f>
        <v>15969.064607998534</v>
      </c>
      <c r="H6" s="443">
        <v>16142.154791603403</v>
      </c>
      <c r="I6" s="333">
        <f t="shared" ref="I6:I18" si="4">AVERAGE(H6,J6)</f>
        <v>16243.065948633179</v>
      </c>
      <c r="J6" s="443">
        <v>16343.977105662956</v>
      </c>
      <c r="K6" s="788">
        <f t="shared" ref="K6:R18" si="5">C6*$B$2*$K$3</f>
        <v>320262.66919658618</v>
      </c>
      <c r="L6" s="789">
        <f t="shared" si="5"/>
        <v>346795.75846684008</v>
      </c>
      <c r="M6" s="789">
        <f t="shared" si="5"/>
        <v>352701.48057385266</v>
      </c>
      <c r="N6" s="789">
        <f t="shared" si="5"/>
        <v>358607.20268086524</v>
      </c>
      <c r="O6" s="789">
        <f t="shared" si="5"/>
        <v>362536.77263877826</v>
      </c>
      <c r="P6" s="789">
        <f t="shared" si="5"/>
        <v>366466.34259669122</v>
      </c>
      <c r="Q6" s="789">
        <f t="shared" si="5"/>
        <v>368757.27234685927</v>
      </c>
      <c r="R6" s="790">
        <f t="shared" si="5"/>
        <v>371048.20209702745</v>
      </c>
      <c r="S6" s="331">
        <f t="shared" ref="S6:Z18" si="6">C6/C$6</f>
        <v>1</v>
      </c>
      <c r="T6" s="331">
        <f t="shared" si="6"/>
        <v>1</v>
      </c>
      <c r="U6" s="331">
        <f t="shared" si="6"/>
        <v>1</v>
      </c>
      <c r="V6" s="331">
        <f t="shared" si="6"/>
        <v>1</v>
      </c>
      <c r="W6" s="331">
        <f t="shared" si="6"/>
        <v>1</v>
      </c>
      <c r="X6" s="331">
        <f t="shared" si="6"/>
        <v>1</v>
      </c>
      <c r="Y6" s="331">
        <f t="shared" si="6"/>
        <v>1</v>
      </c>
      <c r="Z6" s="331">
        <f t="shared" si="6"/>
        <v>1</v>
      </c>
      <c r="AB6" s="460" t="s">
        <v>680</v>
      </c>
      <c r="AC6" s="440">
        <v>2.7731584934931535</v>
      </c>
      <c r="AD6" s="440">
        <v>2.0718600724531742</v>
      </c>
      <c r="AE6" s="440">
        <v>1.6924435330873051</v>
      </c>
      <c r="AF6" s="440">
        <v>1.5062933039675674</v>
      </c>
      <c r="AG6" s="440">
        <v>1.3837225479656539</v>
      </c>
      <c r="AI6" s="323">
        <v>1</v>
      </c>
      <c r="AJ6" s="323">
        <v>1</v>
      </c>
      <c r="AK6" s="323">
        <v>1</v>
      </c>
      <c r="AL6" s="323">
        <v>1</v>
      </c>
      <c r="AM6" s="323">
        <v>1</v>
      </c>
      <c r="AO6" s="505">
        <f t="shared" ref="AO6:AS18" si="7">AC6/AI6</f>
        <v>2.7731584934931535</v>
      </c>
      <c r="AP6" s="505">
        <f t="shared" si="7"/>
        <v>2.0718600724531742</v>
      </c>
      <c r="AQ6" s="505">
        <f t="shared" si="7"/>
        <v>1.6924435330873051</v>
      </c>
      <c r="AR6" s="505">
        <f t="shared" si="7"/>
        <v>1.5062933039675674</v>
      </c>
      <c r="AS6" s="505">
        <f t="shared" si="7"/>
        <v>1.3837225479656539</v>
      </c>
    </row>
    <row r="7" spans="1:52" ht="15" x14ac:dyDescent="0.2">
      <c r="A7" s="323" t="str">
        <f t="shared" ref="A7:A20" si="8">A6</f>
        <v>Passenger Car</v>
      </c>
      <c r="B7" s="256" t="s">
        <v>687</v>
      </c>
      <c r="C7" s="443">
        <v>14560.769670152857</v>
      </c>
      <c r="D7" s="443">
        <v>15983.921891910022</v>
      </c>
      <c r="E7" s="333">
        <f t="shared" si="2"/>
        <v>16232.445908821937</v>
      </c>
      <c r="F7" s="443">
        <v>16480.969925733854</v>
      </c>
      <c r="G7" s="333">
        <f t="shared" si="3"/>
        <v>16662.303466899051</v>
      </c>
      <c r="H7" s="443">
        <v>16843.637008064252</v>
      </c>
      <c r="I7" s="333">
        <f t="shared" si="4"/>
        <v>16946.971696045381</v>
      </c>
      <c r="J7" s="443">
        <v>17050.306384026513</v>
      </c>
      <c r="K7" s="791">
        <f t="shared" si="5"/>
        <v>330565.03764846618</v>
      </c>
      <c r="L7" s="792">
        <f t="shared" si="5"/>
        <v>362874.06927397067</v>
      </c>
      <c r="M7" s="792">
        <f t="shared" si="5"/>
        <v>368516.17150263488</v>
      </c>
      <c r="N7" s="792">
        <f t="shared" si="5"/>
        <v>374158.27373129909</v>
      </c>
      <c r="O7" s="792">
        <f t="shared" si="5"/>
        <v>378274.98804105673</v>
      </c>
      <c r="P7" s="792">
        <f t="shared" si="5"/>
        <v>382391.70235081442</v>
      </c>
      <c r="Q7" s="792">
        <f t="shared" si="5"/>
        <v>384737.65217329492</v>
      </c>
      <c r="R7" s="793">
        <f t="shared" si="5"/>
        <v>387083.60199577553</v>
      </c>
      <c r="S7" s="331">
        <f t="shared" si="6"/>
        <v>1.03216849618385</v>
      </c>
      <c r="T7" s="331">
        <f t="shared" si="6"/>
        <v>1.0463624782442891</v>
      </c>
      <c r="U7" s="331">
        <f t="shared" si="6"/>
        <v>1.0448387426756798</v>
      </c>
      <c r="V7" s="331">
        <f t="shared" si="6"/>
        <v>1.0433651943803071</v>
      </c>
      <c r="W7" s="331">
        <f t="shared" si="6"/>
        <v>1.0434113629018251</v>
      </c>
      <c r="X7" s="331">
        <f t="shared" si="6"/>
        <v>1.0434565413054853</v>
      </c>
      <c r="Y7" s="331">
        <f t="shared" si="6"/>
        <v>1.0433357686066302</v>
      </c>
      <c r="Z7" s="331">
        <f t="shared" si="6"/>
        <v>1.0432164872599352</v>
      </c>
      <c r="AA7" s="423"/>
      <c r="AB7" s="460" t="s">
        <v>687</v>
      </c>
      <c r="AC7" s="440">
        <v>2.2264912113239048</v>
      </c>
      <c r="AD7" s="440">
        <v>1.7539919646296771</v>
      </c>
      <c r="AE7" s="440">
        <v>1.4571673890360914</v>
      </c>
      <c r="AF7" s="440">
        <v>1.3029113464752489</v>
      </c>
      <c r="AG7" s="440">
        <v>1.195582159057512</v>
      </c>
      <c r="AI7" s="323">
        <v>1</v>
      </c>
      <c r="AJ7" s="323">
        <v>1</v>
      </c>
      <c r="AK7" s="323">
        <v>1</v>
      </c>
      <c r="AL7" s="323">
        <v>1</v>
      </c>
      <c r="AM7" s="323">
        <v>1</v>
      </c>
      <c r="AO7" s="505">
        <f t="shared" si="7"/>
        <v>2.2264912113239048</v>
      </c>
      <c r="AP7" s="505">
        <f t="shared" si="7"/>
        <v>1.7539919646296771</v>
      </c>
      <c r="AQ7" s="505">
        <f t="shared" si="7"/>
        <v>1.4571673890360914</v>
      </c>
      <c r="AR7" s="505">
        <f t="shared" si="7"/>
        <v>1.3029113464752489</v>
      </c>
      <c r="AS7" s="505">
        <f t="shared" si="7"/>
        <v>1.195582159057512</v>
      </c>
    </row>
    <row r="8" spans="1:52" ht="15" x14ac:dyDescent="0.2">
      <c r="A8" s="323" t="str">
        <f t="shared" si="8"/>
        <v>Passenger Car</v>
      </c>
      <c r="B8" s="256" t="s">
        <v>688</v>
      </c>
      <c r="C8" s="443">
        <v>17377.456235607926</v>
      </c>
      <c r="D8" s="443">
        <v>16497.956468581931</v>
      </c>
      <c r="E8" s="333">
        <f t="shared" si="2"/>
        <v>16355.606170887138</v>
      </c>
      <c r="F8" s="443">
        <v>16213.255873192345</v>
      </c>
      <c r="G8" s="333">
        <f t="shared" si="3"/>
        <v>16235.926074457077</v>
      </c>
      <c r="H8" s="443">
        <v>16258.596275721808</v>
      </c>
      <c r="I8" s="333">
        <f t="shared" si="4"/>
        <v>16265.716299334774</v>
      </c>
      <c r="J8" s="443">
        <v>16272.83632294774</v>
      </c>
      <c r="K8" s="791">
        <f t="shared" si="5"/>
        <v>394510.70272290101</v>
      </c>
      <c r="L8" s="792">
        <f t="shared" si="5"/>
        <v>374543.90974527999</v>
      </c>
      <c r="M8" s="792">
        <f t="shared" si="5"/>
        <v>371312.21028277103</v>
      </c>
      <c r="N8" s="792">
        <f t="shared" si="5"/>
        <v>368080.51082026208</v>
      </c>
      <c r="O8" s="792">
        <f t="shared" si="5"/>
        <v>368595.17976320512</v>
      </c>
      <c r="P8" s="792">
        <f t="shared" si="5"/>
        <v>369109.84870614816</v>
      </c>
      <c r="Q8" s="792">
        <f t="shared" si="5"/>
        <v>369271.49063353211</v>
      </c>
      <c r="R8" s="793">
        <f t="shared" si="5"/>
        <v>369433.13256091613</v>
      </c>
      <c r="S8" s="331">
        <f t="shared" si="6"/>
        <v>1.2318348052009125</v>
      </c>
      <c r="T8" s="331">
        <f t="shared" si="6"/>
        <v>1.0800129488351085</v>
      </c>
      <c r="U8" s="331">
        <f t="shared" si="6"/>
        <v>1.0527662364179429</v>
      </c>
      <c r="V8" s="331">
        <f t="shared" si="6"/>
        <v>1.0264169488749155</v>
      </c>
      <c r="W8" s="331">
        <f t="shared" si="6"/>
        <v>1.0167111520310887</v>
      </c>
      <c r="X8" s="331">
        <f t="shared" si="6"/>
        <v>1.007213503130262</v>
      </c>
      <c r="Y8" s="331">
        <f t="shared" si="6"/>
        <v>1.0013944627678804</v>
      </c>
      <c r="Z8" s="331">
        <f t="shared" si="6"/>
        <v>0.99564727836711375</v>
      </c>
      <c r="AA8" s="423"/>
      <c r="AB8" s="460" t="s">
        <v>688</v>
      </c>
      <c r="AC8" s="440">
        <v>2.118957461890536</v>
      </c>
      <c r="AD8" s="440">
        <v>1.6900840244838968</v>
      </c>
      <c r="AE8" s="440">
        <v>1.4497532132450688</v>
      </c>
      <c r="AF8" s="440">
        <v>1.3237068989033129</v>
      </c>
      <c r="AG8" s="440">
        <v>1.2074894913527994</v>
      </c>
      <c r="AI8" s="323">
        <v>1</v>
      </c>
      <c r="AJ8" s="323">
        <v>1</v>
      </c>
      <c r="AK8" s="323">
        <v>1</v>
      </c>
      <c r="AL8" s="323">
        <v>1</v>
      </c>
      <c r="AM8" s="323">
        <v>1</v>
      </c>
      <c r="AO8" s="505">
        <f t="shared" si="7"/>
        <v>2.118957461890536</v>
      </c>
      <c r="AP8" s="505">
        <f t="shared" si="7"/>
        <v>1.6900840244838968</v>
      </c>
      <c r="AQ8" s="505">
        <f t="shared" si="7"/>
        <v>1.4497532132450688</v>
      </c>
      <c r="AR8" s="505">
        <f t="shared" si="7"/>
        <v>1.3237068989033129</v>
      </c>
      <c r="AS8" s="505">
        <f t="shared" si="7"/>
        <v>1.2074894913527994</v>
      </c>
    </row>
    <row r="9" spans="1:52" ht="15" x14ac:dyDescent="0.2">
      <c r="A9" s="323" t="str">
        <f t="shared" si="8"/>
        <v>Passenger Car</v>
      </c>
      <c r="B9" s="256" t="s">
        <v>689</v>
      </c>
      <c r="C9" s="443">
        <v>17420.215126456082</v>
      </c>
      <c r="D9" s="443">
        <v>17003.178593969536</v>
      </c>
      <c r="E9" s="333">
        <f t="shared" si="2"/>
        <v>16868.59464958309</v>
      </c>
      <c r="F9" s="443">
        <v>16734.010705196644</v>
      </c>
      <c r="G9" s="333">
        <f t="shared" si="3"/>
        <v>16767.521855900653</v>
      </c>
      <c r="H9" s="443">
        <v>16801.033006604659</v>
      </c>
      <c r="I9" s="333">
        <f t="shared" si="4"/>
        <v>16812.068860047224</v>
      </c>
      <c r="J9" s="443">
        <v>16823.104713489789</v>
      </c>
      <c r="K9" s="791">
        <f t="shared" si="5"/>
        <v>395481.43398802093</v>
      </c>
      <c r="L9" s="792">
        <f t="shared" si="5"/>
        <v>386013.68604714214</v>
      </c>
      <c r="M9" s="792">
        <f t="shared" si="5"/>
        <v>382958.30177482724</v>
      </c>
      <c r="N9" s="792">
        <f t="shared" si="5"/>
        <v>379902.91750251234</v>
      </c>
      <c r="O9" s="792">
        <f t="shared" si="5"/>
        <v>380663.70247783005</v>
      </c>
      <c r="P9" s="792">
        <f t="shared" si="5"/>
        <v>381424.48745314771</v>
      </c>
      <c r="Q9" s="792">
        <f t="shared" si="5"/>
        <v>381675.02828246955</v>
      </c>
      <c r="R9" s="793">
        <f t="shared" si="5"/>
        <v>381925.56911179138</v>
      </c>
      <c r="S9" s="331">
        <f t="shared" si="6"/>
        <v>1.2348658523958762</v>
      </c>
      <c r="T9" s="331">
        <f t="shared" si="6"/>
        <v>1.1130865260684899</v>
      </c>
      <c r="U9" s="331">
        <f t="shared" si="6"/>
        <v>1.08578592058005</v>
      </c>
      <c r="V9" s="331">
        <f t="shared" si="6"/>
        <v>1.0593845150416537</v>
      </c>
      <c r="W9" s="331">
        <f t="shared" si="6"/>
        <v>1.050000251580308</v>
      </c>
      <c r="X9" s="331">
        <f t="shared" si="6"/>
        <v>1.040817240542383</v>
      </c>
      <c r="Y9" s="331">
        <f t="shared" si="6"/>
        <v>1.0350305116788574</v>
      </c>
      <c r="Z9" s="331">
        <f t="shared" si="6"/>
        <v>1.029315239780948</v>
      </c>
      <c r="AA9" s="423"/>
      <c r="AB9" s="460" t="s">
        <v>689</v>
      </c>
      <c r="AC9" s="440">
        <v>1.7693016047311396</v>
      </c>
      <c r="AD9" s="440">
        <v>1.4910156121909575</v>
      </c>
      <c r="AE9" s="440">
        <v>1.3037709765268612</v>
      </c>
      <c r="AF9" s="440">
        <v>1.1983619127235638</v>
      </c>
      <c r="AG9" s="440">
        <v>1.0928745831009152</v>
      </c>
      <c r="AI9" s="323">
        <v>1</v>
      </c>
      <c r="AJ9" s="323">
        <v>1</v>
      </c>
      <c r="AK9" s="323">
        <v>1</v>
      </c>
      <c r="AL9" s="323">
        <v>1</v>
      </c>
      <c r="AM9" s="323">
        <v>1</v>
      </c>
      <c r="AO9" s="505">
        <f t="shared" si="7"/>
        <v>1.7693016047311396</v>
      </c>
      <c r="AP9" s="505">
        <f t="shared" si="7"/>
        <v>1.4910156121909575</v>
      </c>
      <c r="AQ9" s="505">
        <f t="shared" si="7"/>
        <v>1.3037709765268612</v>
      </c>
      <c r="AR9" s="505">
        <f t="shared" si="7"/>
        <v>1.1983619127235638</v>
      </c>
      <c r="AS9" s="505">
        <f t="shared" si="7"/>
        <v>1.0928745831009152</v>
      </c>
    </row>
    <row r="10" spans="1:52" ht="15" x14ac:dyDescent="0.2">
      <c r="A10" s="323" t="str">
        <f t="shared" si="8"/>
        <v>Passenger Car</v>
      </c>
      <c r="B10" s="256" t="s">
        <v>691</v>
      </c>
      <c r="C10" s="443">
        <v>23176.881694276577</v>
      </c>
      <c r="D10" s="443">
        <v>18823.240682720389</v>
      </c>
      <c r="E10" s="333">
        <f t="shared" si="2"/>
        <v>18240.04659780518</v>
      </c>
      <c r="F10" s="443">
        <v>17656.852512889975</v>
      </c>
      <c r="G10" s="333">
        <f t="shared" si="3"/>
        <v>17598.439259906336</v>
      </c>
      <c r="H10" s="443">
        <v>17540.026006922693</v>
      </c>
      <c r="I10" s="333">
        <f t="shared" si="4"/>
        <v>17472.460047069755</v>
      </c>
      <c r="J10" s="443">
        <v>17404.89408721682</v>
      </c>
      <c r="K10" s="791">
        <f t="shared" si="5"/>
        <v>526171.82631130482</v>
      </c>
      <c r="L10" s="792">
        <f t="shared" si="5"/>
        <v>427333.54114544444</v>
      </c>
      <c r="M10" s="792">
        <f t="shared" si="5"/>
        <v>414093.61090799741</v>
      </c>
      <c r="N10" s="792">
        <f t="shared" si="5"/>
        <v>400853.68067055038</v>
      </c>
      <c r="O10" s="792">
        <f t="shared" si="5"/>
        <v>399527.55714761006</v>
      </c>
      <c r="P10" s="792">
        <f t="shared" si="5"/>
        <v>398201.43362466968</v>
      </c>
      <c r="Q10" s="792">
        <f t="shared" si="5"/>
        <v>396667.52129939443</v>
      </c>
      <c r="R10" s="793">
        <f t="shared" si="5"/>
        <v>395133.6089741193</v>
      </c>
      <c r="S10" s="331">
        <f t="shared" si="6"/>
        <v>1.6429383656586143</v>
      </c>
      <c r="T10" s="331">
        <f t="shared" si="6"/>
        <v>1.2322340475980915</v>
      </c>
      <c r="U10" s="331">
        <f t="shared" si="6"/>
        <v>1.1740625818589094</v>
      </c>
      <c r="V10" s="331">
        <f t="shared" si="6"/>
        <v>1.1178071094887672</v>
      </c>
      <c r="W10" s="331">
        <f t="shared" si="6"/>
        <v>1.1020331930457394</v>
      </c>
      <c r="X10" s="331">
        <f t="shared" si="6"/>
        <v>1.0865975598280357</v>
      </c>
      <c r="Y10" s="331">
        <f t="shared" si="6"/>
        <v>1.0756873180423199</v>
      </c>
      <c r="Z10" s="331">
        <f t="shared" si="6"/>
        <v>1.0649118005180191</v>
      </c>
      <c r="AA10" s="423"/>
      <c r="AB10" s="460" t="s">
        <v>691</v>
      </c>
      <c r="AC10" s="440">
        <v>1.6844344849453972</v>
      </c>
      <c r="AD10" s="440">
        <v>1.2673506147472593</v>
      </c>
      <c r="AE10" s="440">
        <v>1.1322926068149861</v>
      </c>
      <c r="AF10" s="440">
        <v>1.0607504057135009</v>
      </c>
      <c r="AG10" s="440">
        <v>1.0016049035183423</v>
      </c>
      <c r="AI10" s="323">
        <v>1</v>
      </c>
      <c r="AJ10" s="323">
        <v>1</v>
      </c>
      <c r="AK10" s="323">
        <v>1</v>
      </c>
      <c r="AL10" s="323">
        <v>1</v>
      </c>
      <c r="AM10" s="323">
        <v>1</v>
      </c>
      <c r="AO10" s="505">
        <f t="shared" si="7"/>
        <v>1.6844344849453972</v>
      </c>
      <c r="AP10" s="505">
        <f t="shared" si="7"/>
        <v>1.2673506147472593</v>
      </c>
      <c r="AQ10" s="505">
        <f t="shared" si="7"/>
        <v>1.1322926068149861</v>
      </c>
      <c r="AR10" s="505">
        <f t="shared" si="7"/>
        <v>1.0607504057135009</v>
      </c>
      <c r="AS10" s="505">
        <f t="shared" si="7"/>
        <v>1.0016049035183423</v>
      </c>
    </row>
    <row r="11" spans="1:52" ht="15" x14ac:dyDescent="0.2">
      <c r="A11" s="323" t="str">
        <f t="shared" si="8"/>
        <v>Passenger Car</v>
      </c>
      <c r="B11" s="256" t="s">
        <v>695</v>
      </c>
      <c r="C11" s="443">
        <v>23452.467720770474</v>
      </c>
      <c r="D11" s="443">
        <v>19382.471684119144</v>
      </c>
      <c r="E11" s="333">
        <f t="shared" si="2"/>
        <v>18793.577383354896</v>
      </c>
      <c r="F11" s="443">
        <v>18204.683082590647</v>
      </c>
      <c r="G11" s="333">
        <f t="shared" si="3"/>
        <v>18154.513187167337</v>
      </c>
      <c r="H11" s="443">
        <v>18104.343291744026</v>
      </c>
      <c r="I11" s="333">
        <f t="shared" si="4"/>
        <v>18039.200862842445</v>
      </c>
      <c r="J11" s="443">
        <v>17974.05843394086</v>
      </c>
      <c r="K11" s="791">
        <f t="shared" si="5"/>
        <v>532428.30225914449</v>
      </c>
      <c r="L11" s="792">
        <f t="shared" si="5"/>
        <v>440029.45085484016</v>
      </c>
      <c r="M11" s="792">
        <f t="shared" si="5"/>
        <v>426660.11179427273</v>
      </c>
      <c r="N11" s="792">
        <f t="shared" si="5"/>
        <v>413290.77273370523</v>
      </c>
      <c r="O11" s="792">
        <f t="shared" si="5"/>
        <v>412151.79356260953</v>
      </c>
      <c r="P11" s="792">
        <f t="shared" si="5"/>
        <v>411012.81439151382</v>
      </c>
      <c r="Q11" s="792">
        <f t="shared" si="5"/>
        <v>409533.92213855108</v>
      </c>
      <c r="R11" s="793">
        <f t="shared" si="5"/>
        <v>408055.02988558827</v>
      </c>
      <c r="S11" s="331">
        <f t="shared" si="6"/>
        <v>1.6624738174911204</v>
      </c>
      <c r="T11" s="331">
        <f t="shared" si="6"/>
        <v>1.2688432315325302</v>
      </c>
      <c r="U11" s="331">
        <f t="shared" si="6"/>
        <v>1.2096918649167219</v>
      </c>
      <c r="V11" s="331">
        <f t="shared" si="6"/>
        <v>1.1524887666617909</v>
      </c>
      <c r="W11" s="331">
        <f t="shared" si="6"/>
        <v>1.136855140411553</v>
      </c>
      <c r="X11" s="331">
        <f t="shared" si="6"/>
        <v>1.1215567887604005</v>
      </c>
      <c r="Y11" s="331">
        <f t="shared" si="6"/>
        <v>1.1105785644095354</v>
      </c>
      <c r="Z11" s="331">
        <f t="shared" si="6"/>
        <v>1.0997359037974364</v>
      </c>
      <c r="AA11" s="423"/>
      <c r="AB11" s="460" t="s">
        <v>695</v>
      </c>
      <c r="AC11" s="440">
        <v>1.4414185748830934</v>
      </c>
      <c r="AD11" s="440">
        <v>1.1518364154031082</v>
      </c>
      <c r="AE11" s="440">
        <v>1.0479227946099969</v>
      </c>
      <c r="AF11" s="440">
        <v>0.98974342351285993</v>
      </c>
      <c r="AG11" s="440">
        <v>0.93761813544156292</v>
      </c>
      <c r="AI11" s="323">
        <v>1</v>
      </c>
      <c r="AJ11" s="323">
        <v>1</v>
      </c>
      <c r="AK11" s="323">
        <v>1</v>
      </c>
      <c r="AL11" s="323">
        <v>1</v>
      </c>
      <c r="AM11" s="323">
        <v>1</v>
      </c>
      <c r="AO11" s="505">
        <f t="shared" si="7"/>
        <v>1.4414185748830934</v>
      </c>
      <c r="AP11" s="505">
        <f t="shared" si="7"/>
        <v>1.1518364154031082</v>
      </c>
      <c r="AQ11" s="505">
        <f t="shared" si="7"/>
        <v>1.0479227946099969</v>
      </c>
      <c r="AR11" s="505">
        <f t="shared" si="7"/>
        <v>0.98974342351285993</v>
      </c>
      <c r="AS11" s="505">
        <f t="shared" si="7"/>
        <v>0.93761813544156292</v>
      </c>
    </row>
    <row r="12" spans="1:52" ht="15" x14ac:dyDescent="0.2">
      <c r="A12" s="323" t="str">
        <f t="shared" si="8"/>
        <v>Passenger Car</v>
      </c>
      <c r="B12" s="256" t="s">
        <v>839</v>
      </c>
      <c r="C12" s="443">
        <v>31135.574319875104</v>
      </c>
      <c r="D12" s="443">
        <v>21491.889649646371</v>
      </c>
      <c r="E12" s="333">
        <f t="shared" si="2"/>
        <v>20246.248469511957</v>
      </c>
      <c r="F12" s="443">
        <v>19000.607289377545</v>
      </c>
      <c r="G12" s="333">
        <f t="shared" si="3"/>
        <v>18857.85531344945</v>
      </c>
      <c r="H12" s="443">
        <v>18715.103337521359</v>
      </c>
      <c r="I12" s="333">
        <f t="shared" si="4"/>
        <v>18570.757666643898</v>
      </c>
      <c r="J12" s="443">
        <v>18426.411995766433</v>
      </c>
      <c r="K12" s="791">
        <f t="shared" si="5"/>
        <v>706853.58881499863</v>
      </c>
      <c r="L12" s="792">
        <f t="shared" si="5"/>
        <v>487918.3911366309</v>
      </c>
      <c r="M12" s="792">
        <f t="shared" si="5"/>
        <v>459639.29374443309</v>
      </c>
      <c r="N12" s="792">
        <f t="shared" si="5"/>
        <v>431360.19635223533</v>
      </c>
      <c r="O12" s="792">
        <f t="shared" si="5"/>
        <v>428119.37781269115</v>
      </c>
      <c r="P12" s="792">
        <f t="shared" si="5"/>
        <v>424878.55927314708</v>
      </c>
      <c r="Q12" s="792">
        <f t="shared" si="5"/>
        <v>421601.55996549304</v>
      </c>
      <c r="R12" s="793">
        <f t="shared" si="5"/>
        <v>418324.56065783888</v>
      </c>
      <c r="S12" s="331">
        <f t="shared" si="6"/>
        <v>2.2071057816017641</v>
      </c>
      <c r="T12" s="331">
        <f t="shared" si="6"/>
        <v>1.406932983533836</v>
      </c>
      <c r="U12" s="331">
        <f t="shared" si="6"/>
        <v>1.3031963829485218</v>
      </c>
      <c r="V12" s="331">
        <f t="shared" si="6"/>
        <v>1.2028765544235738</v>
      </c>
      <c r="W12" s="331">
        <f t="shared" si="6"/>
        <v>1.1808991807825731</v>
      </c>
      <c r="X12" s="331">
        <f t="shared" si="6"/>
        <v>1.1593931280634426</v>
      </c>
      <c r="Y12" s="331">
        <f t="shared" si="6"/>
        <v>1.1433037165133588</v>
      </c>
      <c r="Z12" s="331">
        <f t="shared" si="6"/>
        <v>1.1274129837946201</v>
      </c>
      <c r="AA12" s="423"/>
      <c r="AB12" s="460" t="s">
        <v>839</v>
      </c>
      <c r="AC12" s="440">
        <v>1.2434190944946621</v>
      </c>
      <c r="AD12" s="440">
        <v>1.055894846672224</v>
      </c>
      <c r="AE12" s="440">
        <v>0.94796987980160197</v>
      </c>
      <c r="AF12" s="440">
        <v>0.89041135121688042</v>
      </c>
      <c r="AG12" s="440">
        <v>0.8407508847914158</v>
      </c>
      <c r="AI12" s="323">
        <v>1</v>
      </c>
      <c r="AJ12" s="323">
        <v>1</v>
      </c>
      <c r="AK12" s="323">
        <v>1</v>
      </c>
      <c r="AL12" s="323">
        <v>1</v>
      </c>
      <c r="AM12" s="323">
        <v>1</v>
      </c>
      <c r="AO12" s="505">
        <f t="shared" si="7"/>
        <v>1.2434190944946621</v>
      </c>
      <c r="AP12" s="505">
        <f t="shared" si="7"/>
        <v>1.055894846672224</v>
      </c>
      <c r="AQ12" s="505">
        <f t="shared" si="7"/>
        <v>0.94796987980160197</v>
      </c>
      <c r="AR12" s="505">
        <f t="shared" si="7"/>
        <v>0.89041135121688042</v>
      </c>
      <c r="AS12" s="505">
        <f t="shared" si="7"/>
        <v>0.8407508847914158</v>
      </c>
    </row>
    <row r="13" spans="1:52" ht="15" x14ac:dyDescent="0.2">
      <c r="A13" s="323" t="str">
        <f t="shared" si="8"/>
        <v>Passenger Car</v>
      </c>
      <c r="B13" s="256" t="s">
        <v>838</v>
      </c>
      <c r="C13" s="443">
        <v>31141.577543455245</v>
      </c>
      <c r="D13" s="443">
        <v>21830.633745403298</v>
      </c>
      <c r="E13" s="333">
        <f t="shared" si="2"/>
        <v>20589.223468523433</v>
      </c>
      <c r="F13" s="443">
        <v>19347.813191643567</v>
      </c>
      <c r="G13" s="333">
        <f t="shared" si="3"/>
        <v>19213.304573275804</v>
      </c>
      <c r="H13" s="443">
        <v>19078.795954908041</v>
      </c>
      <c r="I13" s="333">
        <f t="shared" si="4"/>
        <v>18936.873814981929</v>
      </c>
      <c r="J13" s="443">
        <v>18794.951675055818</v>
      </c>
      <c r="K13" s="791">
        <f t="shared" si="5"/>
        <v>706989.87665374181</v>
      </c>
      <c r="L13" s="792">
        <f t="shared" si="5"/>
        <v>495608.70952664141</v>
      </c>
      <c r="M13" s="792">
        <f t="shared" si="5"/>
        <v>467425.66397272615</v>
      </c>
      <c r="N13" s="792">
        <f t="shared" si="5"/>
        <v>439242.61841881095</v>
      </c>
      <c r="O13" s="792">
        <f t="shared" si="5"/>
        <v>436188.94423111144</v>
      </c>
      <c r="P13" s="792">
        <f t="shared" si="5"/>
        <v>433135.27004341205</v>
      </c>
      <c r="Q13" s="792">
        <f t="shared" si="5"/>
        <v>429913.29080807028</v>
      </c>
      <c r="R13" s="793">
        <f t="shared" si="5"/>
        <v>426691.31157272856</v>
      </c>
      <c r="S13" s="331">
        <f t="shared" si="6"/>
        <v>2.2075313317886938</v>
      </c>
      <c r="T13" s="331">
        <f t="shared" si="6"/>
        <v>1.4291083366119961</v>
      </c>
      <c r="U13" s="331">
        <f t="shared" si="6"/>
        <v>1.3252727581755961</v>
      </c>
      <c r="V13" s="331">
        <f t="shared" si="6"/>
        <v>1.2248572118327066</v>
      </c>
      <c r="W13" s="331">
        <f t="shared" si="6"/>
        <v>1.2031577957078528</v>
      </c>
      <c r="X13" s="331">
        <f t="shared" si="6"/>
        <v>1.1819237395017534</v>
      </c>
      <c r="Y13" s="331">
        <f t="shared" si="6"/>
        <v>1.1658435590218994</v>
      </c>
      <c r="Z13" s="331">
        <f t="shared" si="6"/>
        <v>1.1499619433842472</v>
      </c>
      <c r="AA13" s="423"/>
      <c r="AB13" s="460" t="s">
        <v>838</v>
      </c>
      <c r="AC13" s="440">
        <v>1.108618622175594</v>
      </c>
      <c r="AD13" s="440">
        <v>0.97907828585860557</v>
      </c>
      <c r="AE13" s="440">
        <v>0.89250158441628213</v>
      </c>
      <c r="AF13" s="440">
        <v>0.84434006239661141</v>
      </c>
      <c r="AG13" s="440">
        <v>0.79982197855278259</v>
      </c>
      <c r="AI13" s="323">
        <v>1</v>
      </c>
      <c r="AJ13" s="323">
        <v>1</v>
      </c>
      <c r="AK13" s="323">
        <v>1</v>
      </c>
      <c r="AL13" s="323">
        <v>1</v>
      </c>
      <c r="AM13" s="323">
        <v>1</v>
      </c>
      <c r="AO13" s="505">
        <f t="shared" si="7"/>
        <v>1.108618622175594</v>
      </c>
      <c r="AP13" s="505">
        <f t="shared" si="7"/>
        <v>0.97907828585860557</v>
      </c>
      <c r="AQ13" s="505">
        <f t="shared" si="7"/>
        <v>0.89250158441628213</v>
      </c>
      <c r="AR13" s="505">
        <f t="shared" si="7"/>
        <v>0.84434006239661141</v>
      </c>
      <c r="AS13" s="505">
        <f t="shared" si="7"/>
        <v>0.79982197855278259</v>
      </c>
    </row>
    <row r="14" spans="1:52" ht="15" x14ac:dyDescent="0.2">
      <c r="A14" s="323" t="str">
        <f t="shared" si="8"/>
        <v>Passenger Car</v>
      </c>
      <c r="B14" s="256" t="s">
        <v>692</v>
      </c>
      <c r="C14" s="443">
        <v>36238.596721333321</v>
      </c>
      <c r="D14" s="443">
        <v>24603.016767630226</v>
      </c>
      <c r="E14" s="333">
        <f t="shared" si="2"/>
        <v>22488.275595526189</v>
      </c>
      <c r="F14" s="443">
        <v>20373.534423422148</v>
      </c>
      <c r="G14" s="333">
        <f t="shared" si="3"/>
        <v>20510.719449844073</v>
      </c>
      <c r="H14" s="443">
        <v>20647.904476265994</v>
      </c>
      <c r="I14" s="333">
        <f t="shared" si="4"/>
        <v>20718.076570145662</v>
      </c>
      <c r="J14" s="443">
        <v>20788.248664025326</v>
      </c>
      <c r="K14" s="791">
        <f t="shared" si="5"/>
        <v>822704.66197061795</v>
      </c>
      <c r="L14" s="792">
        <f t="shared" si="5"/>
        <v>558548.57595396275</v>
      </c>
      <c r="M14" s="792">
        <f t="shared" si="5"/>
        <v>510538.78588041413</v>
      </c>
      <c r="N14" s="792">
        <f t="shared" si="5"/>
        <v>462528.99580686545</v>
      </c>
      <c r="O14" s="792">
        <f t="shared" si="5"/>
        <v>465643.43099478865</v>
      </c>
      <c r="P14" s="792">
        <f t="shared" si="5"/>
        <v>468757.86618271179</v>
      </c>
      <c r="Q14" s="792">
        <f t="shared" si="5"/>
        <v>470350.94411613682</v>
      </c>
      <c r="R14" s="793">
        <f t="shared" si="5"/>
        <v>471944.02204956167</v>
      </c>
      <c r="S14" s="331">
        <f t="shared" si="6"/>
        <v>2.5688434560120985</v>
      </c>
      <c r="T14" s="331">
        <f t="shared" si="6"/>
        <v>1.6105980604355346</v>
      </c>
      <c r="U14" s="331">
        <f t="shared" si="6"/>
        <v>1.4475096193238455</v>
      </c>
      <c r="V14" s="331">
        <f t="shared" si="6"/>
        <v>1.2897928216419099</v>
      </c>
      <c r="W14" s="331">
        <f t="shared" si="6"/>
        <v>1.2844033106091091</v>
      </c>
      <c r="X14" s="331">
        <f t="shared" si="6"/>
        <v>1.2791293815994336</v>
      </c>
      <c r="Y14" s="331">
        <f t="shared" si="6"/>
        <v>1.2755028290634409</v>
      </c>
      <c r="Z14" s="331">
        <f t="shared" si="6"/>
        <v>1.2719210587258161</v>
      </c>
      <c r="AA14" s="423"/>
      <c r="AB14" s="460" t="s">
        <v>692</v>
      </c>
      <c r="AC14" s="440">
        <v>0.693962607442839</v>
      </c>
      <c r="AD14" s="440">
        <v>0.62851040218398957</v>
      </c>
      <c r="AE14" s="440">
        <v>0.57642485729714654</v>
      </c>
      <c r="AF14" s="440">
        <v>0.54803234670758638</v>
      </c>
      <c r="AG14" s="440">
        <v>0.51817442685442938</v>
      </c>
      <c r="AI14" s="507">
        <v>0.85</v>
      </c>
      <c r="AJ14" s="507">
        <f>IF(AI14&lt;AI14,1.05*AI14, AI14)</f>
        <v>0.85</v>
      </c>
      <c r="AK14" s="507">
        <f>IF(AJ14&lt;AJ14,1.05*AJ14, AJ14)</f>
        <v>0.85</v>
      </c>
      <c r="AL14" s="507">
        <f>IF(AK14&lt;AK14,1.05*AK14, AK14)</f>
        <v>0.85</v>
      </c>
      <c r="AM14" s="507">
        <f>IF(AL14&lt;AL14,1.05*AL14, AL14)</f>
        <v>0.85</v>
      </c>
      <c r="AN14" s="507"/>
      <c r="AO14" s="505">
        <f t="shared" si="7"/>
        <v>0.81642659699157527</v>
      </c>
      <c r="AP14" s="505">
        <f t="shared" si="7"/>
        <v>0.73942400256939955</v>
      </c>
      <c r="AQ14" s="505">
        <f t="shared" si="7"/>
        <v>0.67814689093781944</v>
      </c>
      <c r="AR14" s="505">
        <f t="shared" si="7"/>
        <v>0.6447439373030428</v>
      </c>
      <c r="AS14" s="505">
        <f t="shared" si="7"/>
        <v>0.60961697276991689</v>
      </c>
      <c r="AZ14" s="323">
        <f>AT14/3.6</f>
        <v>0</v>
      </c>
    </row>
    <row r="15" spans="1:52" ht="15" x14ac:dyDescent="0.2">
      <c r="A15" s="323" t="str">
        <f t="shared" si="8"/>
        <v>Passenger Car</v>
      </c>
      <c r="B15" s="256" t="s">
        <v>699</v>
      </c>
      <c r="C15" s="443">
        <v>109423.28315660442</v>
      </c>
      <c r="D15" s="443">
        <v>43260.223985533885</v>
      </c>
      <c r="E15" s="333">
        <f t="shared" si="2"/>
        <v>33001.908734154415</v>
      </c>
      <c r="F15" s="443">
        <v>22743.593482774941</v>
      </c>
      <c r="G15" s="333">
        <f t="shared" si="3"/>
        <v>21527.047547408263</v>
      </c>
      <c r="H15" s="443">
        <v>20310.501612041586</v>
      </c>
      <c r="I15" s="333">
        <f t="shared" si="4"/>
        <v>20002.874670378667</v>
      </c>
      <c r="J15" s="443">
        <v>19695.247728715745</v>
      </c>
      <c r="K15" s="791">
        <f t="shared" si="5"/>
        <v>2484175.8049663589</v>
      </c>
      <c r="L15" s="792">
        <f t="shared" si="5"/>
        <v>982112.7518947263</v>
      </c>
      <c r="M15" s="792">
        <f t="shared" si="5"/>
        <v>749223.93872757931</v>
      </c>
      <c r="N15" s="792">
        <f t="shared" si="5"/>
        <v>516335.12556043221</v>
      </c>
      <c r="O15" s="792">
        <f t="shared" si="5"/>
        <v>488716.56129250687</v>
      </c>
      <c r="P15" s="792">
        <f t="shared" si="5"/>
        <v>461097.99702458159</v>
      </c>
      <c r="Q15" s="792">
        <f t="shared" si="5"/>
        <v>454114.11403926561</v>
      </c>
      <c r="R15" s="793">
        <f t="shared" si="5"/>
        <v>447130.23105394962</v>
      </c>
      <c r="S15" s="331">
        <f t="shared" si="6"/>
        <v>7.7566823857372587</v>
      </c>
      <c r="T15" s="331">
        <f t="shared" si="6"/>
        <v>2.8319629866194975</v>
      </c>
      <c r="U15" s="331">
        <f t="shared" si="6"/>
        <v>2.1242438152189673</v>
      </c>
      <c r="V15" s="331">
        <f t="shared" si="6"/>
        <v>1.4398347877578286</v>
      </c>
      <c r="W15" s="331">
        <f t="shared" si="6"/>
        <v>1.3480468691087808</v>
      </c>
      <c r="X15" s="331">
        <f t="shared" si="6"/>
        <v>1.2582274098007296</v>
      </c>
      <c r="Y15" s="331">
        <f t="shared" si="6"/>
        <v>1.2314716158658376</v>
      </c>
      <c r="Z15" s="331">
        <f t="shared" si="6"/>
        <v>1.2050462137451001</v>
      </c>
      <c r="AA15" s="423"/>
      <c r="AB15" s="460" t="s">
        <v>699</v>
      </c>
      <c r="AC15" s="440">
        <v>1.0752270792303171</v>
      </c>
      <c r="AD15" s="440">
        <v>0.94154852321991489</v>
      </c>
      <c r="AE15" s="440">
        <v>0.83643614753341577</v>
      </c>
      <c r="AF15" s="440">
        <v>0.77157920697300109</v>
      </c>
      <c r="AG15" s="440">
        <v>0.70892116582680575</v>
      </c>
      <c r="AI15" s="323">
        <v>1</v>
      </c>
      <c r="AJ15" s="323">
        <v>1</v>
      </c>
      <c r="AK15" s="323">
        <v>1</v>
      </c>
      <c r="AL15" s="323">
        <v>1</v>
      </c>
      <c r="AM15" s="323">
        <v>1</v>
      </c>
      <c r="AO15" s="505">
        <f t="shared" si="7"/>
        <v>1.0752270792303171</v>
      </c>
      <c r="AP15" s="505">
        <f t="shared" si="7"/>
        <v>0.94154852321991489</v>
      </c>
      <c r="AQ15" s="505">
        <f t="shared" si="7"/>
        <v>0.83643614753341577</v>
      </c>
      <c r="AR15" s="505">
        <f t="shared" si="7"/>
        <v>0.77157920697300109</v>
      </c>
      <c r="AS15" s="505">
        <f t="shared" si="7"/>
        <v>0.70892116582680575</v>
      </c>
    </row>
    <row r="16" spans="1:52" ht="15" x14ac:dyDescent="0.2">
      <c r="A16" s="323" t="str">
        <f t="shared" si="8"/>
        <v>Passenger Car</v>
      </c>
      <c r="B16" s="256" t="s">
        <v>837</v>
      </c>
      <c r="C16" s="443">
        <v>115917.70270848065</v>
      </c>
      <c r="D16" s="443">
        <v>45841.573831101516</v>
      </c>
      <c r="E16" s="333">
        <f t="shared" si="2"/>
        <v>35130.349165506661</v>
      </c>
      <c r="F16" s="443">
        <v>24419.124499911803</v>
      </c>
      <c r="G16" s="333">
        <f t="shared" si="3"/>
        <v>23128.463470221446</v>
      </c>
      <c r="H16" s="443">
        <v>21837.802440531086</v>
      </c>
      <c r="I16" s="333">
        <f t="shared" si="4"/>
        <v>21462.302197246976</v>
      </c>
      <c r="J16" s="443">
        <v>21086.801953962866</v>
      </c>
      <c r="K16" s="791">
        <f t="shared" si="5"/>
        <v>2631614.9920631466</v>
      </c>
      <c r="L16" s="792">
        <f t="shared" si="5"/>
        <v>1040715.6985942443</v>
      </c>
      <c r="M16" s="792">
        <f t="shared" si="5"/>
        <v>797544.7354478729</v>
      </c>
      <c r="N16" s="792">
        <f t="shared" si="5"/>
        <v>554373.77230150148</v>
      </c>
      <c r="O16" s="792">
        <f t="shared" si="5"/>
        <v>525072.61435889918</v>
      </c>
      <c r="P16" s="792">
        <f t="shared" si="5"/>
        <v>495771.45641629689</v>
      </c>
      <c r="Q16" s="792">
        <f t="shared" si="5"/>
        <v>487246.68369685335</v>
      </c>
      <c r="R16" s="793">
        <f t="shared" si="5"/>
        <v>478721.91097740986</v>
      </c>
      <c r="S16" s="331">
        <f t="shared" si="6"/>
        <v>8.2170519550868644</v>
      </c>
      <c r="T16" s="331">
        <f t="shared" si="6"/>
        <v>3.0009470219450662</v>
      </c>
      <c r="U16" s="331">
        <f t="shared" si="6"/>
        <v>2.2612457825531411</v>
      </c>
      <c r="V16" s="331">
        <f t="shared" si="6"/>
        <v>1.5459080803651746</v>
      </c>
      <c r="W16" s="331">
        <f t="shared" si="6"/>
        <v>1.4483292564698458</v>
      </c>
      <c r="X16" s="331">
        <f t="shared" si="6"/>
        <v>1.3528430821324031</v>
      </c>
      <c r="Y16" s="331">
        <f t="shared" si="6"/>
        <v>1.3213208802524739</v>
      </c>
      <c r="Z16" s="331">
        <f t="shared" si="6"/>
        <v>1.2901879277998125</v>
      </c>
      <c r="AA16" s="423"/>
      <c r="AB16" s="460" t="s">
        <v>837</v>
      </c>
      <c r="AC16" s="440">
        <v>0.95703509297619893</v>
      </c>
      <c r="AD16" s="440">
        <v>0.80694213117446689</v>
      </c>
      <c r="AE16" s="440">
        <v>0.72463129273182003</v>
      </c>
      <c r="AF16" s="440">
        <v>0.67545405705887274</v>
      </c>
      <c r="AG16" s="440">
        <v>0.62690006806868404</v>
      </c>
      <c r="AI16" s="323">
        <v>1</v>
      </c>
      <c r="AJ16" s="323">
        <v>1</v>
      </c>
      <c r="AK16" s="323">
        <v>1</v>
      </c>
      <c r="AL16" s="323">
        <v>1</v>
      </c>
      <c r="AM16" s="323">
        <v>1</v>
      </c>
      <c r="AO16" s="505">
        <f t="shared" si="7"/>
        <v>0.95703509297619893</v>
      </c>
      <c r="AP16" s="505">
        <f t="shared" si="7"/>
        <v>0.80694213117446689</v>
      </c>
      <c r="AQ16" s="505">
        <f t="shared" si="7"/>
        <v>0.72463129273182003</v>
      </c>
      <c r="AR16" s="505">
        <f t="shared" si="7"/>
        <v>0.67545405705887274</v>
      </c>
      <c r="AS16" s="505">
        <f t="shared" si="7"/>
        <v>0.62690006806868404</v>
      </c>
    </row>
    <row r="17" spans="1:45" ht="15" x14ac:dyDescent="0.2">
      <c r="A17" s="323" t="str">
        <f t="shared" si="8"/>
        <v>Passenger Car</v>
      </c>
      <c r="B17" s="256" t="s">
        <v>836</v>
      </c>
      <c r="C17" s="443">
        <v>79866.089220154739</v>
      </c>
      <c r="D17" s="443">
        <v>35149.373433179157</v>
      </c>
      <c r="E17" s="333">
        <f t="shared" si="2"/>
        <v>28598.582562298718</v>
      </c>
      <c r="F17" s="443">
        <v>22047.791691418275</v>
      </c>
      <c r="G17" s="333">
        <f t="shared" si="3"/>
        <v>21255.791938783463</v>
      </c>
      <c r="H17" s="443">
        <v>20463.792186148654</v>
      </c>
      <c r="I17" s="333">
        <f t="shared" si="4"/>
        <v>20144.012231840017</v>
      </c>
      <c r="J17" s="443">
        <v>19824.232277531381</v>
      </c>
      <c r="K17" s="791">
        <f t="shared" si="5"/>
        <v>1813155.306207042</v>
      </c>
      <c r="L17" s="792">
        <f t="shared" si="5"/>
        <v>797976.63279271475</v>
      </c>
      <c r="M17" s="792">
        <f t="shared" si="5"/>
        <v>649257.67906194751</v>
      </c>
      <c r="N17" s="792">
        <f t="shared" si="5"/>
        <v>500538.72533118032</v>
      </c>
      <c r="O17" s="792">
        <f t="shared" si="5"/>
        <v>482558.39640777424</v>
      </c>
      <c r="P17" s="792">
        <f t="shared" si="5"/>
        <v>464578.0674843684</v>
      </c>
      <c r="Q17" s="792">
        <f t="shared" si="5"/>
        <v>457318.28142704588</v>
      </c>
      <c r="R17" s="793">
        <f t="shared" si="5"/>
        <v>450058.49536972342</v>
      </c>
      <c r="S17" s="331">
        <f t="shared" si="6"/>
        <v>5.6614631694525608</v>
      </c>
      <c r="T17" s="331">
        <f t="shared" si="6"/>
        <v>2.3009988251312934</v>
      </c>
      <c r="U17" s="331">
        <f t="shared" si="6"/>
        <v>1.8408135911581427</v>
      </c>
      <c r="V17" s="331">
        <f t="shared" si="6"/>
        <v>1.3957854766699263</v>
      </c>
      <c r="W17" s="331">
        <f t="shared" si="6"/>
        <v>1.3310605511694735</v>
      </c>
      <c r="X17" s="331">
        <f t="shared" si="6"/>
        <v>1.2677236992420131</v>
      </c>
      <c r="Y17" s="331">
        <f t="shared" si="6"/>
        <v>1.2401607119950833</v>
      </c>
      <c r="Z17" s="331">
        <f t="shared" si="6"/>
        <v>1.2129380841253483</v>
      </c>
      <c r="AA17" s="423"/>
      <c r="AB17" s="460" t="s">
        <v>836</v>
      </c>
      <c r="AC17" s="440">
        <v>0.83884310672208084</v>
      </c>
      <c r="AD17" s="440">
        <v>0.74746488817764112</v>
      </c>
      <c r="AE17" s="440">
        <v>0.67522914758692887</v>
      </c>
      <c r="AF17" s="440">
        <v>0.63298015360844395</v>
      </c>
      <c r="AG17" s="440">
        <v>0.59065818766393241</v>
      </c>
      <c r="AI17" s="323">
        <v>1</v>
      </c>
      <c r="AJ17" s="323">
        <v>1</v>
      </c>
      <c r="AK17" s="323">
        <v>1</v>
      </c>
      <c r="AL17" s="323">
        <v>1</v>
      </c>
      <c r="AM17" s="323">
        <v>1</v>
      </c>
      <c r="AO17" s="505">
        <f t="shared" si="7"/>
        <v>0.83884310672208084</v>
      </c>
      <c r="AP17" s="505">
        <f t="shared" si="7"/>
        <v>0.74746488817764112</v>
      </c>
      <c r="AQ17" s="505">
        <f t="shared" si="7"/>
        <v>0.67522914758692887</v>
      </c>
      <c r="AR17" s="505">
        <f t="shared" si="7"/>
        <v>0.63298015360844395</v>
      </c>
      <c r="AS17" s="505">
        <f t="shared" si="7"/>
        <v>0.59065818766393241</v>
      </c>
    </row>
    <row r="18" spans="1:45" ht="15" x14ac:dyDescent="0.2">
      <c r="A18" s="323" t="str">
        <f t="shared" si="8"/>
        <v>Passenger Car</v>
      </c>
      <c r="B18" s="256" t="s">
        <v>700</v>
      </c>
      <c r="C18" s="469">
        <v>15291.114643469842</v>
      </c>
      <c r="D18" s="469">
        <v>16099.748888614555</v>
      </c>
      <c r="E18" s="333">
        <f t="shared" si="2"/>
        <v>16262.474589540056</v>
      </c>
      <c r="F18" s="469">
        <v>16425.200290465556</v>
      </c>
      <c r="G18" s="333">
        <f t="shared" si="3"/>
        <v>16550.498816352556</v>
      </c>
      <c r="H18" s="469">
        <v>16675.797342239555</v>
      </c>
      <c r="I18" s="333">
        <f t="shared" si="4"/>
        <v>16745.240046908224</v>
      </c>
      <c r="J18" s="469">
        <v>16814.682751576893</v>
      </c>
      <c r="K18" s="791">
        <f t="shared" si="5"/>
        <v>347145.65248339355</v>
      </c>
      <c r="L18" s="792">
        <f t="shared" si="5"/>
        <v>365503.62501818576</v>
      </c>
      <c r="M18" s="792">
        <f t="shared" si="5"/>
        <v>369197.8959029917</v>
      </c>
      <c r="N18" s="792">
        <f t="shared" si="5"/>
        <v>372892.16678779764</v>
      </c>
      <c r="O18" s="792">
        <f t="shared" si="5"/>
        <v>375736.74937961187</v>
      </c>
      <c r="P18" s="792">
        <f t="shared" si="5"/>
        <v>378581.33197142603</v>
      </c>
      <c r="Q18" s="792">
        <f t="shared" si="5"/>
        <v>380157.85098815529</v>
      </c>
      <c r="R18" s="793">
        <f t="shared" si="5"/>
        <v>381734.37000488449</v>
      </c>
      <c r="S18" s="331">
        <f t="shared" si="6"/>
        <v>1.0839404210120596</v>
      </c>
      <c r="T18" s="331">
        <f t="shared" si="6"/>
        <v>1.0539449116507418</v>
      </c>
      <c r="U18" s="331">
        <f t="shared" si="6"/>
        <v>1.046771607826253</v>
      </c>
      <c r="V18" s="331">
        <f t="shared" si="6"/>
        <v>1.0398345710854142</v>
      </c>
      <c r="W18" s="331">
        <f t="shared" si="6"/>
        <v>1.0364100354420756</v>
      </c>
      <c r="X18" s="331">
        <f t="shared" si="6"/>
        <v>1.0330589414812039</v>
      </c>
      <c r="Y18" s="331">
        <f t="shared" si="6"/>
        <v>1.0309162137162475</v>
      </c>
      <c r="Z18" s="331">
        <f t="shared" si="6"/>
        <v>1.0287999452563381</v>
      </c>
      <c r="AA18" s="423"/>
      <c r="AB18" s="460" t="s">
        <v>700</v>
      </c>
      <c r="AC18" s="468">
        <v>2.7731584934931535</v>
      </c>
      <c r="AD18" s="468">
        <v>2.0718600724531742</v>
      </c>
      <c r="AE18" s="468">
        <v>1.6924435330873051</v>
      </c>
      <c r="AF18" s="468">
        <v>1.5062933039675674</v>
      </c>
      <c r="AG18" s="468">
        <v>1.3837225479656539</v>
      </c>
      <c r="AI18" s="323">
        <v>1</v>
      </c>
      <c r="AJ18" s="323">
        <v>1</v>
      </c>
      <c r="AK18" s="323">
        <v>1</v>
      </c>
      <c r="AL18" s="323">
        <v>1</v>
      </c>
      <c r="AM18" s="323">
        <v>1</v>
      </c>
      <c r="AO18" s="505">
        <f t="shared" si="7"/>
        <v>2.7731584934931535</v>
      </c>
      <c r="AP18" s="505">
        <f t="shared" si="7"/>
        <v>2.0718600724531742</v>
      </c>
      <c r="AQ18" s="505">
        <f t="shared" si="7"/>
        <v>1.6924435330873051</v>
      </c>
      <c r="AR18" s="505">
        <f t="shared" si="7"/>
        <v>1.5062933039675674</v>
      </c>
      <c r="AS18" s="505">
        <f t="shared" si="7"/>
        <v>1.3837225479656539</v>
      </c>
    </row>
    <row r="19" spans="1:45" ht="15" x14ac:dyDescent="0.2">
      <c r="A19" s="323" t="str">
        <f t="shared" si="8"/>
        <v>Passenger Car</v>
      </c>
      <c r="B19" s="260"/>
      <c r="C19" s="458"/>
      <c r="D19" s="458"/>
      <c r="E19" s="459"/>
      <c r="F19" s="458"/>
      <c r="G19" s="458"/>
      <c r="H19" s="458"/>
      <c r="I19" s="458"/>
      <c r="J19" s="458"/>
      <c r="K19" s="794"/>
      <c r="L19" s="458"/>
      <c r="M19" s="458"/>
      <c r="N19" s="458"/>
      <c r="O19" s="458"/>
      <c r="P19" s="458"/>
      <c r="Q19" s="458"/>
      <c r="R19" s="795"/>
      <c r="S19" s="331"/>
      <c r="T19" s="331"/>
      <c r="U19" s="331"/>
      <c r="V19" s="331"/>
      <c r="W19" s="331"/>
      <c r="X19" s="331"/>
      <c r="Y19" s="331"/>
      <c r="Z19" s="331"/>
      <c r="AA19" s="423"/>
      <c r="AB19" s="465"/>
      <c r="AC19" s="464"/>
      <c r="AD19" s="464"/>
      <c r="AE19" s="464"/>
      <c r="AF19" s="464"/>
      <c r="AG19" s="464"/>
      <c r="AO19" s="505"/>
      <c r="AP19" s="505"/>
      <c r="AQ19" s="505"/>
      <c r="AR19" s="505"/>
      <c r="AS19" s="505"/>
    </row>
    <row r="20" spans="1:45" ht="15" x14ac:dyDescent="0.2">
      <c r="A20" s="323" t="str">
        <f t="shared" si="8"/>
        <v>Passenger Car</v>
      </c>
      <c r="B20" s="260"/>
      <c r="C20" s="458"/>
      <c r="D20" s="458"/>
      <c r="E20" s="459"/>
      <c r="F20" s="458"/>
      <c r="G20" s="458"/>
      <c r="H20" s="458"/>
      <c r="I20" s="458"/>
      <c r="J20" s="458"/>
      <c r="K20" s="794"/>
      <c r="L20" s="458"/>
      <c r="M20" s="458"/>
      <c r="N20" s="458"/>
      <c r="O20" s="458"/>
      <c r="P20" s="458"/>
      <c r="Q20" s="458"/>
      <c r="R20" s="795"/>
      <c r="S20" s="331"/>
      <c r="T20" s="331"/>
      <c r="U20" s="331"/>
      <c r="V20" s="331"/>
      <c r="W20" s="331"/>
      <c r="X20" s="331"/>
      <c r="Y20" s="331"/>
      <c r="Z20" s="331"/>
      <c r="AA20" s="423"/>
      <c r="AB20" s="506" t="s">
        <v>816</v>
      </c>
      <c r="AE20" s="464"/>
      <c r="AF20" s="464"/>
      <c r="AG20" s="464"/>
      <c r="AO20" s="505"/>
      <c r="AP20" s="505"/>
      <c r="AQ20" s="505"/>
      <c r="AR20" s="505"/>
      <c r="AS20" s="505"/>
    </row>
    <row r="21" spans="1:45" ht="15" x14ac:dyDescent="0.25">
      <c r="A21" s="323" t="str">
        <f>B21</f>
        <v>Motorcycle or Moped</v>
      </c>
      <c r="B21" s="504" t="s">
        <v>715</v>
      </c>
      <c r="C21" s="352">
        <v>2010</v>
      </c>
      <c r="D21" s="352">
        <v>2020</v>
      </c>
      <c r="E21" s="355"/>
      <c r="F21" s="352">
        <v>2030</v>
      </c>
      <c r="G21" s="352"/>
      <c r="H21" s="352">
        <v>2040</v>
      </c>
      <c r="I21" s="352"/>
      <c r="J21" s="352">
        <v>2050</v>
      </c>
      <c r="K21" s="796">
        <f>C21</f>
        <v>2010</v>
      </c>
      <c r="L21" s="354">
        <f>D21</f>
        <v>2020</v>
      </c>
      <c r="M21" s="354"/>
      <c r="N21" s="354">
        <f>F21</f>
        <v>2030</v>
      </c>
      <c r="O21" s="354"/>
      <c r="P21" s="354">
        <f>H21</f>
        <v>2040</v>
      </c>
      <c r="Q21" s="354"/>
      <c r="R21" s="797">
        <f>J21</f>
        <v>2050</v>
      </c>
      <c r="S21" s="331"/>
      <c r="AA21"/>
      <c r="AB21" s="503" t="s">
        <v>840</v>
      </c>
      <c r="AC21" s="502" t="s">
        <v>141</v>
      </c>
      <c r="AD21" s="501" t="s">
        <v>141</v>
      </c>
      <c r="AE21" s="500" t="s">
        <v>141</v>
      </c>
      <c r="AF21" s="499" t="s">
        <v>141</v>
      </c>
      <c r="AG21" s="498" t="s">
        <v>141</v>
      </c>
      <c r="AH21"/>
      <c r="AI21"/>
      <c r="AJ21"/>
    </row>
    <row r="22" spans="1:45" ht="15" x14ac:dyDescent="0.25">
      <c r="A22" s="323" t="str">
        <f t="shared" ref="A22:A28" si="9">A21</f>
        <v>Motorcycle or Moped</v>
      </c>
      <c r="B22" s="497" t="s">
        <v>791</v>
      </c>
      <c r="C22" s="496" t="s">
        <v>193</v>
      </c>
      <c r="D22" s="495" t="s">
        <v>193</v>
      </c>
      <c r="E22" s="494"/>
      <c r="F22" s="493" t="s">
        <v>193</v>
      </c>
      <c r="G22" s="493"/>
      <c r="H22" s="492" t="s">
        <v>193</v>
      </c>
      <c r="I22" s="492"/>
      <c r="J22" s="491" t="s">
        <v>193</v>
      </c>
      <c r="K22" s="798" t="str">
        <f>zar.base&amp;"ZAR"</f>
        <v>2015ZAR</v>
      </c>
      <c r="L22" s="323" t="str">
        <f>zar.base&amp;"ZAR"</f>
        <v>2015ZAR</v>
      </c>
      <c r="N22" s="323" t="str">
        <f>zar.base&amp;"ZAR"</f>
        <v>2015ZAR</v>
      </c>
      <c r="P22" s="323" t="str">
        <f>zar.base&amp;"ZAR"</f>
        <v>2015ZAR</v>
      </c>
      <c r="R22" s="799" t="str">
        <f>zar.base&amp;"ZAR"</f>
        <v>2015ZAR</v>
      </c>
      <c r="S22" s="331"/>
      <c r="AA22"/>
      <c r="AB22" s="490" t="s">
        <v>659</v>
      </c>
      <c r="AC22" s="489" t="s">
        <v>193</v>
      </c>
      <c r="AD22" s="488" t="s">
        <v>193</v>
      </c>
      <c r="AE22" s="487" t="s">
        <v>193</v>
      </c>
      <c r="AF22" s="486" t="s">
        <v>193</v>
      </c>
      <c r="AG22" s="485" t="s">
        <v>193</v>
      </c>
      <c r="AH22"/>
      <c r="AI22"/>
      <c r="AJ22"/>
    </row>
    <row r="23" spans="1:45" ht="15" x14ac:dyDescent="0.25">
      <c r="A23" s="323" t="str">
        <f t="shared" si="9"/>
        <v>Motorcycle or Moped</v>
      </c>
      <c r="B23" s="484" t="s">
        <v>680</v>
      </c>
      <c r="C23" s="483">
        <v>6210.6181147681391</v>
      </c>
      <c r="D23" s="482">
        <v>6499.3597960454181</v>
      </c>
      <c r="E23" s="333">
        <f>AVERAGE(D23,F23)</f>
        <v>6590.1525928461842</v>
      </c>
      <c r="F23" s="481">
        <v>6680.9453896469504</v>
      </c>
      <c r="G23" s="333">
        <f>AVERAGE(F23,H23)</f>
        <v>6784.2174941323801</v>
      </c>
      <c r="H23" s="480">
        <v>6887.4895986178099</v>
      </c>
      <c r="I23" s="333">
        <f>AVERAGE(H23,J23)</f>
        <v>6935.2291248680322</v>
      </c>
      <c r="J23" s="479">
        <v>6982.9686511182554</v>
      </c>
      <c r="K23" s="791">
        <f t="shared" ref="K23:R26" si="10">C23*$B$2*$K$3</f>
        <v>140996.2012610439</v>
      </c>
      <c r="L23" s="792">
        <f t="shared" si="10"/>
        <v>147551.34270646883</v>
      </c>
      <c r="M23" s="792">
        <f t="shared" si="10"/>
        <v>149612.56096433167</v>
      </c>
      <c r="N23" s="792">
        <f t="shared" si="10"/>
        <v>151673.77922219451</v>
      </c>
      <c r="O23" s="792">
        <f t="shared" si="10"/>
        <v>154018.3082464562</v>
      </c>
      <c r="P23" s="792">
        <f t="shared" si="10"/>
        <v>156362.83727071786</v>
      </c>
      <c r="Q23" s="792">
        <f t="shared" si="10"/>
        <v>157446.64112516472</v>
      </c>
      <c r="R23" s="793">
        <f t="shared" si="10"/>
        <v>158530.44497961161</v>
      </c>
      <c r="S23" s="331">
        <f t="shared" ref="S23:Z26" si="11">C23/C$23</f>
        <v>1</v>
      </c>
      <c r="T23" s="331">
        <f t="shared" si="11"/>
        <v>1</v>
      </c>
      <c r="U23" s="331">
        <f t="shared" si="11"/>
        <v>1</v>
      </c>
      <c r="V23" s="331">
        <f t="shared" si="11"/>
        <v>1</v>
      </c>
      <c r="W23" s="331">
        <f t="shared" si="11"/>
        <v>1</v>
      </c>
      <c r="X23" s="331">
        <f t="shared" si="11"/>
        <v>1</v>
      </c>
      <c r="Y23" s="331">
        <f t="shared" si="11"/>
        <v>1</v>
      </c>
      <c r="Z23" s="331">
        <f t="shared" si="11"/>
        <v>1</v>
      </c>
      <c r="AA23"/>
      <c r="AB23" s="478" t="s">
        <v>680</v>
      </c>
      <c r="AC23" s="477">
        <v>1.6564224548036226</v>
      </c>
      <c r="AD23" s="476">
        <v>1.664528651009056</v>
      </c>
      <c r="AE23" s="475">
        <v>1.6815321585198599</v>
      </c>
      <c r="AF23" s="474">
        <v>1.7042123951240136</v>
      </c>
      <c r="AG23" s="473">
        <v>1.7296445754411365</v>
      </c>
      <c r="AH23"/>
      <c r="AI23" s="331"/>
      <c r="AJ23"/>
    </row>
    <row r="24" spans="1:45" ht="15" x14ac:dyDescent="0.25">
      <c r="A24" s="323" t="str">
        <f t="shared" si="9"/>
        <v>Motorcycle or Moped</v>
      </c>
      <c r="B24" s="484" t="s">
        <v>688</v>
      </c>
      <c r="C24" s="483">
        <v>7682.4260976580299</v>
      </c>
      <c r="D24" s="482">
        <v>7020.375962884742</v>
      </c>
      <c r="E24" s="333">
        <f>AVERAGE(D24,F24)</f>
        <v>6907.2377523376317</v>
      </c>
      <c r="F24" s="481">
        <v>6794.0995417905215</v>
      </c>
      <c r="G24" s="333">
        <f>AVERAGE(F24,H24)</f>
        <v>6806.9008673355802</v>
      </c>
      <c r="H24" s="480">
        <v>6819.702192880638</v>
      </c>
      <c r="I24" s="333">
        <f>AVERAGE(H24,J24)</f>
        <v>6844.2846775430935</v>
      </c>
      <c r="J24" s="479">
        <v>6868.8671622055499</v>
      </c>
      <c r="K24" s="791">
        <f t="shared" si="10"/>
        <v>174409.83751082345</v>
      </c>
      <c r="L24" s="792">
        <f t="shared" si="10"/>
        <v>159379.68232781059</v>
      </c>
      <c r="M24" s="792">
        <f t="shared" si="10"/>
        <v>156811.16859699812</v>
      </c>
      <c r="N24" s="792">
        <f t="shared" si="10"/>
        <v>154242.65486618562</v>
      </c>
      <c r="O24" s="792">
        <f t="shared" si="10"/>
        <v>154533.27622457623</v>
      </c>
      <c r="P24" s="792">
        <f t="shared" si="10"/>
        <v>154823.89758296681</v>
      </c>
      <c r="Q24" s="792">
        <f t="shared" si="10"/>
        <v>155381.98002998158</v>
      </c>
      <c r="R24" s="793">
        <f t="shared" si="10"/>
        <v>155940.06247699639</v>
      </c>
      <c r="S24" s="331">
        <f t="shared" si="11"/>
        <v>1.2369825282591598</v>
      </c>
      <c r="T24" s="331">
        <f t="shared" si="11"/>
        <v>1.0801642289685731</v>
      </c>
      <c r="U24" s="331">
        <f t="shared" si="11"/>
        <v>1.0481149950663742</v>
      </c>
      <c r="V24" s="331">
        <f t="shared" si="11"/>
        <v>1.0169368473388392</v>
      </c>
      <c r="W24" s="331">
        <f t="shared" si="11"/>
        <v>1.003343550412825</v>
      </c>
      <c r="X24" s="331">
        <f t="shared" si="11"/>
        <v>0.99015789355953798</v>
      </c>
      <c r="Y24" s="331">
        <f t="shared" si="11"/>
        <v>0.98688659802185419</v>
      </c>
      <c r="Z24" s="331">
        <f t="shared" si="11"/>
        <v>0.9836600313400472</v>
      </c>
      <c r="AA24"/>
      <c r="AB24" s="478" t="s">
        <v>688</v>
      </c>
      <c r="AC24" s="477">
        <v>1.242316841102717</v>
      </c>
      <c r="AD24" s="476">
        <v>1.2481394091943006</v>
      </c>
      <c r="AE24" s="475">
        <v>1.259430521630982</v>
      </c>
      <c r="AF24" s="474">
        <v>1.2740206486619889</v>
      </c>
      <c r="AG24" s="473">
        <v>1.2925924125810369</v>
      </c>
      <c r="AH24"/>
      <c r="AI24"/>
      <c r="AJ24"/>
    </row>
    <row r="25" spans="1:45" ht="15" x14ac:dyDescent="0.25">
      <c r="A25" s="323" t="str">
        <f t="shared" si="9"/>
        <v>Motorcycle or Moped</v>
      </c>
      <c r="B25" s="484" t="s">
        <v>692</v>
      </c>
      <c r="C25" s="483">
        <v>10011.969488956187</v>
      </c>
      <c r="D25" s="482">
        <v>7991.4603169458269</v>
      </c>
      <c r="E25" s="333">
        <f>AVERAGE(D25,F25)</f>
        <v>7550.1545424239548</v>
      </c>
      <c r="F25" s="481">
        <v>7108.8487679020827</v>
      </c>
      <c r="G25" s="333">
        <f>AVERAGE(F25,H25)</f>
        <v>7217.5197709228114</v>
      </c>
      <c r="H25" s="480">
        <v>7326.1907739435401</v>
      </c>
      <c r="I25" s="333">
        <f>AVERAGE(H25,J25)</f>
        <v>7433.5758269488142</v>
      </c>
      <c r="J25" s="479">
        <v>7540.9608799540883</v>
      </c>
      <c r="K25" s="791">
        <f t="shared" si="10"/>
        <v>227296.16263597918</v>
      </c>
      <c r="L25" s="792">
        <f t="shared" si="10"/>
        <v>181425.66913564043</v>
      </c>
      <c r="M25" s="792">
        <f t="shared" si="10"/>
        <v>171406.95012050911</v>
      </c>
      <c r="N25" s="792">
        <f t="shared" si="10"/>
        <v>161388.23110537775</v>
      </c>
      <c r="O25" s="792">
        <f t="shared" si="10"/>
        <v>163855.32831374026</v>
      </c>
      <c r="P25" s="792">
        <f t="shared" si="10"/>
        <v>166322.4255221028</v>
      </c>
      <c r="Q25" s="792">
        <f t="shared" si="10"/>
        <v>168760.32852405298</v>
      </c>
      <c r="R25" s="793">
        <f t="shared" si="10"/>
        <v>171198.23152600319</v>
      </c>
      <c r="S25" s="331">
        <f t="shared" si="11"/>
        <v>1.6120729537610547</v>
      </c>
      <c r="T25" s="331">
        <f t="shared" si="11"/>
        <v>1.2295765379550596</v>
      </c>
      <c r="U25" s="331">
        <f t="shared" si="11"/>
        <v>1.1456721883222982</v>
      </c>
      <c r="V25" s="331">
        <f t="shared" si="11"/>
        <v>1.0640483274894341</v>
      </c>
      <c r="W25" s="331">
        <f t="shared" si="11"/>
        <v>1.063869160616562</v>
      </c>
      <c r="X25" s="331">
        <f t="shared" si="11"/>
        <v>1.063695366656346</v>
      </c>
      <c r="Y25" s="331">
        <f t="shared" si="11"/>
        <v>1.0718572801428914</v>
      </c>
      <c r="Z25" s="331">
        <f t="shared" si="11"/>
        <v>1.0799075947085164</v>
      </c>
      <c r="AA25"/>
      <c r="AB25" s="478" t="s">
        <v>692</v>
      </c>
      <c r="AC25" s="477">
        <v>0.33397671303006748</v>
      </c>
      <c r="AD25" s="476">
        <v>0.33402150661228786</v>
      </c>
      <c r="AE25" s="475">
        <v>0.33434041933986308</v>
      </c>
      <c r="AF25" s="474">
        <v>0.33473169077151199</v>
      </c>
      <c r="AG25" s="473">
        <v>0.33522495556776438</v>
      </c>
      <c r="AH25"/>
      <c r="AI25"/>
      <c r="AJ25"/>
    </row>
    <row r="26" spans="1:45" ht="15" x14ac:dyDescent="0.25">
      <c r="A26" s="323" t="str">
        <f t="shared" si="9"/>
        <v>Motorcycle or Moped</v>
      </c>
      <c r="B26" s="484" t="s">
        <v>699</v>
      </c>
      <c r="C26" s="483">
        <v>63976.881300265428</v>
      </c>
      <c r="D26" s="482">
        <v>23695.777617700565</v>
      </c>
      <c r="E26" s="333">
        <f>AVERAGE(D26,F26)</f>
        <v>17381.576449172615</v>
      </c>
      <c r="F26" s="481">
        <v>11067.375280644666</v>
      </c>
      <c r="G26" s="333">
        <f>AVERAGE(F26,H26)</f>
        <v>10326.744865698125</v>
      </c>
      <c r="H26" s="480">
        <v>9586.1144507515837</v>
      </c>
      <c r="I26" s="333">
        <f>AVERAGE(H26,J26)</f>
        <v>9436.8654111869891</v>
      </c>
      <c r="J26" s="479">
        <v>9287.6163716223946</v>
      </c>
      <c r="K26" s="791">
        <f t="shared" si="10"/>
        <v>1452431.4754462892</v>
      </c>
      <c r="L26" s="792">
        <f t="shared" si="10"/>
        <v>537952.03122821182</v>
      </c>
      <c r="M26" s="792">
        <f t="shared" si="10"/>
        <v>394604.24163485313</v>
      </c>
      <c r="N26" s="792">
        <f t="shared" si="10"/>
        <v>251256.45204149446</v>
      </c>
      <c r="O26" s="792">
        <f t="shared" si="10"/>
        <v>234442.3325583564</v>
      </c>
      <c r="P26" s="792">
        <f t="shared" si="10"/>
        <v>217628.21307521837</v>
      </c>
      <c r="Q26" s="792">
        <f t="shared" si="10"/>
        <v>214239.89532139804</v>
      </c>
      <c r="R26" s="793">
        <f t="shared" si="10"/>
        <v>210851.57756757768</v>
      </c>
      <c r="S26" s="331">
        <f t="shared" si="11"/>
        <v>10.3012099791059</v>
      </c>
      <c r="T26" s="331">
        <f t="shared" si="11"/>
        <v>3.6458633405890888</v>
      </c>
      <c r="U26" s="331">
        <f t="shared" si="11"/>
        <v>2.6375074331421184</v>
      </c>
      <c r="V26" s="331">
        <f t="shared" si="11"/>
        <v>1.6565582616189463</v>
      </c>
      <c r="W26" s="331">
        <f t="shared" si="11"/>
        <v>1.5221718458509992</v>
      </c>
      <c r="X26" s="331">
        <f t="shared" si="11"/>
        <v>1.3918154522767392</v>
      </c>
      <c r="Y26" s="331">
        <f t="shared" si="11"/>
        <v>1.3607142952708948</v>
      </c>
      <c r="Z26" s="331">
        <f t="shared" si="11"/>
        <v>1.3300383884918447</v>
      </c>
      <c r="AA26"/>
      <c r="AB26" s="478" t="s">
        <v>699</v>
      </c>
      <c r="AC26" s="477">
        <v>0.73404373741708251</v>
      </c>
      <c r="AD26" s="476">
        <v>0.73414218873785586</v>
      </c>
      <c r="AE26" s="475">
        <v>0.73484312350763448</v>
      </c>
      <c r="AF26" s="474">
        <v>0.73570309467576289</v>
      </c>
      <c r="AG26" s="473">
        <v>0.7367872359360691</v>
      </c>
      <c r="AH26"/>
      <c r="AI26"/>
      <c r="AJ26"/>
    </row>
    <row r="27" spans="1:45" x14ac:dyDescent="0.25">
      <c r="A27" s="323" t="str">
        <f t="shared" si="9"/>
        <v>Motorcycle or Moped</v>
      </c>
      <c r="K27" s="798"/>
      <c r="R27" s="799"/>
    </row>
    <row r="28" spans="1:45" x14ac:dyDescent="0.2">
      <c r="A28" s="323" t="str">
        <f t="shared" si="9"/>
        <v>Motorcycle or Moped</v>
      </c>
      <c r="B28" s="453" t="s">
        <v>832</v>
      </c>
      <c r="C28" s="457" t="s">
        <v>831</v>
      </c>
      <c r="D28" s="456">
        <v>0.08</v>
      </c>
      <c r="E28" s="455"/>
      <c r="K28" s="798"/>
      <c r="R28" s="799"/>
      <c r="AB28" s="453" t="s">
        <v>816</v>
      </c>
      <c r="AC28" s="323" t="s">
        <v>834</v>
      </c>
    </row>
    <row r="29" spans="1:45" x14ac:dyDescent="0.2">
      <c r="A29" s="323" t="str">
        <f>B29</f>
        <v xml:space="preserve">Van / LCV </v>
      </c>
      <c r="B29" s="352" t="s">
        <v>701</v>
      </c>
      <c r="C29" s="352">
        <v>2010</v>
      </c>
      <c r="D29" s="352">
        <v>2020</v>
      </c>
      <c r="E29" s="355"/>
      <c r="F29" s="352">
        <v>2030</v>
      </c>
      <c r="G29" s="352"/>
      <c r="H29" s="352">
        <v>2040</v>
      </c>
      <c r="I29" s="352"/>
      <c r="J29" s="352">
        <v>2050</v>
      </c>
      <c r="K29" s="796">
        <f>C29</f>
        <v>2010</v>
      </c>
      <c r="L29" s="354">
        <f>D29</f>
        <v>2020</v>
      </c>
      <c r="M29" s="354"/>
      <c r="N29" s="354">
        <f>F29</f>
        <v>2030</v>
      </c>
      <c r="O29" s="354"/>
      <c r="P29" s="354">
        <f>H29</f>
        <v>2040</v>
      </c>
      <c r="Q29" s="354"/>
      <c r="R29" s="797">
        <f>J29</f>
        <v>2050</v>
      </c>
      <c r="S29" s="323">
        <f>C29</f>
        <v>2010</v>
      </c>
      <c r="T29" s="323">
        <f>D29</f>
        <v>2020</v>
      </c>
      <c r="V29" s="323">
        <f>F29</f>
        <v>2030</v>
      </c>
      <c r="X29" s="323">
        <f>H29</f>
        <v>2040</v>
      </c>
      <c r="Z29" s="323">
        <f>J29</f>
        <v>2050</v>
      </c>
      <c r="AB29" s="352" t="s">
        <v>701</v>
      </c>
      <c r="AC29" s="352">
        <v>2010</v>
      </c>
      <c r="AD29" s="352">
        <v>2020</v>
      </c>
      <c r="AE29" s="352">
        <v>2030</v>
      </c>
      <c r="AF29" s="352">
        <v>2040</v>
      </c>
      <c r="AG29" s="352">
        <v>2050</v>
      </c>
    </row>
    <row r="30" spans="1:45" x14ac:dyDescent="0.2">
      <c r="A30" s="323" t="str">
        <f t="shared" ref="A30:A45" si="12">A29</f>
        <v xml:space="preserve">Van / LCV </v>
      </c>
      <c r="B30" s="448" t="s">
        <v>791</v>
      </c>
      <c r="C30" s="443"/>
      <c r="D30" s="449" t="s">
        <v>193</v>
      </c>
      <c r="E30" s="463"/>
      <c r="F30" s="449" t="s">
        <v>193</v>
      </c>
      <c r="G30" s="449"/>
      <c r="H30" s="449" t="s">
        <v>193</v>
      </c>
      <c r="I30" s="449"/>
      <c r="J30" s="449" t="s">
        <v>193</v>
      </c>
      <c r="K30" s="798" t="str">
        <f>zar.base&amp;"ZAR"</f>
        <v>2015ZAR</v>
      </c>
      <c r="L30" s="323" t="str">
        <f>zar.base&amp;"ZAR"</f>
        <v>2015ZAR</v>
      </c>
      <c r="N30" s="323" t="str">
        <f>zar.base&amp;"ZAR"</f>
        <v>2015ZAR</v>
      </c>
      <c r="P30" s="323" t="str">
        <f>zar.base&amp;"ZAR"</f>
        <v>2015ZAR</v>
      </c>
      <c r="R30" s="799" t="str">
        <f>zar.base&amp;"ZAR"</f>
        <v>2015ZAR</v>
      </c>
      <c r="AB30" s="448" t="s">
        <v>659</v>
      </c>
      <c r="AC30" s="447" t="s">
        <v>663</v>
      </c>
      <c r="AD30" s="447" t="s">
        <v>663</v>
      </c>
      <c r="AE30" s="447" t="s">
        <v>663</v>
      </c>
      <c r="AF30" s="447" t="s">
        <v>663</v>
      </c>
      <c r="AG30" s="447" t="s">
        <v>663</v>
      </c>
    </row>
    <row r="31" spans="1:45" ht="15" x14ac:dyDescent="0.2">
      <c r="A31" s="323" t="str">
        <f t="shared" si="12"/>
        <v xml:space="preserve">Van / LCV </v>
      </c>
      <c r="B31" s="256" t="s">
        <v>680</v>
      </c>
      <c r="C31" s="443">
        <v>11305.478439259858</v>
      </c>
      <c r="D31" s="443">
        <v>12289.794448140692</v>
      </c>
      <c r="E31" s="333">
        <f t="shared" ref="E31:E43" si="13">AVERAGE(D31,F31)</f>
        <v>12516.277438952329</v>
      </c>
      <c r="F31" s="443">
        <v>12742.760429763966</v>
      </c>
      <c r="G31" s="333">
        <f t="shared" ref="G31:G43" si="14">AVERAGE(F31,H31)</f>
        <v>13021.038161305632</v>
      </c>
      <c r="H31" s="443">
        <v>13299.315892847299</v>
      </c>
      <c r="I31" s="333">
        <f t="shared" ref="I31:I43" si="15">AVERAGE(H31,J31)</f>
        <v>13438.741884494142</v>
      </c>
      <c r="J31" s="443">
        <v>13578.167876140986</v>
      </c>
      <c r="K31" s="791">
        <f t="shared" ref="K31:R43" si="16">C31*$B$2*$K$3</f>
        <v>256661.9753328345</v>
      </c>
      <c r="L31" s="792">
        <f t="shared" si="16"/>
        <v>279008.35302471276</v>
      </c>
      <c r="M31" s="792">
        <f t="shared" si="16"/>
        <v>284150.0701234903</v>
      </c>
      <c r="N31" s="792">
        <f t="shared" si="16"/>
        <v>289291.78722226777</v>
      </c>
      <c r="O31" s="792">
        <f t="shared" si="16"/>
        <v>295609.37144945067</v>
      </c>
      <c r="P31" s="792">
        <f t="shared" si="16"/>
        <v>301926.95567663357</v>
      </c>
      <c r="Q31" s="792">
        <f t="shared" si="16"/>
        <v>305092.2662489441</v>
      </c>
      <c r="R31" s="793">
        <f t="shared" si="16"/>
        <v>308257.57682125468</v>
      </c>
      <c r="S31" s="331">
        <f t="shared" ref="S31:Z43" si="17">C31/C$31</f>
        <v>1</v>
      </c>
      <c r="T31" s="331">
        <f t="shared" si="17"/>
        <v>1</v>
      </c>
      <c r="U31" s="331">
        <f t="shared" si="17"/>
        <v>1</v>
      </c>
      <c r="V31" s="331">
        <f t="shared" si="17"/>
        <v>1</v>
      </c>
      <c r="W31" s="331">
        <f t="shared" si="17"/>
        <v>1</v>
      </c>
      <c r="X31" s="331">
        <f t="shared" si="17"/>
        <v>1</v>
      </c>
      <c r="Y31" s="331">
        <f t="shared" si="17"/>
        <v>1</v>
      </c>
      <c r="Z31" s="331">
        <f t="shared" si="17"/>
        <v>1</v>
      </c>
      <c r="AB31" s="460" t="s">
        <v>680</v>
      </c>
      <c r="AC31" s="440">
        <v>2.8454207298952694</v>
      </c>
      <c r="AD31" s="440">
        <v>2.3296805874954902</v>
      </c>
      <c r="AE31" s="440">
        <v>2.0623539773065218</v>
      </c>
      <c r="AF31" s="440">
        <v>1.8329916444732148</v>
      </c>
      <c r="AG31" s="440">
        <v>1.6746537880884433</v>
      </c>
    </row>
    <row r="32" spans="1:45" ht="15" x14ac:dyDescent="0.2">
      <c r="A32" s="323" t="str">
        <f t="shared" si="12"/>
        <v xml:space="preserve">Van / LCV </v>
      </c>
      <c r="B32" s="256" t="s">
        <v>687</v>
      </c>
      <c r="C32" s="443">
        <v>12067.578439259856</v>
      </c>
      <c r="D32" s="443">
        <v>13322.531671240238</v>
      </c>
      <c r="E32" s="333">
        <f t="shared" si="13"/>
        <v>13559.916920694781</v>
      </c>
      <c r="F32" s="443">
        <v>13797.302170149324</v>
      </c>
      <c r="G32" s="333">
        <f t="shared" si="14"/>
        <v>14084.66938951456</v>
      </c>
      <c r="H32" s="443">
        <v>14372.036608879796</v>
      </c>
      <c r="I32" s="333">
        <f t="shared" si="15"/>
        <v>14513.120679970814</v>
      </c>
      <c r="J32" s="443">
        <v>14654.204751061832</v>
      </c>
      <c r="K32" s="791">
        <f t="shared" si="16"/>
        <v>273963.5068382945</v>
      </c>
      <c r="L32" s="792">
        <f t="shared" si="16"/>
        <v>302454.01055301359</v>
      </c>
      <c r="M32" s="792">
        <f t="shared" si="16"/>
        <v>307843.23555284203</v>
      </c>
      <c r="N32" s="792">
        <f t="shared" si="16"/>
        <v>313232.46055267047</v>
      </c>
      <c r="O32" s="792">
        <f t="shared" si="16"/>
        <v>319756.39835543133</v>
      </c>
      <c r="P32" s="792">
        <f t="shared" si="16"/>
        <v>326280.33615819225</v>
      </c>
      <c r="Q32" s="792">
        <f t="shared" si="16"/>
        <v>329483.28918391035</v>
      </c>
      <c r="R32" s="793">
        <f t="shared" si="16"/>
        <v>332686.24220962852</v>
      </c>
      <c r="S32" s="331">
        <f t="shared" si="17"/>
        <v>1.0674097964181242</v>
      </c>
      <c r="T32" s="331">
        <f t="shared" si="17"/>
        <v>1.084032098946601</v>
      </c>
      <c r="U32" s="331">
        <f t="shared" si="17"/>
        <v>1.0833825781533497</v>
      </c>
      <c r="V32" s="331">
        <f t="shared" si="17"/>
        <v>1.0827561458286703</v>
      </c>
      <c r="W32" s="331">
        <f t="shared" si="17"/>
        <v>1.0816855933476717</v>
      </c>
      <c r="X32" s="331">
        <f t="shared" si="17"/>
        <v>1.0806598418050535</v>
      </c>
      <c r="Y32" s="331">
        <f t="shared" si="17"/>
        <v>1.0799463822365925</v>
      </c>
      <c r="Z32" s="331">
        <f t="shared" si="17"/>
        <v>1.0792475748375165</v>
      </c>
      <c r="AB32" s="460" t="s">
        <v>687</v>
      </c>
      <c r="AC32" s="440">
        <v>2.9031215330752671</v>
      </c>
      <c r="AD32" s="440">
        <v>2.4869210927283421</v>
      </c>
      <c r="AE32" s="440">
        <v>2.1950138474685241</v>
      </c>
      <c r="AF32" s="440">
        <v>1.9626838778588267</v>
      </c>
      <c r="AG32" s="440">
        <v>1.7998752123887785</v>
      </c>
    </row>
    <row r="33" spans="1:43" ht="15" x14ac:dyDescent="0.25">
      <c r="A33" s="323" t="str">
        <f t="shared" si="12"/>
        <v xml:space="preserve">Van / LCV </v>
      </c>
      <c r="B33" s="256" t="s">
        <v>688</v>
      </c>
      <c r="C33" s="443">
        <v>13782.736415022977</v>
      </c>
      <c r="D33" s="443">
        <v>13427.805704040664</v>
      </c>
      <c r="E33" s="333">
        <f t="shared" si="13"/>
        <v>13342.505844101395</v>
      </c>
      <c r="F33" s="443">
        <v>13257.205984162127</v>
      </c>
      <c r="G33" s="333">
        <f t="shared" si="14"/>
        <v>13379.130824979849</v>
      </c>
      <c r="H33" s="443">
        <v>13501.055665797574</v>
      </c>
      <c r="I33" s="333">
        <f t="shared" si="15"/>
        <v>13550.4912530031</v>
      </c>
      <c r="J33" s="443">
        <v>13599.926840208624</v>
      </c>
      <c r="K33" s="791">
        <f t="shared" si="16"/>
        <v>312901.78233298892</v>
      </c>
      <c r="L33" s="792">
        <f t="shared" si="16"/>
        <v>304843.98823993577</v>
      </c>
      <c r="M33" s="792">
        <f t="shared" si="16"/>
        <v>302907.47306587646</v>
      </c>
      <c r="N33" s="792">
        <f t="shared" si="16"/>
        <v>300970.9578918172</v>
      </c>
      <c r="O33" s="792">
        <f t="shared" si="16"/>
        <v>303738.94959199568</v>
      </c>
      <c r="P33" s="792">
        <f t="shared" si="16"/>
        <v>306506.94129217422</v>
      </c>
      <c r="Q33" s="792">
        <f t="shared" si="16"/>
        <v>307629.24987310497</v>
      </c>
      <c r="R33" s="793">
        <f t="shared" si="16"/>
        <v>308751.55845403566</v>
      </c>
      <c r="S33" s="331">
        <f t="shared" si="17"/>
        <v>1.2191201362306343</v>
      </c>
      <c r="T33" s="331">
        <f t="shared" si="17"/>
        <v>1.0925980707571672</v>
      </c>
      <c r="U33" s="331">
        <f t="shared" si="17"/>
        <v>1.0660123115022788</v>
      </c>
      <c r="V33" s="331">
        <f t="shared" si="17"/>
        <v>1.0403715943051508</v>
      </c>
      <c r="W33" s="331">
        <f t="shared" si="17"/>
        <v>1.0275010839564509</v>
      </c>
      <c r="X33" s="331">
        <f t="shared" si="17"/>
        <v>1.0151691842329105</v>
      </c>
      <c r="Y33" s="331">
        <f t="shared" si="17"/>
        <v>1.0083154635656701</v>
      </c>
      <c r="Z33" s="331">
        <f t="shared" si="17"/>
        <v>1.0016024963210148</v>
      </c>
      <c r="AB33" s="460" t="s">
        <v>688</v>
      </c>
      <c r="AC33" s="440">
        <v>2.1741726994604185</v>
      </c>
      <c r="AD33" s="440">
        <v>1.8493575989035749</v>
      </c>
      <c r="AE33" s="440">
        <v>1.6855443145895808</v>
      </c>
      <c r="AF33" s="440">
        <v>1.5284648640407557</v>
      </c>
      <c r="AG33" s="440">
        <v>1.386769162504049</v>
      </c>
      <c r="AK33" s="472"/>
      <c r="AL33" s="467"/>
      <c r="AM33" s="466"/>
      <c r="AN33" s="466"/>
      <c r="AO33" s="466"/>
    </row>
    <row r="34" spans="1:43" ht="15" x14ac:dyDescent="0.25">
      <c r="A34" s="323" t="str">
        <f t="shared" si="12"/>
        <v xml:space="preserve">Van / LCV </v>
      </c>
      <c r="B34" s="256" t="s">
        <v>689</v>
      </c>
      <c r="C34" s="443">
        <v>14581.175917305238</v>
      </c>
      <c r="D34" s="443">
        <v>14391.269995327921</v>
      </c>
      <c r="E34" s="333">
        <f t="shared" si="13"/>
        <v>14294.563247962416</v>
      </c>
      <c r="F34" s="443">
        <v>14197.856500596912</v>
      </c>
      <c r="G34" s="333">
        <f t="shared" si="14"/>
        <v>14327.249958258559</v>
      </c>
      <c r="H34" s="443">
        <v>14456.643415920207</v>
      </c>
      <c r="I34" s="333">
        <f t="shared" si="15"/>
        <v>14506.008189654398</v>
      </c>
      <c r="J34" s="443">
        <v>14555.372963388589</v>
      </c>
      <c r="K34" s="791">
        <f t="shared" si="16"/>
        <v>331028.30930312449</v>
      </c>
      <c r="L34" s="792">
        <f t="shared" si="16"/>
        <v>326716.98101003445</v>
      </c>
      <c r="M34" s="792">
        <f t="shared" si="16"/>
        <v>324521.50162893633</v>
      </c>
      <c r="N34" s="792">
        <f t="shared" si="16"/>
        <v>322326.02224783826</v>
      </c>
      <c r="O34" s="792">
        <f t="shared" si="16"/>
        <v>325263.56979321735</v>
      </c>
      <c r="P34" s="792">
        <f t="shared" si="16"/>
        <v>328201.11733859644</v>
      </c>
      <c r="Q34" s="792">
        <f t="shared" si="16"/>
        <v>329321.81828075892</v>
      </c>
      <c r="R34" s="793">
        <f t="shared" si="16"/>
        <v>330442.51922292134</v>
      </c>
      <c r="S34" s="331">
        <f t="shared" si="17"/>
        <v>1.2897442594441701</v>
      </c>
      <c r="T34" s="331">
        <f t="shared" si="17"/>
        <v>1.1709935472114554</v>
      </c>
      <c r="U34" s="331">
        <f t="shared" si="17"/>
        <v>1.1420778516362879</v>
      </c>
      <c r="V34" s="331">
        <f t="shared" si="17"/>
        <v>1.1141900201964245</v>
      </c>
      <c r="W34" s="331">
        <f t="shared" si="17"/>
        <v>1.1003154879642831</v>
      </c>
      <c r="X34" s="331">
        <f t="shared" si="17"/>
        <v>1.0870215830947627</v>
      </c>
      <c r="Y34" s="331">
        <f t="shared" si="17"/>
        <v>1.0794171295448189</v>
      </c>
      <c r="Z34" s="331">
        <f t="shared" si="17"/>
        <v>1.0719688470610758</v>
      </c>
      <c r="AB34" s="460" t="s">
        <v>689</v>
      </c>
      <c r="AC34" s="440">
        <v>2.4252993644945193</v>
      </c>
      <c r="AD34" s="440">
        <v>2.161460571136546</v>
      </c>
      <c r="AE34" s="440">
        <v>1.9679702241767287</v>
      </c>
      <c r="AF34" s="440">
        <v>1.7987528433147613</v>
      </c>
      <c r="AG34" s="440">
        <v>1.6393124698954793</v>
      </c>
      <c r="AL34" s="467"/>
      <c r="AM34" s="466"/>
      <c r="AN34" s="466"/>
      <c r="AO34" s="466"/>
    </row>
    <row r="35" spans="1:43" ht="15" x14ac:dyDescent="0.25">
      <c r="A35" s="323" t="str">
        <f t="shared" si="12"/>
        <v xml:space="preserve">Van / LCV </v>
      </c>
      <c r="B35" s="256" t="s">
        <v>691</v>
      </c>
      <c r="C35" s="443">
        <v>17244.006666903901</v>
      </c>
      <c r="D35" s="443">
        <v>14975.578208305285</v>
      </c>
      <c r="E35" s="333">
        <f t="shared" si="13"/>
        <v>14582.535049386763</v>
      </c>
      <c r="F35" s="443">
        <v>14189.491890468238</v>
      </c>
      <c r="G35" s="333">
        <f t="shared" si="14"/>
        <v>14227.836500369689</v>
      </c>
      <c r="H35" s="443">
        <v>14266.18111027114</v>
      </c>
      <c r="I35" s="333">
        <f t="shared" si="15"/>
        <v>14253.68100490546</v>
      </c>
      <c r="J35" s="443">
        <v>14241.180899539781</v>
      </c>
      <c r="K35" s="791">
        <f t="shared" si="16"/>
        <v>391481.07154940313</v>
      </c>
      <c r="L35" s="792">
        <f t="shared" si="16"/>
        <v>339982.20467586158</v>
      </c>
      <c r="M35" s="792">
        <f t="shared" si="16"/>
        <v>331059.16492119117</v>
      </c>
      <c r="N35" s="792">
        <f t="shared" si="16"/>
        <v>322136.12516652065</v>
      </c>
      <c r="O35" s="792">
        <f t="shared" si="16"/>
        <v>323006.64147182775</v>
      </c>
      <c r="P35" s="792">
        <f t="shared" si="16"/>
        <v>323877.15777713485</v>
      </c>
      <c r="Q35" s="792">
        <f t="shared" si="16"/>
        <v>323593.37485257658</v>
      </c>
      <c r="R35" s="793">
        <f t="shared" si="16"/>
        <v>323309.59192801826</v>
      </c>
      <c r="S35" s="331">
        <f t="shared" si="17"/>
        <v>1.5252788070447043</v>
      </c>
      <c r="T35" s="331">
        <f t="shared" si="17"/>
        <v>1.2185377283157834</v>
      </c>
      <c r="U35" s="331">
        <f t="shared" si="17"/>
        <v>1.1650856351269399</v>
      </c>
      <c r="V35" s="331">
        <f t="shared" si="17"/>
        <v>1.1135335996214024</v>
      </c>
      <c r="W35" s="331">
        <f t="shared" si="17"/>
        <v>1.0926806545003667</v>
      </c>
      <c r="X35" s="331">
        <f t="shared" si="17"/>
        <v>1.0727003723510204</v>
      </c>
      <c r="Y35" s="331">
        <f t="shared" si="17"/>
        <v>1.0606410278146357</v>
      </c>
      <c r="Z35" s="331">
        <f t="shared" si="17"/>
        <v>1.048829343505453</v>
      </c>
      <c r="AB35" s="460" t="s">
        <v>691</v>
      </c>
      <c r="AC35" s="440">
        <v>1.7283270367921819</v>
      </c>
      <c r="AD35" s="440">
        <v>1.3635224134985264</v>
      </c>
      <c r="AE35" s="440">
        <v>1.2812468302816669</v>
      </c>
      <c r="AF35" s="440">
        <v>1.1987809320242737</v>
      </c>
      <c r="AG35" s="440">
        <v>1.1284948346768437</v>
      </c>
      <c r="AL35" s="467"/>
      <c r="AM35" s="466"/>
      <c r="AN35" s="466"/>
      <c r="AO35" s="466"/>
    </row>
    <row r="36" spans="1:43" ht="15" x14ac:dyDescent="0.25">
      <c r="A36" s="323" t="str">
        <f t="shared" si="12"/>
        <v xml:space="preserve">Van / LCV </v>
      </c>
      <c r="B36" s="256" t="s">
        <v>695</v>
      </c>
      <c r="C36" s="443">
        <v>17948.50016215329</v>
      </c>
      <c r="D36" s="443">
        <v>15887.386898316114</v>
      </c>
      <c r="E36" s="333">
        <f t="shared" si="13"/>
        <v>15492.43721685409</v>
      </c>
      <c r="F36" s="443">
        <v>15097.487535392065</v>
      </c>
      <c r="G36" s="333">
        <f t="shared" si="14"/>
        <v>15144.921633117086</v>
      </c>
      <c r="H36" s="443">
        <v>15192.355730842108</v>
      </c>
      <c r="I36" s="333">
        <f t="shared" si="15"/>
        <v>15181.513704920602</v>
      </c>
      <c r="J36" s="443">
        <v>15170.671678999097</v>
      </c>
      <c r="K36" s="791">
        <f t="shared" si="16"/>
        <v>407474.79468737578</v>
      </c>
      <c r="L36" s="792">
        <f t="shared" si="16"/>
        <v>360682.48912301363</v>
      </c>
      <c r="M36" s="792">
        <f t="shared" si="16"/>
        <v>351716.16664973373</v>
      </c>
      <c r="N36" s="792">
        <f t="shared" si="16"/>
        <v>342749.84417645383</v>
      </c>
      <c r="O36" s="792">
        <f t="shared" si="16"/>
        <v>343826.71405733895</v>
      </c>
      <c r="P36" s="792">
        <f t="shared" si="16"/>
        <v>344903.58393822401</v>
      </c>
      <c r="Q36" s="792">
        <f t="shared" si="16"/>
        <v>344657.44346707332</v>
      </c>
      <c r="R36" s="793">
        <f t="shared" si="16"/>
        <v>344411.30299592268</v>
      </c>
      <c r="S36" s="331">
        <f t="shared" si="17"/>
        <v>1.5875931530526484</v>
      </c>
      <c r="T36" s="331">
        <f t="shared" si="17"/>
        <v>1.2927300749704318</v>
      </c>
      <c r="U36" s="331">
        <f t="shared" si="17"/>
        <v>1.2377831421856753</v>
      </c>
      <c r="V36" s="331">
        <f t="shared" si="17"/>
        <v>1.1847894040390208</v>
      </c>
      <c r="W36" s="331">
        <f t="shared" si="17"/>
        <v>1.163111684759742</v>
      </c>
      <c r="X36" s="331">
        <f t="shared" si="17"/>
        <v>1.1423411439540987</v>
      </c>
      <c r="Y36" s="331">
        <f t="shared" si="17"/>
        <v>1.129682661919216</v>
      </c>
      <c r="Z36" s="331">
        <f t="shared" si="17"/>
        <v>1.1172841444725687</v>
      </c>
      <c r="AB36" s="460" t="s">
        <v>695</v>
      </c>
      <c r="AC36" s="440">
        <v>1.902863724208097</v>
      </c>
      <c r="AD36" s="440">
        <v>1.5491487128746424</v>
      </c>
      <c r="AE36" s="440">
        <v>1.4578924137184786</v>
      </c>
      <c r="AF36" s="440">
        <v>1.3765063392938943</v>
      </c>
      <c r="AG36" s="440">
        <v>1.3055185599564534</v>
      </c>
      <c r="AL36" s="467"/>
      <c r="AM36" s="466"/>
      <c r="AN36" s="466"/>
      <c r="AO36" s="466"/>
    </row>
    <row r="37" spans="1:43" ht="15" x14ac:dyDescent="0.25">
      <c r="A37" s="323" t="str">
        <f t="shared" si="12"/>
        <v xml:space="preserve">Van / LCV </v>
      </c>
      <c r="B37" s="256" t="s">
        <v>839</v>
      </c>
      <c r="C37" s="443">
        <v>21872.524729385099</v>
      </c>
      <c r="D37" s="443">
        <v>16676.133179824523</v>
      </c>
      <c r="E37" s="333">
        <f t="shared" si="13"/>
        <v>15889.36787814397</v>
      </c>
      <c r="F37" s="443">
        <v>15102.602576463418</v>
      </c>
      <c r="G37" s="333">
        <f t="shared" si="14"/>
        <v>15085.19053170866</v>
      </c>
      <c r="H37" s="443">
        <v>15067.778486953905</v>
      </c>
      <c r="I37" s="333">
        <f t="shared" si="15"/>
        <v>15004.514134513698</v>
      </c>
      <c r="J37" s="443">
        <v>14941.24978207349</v>
      </c>
      <c r="K37" s="791">
        <f t="shared" si="16"/>
        <v>496559.73718594579</v>
      </c>
      <c r="L37" s="792">
        <f t="shared" si="16"/>
        <v>378588.95630492171</v>
      </c>
      <c r="M37" s="792">
        <f t="shared" si="16"/>
        <v>360727.4622038473</v>
      </c>
      <c r="N37" s="792">
        <f t="shared" si="16"/>
        <v>342865.96810277284</v>
      </c>
      <c r="O37" s="792">
        <f t="shared" si="16"/>
        <v>342470.67215617938</v>
      </c>
      <c r="P37" s="792">
        <f t="shared" si="16"/>
        <v>342075.37620958587</v>
      </c>
      <c r="Q37" s="792">
        <f t="shared" si="16"/>
        <v>340639.12087968597</v>
      </c>
      <c r="R37" s="793">
        <f t="shared" si="16"/>
        <v>339202.8655497859</v>
      </c>
      <c r="S37" s="331">
        <f t="shared" si="17"/>
        <v>1.9346836886999574</v>
      </c>
      <c r="T37" s="331">
        <f t="shared" si="17"/>
        <v>1.3569090394630183</v>
      </c>
      <c r="U37" s="331">
        <f t="shared" si="17"/>
        <v>1.2694962983717613</v>
      </c>
      <c r="V37" s="331">
        <f t="shared" si="17"/>
        <v>1.1851908116539207</v>
      </c>
      <c r="W37" s="331">
        <f t="shared" si="17"/>
        <v>1.158524408333049</v>
      </c>
      <c r="X37" s="331">
        <f t="shared" si="17"/>
        <v>1.132973952070552</v>
      </c>
      <c r="Y37" s="331">
        <f t="shared" si="17"/>
        <v>1.1165118181059919</v>
      </c>
      <c r="Z37" s="331">
        <f t="shared" si="17"/>
        <v>1.1003877635308705</v>
      </c>
      <c r="AB37" s="460" t="s">
        <v>839</v>
      </c>
      <c r="AC37" s="440">
        <v>1.2758197830107005</v>
      </c>
      <c r="AD37" s="440">
        <v>1.1299521054321982</v>
      </c>
      <c r="AE37" s="440">
        <v>1.0618914797279004</v>
      </c>
      <c r="AF37" s="440">
        <v>0.99656622146728668</v>
      </c>
      <c r="AG37" s="440">
        <v>0.93895711684713434</v>
      </c>
      <c r="AL37" s="467"/>
      <c r="AM37" s="466"/>
      <c r="AN37" s="466"/>
      <c r="AO37" s="466"/>
      <c r="AQ37" s="471"/>
    </row>
    <row r="38" spans="1:43" ht="15" x14ac:dyDescent="0.25">
      <c r="A38" s="323" t="str">
        <f t="shared" si="12"/>
        <v xml:space="preserve">Van / LCV </v>
      </c>
      <c r="B38" s="256" t="s">
        <v>838</v>
      </c>
      <c r="C38" s="443">
        <v>22530.287595513764</v>
      </c>
      <c r="D38" s="443">
        <v>17434.836796625434</v>
      </c>
      <c r="E38" s="333">
        <f t="shared" si="13"/>
        <v>16624.647547676945</v>
      </c>
      <c r="F38" s="443">
        <v>15814.458298728454</v>
      </c>
      <c r="G38" s="333">
        <f t="shared" si="14"/>
        <v>15806.135741797267</v>
      </c>
      <c r="H38" s="443">
        <v>15797.81318486608</v>
      </c>
      <c r="I38" s="333">
        <f t="shared" si="15"/>
        <v>15736.206911870046</v>
      </c>
      <c r="J38" s="443">
        <v>15674.600638874013</v>
      </c>
      <c r="K38" s="791">
        <f t="shared" si="16"/>
        <v>511492.56089864328</v>
      </c>
      <c r="L38" s="792">
        <f t="shared" si="16"/>
        <v>395813.38161575678</v>
      </c>
      <c r="M38" s="792">
        <f t="shared" si="16"/>
        <v>377420.10669636662</v>
      </c>
      <c r="N38" s="792">
        <f t="shared" si="16"/>
        <v>359026.83177697641</v>
      </c>
      <c r="O38" s="792">
        <f t="shared" si="16"/>
        <v>358837.88940596086</v>
      </c>
      <c r="P38" s="792">
        <f t="shared" si="16"/>
        <v>358648.94703494536</v>
      </c>
      <c r="Q38" s="792">
        <f t="shared" si="16"/>
        <v>357250.33415845298</v>
      </c>
      <c r="R38" s="793">
        <f t="shared" si="16"/>
        <v>355851.72128196061</v>
      </c>
      <c r="S38" s="331">
        <f t="shared" si="17"/>
        <v>1.9928645847728288</v>
      </c>
      <c r="T38" s="331">
        <f t="shared" si="17"/>
        <v>1.4186434826225371</v>
      </c>
      <c r="U38" s="331">
        <f t="shared" si="17"/>
        <v>1.3282421733429157</v>
      </c>
      <c r="V38" s="331">
        <f t="shared" si="17"/>
        <v>1.2410543528535429</v>
      </c>
      <c r="W38" s="331">
        <f t="shared" si="17"/>
        <v>1.2138921294899554</v>
      </c>
      <c r="X38" s="331">
        <f t="shared" si="17"/>
        <v>1.1878666024740818</v>
      </c>
      <c r="Y38" s="331">
        <f t="shared" si="17"/>
        <v>1.170958341719976</v>
      </c>
      <c r="Z38" s="331">
        <f t="shared" si="17"/>
        <v>1.1543973223675335</v>
      </c>
      <c r="AB38" s="460" t="s">
        <v>838</v>
      </c>
      <c r="AC38" s="440">
        <v>1.3726349581761412</v>
      </c>
      <c r="AD38" s="440">
        <v>1.2547494611459762</v>
      </c>
      <c r="AE38" s="440">
        <v>1.1811373360677029</v>
      </c>
      <c r="AF38" s="440">
        <v>1.1171068754070992</v>
      </c>
      <c r="AG38" s="440">
        <v>1.0596566745051081</v>
      </c>
      <c r="AK38" s="470">
        <f>zar.2012</f>
        <v>1.1636030437253695</v>
      </c>
      <c r="AL38" s="467"/>
      <c r="AM38" s="466"/>
      <c r="AN38" s="466"/>
      <c r="AO38" s="466"/>
    </row>
    <row r="39" spans="1:43" ht="15" x14ac:dyDescent="0.25">
      <c r="A39" s="323" t="str">
        <f t="shared" si="12"/>
        <v xml:space="preserve">Van / LCV </v>
      </c>
      <c r="B39" s="256" t="s">
        <v>692</v>
      </c>
      <c r="C39" s="443">
        <v>30266.705966079498</v>
      </c>
      <c r="D39" s="443">
        <v>20700.397697957917</v>
      </c>
      <c r="E39" s="333">
        <f t="shared" si="13"/>
        <v>19045.56947060291</v>
      </c>
      <c r="F39" s="443">
        <v>17390.7412432479</v>
      </c>
      <c r="G39" s="333">
        <f t="shared" si="14"/>
        <v>17563.206557000587</v>
      </c>
      <c r="H39" s="443">
        <v>17735.671870753275</v>
      </c>
      <c r="I39" s="333">
        <f t="shared" si="15"/>
        <v>17824.297653410675</v>
      </c>
      <c r="J39" s="443">
        <v>17912.923436068075</v>
      </c>
      <c r="K39" s="791">
        <f t="shared" si="16"/>
        <v>687128.15488599741</v>
      </c>
      <c r="L39" s="792">
        <f t="shared" si="16"/>
        <v>469949.59053506178</v>
      </c>
      <c r="M39" s="792">
        <f t="shared" si="16"/>
        <v>432380.94769067498</v>
      </c>
      <c r="N39" s="792">
        <f t="shared" si="16"/>
        <v>394812.30484628811</v>
      </c>
      <c r="O39" s="792">
        <f t="shared" si="16"/>
        <v>398727.68873224943</v>
      </c>
      <c r="P39" s="792">
        <f t="shared" si="16"/>
        <v>402643.07261821086</v>
      </c>
      <c r="Q39" s="792">
        <f t="shared" si="16"/>
        <v>404655.09436187055</v>
      </c>
      <c r="R39" s="793">
        <f t="shared" si="16"/>
        <v>406667.11610553024</v>
      </c>
      <c r="S39" s="331">
        <f t="shared" si="17"/>
        <v>2.6771716145133779</v>
      </c>
      <c r="T39" s="331">
        <f t="shared" si="17"/>
        <v>1.6843567063149421</v>
      </c>
      <c r="U39" s="331">
        <f t="shared" si="17"/>
        <v>1.5216640541484443</v>
      </c>
      <c r="V39" s="331">
        <f t="shared" si="17"/>
        <v>1.3647546258993764</v>
      </c>
      <c r="W39" s="331">
        <f t="shared" si="17"/>
        <v>1.3488330453705932</v>
      </c>
      <c r="X39" s="331">
        <f t="shared" si="17"/>
        <v>1.3335777579576074</v>
      </c>
      <c r="Y39" s="331">
        <f t="shared" si="17"/>
        <v>1.3263367811220979</v>
      </c>
      <c r="Z39" s="331">
        <f t="shared" si="17"/>
        <v>1.3192445107078068</v>
      </c>
      <c r="AB39" s="460" t="s">
        <v>692</v>
      </c>
      <c r="AC39" s="440">
        <v>0.71204570298567482</v>
      </c>
      <c r="AD39" s="440">
        <v>0.65747551719774433</v>
      </c>
      <c r="AE39" s="440">
        <v>0.61881416451317972</v>
      </c>
      <c r="AF39" s="440">
        <v>0.58917428402300132</v>
      </c>
      <c r="AG39" s="440">
        <v>0.55797401529936719</v>
      </c>
      <c r="AK39" s="470">
        <f>zar.base</f>
        <v>2015</v>
      </c>
      <c r="AL39" s="467"/>
      <c r="AM39" s="466"/>
      <c r="AN39" s="466"/>
      <c r="AO39" s="466"/>
    </row>
    <row r="40" spans="1:43" ht="15" x14ac:dyDescent="0.25">
      <c r="A40" s="323" t="str">
        <f t="shared" si="12"/>
        <v xml:space="preserve">Van / LCV </v>
      </c>
      <c r="B40" s="256" t="s">
        <v>699</v>
      </c>
      <c r="C40" s="443">
        <v>89397.233323383392</v>
      </c>
      <c r="D40" s="443">
        <v>35742.45176358601</v>
      </c>
      <c r="E40" s="333">
        <f t="shared" si="13"/>
        <v>27438.425753122989</v>
      </c>
      <c r="F40" s="443">
        <v>19134.399742659967</v>
      </c>
      <c r="G40" s="333">
        <f t="shared" si="14"/>
        <v>18221.158014073364</v>
      </c>
      <c r="H40" s="443">
        <v>17307.916285486757</v>
      </c>
      <c r="I40" s="333">
        <f t="shared" si="15"/>
        <v>17072.587033819684</v>
      </c>
      <c r="J40" s="443">
        <v>16837.25778215261</v>
      </c>
      <c r="K40" s="791">
        <f t="shared" si="16"/>
        <v>2029535.5581229187</v>
      </c>
      <c r="L40" s="792">
        <f t="shared" si="16"/>
        <v>811440.95954608021</v>
      </c>
      <c r="M40" s="792">
        <f t="shared" si="16"/>
        <v>622919.2856946364</v>
      </c>
      <c r="N40" s="792">
        <f t="shared" si="16"/>
        <v>434397.61184319266</v>
      </c>
      <c r="O40" s="792">
        <f t="shared" si="16"/>
        <v>413664.79392003053</v>
      </c>
      <c r="P40" s="792">
        <f t="shared" si="16"/>
        <v>392931.97599686834</v>
      </c>
      <c r="Q40" s="792">
        <f t="shared" si="16"/>
        <v>387589.42716879566</v>
      </c>
      <c r="R40" s="793">
        <f t="shared" si="16"/>
        <v>382246.87834072293</v>
      </c>
      <c r="S40" s="331">
        <f t="shared" si="17"/>
        <v>7.9074259266143905</v>
      </c>
      <c r="T40" s="331">
        <f t="shared" si="17"/>
        <v>2.9083034638543888</v>
      </c>
      <c r="U40" s="331">
        <f t="shared" si="17"/>
        <v>2.1922193629018594</v>
      </c>
      <c r="V40" s="331">
        <f t="shared" si="17"/>
        <v>1.5015898515965738</v>
      </c>
      <c r="W40" s="331">
        <f t="shared" si="17"/>
        <v>1.3993629223989856</v>
      </c>
      <c r="X40" s="331">
        <f t="shared" si="17"/>
        <v>1.3014140294836807</v>
      </c>
      <c r="Y40" s="331">
        <f t="shared" si="17"/>
        <v>1.2704006952851989</v>
      </c>
      <c r="Z40" s="331">
        <f t="shared" si="17"/>
        <v>1.2400242754207191</v>
      </c>
      <c r="AB40" s="460" t="s">
        <v>699</v>
      </c>
      <c r="AC40" s="440">
        <v>1.4019884160257075</v>
      </c>
      <c r="AD40" s="440">
        <v>1.2516481278662279</v>
      </c>
      <c r="AE40" s="440">
        <v>1.1410975435913393</v>
      </c>
      <c r="AF40" s="440">
        <v>1.0541211751644466</v>
      </c>
      <c r="AG40" s="440">
        <v>0.97008183815697979</v>
      </c>
      <c r="AL40" s="467"/>
      <c r="AM40" s="466"/>
      <c r="AN40" s="466"/>
      <c r="AO40" s="466"/>
    </row>
    <row r="41" spans="1:43" ht="15" x14ac:dyDescent="0.25">
      <c r="A41" s="323" t="str">
        <f t="shared" si="12"/>
        <v xml:space="preserve">Van / LCV </v>
      </c>
      <c r="B41" s="256" t="s">
        <v>837</v>
      </c>
      <c r="C41" s="443">
        <v>93147.376244808911</v>
      </c>
      <c r="D41" s="443">
        <v>37446.557579359069</v>
      </c>
      <c r="E41" s="333">
        <f t="shared" si="13"/>
        <v>28874.627869843178</v>
      </c>
      <c r="F41" s="443">
        <v>20302.698160327291</v>
      </c>
      <c r="G41" s="333">
        <f t="shared" si="14"/>
        <v>19342.312720809401</v>
      </c>
      <c r="H41" s="443">
        <v>18381.927281291511</v>
      </c>
      <c r="I41" s="333">
        <f t="shared" si="15"/>
        <v>18103.33880463173</v>
      </c>
      <c r="J41" s="443">
        <v>17824.750327971949</v>
      </c>
      <c r="K41" s="791">
        <f t="shared" si="16"/>
        <v>2114672.9625383778</v>
      </c>
      <c r="L41" s="792">
        <f t="shared" si="16"/>
        <v>850128.3240129943</v>
      </c>
      <c r="M41" s="792">
        <f t="shared" si="16"/>
        <v>655524.58181147499</v>
      </c>
      <c r="N41" s="792">
        <f t="shared" si="16"/>
        <v>460920.8396099559</v>
      </c>
      <c r="O41" s="792">
        <f t="shared" si="16"/>
        <v>439117.74429542525</v>
      </c>
      <c r="P41" s="792">
        <f t="shared" si="16"/>
        <v>417314.64898089459</v>
      </c>
      <c r="Q41" s="792">
        <f t="shared" si="16"/>
        <v>410990.01008050452</v>
      </c>
      <c r="R41" s="793">
        <f t="shared" si="16"/>
        <v>404665.37118011439</v>
      </c>
      <c r="S41" s="331">
        <f t="shared" si="17"/>
        <v>8.2391361626361252</v>
      </c>
      <c r="T41" s="331">
        <f t="shared" si="17"/>
        <v>3.0469637012541178</v>
      </c>
      <c r="U41" s="331">
        <f t="shared" si="17"/>
        <v>2.3069661095863436</v>
      </c>
      <c r="V41" s="331">
        <f t="shared" si="17"/>
        <v>1.5932731586874349</v>
      </c>
      <c r="W41" s="331">
        <f t="shared" si="17"/>
        <v>1.4854662494031066</v>
      </c>
      <c r="X41" s="331">
        <f t="shared" si="17"/>
        <v>1.3821708897957501</v>
      </c>
      <c r="Y41" s="331">
        <f t="shared" si="17"/>
        <v>1.3471007152477332</v>
      </c>
      <c r="Z41" s="331">
        <f t="shared" si="17"/>
        <v>1.3127507695123499</v>
      </c>
      <c r="AB41" s="460" t="s">
        <v>837</v>
      </c>
      <c r="AC41" s="440">
        <v>1.1881061749832973</v>
      </c>
      <c r="AD41" s="440">
        <v>0.99615390527877989</v>
      </c>
      <c r="AE41" s="440">
        <v>0.91651569058773064</v>
      </c>
      <c r="AF41" s="440">
        <v>0.85419401197362499</v>
      </c>
      <c r="AG41" s="440">
        <v>0.79287547432820638</v>
      </c>
      <c r="AL41" s="467"/>
      <c r="AM41" s="466"/>
      <c r="AN41" s="466"/>
      <c r="AO41" s="466"/>
    </row>
    <row r="42" spans="1:43" ht="15" x14ac:dyDescent="0.25">
      <c r="A42" s="323" t="str">
        <f t="shared" si="12"/>
        <v xml:space="preserve">Van / LCV </v>
      </c>
      <c r="B42" s="256" t="s">
        <v>836</v>
      </c>
      <c r="C42" s="443">
        <v>63892.000362104511</v>
      </c>
      <c r="D42" s="443">
        <v>28828.821424319947</v>
      </c>
      <c r="E42" s="333">
        <f t="shared" si="13"/>
        <v>23564.877441733282</v>
      </c>
      <c r="F42" s="443">
        <v>18300.933459146618</v>
      </c>
      <c r="G42" s="333">
        <f t="shared" si="14"/>
        <v>17735.79136497252</v>
      </c>
      <c r="H42" s="443">
        <v>17170.649270798422</v>
      </c>
      <c r="I42" s="333">
        <f t="shared" si="15"/>
        <v>16943.796547064114</v>
      </c>
      <c r="J42" s="443">
        <v>16716.943823329806</v>
      </c>
      <c r="K42" s="791">
        <f t="shared" si="16"/>
        <v>1450504.470819857</v>
      </c>
      <c r="L42" s="792">
        <f t="shared" si="16"/>
        <v>654484.66361127386</v>
      </c>
      <c r="M42" s="792">
        <f t="shared" si="16"/>
        <v>534980.27749698469</v>
      </c>
      <c r="N42" s="792">
        <f t="shared" si="16"/>
        <v>415475.89138269558</v>
      </c>
      <c r="O42" s="792">
        <f t="shared" si="16"/>
        <v>402645.7854288643</v>
      </c>
      <c r="P42" s="792">
        <f t="shared" si="16"/>
        <v>389815.67947503307</v>
      </c>
      <c r="Q42" s="792">
        <f t="shared" si="16"/>
        <v>384665.56853580126</v>
      </c>
      <c r="R42" s="793">
        <f t="shared" si="16"/>
        <v>379515.4575965695</v>
      </c>
      <c r="S42" s="331">
        <f t="shared" si="17"/>
        <v>5.6514194162920681</v>
      </c>
      <c r="T42" s="331">
        <f t="shared" si="17"/>
        <v>2.3457529372007864</v>
      </c>
      <c r="U42" s="331">
        <f t="shared" si="17"/>
        <v>1.8827385024557088</v>
      </c>
      <c r="V42" s="331">
        <f t="shared" si="17"/>
        <v>1.4361828082712849</v>
      </c>
      <c r="W42" s="331">
        <f t="shared" si="17"/>
        <v>1.362087350122176</v>
      </c>
      <c r="X42" s="331">
        <f t="shared" si="17"/>
        <v>1.2910926704157184</v>
      </c>
      <c r="Y42" s="331">
        <f t="shared" si="17"/>
        <v>1.2608171726710642</v>
      </c>
      <c r="Z42" s="331">
        <f t="shared" si="17"/>
        <v>1.231163436468049</v>
      </c>
      <c r="AB42" s="460" t="s">
        <v>836</v>
      </c>
      <c r="AC42" s="440">
        <v>0.97422393394088724</v>
      </c>
      <c r="AD42" s="440">
        <v>0.88326110925176804</v>
      </c>
      <c r="AE42" s="440">
        <v>0.81728184856288022</v>
      </c>
      <c r="AF42" s="440">
        <v>0.76585410265675047</v>
      </c>
      <c r="AG42" s="440">
        <v>0.71457498798525998</v>
      </c>
      <c r="AL42" s="467"/>
      <c r="AM42" s="466"/>
      <c r="AN42" s="466"/>
      <c r="AO42" s="466"/>
    </row>
    <row r="43" spans="1:43" ht="15" x14ac:dyDescent="0.25">
      <c r="A43" s="323" t="str">
        <f t="shared" si="12"/>
        <v xml:space="preserve">Van / LCV </v>
      </c>
      <c r="B43" s="256" t="s">
        <v>700</v>
      </c>
      <c r="C43" s="469">
        <v>13192.267722867144</v>
      </c>
      <c r="D43" s="469">
        <v>13865.866014584546</v>
      </c>
      <c r="E43" s="333">
        <f t="shared" si="13"/>
        <v>14011.820937842185</v>
      </c>
      <c r="F43" s="469">
        <v>14157.775861099826</v>
      </c>
      <c r="G43" s="333">
        <f t="shared" si="14"/>
        <v>14366.961685106786</v>
      </c>
      <c r="H43" s="469">
        <v>14576.147509113745</v>
      </c>
      <c r="I43" s="333">
        <f t="shared" si="15"/>
        <v>14667.876634420591</v>
      </c>
      <c r="J43" s="469">
        <v>14759.605759727438</v>
      </c>
      <c r="K43" s="791">
        <f t="shared" si="16"/>
        <v>299496.70074222406</v>
      </c>
      <c r="L43" s="792">
        <f t="shared" si="16"/>
        <v>314789.02729539643</v>
      </c>
      <c r="M43" s="792">
        <f t="shared" si="16"/>
        <v>318102.56056284037</v>
      </c>
      <c r="N43" s="792">
        <f t="shared" si="16"/>
        <v>321416.09383028437</v>
      </c>
      <c r="O43" s="792">
        <f t="shared" si="16"/>
        <v>326165.12299253611</v>
      </c>
      <c r="P43" s="792">
        <f t="shared" si="16"/>
        <v>330914.15215478779</v>
      </c>
      <c r="Q43" s="792">
        <f t="shared" si="16"/>
        <v>332996.62735681463</v>
      </c>
      <c r="R43" s="793">
        <f t="shared" si="16"/>
        <v>335079.10255884152</v>
      </c>
      <c r="S43" s="331">
        <f t="shared" si="17"/>
        <v>1.166891590987883</v>
      </c>
      <c r="T43" s="331">
        <f t="shared" si="17"/>
        <v>1.12824230487291</v>
      </c>
      <c r="U43" s="331">
        <f t="shared" si="17"/>
        <v>1.1194878833730166</v>
      </c>
      <c r="V43" s="331">
        <f t="shared" si="17"/>
        <v>1.1110446546598123</v>
      </c>
      <c r="W43" s="331">
        <f t="shared" si="17"/>
        <v>1.1033653006102699</v>
      </c>
      <c r="X43" s="331">
        <f t="shared" si="17"/>
        <v>1.0960073154554633</v>
      </c>
      <c r="Y43" s="331">
        <f t="shared" si="17"/>
        <v>1.0914620401590305</v>
      </c>
      <c r="Z43" s="331">
        <f t="shared" si="17"/>
        <v>1.0870101102271998</v>
      </c>
      <c r="AB43" s="460" t="s">
        <v>700</v>
      </c>
      <c r="AC43" s="468">
        <v>3.3385897630365569</v>
      </c>
      <c r="AD43" s="468">
        <v>2.7334614100613899</v>
      </c>
      <c r="AE43" s="468">
        <v>2.4198016848800807</v>
      </c>
      <c r="AF43" s="468">
        <v>2.1506862151085344</v>
      </c>
      <c r="AG43" s="468">
        <v>1.9649052018216842</v>
      </c>
      <c r="AL43" s="467"/>
      <c r="AM43" s="466"/>
      <c r="AN43" s="466"/>
      <c r="AO43" s="466"/>
    </row>
    <row r="44" spans="1:43" x14ac:dyDescent="0.2">
      <c r="A44" s="323" t="str">
        <f t="shared" si="12"/>
        <v xml:space="preserve">Van / LCV </v>
      </c>
      <c r="B44" s="260"/>
      <c r="C44" s="458"/>
      <c r="D44" s="458"/>
      <c r="E44" s="459"/>
      <c r="F44" s="458"/>
      <c r="G44" s="458"/>
      <c r="H44" s="458"/>
      <c r="I44" s="458"/>
      <c r="J44" s="458"/>
      <c r="K44" s="794"/>
      <c r="L44" s="458"/>
      <c r="M44" s="458"/>
      <c r="N44" s="458"/>
      <c r="O44" s="458"/>
      <c r="P44" s="458"/>
      <c r="Q44" s="458"/>
      <c r="R44" s="795"/>
      <c r="AB44" s="465"/>
      <c r="AE44" s="464"/>
      <c r="AF44" s="464"/>
    </row>
    <row r="45" spans="1:43" x14ac:dyDescent="0.2">
      <c r="A45" s="323" t="str">
        <f t="shared" si="12"/>
        <v xml:space="preserve">Van / LCV </v>
      </c>
      <c r="B45" s="453" t="s">
        <v>832</v>
      </c>
      <c r="C45" s="457" t="s">
        <v>831</v>
      </c>
      <c r="D45" s="456">
        <v>0.08</v>
      </c>
      <c r="E45" s="455"/>
      <c r="F45" s="454"/>
      <c r="G45" s="454"/>
      <c r="H45" s="454"/>
      <c r="I45" s="454"/>
      <c r="J45" s="454"/>
      <c r="K45" s="800"/>
      <c r="L45" s="454"/>
      <c r="M45" s="454"/>
      <c r="N45" s="454"/>
      <c r="O45" s="454"/>
      <c r="P45" s="454"/>
      <c r="Q45" s="454"/>
      <c r="R45" s="801"/>
      <c r="AB45" s="453" t="s">
        <v>816</v>
      </c>
      <c r="AC45" s="323" t="s">
        <v>834</v>
      </c>
      <c r="AE45" s="464"/>
      <c r="AF45" s="464"/>
    </row>
    <row r="46" spans="1:43" x14ac:dyDescent="0.2">
      <c r="A46" s="323" t="str">
        <f>B46</f>
        <v>Small Rigid Truck</v>
      </c>
      <c r="B46" s="352" t="s">
        <v>725</v>
      </c>
      <c r="C46" s="352">
        <v>2010</v>
      </c>
      <c r="D46" s="352">
        <v>2020</v>
      </c>
      <c r="E46" s="355"/>
      <c r="F46" s="352">
        <v>2030</v>
      </c>
      <c r="G46" s="352"/>
      <c r="H46" s="352">
        <v>2040</v>
      </c>
      <c r="I46" s="352"/>
      <c r="J46" s="352">
        <v>2050</v>
      </c>
      <c r="K46" s="796">
        <f>C46</f>
        <v>2010</v>
      </c>
      <c r="L46" s="354">
        <f>D46</f>
        <v>2020</v>
      </c>
      <c r="M46" s="354"/>
      <c r="N46" s="354">
        <f>F46</f>
        <v>2030</v>
      </c>
      <c r="O46" s="354"/>
      <c r="P46" s="354">
        <f>H46</f>
        <v>2040</v>
      </c>
      <c r="Q46" s="354"/>
      <c r="R46" s="797">
        <f>J46</f>
        <v>2050</v>
      </c>
      <c r="S46" s="323">
        <f>S29</f>
        <v>2010</v>
      </c>
      <c r="T46" s="323">
        <f>T29</f>
        <v>2020</v>
      </c>
      <c r="V46" s="323">
        <f>V29</f>
        <v>2030</v>
      </c>
      <c r="X46" s="323">
        <f>X29</f>
        <v>2040</v>
      </c>
      <c r="Z46" s="323">
        <f>Z29</f>
        <v>2050</v>
      </c>
      <c r="AB46" s="352" t="s">
        <v>835</v>
      </c>
      <c r="AC46" s="352">
        <v>2010</v>
      </c>
      <c r="AD46" s="352">
        <v>2020</v>
      </c>
      <c r="AE46" s="352">
        <v>2030</v>
      </c>
      <c r="AF46" s="352">
        <v>2040</v>
      </c>
      <c r="AG46" s="352">
        <v>2050</v>
      </c>
    </row>
    <row r="47" spans="1:43" ht="15" x14ac:dyDescent="0.2">
      <c r="A47" s="323" t="str">
        <f>A46</f>
        <v>Small Rigid Truck</v>
      </c>
      <c r="B47" s="448" t="s">
        <v>791</v>
      </c>
      <c r="C47" s="449" t="s">
        <v>193</v>
      </c>
      <c r="D47" s="449" t="s">
        <v>193</v>
      </c>
      <c r="E47" s="463"/>
      <c r="F47" s="449" t="s">
        <v>193</v>
      </c>
      <c r="G47" s="449"/>
      <c r="H47" s="449" t="s">
        <v>193</v>
      </c>
      <c r="I47" s="449"/>
      <c r="J47" s="449" t="s">
        <v>193</v>
      </c>
      <c r="K47" s="798" t="str">
        <f>zar.base&amp;"ZAR"</f>
        <v>2015ZAR</v>
      </c>
      <c r="L47" s="323" t="str">
        <f>zar.base&amp;"ZAR"</f>
        <v>2015ZAR</v>
      </c>
      <c r="N47" s="323" t="str">
        <f>zar.base&amp;"ZAR"</f>
        <v>2015ZAR</v>
      </c>
      <c r="P47" s="323" t="str">
        <f>zar.base&amp;"ZAR"</f>
        <v>2015ZAR</v>
      </c>
      <c r="R47" s="799" t="str">
        <f>zar.base&amp;"ZAR"</f>
        <v>2015ZAR</v>
      </c>
      <c r="S47" s="331"/>
      <c r="T47" s="331"/>
      <c r="U47" s="331"/>
      <c r="V47" s="331"/>
      <c r="W47" s="331"/>
      <c r="X47" s="331"/>
      <c r="Y47" s="331"/>
      <c r="Z47" s="331"/>
      <c r="AB47" s="448" t="s">
        <v>659</v>
      </c>
      <c r="AC47" s="447" t="s">
        <v>663</v>
      </c>
      <c r="AD47" s="447" t="s">
        <v>663</v>
      </c>
      <c r="AE47" s="447" t="s">
        <v>663</v>
      </c>
      <c r="AF47" s="447" t="s">
        <v>663</v>
      </c>
      <c r="AG47" s="447" t="s">
        <v>663</v>
      </c>
    </row>
    <row r="48" spans="1:43" ht="15" x14ac:dyDescent="0.2">
      <c r="A48" s="323" t="str">
        <f>A47</f>
        <v>Small Rigid Truck</v>
      </c>
      <c r="B48" s="256" t="s">
        <v>687</v>
      </c>
      <c r="C48" s="443">
        <v>29319.790828640387</v>
      </c>
      <c r="D48" s="443">
        <v>35280.157533348094</v>
      </c>
      <c r="E48" s="333">
        <f>AVERAGE(D48,F48)</f>
        <v>36396.413713979826</v>
      </c>
      <c r="F48" s="443">
        <v>37512.669894611565</v>
      </c>
      <c r="G48" s="333">
        <f>AVERAGE(F48,H48)</f>
        <v>38512.295901471109</v>
      </c>
      <c r="H48" s="443">
        <v>39511.921908330653</v>
      </c>
      <c r="I48" s="333">
        <f>AVERAGE(H48,J48)</f>
        <v>40168.269988600499</v>
      </c>
      <c r="J48" s="443">
        <v>40824.618068870353</v>
      </c>
      <c r="K48" s="791">
        <f t="shared" ref="K48:R56" si="18">C48*$B$2*$K$3</f>
        <v>665630.86833121476</v>
      </c>
      <c r="L48" s="792">
        <f t="shared" si="18"/>
        <v>800945.7513197927</v>
      </c>
      <c r="M48" s="792">
        <f t="shared" si="18"/>
        <v>826287.49318747991</v>
      </c>
      <c r="N48" s="792">
        <f t="shared" si="18"/>
        <v>851629.23505516711</v>
      </c>
      <c r="O48" s="792">
        <f t="shared" si="18"/>
        <v>874323.18709736317</v>
      </c>
      <c r="P48" s="792">
        <f t="shared" si="18"/>
        <v>897017.13913955924</v>
      </c>
      <c r="Q48" s="792">
        <f t="shared" si="18"/>
        <v>911917.84375750553</v>
      </c>
      <c r="R48" s="793">
        <f t="shared" si="18"/>
        <v>926818.54837545205</v>
      </c>
      <c r="S48" s="331">
        <f t="shared" ref="S48:Z56" si="19">C48/C$48</f>
        <v>1</v>
      </c>
      <c r="T48" s="331">
        <f t="shared" si="19"/>
        <v>1</v>
      </c>
      <c r="U48" s="331">
        <f t="shared" si="19"/>
        <v>1</v>
      </c>
      <c r="V48" s="331">
        <f t="shared" si="19"/>
        <v>1</v>
      </c>
      <c r="W48" s="331">
        <f t="shared" si="19"/>
        <v>1</v>
      </c>
      <c r="X48" s="331">
        <f t="shared" si="19"/>
        <v>1</v>
      </c>
      <c r="Y48" s="331">
        <f t="shared" si="19"/>
        <v>1</v>
      </c>
      <c r="Z48" s="331">
        <f t="shared" si="19"/>
        <v>1</v>
      </c>
      <c r="AB48" s="460" t="s">
        <v>687</v>
      </c>
      <c r="AC48" s="440">
        <v>9.3808428425650323</v>
      </c>
      <c r="AD48" s="440">
        <v>8.8624002557856656</v>
      </c>
      <c r="AE48" s="440">
        <v>8.1665144450675626</v>
      </c>
      <c r="AF48" s="440">
        <v>7.6608632465051718</v>
      </c>
      <c r="AG48" s="440">
        <v>7.3657118810820803</v>
      </c>
    </row>
    <row r="49" spans="1:33" ht="15" x14ac:dyDescent="0.2">
      <c r="A49" s="323" t="str">
        <f>A48</f>
        <v>Small Rigid Truck</v>
      </c>
      <c r="B49" s="462" t="s">
        <v>680</v>
      </c>
      <c r="C49" s="443">
        <f>C48*'Vehicle data-proc2023'!$H$106</f>
        <v>23100.675181415263</v>
      </c>
      <c r="D49" s="443">
        <f>D48*'Vehicle data-proc2023'!$H$106</f>
        <v>27796.769229708309</v>
      </c>
      <c r="E49" s="333">
        <f>E48*'Vehicle data-proc2023'!$H$106</f>
        <v>28676.252702108533</v>
      </c>
      <c r="F49" s="443">
        <f>F48*'Vehicle data-proc2023'!$H$106</f>
        <v>29555.736174508762</v>
      </c>
      <c r="G49" s="333">
        <f>G48*'Vehicle data-proc2023'!$H$106</f>
        <v>30343.328276455155</v>
      </c>
      <c r="H49" s="443">
        <f>H48*'Vehicle data-proc2023'!$H$106</f>
        <v>31130.920378401548</v>
      </c>
      <c r="I49" s="333">
        <f>I48*'Vehicle data-proc2023'!$H$106</f>
        <v>31648.048344861953</v>
      </c>
      <c r="J49" s="443">
        <f>J48*'Vehicle data-proc2023'!$H$106</f>
        <v>32165.176311322364</v>
      </c>
      <c r="K49" s="791">
        <f t="shared" si="18"/>
        <v>524441.75232732459</v>
      </c>
      <c r="L49" s="792">
        <f t="shared" si="18"/>
        <v>631054.55790289911</v>
      </c>
      <c r="M49" s="792">
        <f t="shared" si="18"/>
        <v>651020.98095271387</v>
      </c>
      <c r="N49" s="792">
        <f t="shared" si="18"/>
        <v>670987.40400252875</v>
      </c>
      <c r="O49" s="792">
        <f t="shared" si="18"/>
        <v>688867.66848918016</v>
      </c>
      <c r="P49" s="792">
        <f t="shared" si="18"/>
        <v>706747.93297583144</v>
      </c>
      <c r="Q49" s="792">
        <f t="shared" si="18"/>
        <v>718488.00095125346</v>
      </c>
      <c r="R49" s="793">
        <f t="shared" si="18"/>
        <v>730228.06892667571</v>
      </c>
      <c r="S49" s="331">
        <f t="shared" si="19"/>
        <v>0.78788676619240683</v>
      </c>
      <c r="T49" s="331">
        <f t="shared" si="19"/>
        <v>0.78788676619240683</v>
      </c>
      <c r="U49" s="331">
        <f t="shared" si="19"/>
        <v>0.78788676619240683</v>
      </c>
      <c r="V49" s="331">
        <f t="shared" si="19"/>
        <v>0.78788676619240683</v>
      </c>
      <c r="W49" s="331">
        <f t="shared" si="19"/>
        <v>0.78788676619240683</v>
      </c>
      <c r="X49" s="331">
        <f t="shared" si="19"/>
        <v>0.78788676619240683</v>
      </c>
      <c r="Y49" s="331">
        <f t="shared" si="19"/>
        <v>0.78788676619240683</v>
      </c>
      <c r="Z49" s="331">
        <f t="shared" si="19"/>
        <v>0.78788676619240683</v>
      </c>
      <c r="AB49" s="462" t="s">
        <v>680</v>
      </c>
      <c r="AC49" s="461">
        <f>AC48/'Vehicle data-proc2023'!$G$106</f>
        <v>10.853867751728137</v>
      </c>
      <c r="AD49" s="461">
        <f>AD48/'Vehicle data-proc2023'!$G$106</f>
        <v>10.254016824875976</v>
      </c>
      <c r="AE49" s="461">
        <f>AE48/'Vehicle data-proc2023'!$G$106</f>
        <v>9.4488596885079232</v>
      </c>
      <c r="AF49" s="461">
        <f>AF48/'Vehicle data-proc2023'!$G$106</f>
        <v>8.8638087149646605</v>
      </c>
      <c r="AG49" s="461">
        <f>AG48/'Vehicle data-proc2023'!$G$106</f>
        <v>8.5223112673676962</v>
      </c>
    </row>
    <row r="50" spans="1:33" ht="15" x14ac:dyDescent="0.2">
      <c r="A50" s="323" t="str">
        <f>A48</f>
        <v>Small Rigid Truck</v>
      </c>
      <c r="B50" s="256" t="s">
        <v>829</v>
      </c>
      <c r="C50" s="443">
        <v>35669.354783651295</v>
      </c>
      <c r="D50" s="443">
        <v>39884.927570945212</v>
      </c>
      <c r="E50" s="333">
        <f t="shared" ref="E50:E56" si="20">AVERAGE(D50,F50)</f>
        <v>40227.826617070168</v>
      </c>
      <c r="F50" s="443">
        <v>40570.725663195117</v>
      </c>
      <c r="G50" s="333">
        <f t="shared" ref="G50:G56" si="21">AVERAGE(F50,H50)</f>
        <v>41186.286477136309</v>
      </c>
      <c r="H50" s="443">
        <v>41801.847291077502</v>
      </c>
      <c r="I50" s="333">
        <f t="shared" ref="I50:I56" si="22">AVERAGE(H50,J50)</f>
        <v>42208.318748892634</v>
      </c>
      <c r="J50" s="443">
        <v>42614.790206707767</v>
      </c>
      <c r="K50" s="791">
        <f t="shared" si="18"/>
        <v>809781.47955487901</v>
      </c>
      <c r="L50" s="792">
        <f t="shared" si="18"/>
        <v>905485.27878454118</v>
      </c>
      <c r="M50" s="792">
        <f t="shared" si="18"/>
        <v>913269.92469678773</v>
      </c>
      <c r="N50" s="792">
        <f t="shared" si="18"/>
        <v>921054.57060903416</v>
      </c>
      <c r="O50" s="792">
        <f t="shared" si="18"/>
        <v>935029.30465434329</v>
      </c>
      <c r="P50" s="792">
        <f t="shared" si="18"/>
        <v>949004.03869965253</v>
      </c>
      <c r="Q50" s="792">
        <f t="shared" si="18"/>
        <v>958231.93363923894</v>
      </c>
      <c r="R50" s="793">
        <f t="shared" si="18"/>
        <v>967459.82857882523</v>
      </c>
      <c r="S50" s="331">
        <f t="shared" si="19"/>
        <v>1.2165623892790012</v>
      </c>
      <c r="T50" s="331">
        <f t="shared" si="19"/>
        <v>1.1305201098732205</v>
      </c>
      <c r="U50" s="331">
        <f t="shared" si="19"/>
        <v>1.1052689677944478</v>
      </c>
      <c r="V50" s="331">
        <f t="shared" si="19"/>
        <v>1.0815206109609068</v>
      </c>
      <c r="W50" s="331">
        <f t="shared" si="19"/>
        <v>1.0694321258464121</v>
      </c>
      <c r="X50" s="331">
        <f t="shared" si="19"/>
        <v>1.0579553024036537</v>
      </c>
      <c r="Y50" s="331">
        <f t="shared" si="19"/>
        <v>1.0507875684183334</v>
      </c>
      <c r="Z50" s="331">
        <f t="shared" si="19"/>
        <v>1.0438503095073033</v>
      </c>
      <c r="AB50" s="460" t="s">
        <v>829</v>
      </c>
      <c r="AC50" s="440">
        <v>8.0370670492087761</v>
      </c>
      <c r="AD50" s="440">
        <v>8.0706644168506614</v>
      </c>
      <c r="AE50" s="440">
        <v>7.4344594207826038</v>
      </c>
      <c r="AF50" s="440">
        <v>6.9720113833657038</v>
      </c>
      <c r="AG50" s="440">
        <v>6.7013644209760415</v>
      </c>
    </row>
    <row r="51" spans="1:33" ht="15" x14ac:dyDescent="0.2">
      <c r="A51" s="323" t="str">
        <f t="shared" ref="A51:A58" si="23">A50</f>
        <v>Small Rigid Truck</v>
      </c>
      <c r="B51" s="256" t="s">
        <v>828</v>
      </c>
      <c r="C51" s="443">
        <v>36209.955757295749</v>
      </c>
      <c r="D51" s="443">
        <v>38227.4132830854</v>
      </c>
      <c r="E51" s="333">
        <f t="shared" si="20"/>
        <v>38919.452372247106</v>
      </c>
      <c r="F51" s="443">
        <v>39611.491461408819</v>
      </c>
      <c r="G51" s="333">
        <f t="shared" si="21"/>
        <v>40485.614094740085</v>
      </c>
      <c r="H51" s="443">
        <v>41359.736728071344</v>
      </c>
      <c r="I51" s="333">
        <f t="shared" si="22"/>
        <v>41811.402311297265</v>
      </c>
      <c r="J51" s="443">
        <v>42263.067894523185</v>
      </c>
      <c r="K51" s="791">
        <f t="shared" si="18"/>
        <v>822054.4421285463</v>
      </c>
      <c r="L51" s="792">
        <f t="shared" si="18"/>
        <v>867855.65580572386</v>
      </c>
      <c r="M51" s="792">
        <f t="shared" si="18"/>
        <v>883566.63350437384</v>
      </c>
      <c r="N51" s="792">
        <f t="shared" si="18"/>
        <v>899277.61120302393</v>
      </c>
      <c r="O51" s="792">
        <f t="shared" si="18"/>
        <v>919122.33011158789</v>
      </c>
      <c r="P51" s="792">
        <f t="shared" si="18"/>
        <v>938967.04902015161</v>
      </c>
      <c r="Q51" s="792">
        <f t="shared" si="18"/>
        <v>949220.9609977334</v>
      </c>
      <c r="R51" s="793">
        <f t="shared" si="18"/>
        <v>959474.87297531543</v>
      </c>
      <c r="S51" s="331">
        <f t="shared" si="19"/>
        <v>1.2350004803555712</v>
      </c>
      <c r="T51" s="331">
        <f t="shared" si="19"/>
        <v>1.0835386221547183</v>
      </c>
      <c r="U51" s="331">
        <f t="shared" si="19"/>
        <v>1.0693210786671046</v>
      </c>
      <c r="V51" s="331">
        <f t="shared" si="19"/>
        <v>1.0559496717427392</v>
      </c>
      <c r="W51" s="331">
        <f t="shared" si="19"/>
        <v>1.0512386537099077</v>
      </c>
      <c r="X51" s="331">
        <f t="shared" si="19"/>
        <v>1.046766007080792</v>
      </c>
      <c r="Y51" s="331">
        <f t="shared" si="19"/>
        <v>1.0409062258136355</v>
      </c>
      <c r="Z51" s="331">
        <f t="shared" si="19"/>
        <v>1.0352348630237322</v>
      </c>
      <c r="AB51" s="460" t="s">
        <v>828</v>
      </c>
      <c r="AC51" s="440">
        <v>8.5098356991622346</v>
      </c>
      <c r="AD51" s="440">
        <v>8.5454093825477599</v>
      </c>
      <c r="AE51" s="440">
        <v>7.8138799454751222</v>
      </c>
      <c r="AF51" s="440">
        <v>7.2632202758226097</v>
      </c>
      <c r="AG51" s="440">
        <v>6.9818150541375985</v>
      </c>
    </row>
    <row r="52" spans="1:33" ht="15" x14ac:dyDescent="0.2">
      <c r="A52" s="323" t="str">
        <f t="shared" si="23"/>
        <v>Small Rigid Truck</v>
      </c>
      <c r="B52" s="256" t="s">
        <v>689</v>
      </c>
      <c r="C52" s="443">
        <v>37168.384735655469</v>
      </c>
      <c r="D52" s="443">
        <v>38999.227156820401</v>
      </c>
      <c r="E52" s="333">
        <f t="shared" si="20"/>
        <v>39111.830061309956</v>
      </c>
      <c r="F52" s="443">
        <v>39224.432965799504</v>
      </c>
      <c r="G52" s="333">
        <f t="shared" si="21"/>
        <v>39512.013612509909</v>
      </c>
      <c r="H52" s="443">
        <v>39799.594259220306</v>
      </c>
      <c r="I52" s="333">
        <f t="shared" si="22"/>
        <v>40104.585122615928</v>
      </c>
      <c r="J52" s="443">
        <v>40409.575986011558</v>
      </c>
      <c r="K52" s="791">
        <f t="shared" si="18"/>
        <v>843813.12099593447</v>
      </c>
      <c r="L52" s="792">
        <f t="shared" si="18"/>
        <v>885377.7159720764</v>
      </c>
      <c r="M52" s="792">
        <f t="shared" si="18"/>
        <v>887934.07694784389</v>
      </c>
      <c r="N52" s="792">
        <f t="shared" si="18"/>
        <v>890490.43792361103</v>
      </c>
      <c r="O52" s="792">
        <f t="shared" si="18"/>
        <v>897019.22104842484</v>
      </c>
      <c r="P52" s="792">
        <f t="shared" si="18"/>
        <v>903548.00417323865</v>
      </c>
      <c r="Q52" s="792">
        <f t="shared" si="18"/>
        <v>910472.04174300213</v>
      </c>
      <c r="R52" s="793">
        <f t="shared" si="18"/>
        <v>917396.07931276597</v>
      </c>
      <c r="S52" s="331">
        <f t="shared" si="19"/>
        <v>1.2676892871741894</v>
      </c>
      <c r="T52" s="331">
        <f t="shared" si="19"/>
        <v>1.1054153349501603</v>
      </c>
      <c r="U52" s="331">
        <f t="shared" si="19"/>
        <v>1.0746067007774214</v>
      </c>
      <c r="V52" s="331">
        <f t="shared" si="19"/>
        <v>1.0456315979640207</v>
      </c>
      <c r="W52" s="331">
        <f t="shared" si="19"/>
        <v>1.0259584033524372</v>
      </c>
      <c r="X52" s="331">
        <f t="shared" si="19"/>
        <v>1.0072806468781008</v>
      </c>
      <c r="Y52" s="331">
        <f t="shared" si="19"/>
        <v>0.99841454795034379</v>
      </c>
      <c r="Z52" s="331">
        <f t="shared" si="19"/>
        <v>0.98983353421314002</v>
      </c>
      <c r="AB52" s="460" t="s">
        <v>689</v>
      </c>
      <c r="AC52" s="440">
        <v>7.5642983992553194</v>
      </c>
      <c r="AD52" s="440">
        <v>7.6095190777654445</v>
      </c>
      <c r="AE52" s="440">
        <v>7.0105984075176906</v>
      </c>
      <c r="AF52" s="440">
        <v>6.6384041817577639</v>
      </c>
      <c r="AG52" s="440">
        <v>6.3333149572026954</v>
      </c>
    </row>
    <row r="53" spans="1:33" ht="15" x14ac:dyDescent="0.2">
      <c r="A53" s="323" t="str">
        <f t="shared" si="23"/>
        <v>Small Rigid Truck</v>
      </c>
      <c r="B53" s="256" t="s">
        <v>692</v>
      </c>
      <c r="C53" s="443">
        <v>98258.953517306407</v>
      </c>
      <c r="D53" s="443">
        <v>64495.792840614806</v>
      </c>
      <c r="E53" s="333">
        <f t="shared" si="20"/>
        <v>58565.260766379783</v>
      </c>
      <c r="F53" s="443">
        <v>52634.728692144752</v>
      </c>
      <c r="G53" s="333">
        <f t="shared" si="21"/>
        <v>53056.923719918734</v>
      </c>
      <c r="H53" s="443">
        <v>53479.118747692715</v>
      </c>
      <c r="I53" s="333">
        <f t="shared" si="22"/>
        <v>53610.51498168605</v>
      </c>
      <c r="J53" s="443">
        <v>53741.911215679378</v>
      </c>
      <c r="K53" s="791">
        <f t="shared" si="18"/>
        <v>2230718.2521627168</v>
      </c>
      <c r="L53" s="792">
        <f t="shared" si="18"/>
        <v>1464212.0349055484</v>
      </c>
      <c r="M53" s="792">
        <f t="shared" si="18"/>
        <v>1329574.4709027691</v>
      </c>
      <c r="N53" s="792">
        <f t="shared" si="18"/>
        <v>1194936.9068999893</v>
      </c>
      <c r="O53" s="792">
        <f t="shared" si="18"/>
        <v>1204521.7652840337</v>
      </c>
      <c r="P53" s="792">
        <f t="shared" si="18"/>
        <v>1214106.6236680776</v>
      </c>
      <c r="Q53" s="792">
        <f t="shared" si="18"/>
        <v>1217089.6391281676</v>
      </c>
      <c r="R53" s="793">
        <f t="shared" si="18"/>
        <v>1220072.6545882572</v>
      </c>
      <c r="S53" s="331">
        <f t="shared" si="19"/>
        <v>3.3512842602316359</v>
      </c>
      <c r="T53" s="331">
        <f t="shared" si="19"/>
        <v>1.8281038790615101</v>
      </c>
      <c r="U53" s="331">
        <f t="shared" si="19"/>
        <v>1.6090942702930351</v>
      </c>
      <c r="V53" s="331">
        <f t="shared" si="19"/>
        <v>1.4031187020283344</v>
      </c>
      <c r="W53" s="331">
        <f t="shared" si="19"/>
        <v>1.3776619253149238</v>
      </c>
      <c r="X53" s="331">
        <f t="shared" si="19"/>
        <v>1.3534932284935812</v>
      </c>
      <c r="Y53" s="331">
        <f t="shared" si="19"/>
        <v>1.3346483430055707</v>
      </c>
      <c r="Z53" s="331">
        <f t="shared" si="19"/>
        <v>1.3164094058398244</v>
      </c>
      <c r="AB53" s="460" t="s">
        <v>692</v>
      </c>
      <c r="AC53" s="440">
        <v>2.8650268656617239</v>
      </c>
      <c r="AD53" s="440">
        <v>2.7764842570841308</v>
      </c>
      <c r="AE53" s="440">
        <v>2.6226991149666841</v>
      </c>
      <c r="AF53" s="440">
        <v>2.4751373976939441</v>
      </c>
      <c r="AG53" s="440">
        <v>2.3434027526508525</v>
      </c>
    </row>
    <row r="54" spans="1:33" ht="15" x14ac:dyDescent="0.2">
      <c r="A54" s="323" t="str">
        <f t="shared" si="23"/>
        <v>Small Rigid Truck</v>
      </c>
      <c r="B54" s="256" t="s">
        <v>699</v>
      </c>
      <c r="C54" s="443">
        <v>186705.6549520159</v>
      </c>
      <c r="D54" s="443">
        <v>79994.586312453306</v>
      </c>
      <c r="E54" s="333">
        <f t="shared" si="20"/>
        <v>63025.263123564284</v>
      </c>
      <c r="F54" s="443">
        <v>46055.939934675262</v>
      </c>
      <c r="G54" s="333">
        <f t="shared" si="21"/>
        <v>43953.965599473762</v>
      </c>
      <c r="H54" s="443">
        <v>41851.991264272263</v>
      </c>
      <c r="I54" s="333">
        <f t="shared" si="22"/>
        <v>41106.818849390285</v>
      </c>
      <c r="J54" s="443">
        <v>40361.6464345083</v>
      </c>
      <c r="K54" s="791">
        <f t="shared" si="18"/>
        <v>4238674.4146435475</v>
      </c>
      <c r="L54" s="792">
        <f t="shared" si="18"/>
        <v>1816072.504069217</v>
      </c>
      <c r="M54" s="792">
        <f t="shared" si="18"/>
        <v>1430827.4184126148</v>
      </c>
      <c r="N54" s="792">
        <f t="shared" si="18"/>
        <v>1045582.3327560129</v>
      </c>
      <c r="O54" s="792">
        <f t="shared" si="18"/>
        <v>997862.38106442767</v>
      </c>
      <c r="P54" s="792">
        <f t="shared" si="18"/>
        <v>950142.42937284242</v>
      </c>
      <c r="Q54" s="792">
        <f t="shared" si="18"/>
        <v>933225.19539688097</v>
      </c>
      <c r="R54" s="793">
        <f t="shared" si="18"/>
        <v>916307.9614209194</v>
      </c>
      <c r="S54" s="331">
        <f t="shared" si="19"/>
        <v>6.3679054207179622</v>
      </c>
      <c r="T54" s="331">
        <f t="shared" si="19"/>
        <v>2.267410122441758</v>
      </c>
      <c r="U54" s="331">
        <f t="shared" si="19"/>
        <v>1.7316338807127127</v>
      </c>
      <c r="V54" s="331">
        <f t="shared" si="19"/>
        <v>1.2277435880747822</v>
      </c>
      <c r="W54" s="331">
        <f t="shared" si="19"/>
        <v>1.1412969434988889</v>
      </c>
      <c r="X54" s="331">
        <f t="shared" si="19"/>
        <v>1.0592243870437554</v>
      </c>
      <c r="Y54" s="331">
        <f t="shared" si="19"/>
        <v>1.0233654290079244</v>
      </c>
      <c r="Z54" s="331">
        <f t="shared" si="19"/>
        <v>0.98865949869803982</v>
      </c>
      <c r="AB54" s="460" t="s">
        <v>699</v>
      </c>
      <c r="AC54" s="440">
        <v>4.4231993715479234</v>
      </c>
      <c r="AD54" s="440">
        <v>4.1444713824617345</v>
      </c>
      <c r="AE54" s="440">
        <v>3.7921216006621576</v>
      </c>
      <c r="AF54" s="440">
        <v>3.4723007013294853</v>
      </c>
      <c r="AG54" s="440">
        <v>3.1945713779251985</v>
      </c>
    </row>
    <row r="55" spans="1:33" ht="15" x14ac:dyDescent="0.2">
      <c r="A55" s="323" t="str">
        <f t="shared" si="23"/>
        <v>Small Rigid Truck</v>
      </c>
      <c r="B55" s="256" t="s">
        <v>827</v>
      </c>
      <c r="C55" s="443">
        <v>46317.339930537317</v>
      </c>
      <c r="D55" s="443">
        <v>45451.674961545068</v>
      </c>
      <c r="E55" s="333">
        <f t="shared" si="20"/>
        <v>45628.700300804441</v>
      </c>
      <c r="F55" s="443">
        <v>45805.725640063807</v>
      </c>
      <c r="G55" s="333">
        <f t="shared" si="21"/>
        <v>46283.513838402505</v>
      </c>
      <c r="H55" s="443">
        <v>46761.302036741195</v>
      </c>
      <c r="I55" s="333">
        <f t="shared" si="22"/>
        <v>47093.283384632814</v>
      </c>
      <c r="J55" s="443">
        <v>47425.264732524425</v>
      </c>
      <c r="K55" s="791">
        <f t="shared" si="18"/>
        <v>1051516.7511577115</v>
      </c>
      <c r="L55" s="792">
        <f t="shared" si="18"/>
        <v>1031864.0418883342</v>
      </c>
      <c r="M55" s="792">
        <f t="shared" si="18"/>
        <v>1035882.9494916156</v>
      </c>
      <c r="N55" s="792">
        <f t="shared" si="18"/>
        <v>1039901.8570948968</v>
      </c>
      <c r="O55" s="792">
        <f t="shared" si="18"/>
        <v>1050748.8162426385</v>
      </c>
      <c r="P55" s="792">
        <f t="shared" si="18"/>
        <v>1061595.7753903801</v>
      </c>
      <c r="Q55" s="792">
        <f t="shared" si="18"/>
        <v>1069132.5628851603</v>
      </c>
      <c r="R55" s="793">
        <f t="shared" si="18"/>
        <v>1076669.3503799401</v>
      </c>
      <c r="S55" s="331">
        <f t="shared" si="19"/>
        <v>1.5797295485919105</v>
      </c>
      <c r="T55" s="331">
        <f t="shared" si="19"/>
        <v>1.2883070297682906</v>
      </c>
      <c r="U55" s="331">
        <f t="shared" si="19"/>
        <v>1.2536592385001522</v>
      </c>
      <c r="V55" s="331">
        <f t="shared" si="19"/>
        <v>1.2210734604801745</v>
      </c>
      <c r="W55" s="331">
        <f t="shared" si="19"/>
        <v>1.2017853715294742</v>
      </c>
      <c r="X55" s="331">
        <f t="shared" si="19"/>
        <v>1.1834732348689445</v>
      </c>
      <c r="Y55" s="331">
        <f t="shared" si="19"/>
        <v>1.1724000908676822</v>
      </c>
      <c r="Z55" s="331">
        <f t="shared" si="19"/>
        <v>1.1616829985407067</v>
      </c>
      <c r="AB55" s="460" t="s">
        <v>827</v>
      </c>
      <c r="AC55" s="440">
        <v>9.3808428425650323</v>
      </c>
      <c r="AD55" s="440">
        <v>8.8624002557856656</v>
      </c>
      <c r="AE55" s="440">
        <v>8.1665144450675626</v>
      </c>
      <c r="AF55" s="440">
        <v>7.6608632465051718</v>
      </c>
      <c r="AG55" s="440">
        <v>7.3657118810820803</v>
      </c>
    </row>
    <row r="56" spans="1:33" ht="15" x14ac:dyDescent="0.2">
      <c r="A56" s="323" t="str">
        <f t="shared" si="23"/>
        <v>Small Rigid Truck</v>
      </c>
      <c r="B56" s="256" t="s">
        <v>700</v>
      </c>
      <c r="C56" s="443">
        <v>44275.919735739342</v>
      </c>
      <c r="D56" s="443">
        <v>43586.340712469508</v>
      </c>
      <c r="E56" s="333">
        <f t="shared" si="20"/>
        <v>43737.618689486233</v>
      </c>
      <c r="F56" s="443">
        <v>43888.896666502958</v>
      </c>
      <c r="G56" s="333">
        <f t="shared" si="21"/>
        <v>44371.661420226636</v>
      </c>
      <c r="H56" s="443">
        <v>44854.426173950313</v>
      </c>
      <c r="I56" s="333">
        <f t="shared" si="22"/>
        <v>45190.948956767446</v>
      </c>
      <c r="J56" s="443">
        <v>45527.471739584573</v>
      </c>
      <c r="K56" s="791">
        <f t="shared" si="18"/>
        <v>1005171.5263628296</v>
      </c>
      <c r="L56" s="792">
        <f t="shared" si="18"/>
        <v>989516.39816888212</v>
      </c>
      <c r="M56" s="792">
        <f t="shared" si="18"/>
        <v>992950.77775874839</v>
      </c>
      <c r="N56" s="792">
        <f t="shared" si="18"/>
        <v>996385.15734861477</v>
      </c>
      <c r="O56" s="792">
        <f t="shared" si="18"/>
        <v>1007345.0964593297</v>
      </c>
      <c r="P56" s="792">
        <f t="shared" si="18"/>
        <v>1018305.0355700447</v>
      </c>
      <c r="Q56" s="792">
        <f t="shared" si="18"/>
        <v>1025944.9247305429</v>
      </c>
      <c r="R56" s="793">
        <f t="shared" si="18"/>
        <v>1033584.813891041</v>
      </c>
      <c r="S56" s="331">
        <f t="shared" si="19"/>
        <v>1.5101035336339914</v>
      </c>
      <c r="T56" s="331">
        <f t="shared" si="19"/>
        <v>1.2354349798826749</v>
      </c>
      <c r="U56" s="331">
        <f t="shared" si="19"/>
        <v>1.2017013278615045</v>
      </c>
      <c r="V56" s="331">
        <f t="shared" si="19"/>
        <v>1.1699752854116976</v>
      </c>
      <c r="W56" s="331">
        <f t="shared" si="19"/>
        <v>1.1521427217360913</v>
      </c>
      <c r="X56" s="331">
        <f t="shared" si="19"/>
        <v>1.1352124626591058</v>
      </c>
      <c r="Y56" s="331">
        <f t="shared" si="19"/>
        <v>1.1250409581889473</v>
      </c>
      <c r="Z56" s="331">
        <f t="shared" si="19"/>
        <v>1.1151965136031547</v>
      </c>
      <c r="AB56" s="460" t="s">
        <v>700</v>
      </c>
      <c r="AC56" s="440">
        <v>10.787969268949785</v>
      </c>
      <c r="AD56" s="440">
        <v>10.191760294153514</v>
      </c>
      <c r="AE56" s="440">
        <v>9.3914916118276945</v>
      </c>
      <c r="AF56" s="440">
        <v>8.8099927334809465</v>
      </c>
      <c r="AG56" s="440">
        <v>8.4705686632443875</v>
      </c>
    </row>
    <row r="57" spans="1:33" x14ac:dyDescent="0.2">
      <c r="A57" s="323" t="str">
        <f t="shared" si="23"/>
        <v>Small Rigid Truck</v>
      </c>
      <c r="B57" s="260"/>
      <c r="C57" s="458"/>
      <c r="D57" s="458"/>
      <c r="E57" s="459"/>
      <c r="F57" s="458"/>
      <c r="G57" s="458"/>
      <c r="H57" s="458"/>
      <c r="I57" s="458"/>
      <c r="J57" s="458"/>
      <c r="K57" s="794"/>
      <c r="L57" s="458"/>
      <c r="M57" s="458"/>
      <c r="N57" s="458"/>
      <c r="O57" s="458"/>
      <c r="P57" s="458"/>
      <c r="Q57" s="458"/>
      <c r="R57" s="795"/>
    </row>
    <row r="58" spans="1:33" x14ac:dyDescent="0.2">
      <c r="A58" s="323" t="str">
        <f t="shared" si="23"/>
        <v>Small Rigid Truck</v>
      </c>
      <c r="B58" s="453" t="s">
        <v>832</v>
      </c>
      <c r="C58" s="457" t="s">
        <v>831</v>
      </c>
      <c r="D58" s="456">
        <v>0.08</v>
      </c>
      <c r="E58" s="455"/>
      <c r="F58" s="454"/>
      <c r="G58" s="454"/>
      <c r="H58" s="454"/>
      <c r="I58" s="454"/>
      <c r="J58" s="454"/>
      <c r="K58" s="800"/>
      <c r="L58" s="454"/>
      <c r="M58" s="454"/>
      <c r="N58" s="454"/>
      <c r="O58" s="454"/>
      <c r="P58" s="454"/>
      <c r="Q58" s="454"/>
      <c r="R58" s="801"/>
      <c r="T58" s="454"/>
      <c r="U58" s="454"/>
      <c r="V58" s="454"/>
      <c r="W58" s="454"/>
      <c r="X58" s="454"/>
      <c r="Y58" s="454"/>
      <c r="Z58" s="454"/>
      <c r="AA58" s="454"/>
      <c r="AB58" s="453" t="s">
        <v>816</v>
      </c>
      <c r="AC58" s="323" t="s">
        <v>834</v>
      </c>
    </row>
    <row r="59" spans="1:33" x14ac:dyDescent="0.2">
      <c r="A59" s="323" t="str">
        <f>B59</f>
        <v>Large Rigid Truck</v>
      </c>
      <c r="B59" s="352" t="s">
        <v>735</v>
      </c>
      <c r="C59" s="352">
        <v>2010</v>
      </c>
      <c r="D59" s="352">
        <v>2020</v>
      </c>
      <c r="E59" s="355"/>
      <c r="F59" s="352">
        <v>2030</v>
      </c>
      <c r="G59" s="352"/>
      <c r="H59" s="352">
        <v>2040</v>
      </c>
      <c r="I59" s="352"/>
      <c r="J59" s="352">
        <v>2050</v>
      </c>
      <c r="K59" s="796">
        <f>C59</f>
        <v>2010</v>
      </c>
      <c r="L59" s="354">
        <f>D59</f>
        <v>2020</v>
      </c>
      <c r="M59" s="354"/>
      <c r="N59" s="354">
        <f>F59</f>
        <v>2030</v>
      </c>
      <c r="O59" s="354"/>
      <c r="P59" s="354">
        <f>H59</f>
        <v>2040</v>
      </c>
      <c r="Q59" s="354"/>
      <c r="R59" s="797">
        <f>J59</f>
        <v>2050</v>
      </c>
      <c r="S59" s="323">
        <f>C59</f>
        <v>2010</v>
      </c>
      <c r="T59" s="323">
        <f>D59</f>
        <v>2020</v>
      </c>
      <c r="V59" s="323">
        <f>F59</f>
        <v>2030</v>
      </c>
      <c r="X59" s="323">
        <f>H59</f>
        <v>2040</v>
      </c>
      <c r="Z59" s="323">
        <f>J59</f>
        <v>2050</v>
      </c>
      <c r="AB59" s="452" t="s">
        <v>735</v>
      </c>
      <c r="AC59" s="352">
        <v>2010</v>
      </c>
      <c r="AD59" s="352">
        <v>2020</v>
      </c>
      <c r="AE59" s="352">
        <v>2030</v>
      </c>
      <c r="AF59" s="352">
        <v>2040</v>
      </c>
      <c r="AG59" s="352">
        <v>2050</v>
      </c>
    </row>
    <row r="60" spans="1:33" x14ac:dyDescent="0.2">
      <c r="A60" s="323" t="str">
        <f t="shared" ref="A60:A70" si="24">A59</f>
        <v>Large Rigid Truck</v>
      </c>
      <c r="B60" s="448" t="s">
        <v>791</v>
      </c>
      <c r="C60" s="449" t="s">
        <v>193</v>
      </c>
      <c r="D60" s="450"/>
      <c r="E60" s="451"/>
      <c r="F60" s="450"/>
      <c r="G60" s="450"/>
      <c r="H60" s="450"/>
      <c r="I60" s="449"/>
      <c r="J60" s="449" t="s">
        <v>193</v>
      </c>
      <c r="K60" s="798" t="str">
        <f>zar.base&amp;"ZAR"</f>
        <v>2015ZAR</v>
      </c>
      <c r="L60" s="323" t="str">
        <f>zar.base&amp;"ZAR"</f>
        <v>2015ZAR</v>
      </c>
      <c r="N60" s="323" t="str">
        <f>zar.base&amp;"ZAR"</f>
        <v>2015ZAR</v>
      </c>
      <c r="P60" s="323" t="str">
        <f>zar.base&amp;"ZAR"</f>
        <v>2015ZAR</v>
      </c>
      <c r="R60" s="799" t="str">
        <f>zar.base&amp;"ZAR"</f>
        <v>2015ZAR</v>
      </c>
      <c r="AB60" s="448" t="s">
        <v>659</v>
      </c>
      <c r="AC60" s="447" t="s">
        <v>663</v>
      </c>
      <c r="AD60" s="447" t="s">
        <v>663</v>
      </c>
      <c r="AE60" s="447" t="s">
        <v>663</v>
      </c>
      <c r="AF60" s="447" t="s">
        <v>663</v>
      </c>
      <c r="AG60" s="447" t="s">
        <v>663</v>
      </c>
    </row>
    <row r="61" spans="1:33" ht="15" x14ac:dyDescent="0.2">
      <c r="A61" s="323" t="str">
        <f t="shared" si="24"/>
        <v>Large Rigid Truck</v>
      </c>
      <c r="B61" s="256" t="s">
        <v>687</v>
      </c>
      <c r="C61" s="443">
        <v>48009.385894341649</v>
      </c>
      <c r="D61" s="443">
        <v>57940.419801900251</v>
      </c>
      <c r="E61" s="333">
        <f>AVERAGE(D61,F61)</f>
        <v>59814.257149154539</v>
      </c>
      <c r="F61" s="443">
        <v>61688.094496408827</v>
      </c>
      <c r="G61" s="333">
        <f>AVERAGE(F61,H61)</f>
        <v>62890.784139991294</v>
      </c>
      <c r="H61" s="443">
        <v>64093.473783573761</v>
      </c>
      <c r="I61" s="333">
        <f>AVERAGE(H61,J61)</f>
        <v>65128.994301691499</v>
      </c>
      <c r="J61" s="443">
        <v>66164.514819809236</v>
      </c>
      <c r="K61" s="791">
        <f t="shared" ref="K61:R68" si="25">C61*$B$2*$K$3</f>
        <v>1089930.327527541</v>
      </c>
      <c r="L61" s="792">
        <f t="shared" si="25"/>
        <v>1315389.054772544</v>
      </c>
      <c r="M61" s="792">
        <f t="shared" si="25"/>
        <v>1357929.7395903205</v>
      </c>
      <c r="N61" s="792">
        <f t="shared" si="25"/>
        <v>1400470.4244080975</v>
      </c>
      <c r="O61" s="792">
        <f t="shared" si="25"/>
        <v>1427774.4170071429</v>
      </c>
      <c r="P61" s="792">
        <f t="shared" si="25"/>
        <v>1455078.4096061881</v>
      </c>
      <c r="Q61" s="792">
        <f t="shared" si="25"/>
        <v>1478587.2547298784</v>
      </c>
      <c r="R61" s="793">
        <f t="shared" si="25"/>
        <v>1502096.0998535685</v>
      </c>
      <c r="S61" s="331">
        <f t="shared" ref="S61:Z68" si="26">C61/C$61</f>
        <v>1</v>
      </c>
      <c r="T61" s="331">
        <f t="shared" si="26"/>
        <v>1</v>
      </c>
      <c r="U61" s="331">
        <f t="shared" si="26"/>
        <v>1</v>
      </c>
      <c r="V61" s="331">
        <f t="shared" si="26"/>
        <v>1</v>
      </c>
      <c r="W61" s="331">
        <f t="shared" si="26"/>
        <v>1</v>
      </c>
      <c r="X61" s="331">
        <f t="shared" si="26"/>
        <v>1</v>
      </c>
      <c r="Y61" s="331">
        <f t="shared" si="26"/>
        <v>1</v>
      </c>
      <c r="Z61" s="331">
        <f t="shared" si="26"/>
        <v>1</v>
      </c>
      <c r="AB61" s="442" t="s">
        <v>687</v>
      </c>
      <c r="AC61" s="441">
        <v>12.405066687804799</v>
      </c>
      <c r="AD61" s="441">
        <v>11.079673113362597</v>
      </c>
      <c r="AE61" s="441">
        <v>9.2713390042129831</v>
      </c>
      <c r="AF61" s="440">
        <v>8.5519347392531859</v>
      </c>
      <c r="AG61" s="440">
        <v>8.0369288469360249</v>
      </c>
    </row>
    <row r="62" spans="1:33" ht="15" x14ac:dyDescent="0.2">
      <c r="A62" s="323" t="str">
        <f t="shared" si="24"/>
        <v>Large Rigid Truck</v>
      </c>
      <c r="B62" s="256" t="s">
        <v>829</v>
      </c>
      <c r="C62" s="443">
        <v>55112.329329017077</v>
      </c>
      <c r="D62" s="443">
        <v>63355.677808306173</v>
      </c>
      <c r="E62" s="333">
        <f>AVERAGE(D62,F62)</f>
        <v>64211.520496007477</v>
      </c>
      <c r="F62" s="443">
        <v>65067.363183708781</v>
      </c>
      <c r="G62" s="333">
        <f>AVERAGE(F62,H62)</f>
        <v>65771.712375082017</v>
      </c>
      <c r="H62" s="443">
        <v>66476.061566455261</v>
      </c>
      <c r="I62" s="333">
        <f>AVERAGE(H62,J62)</f>
        <v>67187.356351186958</v>
      </c>
      <c r="J62" s="443">
        <v>67898.65113591867</v>
      </c>
      <c r="K62" s="791">
        <f t="shared" si="25"/>
        <v>1251184.4931443066</v>
      </c>
      <c r="L62" s="792">
        <f t="shared" si="25"/>
        <v>1438328.6388271647</v>
      </c>
      <c r="M62" s="792">
        <f t="shared" si="25"/>
        <v>1457758.3583193333</v>
      </c>
      <c r="N62" s="792">
        <f t="shared" si="25"/>
        <v>1477188.0778115019</v>
      </c>
      <c r="O62" s="792">
        <f t="shared" si="25"/>
        <v>1493178.5248990091</v>
      </c>
      <c r="P62" s="792">
        <f t="shared" si="25"/>
        <v>1509168.9719865166</v>
      </c>
      <c r="Q62" s="792">
        <f t="shared" si="25"/>
        <v>1525317.1010085675</v>
      </c>
      <c r="R62" s="793">
        <f t="shared" si="25"/>
        <v>1541465.2300306184</v>
      </c>
      <c r="S62" s="331">
        <f t="shared" si="26"/>
        <v>1.1479490583426224</v>
      </c>
      <c r="T62" s="331">
        <f t="shared" si="26"/>
        <v>1.0934625262454229</v>
      </c>
      <c r="U62" s="331">
        <f t="shared" si="26"/>
        <v>1.0735153048191803</v>
      </c>
      <c r="V62" s="331">
        <f t="shared" si="26"/>
        <v>1.0547799168524596</v>
      </c>
      <c r="W62" s="331">
        <f t="shared" si="26"/>
        <v>1.0458084324195727</v>
      </c>
      <c r="X62" s="331">
        <f t="shared" si="26"/>
        <v>1.0371736409689207</v>
      </c>
      <c r="Y62" s="331">
        <f t="shared" si="26"/>
        <v>1.031604388668443</v>
      </c>
      <c r="Z62" s="331">
        <f t="shared" si="26"/>
        <v>1.0262094616854991</v>
      </c>
      <c r="AA62" s="423"/>
      <c r="AB62" s="442" t="s">
        <v>829</v>
      </c>
      <c r="AC62" s="441">
        <v>11.592916086655798</v>
      </c>
      <c r="AD62" s="441">
        <v>10.668979752918897</v>
      </c>
      <c r="AE62" s="441">
        <v>8.9261323241626958</v>
      </c>
      <c r="AF62" s="440">
        <v>8.2320162814163229</v>
      </c>
      <c r="AG62" s="440">
        <v>7.7349392758744928</v>
      </c>
    </row>
    <row r="63" spans="1:33" ht="15" x14ac:dyDescent="0.2">
      <c r="A63" s="323" t="str">
        <f t="shared" si="24"/>
        <v>Large Rigid Truck</v>
      </c>
      <c r="B63" s="256" t="s">
        <v>828</v>
      </c>
      <c r="C63" s="443">
        <v>53843.390822997011</v>
      </c>
      <c r="D63" s="443">
        <v>60435.722060242377</v>
      </c>
      <c r="E63" s="333">
        <f>AVERAGE(D63,F63)</f>
        <v>61828.41076555739</v>
      </c>
      <c r="F63" s="443">
        <v>63221.099470872403</v>
      </c>
      <c r="G63" s="333">
        <f>AVERAGE(F63,H63)</f>
        <v>64515.295789043499</v>
      </c>
      <c r="H63" s="443">
        <v>65809.492107214595</v>
      </c>
      <c r="I63" s="333">
        <f>AVERAGE(H63,J63)</f>
        <v>66611.295610428439</v>
      </c>
      <c r="J63" s="443">
        <v>67413.099113642267</v>
      </c>
      <c r="K63" s="791">
        <f t="shared" si="25"/>
        <v>1222376.4895484564</v>
      </c>
      <c r="L63" s="792">
        <f t="shared" si="25"/>
        <v>1372038.5110622062</v>
      </c>
      <c r="M63" s="792">
        <f t="shared" si="25"/>
        <v>1403655.9464542887</v>
      </c>
      <c r="N63" s="792">
        <f t="shared" si="25"/>
        <v>1435273.3818463711</v>
      </c>
      <c r="O63" s="792">
        <f t="shared" si="25"/>
        <v>1464654.7994727818</v>
      </c>
      <c r="P63" s="792">
        <f t="shared" si="25"/>
        <v>1494036.2170991923</v>
      </c>
      <c r="Q63" s="792">
        <f t="shared" si="25"/>
        <v>1512239.1151073836</v>
      </c>
      <c r="R63" s="793">
        <f t="shared" si="25"/>
        <v>1530442.0131155744</v>
      </c>
      <c r="S63" s="331">
        <f t="shared" si="26"/>
        <v>1.1215180077807025</v>
      </c>
      <c r="T63" s="331">
        <f t="shared" si="26"/>
        <v>1.0430666927660108</v>
      </c>
      <c r="U63" s="331">
        <f t="shared" si="26"/>
        <v>1.0336734703798176</v>
      </c>
      <c r="V63" s="331">
        <f t="shared" si="26"/>
        <v>1.0248509049757213</v>
      </c>
      <c r="W63" s="331">
        <f t="shared" si="26"/>
        <v>1.0258306788707887</v>
      </c>
      <c r="X63" s="331">
        <f t="shared" si="26"/>
        <v>1.0267736825973166</v>
      </c>
      <c r="Y63" s="331">
        <f t="shared" si="26"/>
        <v>1.0227594687224957</v>
      </c>
      <c r="Z63" s="331">
        <f t="shared" si="26"/>
        <v>1.0188709053067704</v>
      </c>
      <c r="AA63" s="423"/>
      <c r="AB63" s="442" t="s">
        <v>828</v>
      </c>
      <c r="AC63" s="441">
        <v>11.906238143051901</v>
      </c>
      <c r="AD63" s="441">
        <v>10.876510016936766</v>
      </c>
      <c r="AE63" s="441">
        <v>9.0326739114615631</v>
      </c>
      <c r="AF63" s="440">
        <v>8.1823161499090808</v>
      </c>
      <c r="AG63" s="440">
        <v>7.6892867494321644</v>
      </c>
    </row>
    <row r="64" spans="1:33" ht="15" x14ac:dyDescent="0.2">
      <c r="A64" s="323" t="str">
        <f t="shared" si="24"/>
        <v>Large Rigid Truck</v>
      </c>
      <c r="B64" s="256" t="s">
        <v>689</v>
      </c>
      <c r="C64" s="443">
        <v>60548.534703667669</v>
      </c>
      <c r="D64" s="443">
        <v>64511.724805744314</v>
      </c>
      <c r="E64" s="333">
        <f>AVERAGE(D64,F64)</f>
        <v>64827.694446534362</v>
      </c>
      <c r="F64" s="443">
        <v>65143.664087324411</v>
      </c>
      <c r="G64" s="333">
        <f>AVERAGE(F64,H64)</f>
        <v>65658.689390066094</v>
      </c>
      <c r="H64" s="443">
        <v>66173.714692807771</v>
      </c>
      <c r="I64" s="333">
        <f>AVERAGE(H64,J64)</f>
        <v>66632.412207673493</v>
      </c>
      <c r="J64" s="443">
        <v>67091.109722539215</v>
      </c>
      <c r="K64" s="791">
        <f t="shared" si="25"/>
        <v>1374599.6336241232</v>
      </c>
      <c r="L64" s="792">
        <f t="shared" si="25"/>
        <v>1464573.7294294063</v>
      </c>
      <c r="M64" s="792">
        <f t="shared" si="25"/>
        <v>1471747.0120627852</v>
      </c>
      <c r="N64" s="792">
        <f t="shared" si="25"/>
        <v>1478920.2946961639</v>
      </c>
      <c r="O64" s="792">
        <f t="shared" si="25"/>
        <v>1490612.6270692046</v>
      </c>
      <c r="P64" s="792">
        <f t="shared" si="25"/>
        <v>1502304.9594422451</v>
      </c>
      <c r="Q64" s="792">
        <f t="shared" si="25"/>
        <v>1512718.513444247</v>
      </c>
      <c r="R64" s="793">
        <f t="shared" si="25"/>
        <v>1523132.0674462486</v>
      </c>
      <c r="S64" s="331">
        <f t="shared" si="26"/>
        <v>1.2611811956295795</v>
      </c>
      <c r="T64" s="331">
        <f t="shared" si="26"/>
        <v>1.1134148669669899</v>
      </c>
      <c r="U64" s="331">
        <f t="shared" si="26"/>
        <v>1.0838167610253551</v>
      </c>
      <c r="V64" s="331">
        <f t="shared" si="26"/>
        <v>1.0560167990132481</v>
      </c>
      <c r="W64" s="331">
        <f t="shared" si="26"/>
        <v>1.0440113013047128</v>
      </c>
      <c r="X64" s="331">
        <f t="shared" si="26"/>
        <v>1.0324563607873465</v>
      </c>
      <c r="Y64" s="331">
        <f t="shared" si="26"/>
        <v>1.0230836960113008</v>
      </c>
      <c r="Z64" s="331">
        <f t="shared" si="26"/>
        <v>1.0140044086358593</v>
      </c>
      <c r="AA64" s="423"/>
      <c r="AB64" s="442" t="s">
        <v>689</v>
      </c>
      <c r="AC64" s="441">
        <v>11.279594030259696</v>
      </c>
      <c r="AD64" s="441">
        <v>10.250985135870808</v>
      </c>
      <c r="AE64" s="441">
        <v>8.4878494853495958</v>
      </c>
      <c r="AF64" s="440">
        <v>7.6889868112501585</v>
      </c>
      <c r="AG64" s="440">
        <v>7.1728144576780375</v>
      </c>
    </row>
    <row r="65" spans="1:33" ht="15" x14ac:dyDescent="0.2">
      <c r="A65" s="323" t="str">
        <f t="shared" si="24"/>
        <v>Large Rigid Truck</v>
      </c>
      <c r="B65" s="256" t="s">
        <v>692</v>
      </c>
      <c r="C65" s="445"/>
      <c r="D65" s="445"/>
      <c r="E65" s="446"/>
      <c r="F65" s="445"/>
      <c r="G65" s="445"/>
      <c r="H65" s="445"/>
      <c r="I65" s="445"/>
      <c r="J65" s="445"/>
      <c r="K65" s="791">
        <f t="shared" si="25"/>
        <v>0</v>
      </c>
      <c r="L65" s="792">
        <f t="shared" si="25"/>
        <v>0</v>
      </c>
      <c r="M65" s="792">
        <f t="shared" si="25"/>
        <v>0</v>
      </c>
      <c r="N65" s="792">
        <f t="shared" si="25"/>
        <v>0</v>
      </c>
      <c r="O65" s="792">
        <f t="shared" si="25"/>
        <v>0</v>
      </c>
      <c r="P65" s="792">
        <f t="shared" si="25"/>
        <v>0</v>
      </c>
      <c r="Q65" s="792">
        <f t="shared" si="25"/>
        <v>0</v>
      </c>
      <c r="R65" s="793">
        <f t="shared" si="25"/>
        <v>0</v>
      </c>
      <c r="S65" s="331">
        <f t="shared" si="26"/>
        <v>0</v>
      </c>
      <c r="T65" s="331">
        <f t="shared" si="26"/>
        <v>0</v>
      </c>
      <c r="U65" s="331">
        <f t="shared" si="26"/>
        <v>0</v>
      </c>
      <c r="V65" s="331">
        <f t="shared" si="26"/>
        <v>0</v>
      </c>
      <c r="W65" s="331">
        <f t="shared" si="26"/>
        <v>0</v>
      </c>
      <c r="X65" s="331">
        <f t="shared" si="26"/>
        <v>0</v>
      </c>
      <c r="Y65" s="331">
        <f t="shared" si="26"/>
        <v>0</v>
      </c>
      <c r="Z65" s="331">
        <f t="shared" si="26"/>
        <v>0</v>
      </c>
      <c r="AA65" s="423"/>
      <c r="AB65" s="442" t="s">
        <v>692</v>
      </c>
      <c r="AC65" s="444"/>
      <c r="AD65" s="444"/>
      <c r="AE65" s="444"/>
      <c r="AF65" s="444"/>
      <c r="AG65" s="444"/>
    </row>
    <row r="66" spans="1:33" ht="15" x14ac:dyDescent="0.2">
      <c r="A66" s="323" t="str">
        <f t="shared" si="24"/>
        <v>Large Rigid Truck</v>
      </c>
      <c r="B66" s="256" t="s">
        <v>699</v>
      </c>
      <c r="C66" s="443">
        <v>292693.65031210642</v>
      </c>
      <c r="D66" s="443">
        <v>126916.39701735262</v>
      </c>
      <c r="E66" s="333">
        <f>AVERAGE(D66,F66)</f>
        <v>100600.3377548374</v>
      </c>
      <c r="F66" s="443">
        <v>74284.278492322177</v>
      </c>
      <c r="G66" s="333">
        <f>AVERAGE(F66,H66)</f>
        <v>70838.136827571143</v>
      </c>
      <c r="H66" s="443">
        <v>67391.995162820094</v>
      </c>
      <c r="I66" s="333">
        <f>AVERAGE(H66,J66)</f>
        <v>66131.629714834795</v>
      </c>
      <c r="J66" s="443">
        <v>64871.264266849503</v>
      </c>
      <c r="K66" s="791">
        <f t="shared" si="25"/>
        <v>6644860.7955950676</v>
      </c>
      <c r="L66" s="792">
        <f t="shared" si="25"/>
        <v>2881312.2182852593</v>
      </c>
      <c r="M66" s="792">
        <f t="shared" si="25"/>
        <v>2283873.3934198092</v>
      </c>
      <c r="N66" s="792">
        <f t="shared" si="25"/>
        <v>1686434.5685543588</v>
      </c>
      <c r="O66" s="792">
        <f t="shared" si="25"/>
        <v>1608198.73521888</v>
      </c>
      <c r="P66" s="792">
        <f t="shared" si="25"/>
        <v>1529962.9018834007</v>
      </c>
      <c r="Q66" s="792">
        <f t="shared" si="25"/>
        <v>1501349.5276454913</v>
      </c>
      <c r="R66" s="793">
        <f t="shared" si="25"/>
        <v>1472736.1534075821</v>
      </c>
      <c r="S66" s="331">
        <f t="shared" si="26"/>
        <v>6.0965922571111886</v>
      </c>
      <c r="T66" s="331">
        <f t="shared" si="26"/>
        <v>2.1904638843018911</v>
      </c>
      <c r="U66" s="331">
        <f t="shared" si="26"/>
        <v>1.6818789123131217</v>
      </c>
      <c r="V66" s="331">
        <f t="shared" si="26"/>
        <v>1.2041914910606719</v>
      </c>
      <c r="W66" s="331">
        <f t="shared" si="26"/>
        <v>1.1263675242129196</v>
      </c>
      <c r="X66" s="331">
        <f t="shared" si="26"/>
        <v>1.0514642316062404</v>
      </c>
      <c r="Y66" s="331">
        <f t="shared" si="26"/>
        <v>1.0153946091735868</v>
      </c>
      <c r="Z66" s="331">
        <f t="shared" si="26"/>
        <v>0.98045401592557979</v>
      </c>
      <c r="AA66" s="423"/>
      <c r="AB66" s="442" t="s">
        <v>699</v>
      </c>
      <c r="AC66" s="441">
        <v>5.8799360656642294</v>
      </c>
      <c r="AD66" s="441">
        <v>5.1384619025703593</v>
      </c>
      <c r="AE66" s="441">
        <v>4.3850309801444771</v>
      </c>
      <c r="AF66" s="440">
        <v>3.8570288709298688</v>
      </c>
      <c r="AG66" s="440">
        <v>3.5111901737732367</v>
      </c>
    </row>
    <row r="67" spans="1:33" ht="15" x14ac:dyDescent="0.2">
      <c r="A67" s="323" t="str">
        <f t="shared" si="24"/>
        <v>Large Rigid Truck</v>
      </c>
      <c r="B67" s="256" t="s">
        <v>827</v>
      </c>
      <c r="C67" s="443">
        <v>68809.385894341656</v>
      </c>
      <c r="D67" s="443">
        <v>70106.798675499071</v>
      </c>
      <c r="E67" s="333">
        <f>AVERAGE(D67,F67)</f>
        <v>70569.517955277915</v>
      </c>
      <c r="F67" s="443">
        <v>71032.23723505676</v>
      </c>
      <c r="G67" s="333">
        <f>AVERAGE(F67,H67)</f>
        <v>71565.952590109926</v>
      </c>
      <c r="H67" s="443">
        <v>72099.667945163092</v>
      </c>
      <c r="I67" s="333">
        <f>AVERAGE(H67,J67)</f>
        <v>72698.573202554719</v>
      </c>
      <c r="J67" s="443">
        <v>73297.478459946346</v>
      </c>
      <c r="K67" s="791">
        <f t="shared" si="25"/>
        <v>1562141.1336075412</v>
      </c>
      <c r="L67" s="792">
        <f t="shared" si="25"/>
        <v>1591595.5728002738</v>
      </c>
      <c r="M67" s="792">
        <f t="shared" si="25"/>
        <v>1602100.4306893663</v>
      </c>
      <c r="N67" s="792">
        <f t="shared" si="25"/>
        <v>1612605.2885784588</v>
      </c>
      <c r="O67" s="792">
        <f t="shared" si="25"/>
        <v>1624721.9307912919</v>
      </c>
      <c r="P67" s="792">
        <f t="shared" si="25"/>
        <v>1636838.5730041252</v>
      </c>
      <c r="Q67" s="792">
        <f t="shared" si="25"/>
        <v>1650435.1852328968</v>
      </c>
      <c r="R67" s="793">
        <f t="shared" si="25"/>
        <v>1664031.7974616685</v>
      </c>
      <c r="S67" s="331">
        <f t="shared" si="26"/>
        <v>1.433248616130528</v>
      </c>
      <c r="T67" s="331">
        <f t="shared" si="26"/>
        <v>1.2099808547331203</v>
      </c>
      <c r="U67" s="331">
        <f t="shared" si="26"/>
        <v>1.1798109902009442</v>
      </c>
      <c r="V67" s="331">
        <f t="shared" si="26"/>
        <v>1.1514740050722738</v>
      </c>
      <c r="W67" s="331">
        <f t="shared" si="26"/>
        <v>1.1379402176129367</v>
      </c>
      <c r="X67" s="331">
        <f t="shared" si="26"/>
        <v>1.1249143428958785</v>
      </c>
      <c r="Y67" s="331">
        <f t="shared" si="26"/>
        <v>1.1162244094511777</v>
      </c>
      <c r="Z67" s="331">
        <f t="shared" si="26"/>
        <v>1.1078064829699552</v>
      </c>
      <c r="AA67" s="423"/>
      <c r="AB67" s="442" t="s">
        <v>827</v>
      </c>
      <c r="AC67" s="441">
        <v>12.405066687804799</v>
      </c>
      <c r="AD67" s="441">
        <v>11.079673113362597</v>
      </c>
      <c r="AE67" s="441">
        <v>9.2713390042129831</v>
      </c>
      <c r="AF67" s="440">
        <v>8.5519347392531859</v>
      </c>
      <c r="AG67" s="440">
        <v>8.0369288469360249</v>
      </c>
    </row>
    <row r="68" spans="1:33" ht="15" x14ac:dyDescent="0.2">
      <c r="A68" s="323" t="str">
        <f t="shared" si="24"/>
        <v>Large Rigid Truck</v>
      </c>
      <c r="B68" s="256" t="s">
        <v>700</v>
      </c>
      <c r="C68" s="443">
        <v>65490.011555435871</v>
      </c>
      <c r="D68" s="443">
        <v>66913.111037795607</v>
      </c>
      <c r="E68" s="333">
        <f>AVERAGE(D68,F68)</f>
        <v>67298.356045769819</v>
      </c>
      <c r="F68" s="443">
        <v>67683.601053744045</v>
      </c>
      <c r="G68" s="333">
        <f>AVERAGE(F68,H68)</f>
        <v>68223.882646024198</v>
      </c>
      <c r="H68" s="443">
        <v>68764.164238304336</v>
      </c>
      <c r="I68" s="333">
        <f>AVERAGE(H68,J68)</f>
        <v>69365.534458309019</v>
      </c>
      <c r="J68" s="443">
        <v>69966.904678313702</v>
      </c>
      <c r="K68" s="791">
        <f t="shared" si="25"/>
        <v>1486783.2282106197</v>
      </c>
      <c r="L68" s="792">
        <f t="shared" si="25"/>
        <v>1519091.0625229813</v>
      </c>
      <c r="M68" s="792">
        <f t="shared" si="25"/>
        <v>1527837.0652034522</v>
      </c>
      <c r="N68" s="792">
        <f t="shared" si="25"/>
        <v>1536583.0678839239</v>
      </c>
      <c r="O68" s="792">
        <f t="shared" si="25"/>
        <v>1548848.7797205006</v>
      </c>
      <c r="P68" s="792">
        <f t="shared" si="25"/>
        <v>1561114.491557077</v>
      </c>
      <c r="Q68" s="792">
        <f t="shared" si="25"/>
        <v>1574767.0644580827</v>
      </c>
      <c r="R68" s="793">
        <f t="shared" si="25"/>
        <v>1588419.6373590883</v>
      </c>
      <c r="S68" s="331">
        <f t="shared" si="26"/>
        <v>1.3641085036906184</v>
      </c>
      <c r="T68" s="331">
        <f t="shared" si="26"/>
        <v>1.1548606528322234</v>
      </c>
      <c r="U68" s="331">
        <f t="shared" si="26"/>
        <v>1.125122324564739</v>
      </c>
      <c r="V68" s="331">
        <f t="shared" si="26"/>
        <v>1.0971906590125626</v>
      </c>
      <c r="W68" s="331">
        <f t="shared" si="26"/>
        <v>1.0847993641510612</v>
      </c>
      <c r="X68" s="331">
        <f t="shared" si="26"/>
        <v>1.0728731051542351</v>
      </c>
      <c r="Y68" s="331">
        <f t="shared" si="26"/>
        <v>1.0650484504181494</v>
      </c>
      <c r="Z68" s="331">
        <f t="shared" si="26"/>
        <v>1.057468718222446</v>
      </c>
      <c r="AA68" s="423"/>
      <c r="AB68" s="442" t="s">
        <v>700</v>
      </c>
      <c r="AC68" s="441">
        <v>14.265826690975519</v>
      </c>
      <c r="AD68" s="441">
        <v>12.741624080366986</v>
      </c>
      <c r="AE68" s="441">
        <v>10.662039854844934</v>
      </c>
      <c r="AF68" s="440">
        <v>9.8347249501411635</v>
      </c>
      <c r="AG68" s="440">
        <v>9.2424681739764267</v>
      </c>
    </row>
    <row r="69" spans="1:33" ht="15" x14ac:dyDescent="0.2">
      <c r="A69" s="323" t="str">
        <f t="shared" si="24"/>
        <v>Large Rigid Truck</v>
      </c>
      <c r="E69" s="333"/>
      <c r="K69" s="798"/>
      <c r="R69" s="799"/>
      <c r="Z69" s="423"/>
      <c r="AA69" s="423"/>
    </row>
    <row r="70" spans="1:33" ht="15" x14ac:dyDescent="0.2">
      <c r="A70" s="323" t="str">
        <f t="shared" si="24"/>
        <v>Large Rigid Truck</v>
      </c>
      <c r="B70" s="439" t="s">
        <v>832</v>
      </c>
      <c r="C70" s="360" t="s">
        <v>831</v>
      </c>
      <c r="D70" s="359">
        <v>0.08</v>
      </c>
      <c r="E70" s="358"/>
      <c r="K70" s="798"/>
      <c r="R70" s="799"/>
      <c r="Z70" s="423"/>
      <c r="AA70" s="423"/>
      <c r="AB70" s="438" t="s">
        <v>816</v>
      </c>
    </row>
    <row r="71" spans="1:33" ht="15" x14ac:dyDescent="0.2">
      <c r="A71" s="323" t="str">
        <f>B71</f>
        <v>Articulated Truck</v>
      </c>
      <c r="B71" s="437" t="s">
        <v>747</v>
      </c>
      <c r="C71" s="352">
        <v>2010</v>
      </c>
      <c r="D71" s="352">
        <v>2020</v>
      </c>
      <c r="E71" s="355"/>
      <c r="F71" s="352">
        <v>2030</v>
      </c>
      <c r="G71" s="352"/>
      <c r="H71" s="352">
        <v>2040</v>
      </c>
      <c r="I71" s="352"/>
      <c r="J71" s="352">
        <v>2050</v>
      </c>
      <c r="K71" s="796">
        <f>C71</f>
        <v>2010</v>
      </c>
      <c r="L71" s="354">
        <f>D71</f>
        <v>2020</v>
      </c>
      <c r="M71" s="354"/>
      <c r="N71" s="354">
        <f>F71</f>
        <v>2030</v>
      </c>
      <c r="O71" s="354"/>
      <c r="P71" s="354">
        <f>H71</f>
        <v>2040</v>
      </c>
      <c r="Q71" s="354"/>
      <c r="R71" s="797">
        <f>J71</f>
        <v>2050</v>
      </c>
      <c r="S71" s="323">
        <f>C71</f>
        <v>2010</v>
      </c>
      <c r="T71" s="323">
        <f>D71</f>
        <v>2020</v>
      </c>
      <c r="V71" s="323">
        <f>F71</f>
        <v>2030</v>
      </c>
      <c r="X71" s="323">
        <f>H71</f>
        <v>2040</v>
      </c>
      <c r="Z71" s="323">
        <f>J71</f>
        <v>2050</v>
      </c>
      <c r="AA71" s="423"/>
      <c r="AB71" s="436" t="s">
        <v>833</v>
      </c>
      <c r="AC71" s="352">
        <v>2010</v>
      </c>
      <c r="AD71" s="352">
        <v>2020</v>
      </c>
      <c r="AE71" s="352">
        <v>2030</v>
      </c>
      <c r="AF71" s="352">
        <v>2040</v>
      </c>
      <c r="AG71" s="352">
        <v>2050</v>
      </c>
    </row>
    <row r="72" spans="1:33" ht="15" x14ac:dyDescent="0.2">
      <c r="A72" s="323" t="str">
        <f t="shared" ref="A72:A82" si="27">A71</f>
        <v>Articulated Truck</v>
      </c>
      <c r="B72" s="435" t="s">
        <v>791</v>
      </c>
      <c r="C72" s="434" t="s">
        <v>193</v>
      </c>
      <c r="D72" s="433" t="s">
        <v>193</v>
      </c>
      <c r="E72" s="432"/>
      <c r="F72" s="431" t="s">
        <v>193</v>
      </c>
      <c r="G72" s="431"/>
      <c r="H72" s="430" t="s">
        <v>193</v>
      </c>
      <c r="I72" s="430"/>
      <c r="J72" s="429" t="s">
        <v>193</v>
      </c>
      <c r="K72" s="798" t="str">
        <f>zar.base&amp;"ZAR"</f>
        <v>2015ZAR</v>
      </c>
      <c r="L72" s="323" t="str">
        <f>zar.base&amp;"ZAR"</f>
        <v>2015ZAR</v>
      </c>
      <c r="N72" s="323" t="str">
        <f>zar.base&amp;"ZAR"</f>
        <v>2015ZAR</v>
      </c>
      <c r="P72" s="323" t="str">
        <f>zar.base&amp;"ZAR"</f>
        <v>2015ZAR</v>
      </c>
      <c r="R72" s="799" t="str">
        <f>zar.base&amp;"ZAR"</f>
        <v>2015ZAR</v>
      </c>
      <c r="Z72" s="423"/>
      <c r="AA72" s="423"/>
      <c r="AB72" s="428" t="s">
        <v>659</v>
      </c>
      <c r="AC72" s="427" t="s">
        <v>663</v>
      </c>
      <c r="AD72" s="426" t="s">
        <v>663</v>
      </c>
      <c r="AE72" s="426" t="s">
        <v>663</v>
      </c>
      <c r="AF72" s="425" t="s">
        <v>663</v>
      </c>
      <c r="AG72" s="424" t="s">
        <v>663</v>
      </c>
    </row>
    <row r="73" spans="1:33" ht="15" x14ac:dyDescent="0.2">
      <c r="A73" s="323" t="str">
        <f t="shared" si="27"/>
        <v>Articulated Truck</v>
      </c>
      <c r="B73" s="411" t="s">
        <v>687</v>
      </c>
      <c r="C73" s="410">
        <v>61438.455349959782</v>
      </c>
      <c r="D73" s="409">
        <v>76189.319195648335</v>
      </c>
      <c r="E73" s="333">
        <f>AVERAGE(D73,F73)</f>
        <v>78158.609203405707</v>
      </c>
      <c r="F73" s="408">
        <v>80127.899211163094</v>
      </c>
      <c r="G73" s="333">
        <f>AVERAGE(F73,H73)</f>
        <v>81664.896234069121</v>
      </c>
      <c r="H73" s="407">
        <v>83201.893256975149</v>
      </c>
      <c r="I73" s="333">
        <f>AVERAGE(H73,J73)</f>
        <v>84156.77422554222</v>
      </c>
      <c r="J73" s="406">
        <v>85111.655194109291</v>
      </c>
      <c r="K73" s="791">
        <f t="shared" ref="K73:R80" si="28">C73*$B$2*$K$3</f>
        <v>1394803.006015125</v>
      </c>
      <c r="L73" s="792">
        <f t="shared" si="28"/>
        <v>1729683.6457722846</v>
      </c>
      <c r="M73" s="792">
        <f t="shared" si="28"/>
        <v>1774391.33913615</v>
      </c>
      <c r="N73" s="792">
        <f t="shared" si="28"/>
        <v>1819099.0325000153</v>
      </c>
      <c r="O73" s="792">
        <f t="shared" si="28"/>
        <v>1853992.6191889104</v>
      </c>
      <c r="P73" s="792">
        <f t="shared" si="28"/>
        <v>1888886.2058778054</v>
      </c>
      <c r="Q73" s="792">
        <f t="shared" si="28"/>
        <v>1910564.3362565318</v>
      </c>
      <c r="R73" s="793">
        <f t="shared" si="28"/>
        <v>1932242.4666352579</v>
      </c>
      <c r="S73" s="331">
        <f t="shared" ref="S73:Z80" si="29">C73/C$73</f>
        <v>1</v>
      </c>
      <c r="T73" s="331">
        <f t="shared" si="29"/>
        <v>1</v>
      </c>
      <c r="U73" s="331">
        <f t="shared" si="29"/>
        <v>1</v>
      </c>
      <c r="V73" s="331">
        <f t="shared" si="29"/>
        <v>1</v>
      </c>
      <c r="W73" s="331">
        <f t="shared" si="29"/>
        <v>1</v>
      </c>
      <c r="X73" s="331">
        <f t="shared" si="29"/>
        <v>1</v>
      </c>
      <c r="Y73" s="331">
        <f t="shared" si="29"/>
        <v>1</v>
      </c>
      <c r="Z73" s="331">
        <f t="shared" si="29"/>
        <v>1</v>
      </c>
      <c r="AA73" s="423"/>
      <c r="AB73" s="405" t="s">
        <v>687</v>
      </c>
      <c r="AC73" s="404">
        <v>13.986475102643237</v>
      </c>
      <c r="AD73" s="403">
        <v>11.823955736426605</v>
      </c>
      <c r="AE73" s="402">
        <v>9.4051912571814107</v>
      </c>
      <c r="AF73" s="401">
        <v>8.5108552099213703</v>
      </c>
      <c r="AG73" s="400">
        <v>7.9094469544802353</v>
      </c>
    </row>
    <row r="74" spans="1:33" ht="15" x14ac:dyDescent="0.2">
      <c r="A74" s="323" t="str">
        <f t="shared" si="27"/>
        <v>Articulated Truck</v>
      </c>
      <c r="B74" s="411" t="s">
        <v>829</v>
      </c>
      <c r="C74" s="410">
        <v>71519.017709285879</v>
      </c>
      <c r="D74" s="409">
        <v>82868.061177701951</v>
      </c>
      <c r="E74" s="333">
        <f>AVERAGE(D74,F74)</f>
        <v>83553.372707554401</v>
      </c>
      <c r="F74" s="408">
        <v>84238.684237406866</v>
      </c>
      <c r="G74" s="333">
        <f>AVERAGE(F74,H74)</f>
        <v>85152.604738545953</v>
      </c>
      <c r="H74" s="407">
        <v>86066.525239685056</v>
      </c>
      <c r="I74" s="333">
        <f>AVERAGE(H74,J74)</f>
        <v>86618.501260388264</v>
      </c>
      <c r="J74" s="406">
        <v>87170.477281091473</v>
      </c>
      <c r="K74" s="791">
        <f t="shared" si="28"/>
        <v>1623656.3943534463</v>
      </c>
      <c r="L74" s="792">
        <f t="shared" si="28"/>
        <v>1881307.4022600672</v>
      </c>
      <c r="M74" s="792">
        <f t="shared" si="28"/>
        <v>1896865.6479296605</v>
      </c>
      <c r="N74" s="792">
        <f t="shared" si="28"/>
        <v>1912423.8935992543</v>
      </c>
      <c r="O74" s="792">
        <f t="shared" si="28"/>
        <v>1933172.1213173277</v>
      </c>
      <c r="P74" s="792">
        <f t="shared" si="28"/>
        <v>1953920.3490354014</v>
      </c>
      <c r="Q74" s="792">
        <f t="shared" si="28"/>
        <v>1966451.5529619923</v>
      </c>
      <c r="R74" s="793">
        <f t="shared" si="28"/>
        <v>1978982.7568885833</v>
      </c>
      <c r="S74" s="331">
        <f t="shared" si="29"/>
        <v>1.1640757779782414</v>
      </c>
      <c r="T74" s="331">
        <f t="shared" si="29"/>
        <v>1.0876598196776521</v>
      </c>
      <c r="U74" s="331">
        <f t="shared" si="29"/>
        <v>1.069023279189999</v>
      </c>
      <c r="V74" s="331">
        <f t="shared" si="29"/>
        <v>1.0513027929936178</v>
      </c>
      <c r="W74" s="331">
        <f t="shared" si="29"/>
        <v>1.0427075605959299</v>
      </c>
      <c r="X74" s="331">
        <f t="shared" si="29"/>
        <v>1.0344298894000199</v>
      </c>
      <c r="Y74" s="331">
        <f t="shared" si="29"/>
        <v>1.0292516800637885</v>
      </c>
      <c r="Z74" s="331">
        <f t="shared" si="29"/>
        <v>1.024189661008081</v>
      </c>
      <c r="AB74" s="405" t="s">
        <v>829</v>
      </c>
      <c r="AC74" s="404">
        <v>13.43635651388575</v>
      </c>
      <c r="AD74" s="403">
        <v>11.499496833579821</v>
      </c>
      <c r="AE74" s="402">
        <v>9.2372475409011443</v>
      </c>
      <c r="AF74" s="401">
        <v>8.420943246552639</v>
      </c>
      <c r="AG74" s="400">
        <v>7.8443809051712092</v>
      </c>
    </row>
    <row r="75" spans="1:33" ht="15" x14ac:dyDescent="0.2">
      <c r="A75" s="323" t="str">
        <f t="shared" si="27"/>
        <v>Articulated Truck</v>
      </c>
      <c r="B75" s="411" t="s">
        <v>828</v>
      </c>
      <c r="C75" s="410">
        <v>72430.316493429389</v>
      </c>
      <c r="D75" s="409">
        <v>80647.640586419409</v>
      </c>
      <c r="E75" s="333">
        <f>AVERAGE(D75,F75)</f>
        <v>81820.543046750536</v>
      </c>
      <c r="F75" s="408">
        <v>82993.445507081677</v>
      </c>
      <c r="G75" s="333">
        <f>AVERAGE(F75,H75)</f>
        <v>84278.475675657799</v>
      </c>
      <c r="H75" s="407">
        <v>85563.505844233921</v>
      </c>
      <c r="I75" s="333">
        <f>AVERAGE(H75,J75)</f>
        <v>86191.612305198825</v>
      </c>
      <c r="J75" s="406">
        <v>86819.718766163729</v>
      </c>
      <c r="K75" s="791">
        <f t="shared" si="28"/>
        <v>1644345.102691914</v>
      </c>
      <c r="L75" s="792">
        <f t="shared" si="28"/>
        <v>1830898.431238617</v>
      </c>
      <c r="M75" s="792">
        <f t="shared" si="28"/>
        <v>1857526.1820196833</v>
      </c>
      <c r="N75" s="792">
        <f t="shared" si="28"/>
        <v>1884153.93280075</v>
      </c>
      <c r="O75" s="792">
        <f t="shared" si="28"/>
        <v>1913327.2564421173</v>
      </c>
      <c r="P75" s="792">
        <f t="shared" si="28"/>
        <v>1942500.5800834852</v>
      </c>
      <c r="Q75" s="792">
        <f t="shared" si="28"/>
        <v>1956760.1309602302</v>
      </c>
      <c r="R75" s="793">
        <f t="shared" si="28"/>
        <v>1971019.681836975</v>
      </c>
      <c r="S75" s="331">
        <f t="shared" si="29"/>
        <v>1.1789084878657647</v>
      </c>
      <c r="T75" s="331">
        <f t="shared" si="29"/>
        <v>1.0585163568573497</v>
      </c>
      <c r="U75" s="331">
        <f t="shared" si="29"/>
        <v>1.0468525973103582</v>
      </c>
      <c r="V75" s="331">
        <f t="shared" si="29"/>
        <v>1.0357621543074147</v>
      </c>
      <c r="W75" s="331">
        <f t="shared" si="29"/>
        <v>1.0320037073713728</v>
      </c>
      <c r="X75" s="331">
        <f t="shared" si="29"/>
        <v>1.0283841207791362</v>
      </c>
      <c r="Y75" s="331">
        <f t="shared" si="29"/>
        <v>1.0241791358851657</v>
      </c>
      <c r="Z75" s="331">
        <f t="shared" si="29"/>
        <v>1.0200685037573169</v>
      </c>
      <c r="AB75" s="405" t="s">
        <v>828</v>
      </c>
      <c r="AC75" s="404">
        <v>13.67208206676094</v>
      </c>
      <c r="AD75" s="403">
        <v>11.614948912943206</v>
      </c>
      <c r="AE75" s="402">
        <v>9.2610945034038004</v>
      </c>
      <c r="AF75" s="401">
        <v>8.3678593497915177</v>
      </c>
      <c r="AG75" s="400">
        <v>7.7956092782623534</v>
      </c>
    </row>
    <row r="76" spans="1:33" ht="15" x14ac:dyDescent="0.2">
      <c r="A76" s="323" t="str">
        <f t="shared" si="27"/>
        <v>Articulated Truck</v>
      </c>
      <c r="B76" s="411" t="s">
        <v>689</v>
      </c>
      <c r="C76" s="410">
        <v>78558.735528526551</v>
      </c>
      <c r="D76" s="409">
        <v>83540.115075807422</v>
      </c>
      <c r="E76" s="333">
        <f>AVERAGE(D76,F76)</f>
        <v>83801.904253179775</v>
      </c>
      <c r="F76" s="408">
        <v>84063.693430552128</v>
      </c>
      <c r="G76" s="333">
        <f>AVERAGE(F76,H76)</f>
        <v>84674.578944708279</v>
      </c>
      <c r="H76" s="407">
        <v>85285.464458864444</v>
      </c>
      <c r="I76" s="333">
        <f>AVERAGE(H76,J76)</f>
        <v>85777.229217547516</v>
      </c>
      <c r="J76" s="406">
        <v>86268.993976230602</v>
      </c>
      <c r="K76" s="791">
        <f t="shared" si="28"/>
        <v>1783475.1840649548</v>
      </c>
      <c r="L76" s="792">
        <f t="shared" si="28"/>
        <v>1896564.6673059126</v>
      </c>
      <c r="M76" s="792">
        <f t="shared" si="28"/>
        <v>1902507.9210785097</v>
      </c>
      <c r="N76" s="792">
        <f t="shared" si="28"/>
        <v>1908451.1748511069</v>
      </c>
      <c r="O76" s="792">
        <f t="shared" si="28"/>
        <v>1922319.7681714082</v>
      </c>
      <c r="P76" s="792">
        <f t="shared" si="28"/>
        <v>1936188.3614917099</v>
      </c>
      <c r="Q76" s="792">
        <f t="shared" si="28"/>
        <v>1947352.6226984155</v>
      </c>
      <c r="R76" s="793">
        <f t="shared" si="28"/>
        <v>1958516.8839051214</v>
      </c>
      <c r="S76" s="331">
        <f t="shared" si="29"/>
        <v>1.2786573991980736</v>
      </c>
      <c r="T76" s="331">
        <f t="shared" si="29"/>
        <v>1.0964806610396767</v>
      </c>
      <c r="U76" s="331">
        <f t="shared" si="29"/>
        <v>1.0722031150156157</v>
      </c>
      <c r="V76" s="331">
        <f t="shared" si="29"/>
        <v>1.0491188993863041</v>
      </c>
      <c r="W76" s="331">
        <f t="shared" si="29"/>
        <v>1.0368540566317841</v>
      </c>
      <c r="X76" s="331">
        <f t="shared" si="29"/>
        <v>1.0250423532485498</v>
      </c>
      <c r="Y76" s="331">
        <f t="shared" si="29"/>
        <v>1.0192551937371368</v>
      </c>
      <c r="Z76" s="331">
        <f t="shared" si="29"/>
        <v>1.0135978883207222</v>
      </c>
      <c r="AB76" s="405" t="s">
        <v>689</v>
      </c>
      <c r="AC76" s="404">
        <v>13.153485850435521</v>
      </c>
      <c r="AD76" s="403">
        <v>11.272115210081623</v>
      </c>
      <c r="AE76" s="402">
        <v>8.9327235364230297</v>
      </c>
      <c r="AF76" s="401">
        <v>8.0537072234893508</v>
      </c>
      <c r="AG76" s="400">
        <v>7.3994338105065527</v>
      </c>
    </row>
    <row r="77" spans="1:33" ht="15" x14ac:dyDescent="0.2">
      <c r="A77" s="323" t="str">
        <f t="shared" si="27"/>
        <v>Articulated Truck</v>
      </c>
      <c r="B77" s="411" t="s">
        <v>692</v>
      </c>
      <c r="C77" s="422"/>
      <c r="D77" s="421"/>
      <c r="E77" s="420"/>
      <c r="F77" s="419"/>
      <c r="G77" s="419"/>
      <c r="H77" s="418"/>
      <c r="I77" s="418"/>
      <c r="J77" s="417"/>
      <c r="K77" s="791">
        <f t="shared" si="28"/>
        <v>0</v>
      </c>
      <c r="L77" s="792">
        <f t="shared" si="28"/>
        <v>0</v>
      </c>
      <c r="M77" s="792">
        <f t="shared" si="28"/>
        <v>0</v>
      </c>
      <c r="N77" s="792">
        <f t="shared" si="28"/>
        <v>0</v>
      </c>
      <c r="O77" s="792">
        <f t="shared" si="28"/>
        <v>0</v>
      </c>
      <c r="P77" s="792">
        <f t="shared" si="28"/>
        <v>0</v>
      </c>
      <c r="Q77" s="792">
        <f t="shared" si="28"/>
        <v>0</v>
      </c>
      <c r="R77" s="793">
        <f t="shared" si="28"/>
        <v>0</v>
      </c>
      <c r="S77" s="331">
        <f t="shared" si="29"/>
        <v>0</v>
      </c>
      <c r="T77" s="331">
        <f t="shared" si="29"/>
        <v>0</v>
      </c>
      <c r="U77" s="331">
        <f t="shared" si="29"/>
        <v>0</v>
      </c>
      <c r="V77" s="331">
        <f t="shared" si="29"/>
        <v>0</v>
      </c>
      <c r="W77" s="331">
        <f t="shared" si="29"/>
        <v>0</v>
      </c>
      <c r="X77" s="331">
        <f t="shared" si="29"/>
        <v>0</v>
      </c>
      <c r="Y77" s="331">
        <f t="shared" si="29"/>
        <v>0</v>
      </c>
      <c r="Z77" s="331">
        <f t="shared" si="29"/>
        <v>0</v>
      </c>
      <c r="AB77" s="405" t="s">
        <v>692</v>
      </c>
      <c r="AC77" s="416"/>
      <c r="AD77" s="415"/>
      <c r="AE77" s="414"/>
      <c r="AF77" s="413"/>
      <c r="AG77" s="412"/>
    </row>
    <row r="78" spans="1:33" ht="15" x14ac:dyDescent="0.2">
      <c r="A78" s="323" t="str">
        <f t="shared" si="27"/>
        <v>Articulated Truck</v>
      </c>
      <c r="B78" s="411" t="s">
        <v>699</v>
      </c>
      <c r="C78" s="410">
        <v>411104.05539837579</v>
      </c>
      <c r="D78" s="409">
        <v>172512.54514941739</v>
      </c>
      <c r="E78" s="333">
        <f>AVERAGE(D78,F78)</f>
        <v>135113.44057992334</v>
      </c>
      <c r="F78" s="408">
        <v>97714.336010429295</v>
      </c>
      <c r="G78" s="333">
        <f>AVERAGE(F78,H78)</f>
        <v>92795.30512626053</v>
      </c>
      <c r="H78" s="407">
        <v>87876.274242091749</v>
      </c>
      <c r="I78" s="333">
        <f>AVERAGE(H78,J78)</f>
        <v>86198.094543665356</v>
      </c>
      <c r="J78" s="406">
        <v>84519.914845238978</v>
      </c>
      <c r="K78" s="791">
        <f t="shared" si="28"/>
        <v>9333066.2203088477</v>
      </c>
      <c r="L78" s="792">
        <f t="shared" si="28"/>
        <v>3916456.1540345564</v>
      </c>
      <c r="M78" s="792">
        <f t="shared" si="28"/>
        <v>3067405.1292542205</v>
      </c>
      <c r="N78" s="792">
        <f t="shared" si="28"/>
        <v>2218354.1044738842</v>
      </c>
      <c r="O78" s="792">
        <f t="shared" si="28"/>
        <v>2106680.0881784153</v>
      </c>
      <c r="P78" s="792">
        <f t="shared" si="28"/>
        <v>1995006.0718829464</v>
      </c>
      <c r="Q78" s="792">
        <f t="shared" si="28"/>
        <v>1956907.2936069358</v>
      </c>
      <c r="R78" s="793">
        <f t="shared" si="28"/>
        <v>1918808.5153309256</v>
      </c>
      <c r="S78" s="331">
        <f t="shared" si="29"/>
        <v>6.6913149599332318</v>
      </c>
      <c r="T78" s="331">
        <f t="shared" si="29"/>
        <v>2.2642615391590306</v>
      </c>
      <c r="U78" s="331">
        <f t="shared" si="29"/>
        <v>1.7287083528865539</v>
      </c>
      <c r="V78" s="331">
        <f t="shared" si="29"/>
        <v>1.2194795691937488</v>
      </c>
      <c r="W78" s="331">
        <f t="shared" si="29"/>
        <v>1.1362936758076476</v>
      </c>
      <c r="X78" s="331">
        <f t="shared" si="29"/>
        <v>1.0561811853328797</v>
      </c>
      <c r="Y78" s="331">
        <f t="shared" si="29"/>
        <v>1.0242561616329584</v>
      </c>
      <c r="Z78" s="331">
        <f t="shared" si="29"/>
        <v>0.99304748159907397</v>
      </c>
      <c r="AB78" s="405" t="s">
        <v>699</v>
      </c>
      <c r="AC78" s="404">
        <v>6.6431339955944022</v>
      </c>
      <c r="AD78" s="403">
        <v>5.6245758340445899</v>
      </c>
      <c r="AE78" s="402">
        <v>4.7019783134372828</v>
      </c>
      <c r="AF78" s="401">
        <v>4.1837822653388725</v>
      </c>
      <c r="AG78" s="400">
        <v>3.7701290991767111</v>
      </c>
    </row>
    <row r="79" spans="1:33" ht="15" x14ac:dyDescent="0.2">
      <c r="A79" s="323" t="str">
        <f t="shared" si="27"/>
        <v>Articulated Truck</v>
      </c>
      <c r="B79" s="411" t="s">
        <v>827</v>
      </c>
      <c r="C79" s="410">
        <v>90125.971437475877</v>
      </c>
      <c r="D79" s="409">
        <v>92868.139856750626</v>
      </c>
      <c r="E79" s="333">
        <f>AVERAGE(D79,F79)</f>
        <v>92758.712838742562</v>
      </c>
      <c r="F79" s="408">
        <v>92649.285820734483</v>
      </c>
      <c r="G79" s="333">
        <f>AVERAGE(F79,H79)</f>
        <v>93307.676951982314</v>
      </c>
      <c r="H79" s="407">
        <v>93966.068083230144</v>
      </c>
      <c r="I79" s="333">
        <f>AVERAGE(H79,J79)</f>
        <v>94354.744617523102</v>
      </c>
      <c r="J79" s="406">
        <v>94743.421151816074</v>
      </c>
      <c r="K79" s="791">
        <f t="shared" si="28"/>
        <v>2046079.6933285356</v>
      </c>
      <c r="L79" s="792">
        <f t="shared" si="28"/>
        <v>2108333.6144666532</v>
      </c>
      <c r="M79" s="792">
        <f t="shared" si="28"/>
        <v>2105849.3538714363</v>
      </c>
      <c r="N79" s="792">
        <f t="shared" si="28"/>
        <v>2103365.0932762185</v>
      </c>
      <c r="O79" s="792">
        <f t="shared" si="28"/>
        <v>2118312.1801417214</v>
      </c>
      <c r="P79" s="792">
        <f t="shared" si="28"/>
        <v>2133259.2670072243</v>
      </c>
      <c r="Q79" s="792">
        <f t="shared" si="28"/>
        <v>2142083.1737169772</v>
      </c>
      <c r="R79" s="793">
        <f t="shared" si="28"/>
        <v>2150907.0804267302</v>
      </c>
      <c r="S79" s="331">
        <f t="shared" si="29"/>
        <v>1.4669309461657043</v>
      </c>
      <c r="T79" s="331">
        <f t="shared" si="29"/>
        <v>1.2189128454904861</v>
      </c>
      <c r="U79" s="331">
        <f t="shared" si="29"/>
        <v>1.1868009651673876</v>
      </c>
      <c r="V79" s="331">
        <f t="shared" si="29"/>
        <v>1.1562675014925008</v>
      </c>
      <c r="W79" s="331">
        <f t="shared" si="29"/>
        <v>1.1425677525450162</v>
      </c>
      <c r="X79" s="331">
        <f t="shared" si="29"/>
        <v>1.1293741573044385</v>
      </c>
      <c r="Y79" s="331">
        <f t="shared" si="29"/>
        <v>1.121178247215727</v>
      </c>
      <c r="Z79" s="331">
        <f t="shared" si="29"/>
        <v>1.113166239520782</v>
      </c>
      <c r="AB79" s="405" t="s">
        <v>827</v>
      </c>
      <c r="AC79" s="404">
        <v>13.986475102643237</v>
      </c>
      <c r="AD79" s="403">
        <v>11.823955736426605</v>
      </c>
      <c r="AE79" s="402">
        <v>9.4051912571814071</v>
      </c>
      <c r="AF79" s="401">
        <v>8.5108552099213703</v>
      </c>
      <c r="AG79" s="400">
        <v>7.9094469544802353</v>
      </c>
    </row>
    <row r="80" spans="1:33" ht="15" x14ac:dyDescent="0.2">
      <c r="A80" s="323" t="str">
        <f t="shared" si="27"/>
        <v>Articulated Truck</v>
      </c>
      <c r="B80" s="411" t="s">
        <v>700</v>
      </c>
      <c r="C80" s="410">
        <v>85180.268886612539</v>
      </c>
      <c r="D80" s="409">
        <v>88358.582298485853</v>
      </c>
      <c r="E80" s="333">
        <f>AVERAGE(D80,F80)</f>
        <v>88103.600633371505</v>
      </c>
      <c r="F80" s="408">
        <v>87848.618968257142</v>
      </c>
      <c r="G80" s="333">
        <f>AVERAGE(F80,H80)</f>
        <v>88508.458237651677</v>
      </c>
      <c r="H80" s="407">
        <v>89168.297507046198</v>
      </c>
      <c r="I80" s="333">
        <f>AVERAGE(H80,J80)</f>
        <v>89556.413228877951</v>
      </c>
      <c r="J80" s="406">
        <v>89944.528950709704</v>
      </c>
      <c r="K80" s="791">
        <f t="shared" si="28"/>
        <v>1933800.165050887</v>
      </c>
      <c r="L80" s="792">
        <f t="shared" si="28"/>
        <v>2005955.6428487513</v>
      </c>
      <c r="M80" s="792">
        <f t="shared" si="28"/>
        <v>2000166.9362324402</v>
      </c>
      <c r="N80" s="792">
        <f t="shared" si="28"/>
        <v>1994378.2296161293</v>
      </c>
      <c r="O80" s="792">
        <f t="shared" si="28"/>
        <v>2009358.1927547844</v>
      </c>
      <c r="P80" s="792">
        <f t="shared" si="28"/>
        <v>2024338.1558934394</v>
      </c>
      <c r="Q80" s="792">
        <f t="shared" si="28"/>
        <v>2033149.3307904822</v>
      </c>
      <c r="R80" s="793">
        <f t="shared" si="28"/>
        <v>2041960.5056875255</v>
      </c>
      <c r="S80" s="331">
        <f t="shared" si="29"/>
        <v>1.3864324615815442</v>
      </c>
      <c r="T80" s="331">
        <f t="shared" si="29"/>
        <v>1.1597240037227237</v>
      </c>
      <c r="U80" s="331">
        <f t="shared" si="29"/>
        <v>1.1272411514396863</v>
      </c>
      <c r="V80" s="331">
        <f t="shared" si="29"/>
        <v>1.0963549504367691</v>
      </c>
      <c r="W80" s="331">
        <f t="shared" si="29"/>
        <v>1.0838005351034481</v>
      </c>
      <c r="X80" s="331">
        <f t="shared" si="29"/>
        <v>1.0717099577487181</v>
      </c>
      <c r="Y80" s="331">
        <f t="shared" si="29"/>
        <v>1.0641616679468318</v>
      </c>
      <c r="Z80" s="331">
        <f t="shared" si="29"/>
        <v>1.0567827490321784</v>
      </c>
      <c r="AB80" s="405" t="s">
        <v>700</v>
      </c>
      <c r="AC80" s="404">
        <v>16.084446368039721</v>
      </c>
      <c r="AD80" s="403">
        <v>13.597549096890598</v>
      </c>
      <c r="AE80" s="402">
        <v>10.815969945758619</v>
      </c>
      <c r="AF80" s="401">
        <v>9.7874834914095743</v>
      </c>
      <c r="AG80" s="400">
        <v>9.0958639976522715</v>
      </c>
    </row>
    <row r="81" spans="1:33" ht="15" x14ac:dyDescent="0.25">
      <c r="A81" s="323" t="str">
        <f t="shared" si="27"/>
        <v>Articulated Truck</v>
      </c>
      <c r="E81" s="323"/>
      <c r="K81" s="798"/>
      <c r="R81" s="799"/>
      <c r="T81" s="331"/>
      <c r="U81" s="331"/>
      <c r="V81" s="331"/>
      <c r="W81" s="331"/>
      <c r="X81" s="331"/>
      <c r="Y81" s="331"/>
      <c r="Z81" s="331"/>
    </row>
    <row r="82" spans="1:33" x14ac:dyDescent="0.2">
      <c r="A82" s="323" t="str">
        <f t="shared" si="27"/>
        <v>Articulated Truck</v>
      </c>
      <c r="B82" s="399" t="s">
        <v>832</v>
      </c>
      <c r="C82" s="360" t="s">
        <v>831</v>
      </c>
      <c r="D82" s="359">
        <v>0.08</v>
      </c>
      <c r="E82" s="358"/>
      <c r="K82" s="798"/>
      <c r="R82" s="799"/>
      <c r="AB82" s="357" t="s">
        <v>816</v>
      </c>
    </row>
    <row r="83" spans="1:33" x14ac:dyDescent="0.2">
      <c r="A83" s="323" t="str">
        <f>B83</f>
        <v>Construction Truck</v>
      </c>
      <c r="B83" s="398" t="s">
        <v>733</v>
      </c>
      <c r="C83" s="352">
        <v>2010</v>
      </c>
      <c r="D83" s="352">
        <v>2020</v>
      </c>
      <c r="E83" s="355"/>
      <c r="F83" s="352">
        <v>2030</v>
      </c>
      <c r="G83" s="352"/>
      <c r="H83" s="352">
        <v>2040</v>
      </c>
      <c r="I83" s="352"/>
      <c r="J83" s="352">
        <v>2050</v>
      </c>
      <c r="K83" s="796">
        <f>C83</f>
        <v>2010</v>
      </c>
      <c r="L83" s="354">
        <f>D83</f>
        <v>2020</v>
      </c>
      <c r="M83" s="354"/>
      <c r="N83" s="354">
        <f>F83</f>
        <v>2030</v>
      </c>
      <c r="O83" s="354"/>
      <c r="P83" s="354">
        <f>H83</f>
        <v>2040</v>
      </c>
      <c r="Q83" s="354"/>
      <c r="R83" s="797">
        <f>J83</f>
        <v>2050</v>
      </c>
      <c r="S83" s="323">
        <f>C83</f>
        <v>2010</v>
      </c>
      <c r="T83" s="323">
        <f>D83</f>
        <v>2020</v>
      </c>
      <c r="V83" s="323">
        <f>F83</f>
        <v>2030</v>
      </c>
      <c r="X83" s="323">
        <f>H83</f>
        <v>2040</v>
      </c>
      <c r="Z83" s="323">
        <f>J83</f>
        <v>2050</v>
      </c>
      <c r="AB83" s="353" t="s">
        <v>830</v>
      </c>
      <c r="AC83" s="352">
        <v>2010</v>
      </c>
      <c r="AD83" s="352">
        <v>2020</v>
      </c>
      <c r="AE83" s="352">
        <v>2030</v>
      </c>
      <c r="AF83" s="352">
        <v>2040</v>
      </c>
      <c r="AG83" s="352">
        <v>2050</v>
      </c>
    </row>
    <row r="84" spans="1:33" x14ac:dyDescent="0.2">
      <c r="A84" s="323" t="str">
        <f t="shared" ref="A84:A94" si="30">A83</f>
        <v>Construction Truck</v>
      </c>
      <c r="B84" s="397" t="s">
        <v>791</v>
      </c>
      <c r="C84" s="396" t="s">
        <v>193</v>
      </c>
      <c r="D84" s="395" t="s">
        <v>193</v>
      </c>
      <c r="E84" s="394"/>
      <c r="F84" s="393" t="s">
        <v>193</v>
      </c>
      <c r="G84" s="393"/>
      <c r="H84" s="392" t="s">
        <v>193</v>
      </c>
      <c r="I84" s="392"/>
      <c r="J84" s="391" t="s">
        <v>193</v>
      </c>
      <c r="K84" s="798" t="str">
        <f>zar.base&amp;"ZAR"</f>
        <v>2015ZAR</v>
      </c>
      <c r="L84" s="323" t="str">
        <f>zar.base&amp;"ZAR"</f>
        <v>2015ZAR</v>
      </c>
      <c r="N84" s="323" t="str">
        <f>zar.base&amp;"ZAR"</f>
        <v>2015ZAR</v>
      </c>
      <c r="P84" s="323" t="str">
        <f>zar.base&amp;"ZAR"</f>
        <v>2015ZAR</v>
      </c>
      <c r="R84" s="799" t="str">
        <f>zar.base&amp;"ZAR"</f>
        <v>2015ZAR</v>
      </c>
      <c r="AB84" s="390" t="s">
        <v>659</v>
      </c>
      <c r="AC84" s="389" t="s">
        <v>663</v>
      </c>
      <c r="AD84" s="388" t="s">
        <v>663</v>
      </c>
      <c r="AE84" s="387" t="s">
        <v>663</v>
      </c>
      <c r="AF84" s="386" t="s">
        <v>663</v>
      </c>
      <c r="AG84" s="385" t="s">
        <v>663</v>
      </c>
    </row>
    <row r="85" spans="1:33" ht="15" x14ac:dyDescent="0.2">
      <c r="A85" s="323" t="str">
        <f t="shared" si="30"/>
        <v>Construction Truck</v>
      </c>
      <c r="B85" s="373" t="s">
        <v>687</v>
      </c>
      <c r="C85" s="372">
        <v>50097.906660086221</v>
      </c>
      <c r="D85" s="371">
        <v>60945.499708674783</v>
      </c>
      <c r="E85" s="333">
        <f>AVERAGE(D85,F85)</f>
        <v>62625.099522765391</v>
      </c>
      <c r="F85" s="370">
        <v>64304.699336856007</v>
      </c>
      <c r="G85" s="333">
        <f>AVERAGE(F85,H85)</f>
        <v>65668.155002490399</v>
      </c>
      <c r="H85" s="369">
        <v>67031.610668124791</v>
      </c>
      <c r="I85" s="333">
        <f>AVERAGE(H85,J85)</f>
        <v>68287.47516906797</v>
      </c>
      <c r="J85" s="368">
        <v>69543.339670011163</v>
      </c>
      <c r="K85" s="791">
        <f t="shared" ref="K85:R92" si="31">C85*$B$2*$K$3</f>
        <v>1137344.8503307651</v>
      </c>
      <c r="L85" s="792">
        <f t="shared" si="31"/>
        <v>1383611.7088645061</v>
      </c>
      <c r="M85" s="792">
        <f t="shared" si="31"/>
        <v>1421742.7272348688</v>
      </c>
      <c r="N85" s="792">
        <f t="shared" si="31"/>
        <v>1459873.7456052315</v>
      </c>
      <c r="O85" s="792">
        <f t="shared" si="31"/>
        <v>1490827.5195919413</v>
      </c>
      <c r="P85" s="792">
        <f t="shared" si="31"/>
        <v>1521781.2935786508</v>
      </c>
      <c r="Q85" s="792">
        <f t="shared" si="31"/>
        <v>1550292.485324691</v>
      </c>
      <c r="R85" s="793">
        <f t="shared" si="31"/>
        <v>1578803.6770707315</v>
      </c>
      <c r="S85" s="331">
        <f t="shared" ref="S85:Z92" si="32">C85/C$85</f>
        <v>1</v>
      </c>
      <c r="T85" s="331">
        <f t="shared" si="32"/>
        <v>1</v>
      </c>
      <c r="U85" s="331">
        <f t="shared" si="32"/>
        <v>1</v>
      </c>
      <c r="V85" s="331">
        <f t="shared" si="32"/>
        <v>1</v>
      </c>
      <c r="W85" s="331">
        <f t="shared" si="32"/>
        <v>1</v>
      </c>
      <c r="X85" s="331">
        <f t="shared" si="32"/>
        <v>1</v>
      </c>
      <c r="Y85" s="331">
        <f t="shared" si="32"/>
        <v>1</v>
      </c>
      <c r="Z85" s="331">
        <f t="shared" si="32"/>
        <v>1</v>
      </c>
      <c r="AB85" s="367" t="s">
        <v>687</v>
      </c>
      <c r="AC85" s="366">
        <v>13.15733229927832</v>
      </c>
      <c r="AD85" s="365">
        <v>12.08372523506852</v>
      </c>
      <c r="AE85" s="364">
        <v>11.084387942527147</v>
      </c>
      <c r="AF85" s="363">
        <v>10.395192174875143</v>
      </c>
      <c r="AG85" s="362">
        <v>9.891747987713071</v>
      </c>
    </row>
    <row r="86" spans="1:33" ht="15" x14ac:dyDescent="0.2">
      <c r="A86" s="323" t="str">
        <f t="shared" si="30"/>
        <v>Construction Truck</v>
      </c>
      <c r="B86" s="373" t="s">
        <v>829</v>
      </c>
      <c r="C86" s="372">
        <v>59302.385710933137</v>
      </c>
      <c r="D86" s="371">
        <v>68478.720611592405</v>
      </c>
      <c r="E86" s="333">
        <f>AVERAGE(D86,F86)</f>
        <v>68925.362076589052</v>
      </c>
      <c r="F86" s="370">
        <v>69372.003541585713</v>
      </c>
      <c r="G86" s="333">
        <f>AVERAGE(F86,H86)</f>
        <v>70119.022104089701</v>
      </c>
      <c r="H86" s="369">
        <v>70866.040666593675</v>
      </c>
      <c r="I86" s="333">
        <f>AVERAGE(H86,J86)</f>
        <v>71725.11939513449</v>
      </c>
      <c r="J86" s="368">
        <v>72584.198123675305</v>
      </c>
      <c r="K86" s="791">
        <f t="shared" si="31"/>
        <v>1346309.0076455197</v>
      </c>
      <c r="L86" s="792">
        <f t="shared" si="31"/>
        <v>1554634.2240061136</v>
      </c>
      <c r="M86" s="792">
        <f t="shared" si="31"/>
        <v>1564774.0762279797</v>
      </c>
      <c r="N86" s="792">
        <f t="shared" si="31"/>
        <v>1574913.9284498463</v>
      </c>
      <c r="O86" s="792">
        <f t="shared" si="31"/>
        <v>1591873.0744862277</v>
      </c>
      <c r="P86" s="792">
        <f t="shared" si="31"/>
        <v>1608832.2205226088</v>
      </c>
      <c r="Q86" s="792">
        <f t="shared" si="31"/>
        <v>1628335.4060461875</v>
      </c>
      <c r="R86" s="793">
        <f t="shared" si="31"/>
        <v>1647838.5915697664</v>
      </c>
      <c r="S86" s="331">
        <f t="shared" si="32"/>
        <v>1.1837298135688425</v>
      </c>
      <c r="T86" s="331">
        <f t="shared" si="32"/>
        <v>1.1236058599720591</v>
      </c>
      <c r="U86" s="331">
        <f t="shared" si="32"/>
        <v>1.1006028349948314</v>
      </c>
      <c r="V86" s="331">
        <f t="shared" si="32"/>
        <v>1.0788014601885465</v>
      </c>
      <c r="W86" s="331">
        <f t="shared" si="32"/>
        <v>1.0677781658618322</v>
      </c>
      <c r="X86" s="331">
        <f t="shared" si="32"/>
        <v>1.0572033099048335</v>
      </c>
      <c r="Y86" s="331">
        <f t="shared" si="32"/>
        <v>1.0503407721189795</v>
      </c>
      <c r="Z86" s="331">
        <f t="shared" si="32"/>
        <v>1.0437260917881319</v>
      </c>
      <c r="AB86" s="367" t="s">
        <v>829</v>
      </c>
      <c r="AC86" s="366">
        <v>12.462092656713056</v>
      </c>
      <c r="AD86" s="365">
        <v>11.69168083818934</v>
      </c>
      <c r="AE86" s="364">
        <v>10.732892215978326</v>
      </c>
      <c r="AF86" s="363">
        <v>10.07939749594583</v>
      </c>
      <c r="AG86" s="362">
        <v>9.5947575238489726</v>
      </c>
    </row>
    <row r="87" spans="1:33" ht="15" x14ac:dyDescent="0.2">
      <c r="A87" s="323" t="str">
        <f t="shared" si="30"/>
        <v>Construction Truck</v>
      </c>
      <c r="B87" s="373" t="s">
        <v>828</v>
      </c>
      <c r="C87" s="372">
        <v>59123.565849994855</v>
      </c>
      <c r="D87" s="371">
        <v>65687.206724330608</v>
      </c>
      <c r="E87" s="333">
        <f>AVERAGE(D87,F87)</f>
        <v>66680.005444193113</v>
      </c>
      <c r="F87" s="370">
        <v>67672.804164055618</v>
      </c>
      <c r="G87" s="333">
        <f>AVERAGE(F87,H87)</f>
        <v>69715.727189696074</v>
      </c>
      <c r="H87" s="369">
        <v>71758.650215336529</v>
      </c>
      <c r="I87" s="333">
        <f>AVERAGE(H87,J87)</f>
        <v>74042.050948476477</v>
      </c>
      <c r="J87" s="368">
        <v>76325.45168161644</v>
      </c>
      <c r="K87" s="791">
        <f t="shared" si="31"/>
        <v>1342249.3600168284</v>
      </c>
      <c r="L87" s="792">
        <f t="shared" si="31"/>
        <v>1491260.0402134496</v>
      </c>
      <c r="M87" s="792">
        <f t="shared" si="31"/>
        <v>1513798.9961644816</v>
      </c>
      <c r="N87" s="792">
        <f t="shared" si="31"/>
        <v>1536337.9521155139</v>
      </c>
      <c r="O87" s="792">
        <f t="shared" si="31"/>
        <v>1582717.2948413345</v>
      </c>
      <c r="P87" s="792">
        <f t="shared" si="31"/>
        <v>1629096.6375671551</v>
      </c>
      <c r="Q87" s="792">
        <f t="shared" si="31"/>
        <v>1680935.4116440627</v>
      </c>
      <c r="R87" s="793">
        <f t="shared" si="31"/>
        <v>1732774.1857209706</v>
      </c>
      <c r="S87" s="331">
        <f t="shared" si="32"/>
        <v>1.1801604057260844</v>
      </c>
      <c r="T87" s="331">
        <f t="shared" si="32"/>
        <v>1.0778024142606366</v>
      </c>
      <c r="U87" s="331">
        <f t="shared" si="32"/>
        <v>1.0647488938513174</v>
      </c>
      <c r="V87" s="331">
        <f t="shared" si="32"/>
        <v>1.0523772735419539</v>
      </c>
      <c r="W87" s="331">
        <f t="shared" si="32"/>
        <v>1.0616367581372155</v>
      </c>
      <c r="X87" s="331">
        <f t="shared" si="32"/>
        <v>1.0705195578637583</v>
      </c>
      <c r="Y87" s="331">
        <f t="shared" si="32"/>
        <v>1.0842698571760221</v>
      </c>
      <c r="Z87" s="331">
        <f t="shared" si="32"/>
        <v>1.0975235305607547</v>
      </c>
      <c r="AB87" s="367" t="s">
        <v>828</v>
      </c>
      <c r="AC87" s="366">
        <v>12.7279506333896</v>
      </c>
      <c r="AD87" s="365">
        <v>11.89708271394221</v>
      </c>
      <c r="AE87" s="364">
        <v>10.881546604623942</v>
      </c>
      <c r="AF87" s="363">
        <v>9.9942692572103038</v>
      </c>
      <c r="AG87" s="362">
        <v>9.2303903880598703</v>
      </c>
    </row>
    <row r="88" spans="1:33" ht="15" x14ac:dyDescent="0.2">
      <c r="A88" s="323" t="str">
        <f t="shared" si="30"/>
        <v>Construction Truck</v>
      </c>
      <c r="B88" s="373" t="s">
        <v>689</v>
      </c>
      <c r="C88" s="372">
        <v>62278.245223873986</v>
      </c>
      <c r="D88" s="371">
        <v>66182.547813496509</v>
      </c>
      <c r="E88" s="333">
        <f>AVERAGE(D88,F88)</f>
        <v>66579.786422146251</v>
      </c>
      <c r="F88" s="370">
        <v>66977.02503079598</v>
      </c>
      <c r="G88" s="333">
        <f>AVERAGE(F88,H88)</f>
        <v>68506.597627981813</v>
      </c>
      <c r="H88" s="369">
        <v>70036.170225167647</v>
      </c>
      <c r="I88" s="333">
        <f>AVERAGE(H88,J88)</f>
        <v>72054.017365560925</v>
      </c>
      <c r="J88" s="368">
        <v>74071.864505954203</v>
      </c>
      <c r="K88" s="791">
        <f t="shared" si="31"/>
        <v>1413868.2874237234</v>
      </c>
      <c r="L88" s="792">
        <f t="shared" si="31"/>
        <v>1502505.4928576599</v>
      </c>
      <c r="M88" s="792">
        <f t="shared" si="31"/>
        <v>1511523.7795690347</v>
      </c>
      <c r="N88" s="792">
        <f t="shared" si="31"/>
        <v>1520542.066280409</v>
      </c>
      <c r="O88" s="792">
        <f t="shared" si="31"/>
        <v>1555267.1003705533</v>
      </c>
      <c r="P88" s="792">
        <f t="shared" si="31"/>
        <v>1589992.1344606976</v>
      </c>
      <c r="Q88" s="792">
        <f t="shared" si="31"/>
        <v>1635802.1933410501</v>
      </c>
      <c r="R88" s="793">
        <f t="shared" si="31"/>
        <v>1681612.2522214027</v>
      </c>
      <c r="S88" s="331">
        <f t="shared" si="32"/>
        <v>1.2431306890012639</v>
      </c>
      <c r="T88" s="331">
        <f t="shared" si="32"/>
        <v>1.0859300215742804</v>
      </c>
      <c r="U88" s="331">
        <f t="shared" si="32"/>
        <v>1.0631485926492341</v>
      </c>
      <c r="V88" s="331">
        <f t="shared" si="32"/>
        <v>1.0415572379856901</v>
      </c>
      <c r="W88" s="331">
        <f t="shared" si="32"/>
        <v>1.0432240349280983</v>
      </c>
      <c r="X88" s="331">
        <f t="shared" si="32"/>
        <v>1.0448230249444326</v>
      </c>
      <c r="Y88" s="331">
        <f t="shared" si="32"/>
        <v>1.0551571453940514</v>
      </c>
      <c r="Z88" s="331">
        <f t="shared" si="32"/>
        <v>1.0651180236300308</v>
      </c>
      <c r="AB88" s="367" t="s">
        <v>689</v>
      </c>
      <c r="AC88" s="366">
        <v>12.163002432951942</v>
      </c>
      <c r="AD88" s="365">
        <v>11.39314389185083</v>
      </c>
      <c r="AE88" s="364">
        <v>10.373287774461328</v>
      </c>
      <c r="AF88" s="363">
        <v>9.511403737380931</v>
      </c>
      <c r="AG88" s="362">
        <v>8.72991432574036</v>
      </c>
    </row>
    <row r="89" spans="1:33" ht="15" x14ac:dyDescent="0.2">
      <c r="A89" s="323" t="str">
        <f t="shared" si="30"/>
        <v>Construction Truck</v>
      </c>
      <c r="B89" s="373" t="s">
        <v>692</v>
      </c>
      <c r="C89" s="384"/>
      <c r="D89" s="383"/>
      <c r="E89" s="382"/>
      <c r="F89" s="381"/>
      <c r="G89" s="381"/>
      <c r="H89" s="380"/>
      <c r="I89" s="380"/>
      <c r="J89" s="379"/>
      <c r="K89" s="791">
        <f t="shared" si="31"/>
        <v>0</v>
      </c>
      <c r="L89" s="792">
        <f t="shared" si="31"/>
        <v>0</v>
      </c>
      <c r="M89" s="792">
        <f t="shared" si="31"/>
        <v>0</v>
      </c>
      <c r="N89" s="792">
        <f t="shared" si="31"/>
        <v>0</v>
      </c>
      <c r="O89" s="792">
        <f t="shared" si="31"/>
        <v>0</v>
      </c>
      <c r="P89" s="792">
        <f t="shared" si="31"/>
        <v>0</v>
      </c>
      <c r="Q89" s="792">
        <f t="shared" si="31"/>
        <v>0</v>
      </c>
      <c r="R89" s="793">
        <f t="shared" si="31"/>
        <v>0</v>
      </c>
      <c r="S89" s="331">
        <f t="shared" si="32"/>
        <v>0</v>
      </c>
      <c r="T89" s="331">
        <f t="shared" si="32"/>
        <v>0</v>
      </c>
      <c r="U89" s="331">
        <f t="shared" si="32"/>
        <v>0</v>
      </c>
      <c r="V89" s="331">
        <f t="shared" si="32"/>
        <v>0</v>
      </c>
      <c r="W89" s="331">
        <f t="shared" si="32"/>
        <v>0</v>
      </c>
      <c r="X89" s="331">
        <f t="shared" si="32"/>
        <v>0</v>
      </c>
      <c r="Y89" s="331">
        <f t="shared" si="32"/>
        <v>0</v>
      </c>
      <c r="Z89" s="331">
        <f t="shared" si="32"/>
        <v>0</v>
      </c>
      <c r="AB89" s="367" t="s">
        <v>692</v>
      </c>
      <c r="AC89" s="378"/>
      <c r="AD89" s="377"/>
      <c r="AE89" s="376"/>
      <c r="AF89" s="375"/>
      <c r="AG89" s="374"/>
    </row>
    <row r="90" spans="1:33" ht="15" x14ac:dyDescent="0.2">
      <c r="A90" s="323" t="str">
        <f t="shared" si="30"/>
        <v>Construction Truck</v>
      </c>
      <c r="B90" s="373" t="s">
        <v>699</v>
      </c>
      <c r="C90" s="372">
        <v>280150.74119966</v>
      </c>
      <c r="D90" s="371">
        <v>124695.03585482571</v>
      </c>
      <c r="E90" s="333">
        <f>AVERAGE(D90,F90)</f>
        <v>100092.50443407503</v>
      </c>
      <c r="F90" s="370">
        <v>75489.973013324343</v>
      </c>
      <c r="G90" s="333">
        <f>AVERAGE(F90,H90)</f>
        <v>73424.01925307895</v>
      </c>
      <c r="H90" s="369">
        <v>71358.065492833557</v>
      </c>
      <c r="I90" s="333">
        <f>AVERAGE(H90,J90)</f>
        <v>71926.66931525823</v>
      </c>
      <c r="J90" s="368">
        <v>72495.273137682903</v>
      </c>
      <c r="K90" s="791">
        <f t="shared" si="31"/>
        <v>6360106.1214327365</v>
      </c>
      <c r="L90" s="792">
        <f t="shared" si="31"/>
        <v>2830881.8939991225</v>
      </c>
      <c r="M90" s="792">
        <f t="shared" si="31"/>
        <v>2272344.3366048341</v>
      </c>
      <c r="N90" s="792">
        <f t="shared" si="31"/>
        <v>1713806.7792105449</v>
      </c>
      <c r="O90" s="792">
        <f t="shared" si="31"/>
        <v>1666904.5825543196</v>
      </c>
      <c r="P90" s="792">
        <f t="shared" si="31"/>
        <v>1620002.3858980946</v>
      </c>
      <c r="Q90" s="792">
        <f t="shared" si="31"/>
        <v>1632911.0815388313</v>
      </c>
      <c r="R90" s="793">
        <f t="shared" si="31"/>
        <v>1645819.7771795681</v>
      </c>
      <c r="S90" s="331">
        <f t="shared" si="32"/>
        <v>5.5920648162103834</v>
      </c>
      <c r="T90" s="331">
        <f t="shared" si="32"/>
        <v>2.0460089169976405</v>
      </c>
      <c r="U90" s="331">
        <f t="shared" si="32"/>
        <v>1.5982809639717943</v>
      </c>
      <c r="V90" s="331">
        <f t="shared" si="32"/>
        <v>1.1739417770678782</v>
      </c>
      <c r="W90" s="331">
        <f t="shared" si="32"/>
        <v>1.1181069309819107</v>
      </c>
      <c r="X90" s="331">
        <f t="shared" si="32"/>
        <v>1.0645435009182334</v>
      </c>
      <c r="Y90" s="331">
        <f t="shared" si="32"/>
        <v>1.0532922638767981</v>
      </c>
      <c r="Z90" s="331">
        <f t="shared" si="32"/>
        <v>1.042447392973632</v>
      </c>
      <c r="AB90" s="367" t="s">
        <v>699</v>
      </c>
      <c r="AC90" s="366">
        <v>6.2365059907747922</v>
      </c>
      <c r="AD90" s="365">
        <v>5.4621669343951371</v>
      </c>
      <c r="AE90" s="364">
        <v>4.9686983257104593</v>
      </c>
      <c r="AF90" s="363">
        <v>4.4308869983856987</v>
      </c>
      <c r="AG90" s="362">
        <v>3.9662332203875681</v>
      </c>
    </row>
    <row r="91" spans="1:33" ht="15" x14ac:dyDescent="0.2">
      <c r="A91" s="323" t="str">
        <f t="shared" si="30"/>
        <v>Construction Truck</v>
      </c>
      <c r="B91" s="373" t="s">
        <v>827</v>
      </c>
      <c r="C91" s="372">
        <v>74699.19366137321</v>
      </c>
      <c r="D91" s="371">
        <v>76307.057760250711</v>
      </c>
      <c r="E91" s="333">
        <f>AVERAGE(D91,F91)</f>
        <v>76507.066819256201</v>
      </c>
      <c r="F91" s="370">
        <v>76707.07587826169</v>
      </c>
      <c r="G91" s="333">
        <f>AVERAGE(F91,H91)</f>
        <v>77262.357043163385</v>
      </c>
      <c r="H91" s="369">
        <v>77817.63820806508</v>
      </c>
      <c r="I91" s="333">
        <f>AVERAGE(H91,J91)</f>
        <v>78543.353131423515</v>
      </c>
      <c r="J91" s="368">
        <v>79269.06805478195</v>
      </c>
      <c r="K91" s="791">
        <f t="shared" si="31"/>
        <v>1695854.156363609</v>
      </c>
      <c r="L91" s="792">
        <f t="shared" si="31"/>
        <v>1732356.5987769766</v>
      </c>
      <c r="M91" s="792">
        <f t="shared" si="31"/>
        <v>1736897.2929585287</v>
      </c>
      <c r="N91" s="792">
        <f t="shared" si="31"/>
        <v>1741437.9871400804</v>
      </c>
      <c r="O91" s="792">
        <f t="shared" si="31"/>
        <v>1754044.2259131225</v>
      </c>
      <c r="P91" s="792">
        <f t="shared" si="31"/>
        <v>1766650.4646861646</v>
      </c>
      <c r="Q91" s="792">
        <f t="shared" si="31"/>
        <v>1783125.9660776728</v>
      </c>
      <c r="R91" s="793">
        <f t="shared" si="31"/>
        <v>1799601.4674691809</v>
      </c>
      <c r="S91" s="331">
        <f t="shared" si="32"/>
        <v>1.4910641709683894</v>
      </c>
      <c r="T91" s="331">
        <f t="shared" si="32"/>
        <v>1.2520540175239454</v>
      </c>
      <c r="U91" s="331">
        <f t="shared" si="32"/>
        <v>1.2216677881916094</v>
      </c>
      <c r="V91" s="331">
        <f t="shared" si="32"/>
        <v>1.1928688986855631</v>
      </c>
      <c r="W91" s="331">
        <f t="shared" si="32"/>
        <v>1.1765574507192</v>
      </c>
      <c r="X91" s="331">
        <f t="shared" si="32"/>
        <v>1.1609095683727815</v>
      </c>
      <c r="Y91" s="331">
        <f t="shared" si="32"/>
        <v>1.1501868085906495</v>
      </c>
      <c r="Z91" s="331">
        <f t="shared" si="32"/>
        <v>1.139851327688894</v>
      </c>
      <c r="AB91" s="367" t="s">
        <v>827</v>
      </c>
      <c r="AC91" s="366">
        <v>13.15733229927832</v>
      </c>
      <c r="AD91" s="365">
        <v>12.08372523506852</v>
      </c>
      <c r="AE91" s="364">
        <v>11.084387942527147</v>
      </c>
      <c r="AF91" s="363">
        <v>10.395192174875143</v>
      </c>
      <c r="AG91" s="362">
        <v>9.891747987713071</v>
      </c>
    </row>
    <row r="92" spans="1:33" ht="15" x14ac:dyDescent="0.2">
      <c r="A92" s="323" t="str">
        <f t="shared" si="30"/>
        <v>Construction Truck</v>
      </c>
      <c r="B92" s="373" t="s">
        <v>700</v>
      </c>
      <c r="C92" s="372">
        <v>71568.477704220408</v>
      </c>
      <c r="D92" s="371">
        <v>73333.990007705113</v>
      </c>
      <c r="E92" s="333">
        <f>AVERAGE(D92,F92)</f>
        <v>73500.021619370556</v>
      </c>
      <c r="F92" s="370">
        <v>73666.053231035985</v>
      </c>
      <c r="G92" s="333">
        <f>AVERAGE(F92,H92)</f>
        <v>74232.374570268861</v>
      </c>
      <c r="H92" s="369">
        <v>74798.695909501737</v>
      </c>
      <c r="I92" s="333">
        <f>AVERAGE(H92,J92)</f>
        <v>75529.475056817842</v>
      </c>
      <c r="J92" s="368">
        <v>76260.254204133933</v>
      </c>
      <c r="K92" s="791">
        <f t="shared" si="31"/>
        <v>1624779.2570494437</v>
      </c>
      <c r="L92" s="792">
        <f t="shared" si="31"/>
        <v>1664860.6987788989</v>
      </c>
      <c r="M92" s="792">
        <f t="shared" si="31"/>
        <v>1668630.0219125191</v>
      </c>
      <c r="N92" s="792">
        <f t="shared" si="31"/>
        <v>1672399.3450461391</v>
      </c>
      <c r="O92" s="792">
        <f t="shared" si="31"/>
        <v>1685256.2227432285</v>
      </c>
      <c r="P92" s="792">
        <f t="shared" si="31"/>
        <v>1698113.1004403182</v>
      </c>
      <c r="Q92" s="792">
        <f t="shared" si="31"/>
        <v>1714703.5720855389</v>
      </c>
      <c r="R92" s="793">
        <f t="shared" si="31"/>
        <v>1731294.0437307595</v>
      </c>
      <c r="S92" s="331">
        <f t="shared" si="32"/>
        <v>1.4285722193905583</v>
      </c>
      <c r="T92" s="331">
        <f t="shared" si="32"/>
        <v>1.2032716173999471</v>
      </c>
      <c r="U92" s="331">
        <f t="shared" si="32"/>
        <v>1.1736511746803999</v>
      </c>
      <c r="V92" s="331">
        <f t="shared" si="32"/>
        <v>1.1455780680217651</v>
      </c>
      <c r="W92" s="331">
        <f t="shared" si="32"/>
        <v>1.1304166314319881</v>
      </c>
      <c r="X92" s="331">
        <f t="shared" si="32"/>
        <v>1.1158719768771779</v>
      </c>
      <c r="Y92" s="331">
        <f t="shared" si="32"/>
        <v>1.1060516569080923</v>
      </c>
      <c r="Z92" s="331">
        <f t="shared" si="32"/>
        <v>1.0965860219827677</v>
      </c>
      <c r="AB92" s="367" t="s">
        <v>700</v>
      </c>
      <c r="AC92" s="366">
        <v>15.130932144170067</v>
      </c>
      <c r="AD92" s="365">
        <v>13.896284020328794</v>
      </c>
      <c r="AE92" s="364">
        <v>12.747046133906222</v>
      </c>
      <c r="AF92" s="363">
        <v>11.954471001106414</v>
      </c>
      <c r="AG92" s="362">
        <v>11.375510185870032</v>
      </c>
    </row>
    <row r="93" spans="1:33" x14ac:dyDescent="0.25">
      <c r="A93" s="323" t="str">
        <f t="shared" si="30"/>
        <v>Construction Truck</v>
      </c>
      <c r="K93" s="798"/>
      <c r="R93" s="799"/>
    </row>
    <row r="94" spans="1:33" x14ac:dyDescent="0.2">
      <c r="A94" s="323" t="str">
        <f t="shared" si="30"/>
        <v>Construction Truck</v>
      </c>
      <c r="B94" s="361" t="s">
        <v>832</v>
      </c>
      <c r="C94" s="360" t="s">
        <v>831</v>
      </c>
      <c r="D94" s="359">
        <v>0.08</v>
      </c>
      <c r="E94" s="358"/>
      <c r="K94" s="798"/>
      <c r="R94" s="799"/>
      <c r="AB94" s="357" t="s">
        <v>816</v>
      </c>
    </row>
    <row r="95" spans="1:33" x14ac:dyDescent="0.2">
      <c r="A95" s="323" t="str">
        <f>B95</f>
        <v>Bus</v>
      </c>
      <c r="B95" s="356" t="s">
        <v>60</v>
      </c>
      <c r="C95" s="352">
        <v>2010</v>
      </c>
      <c r="D95" s="352">
        <v>2020</v>
      </c>
      <c r="E95" s="355"/>
      <c r="F95" s="352">
        <v>2030</v>
      </c>
      <c r="G95" s="352"/>
      <c r="H95" s="352">
        <v>2040</v>
      </c>
      <c r="I95" s="352"/>
      <c r="J95" s="352">
        <v>2050</v>
      </c>
      <c r="K95" s="796">
        <f>C95</f>
        <v>2010</v>
      </c>
      <c r="L95" s="354">
        <f>D95</f>
        <v>2020</v>
      </c>
      <c r="M95" s="354"/>
      <c r="N95" s="354">
        <f>F95</f>
        <v>2030</v>
      </c>
      <c r="O95" s="354"/>
      <c r="P95" s="354">
        <f>H95</f>
        <v>2040</v>
      </c>
      <c r="Q95" s="354"/>
      <c r="R95" s="797">
        <f>J95</f>
        <v>2050</v>
      </c>
      <c r="S95" s="323">
        <f>C95</f>
        <v>2010</v>
      </c>
      <c r="T95" s="323">
        <f>D95</f>
        <v>2020</v>
      </c>
      <c r="V95" s="323">
        <f>F95</f>
        <v>2030</v>
      </c>
      <c r="X95" s="323">
        <f>H95</f>
        <v>2040</v>
      </c>
      <c r="Z95" s="323">
        <f>J95</f>
        <v>2050</v>
      </c>
      <c r="AB95" s="353" t="s">
        <v>830</v>
      </c>
      <c r="AC95" s="352">
        <v>2010</v>
      </c>
      <c r="AD95" s="352">
        <v>2020</v>
      </c>
      <c r="AE95" s="352">
        <v>2030</v>
      </c>
      <c r="AF95" s="352">
        <v>2040</v>
      </c>
      <c r="AG95" s="352">
        <v>2050</v>
      </c>
    </row>
    <row r="96" spans="1:33" x14ac:dyDescent="0.2">
      <c r="A96" s="323" t="str">
        <f t="shared" ref="A96:A104" si="33">A95</f>
        <v>Bus</v>
      </c>
      <c r="B96" s="351" t="s">
        <v>791</v>
      </c>
      <c r="C96" s="350" t="s">
        <v>193</v>
      </c>
      <c r="D96" s="349" t="s">
        <v>193</v>
      </c>
      <c r="E96" s="348"/>
      <c r="F96" s="347" t="s">
        <v>193</v>
      </c>
      <c r="G96" s="347"/>
      <c r="H96" s="346" t="s">
        <v>193</v>
      </c>
      <c r="I96" s="346"/>
      <c r="J96" s="345" t="s">
        <v>193</v>
      </c>
      <c r="K96" s="798" t="str">
        <f>zar.base&amp;"ZAR"</f>
        <v>2015ZAR</v>
      </c>
      <c r="L96" s="323" t="str">
        <f>zar.base&amp;"ZAR"</f>
        <v>2015ZAR</v>
      </c>
      <c r="N96" s="323" t="str">
        <f>zar.base&amp;"ZAR"</f>
        <v>2015ZAR</v>
      </c>
      <c r="P96" s="323" t="str">
        <f>zar.base&amp;"ZAR"</f>
        <v>2015ZAR</v>
      </c>
      <c r="R96" s="799" t="str">
        <f>zar.base&amp;"ZAR"</f>
        <v>2015ZAR</v>
      </c>
      <c r="AB96" s="344" t="s">
        <v>659</v>
      </c>
      <c r="AC96" s="343" t="s">
        <v>663</v>
      </c>
      <c r="AD96" s="342" t="s">
        <v>663</v>
      </c>
      <c r="AE96" s="341" t="s">
        <v>663</v>
      </c>
      <c r="AF96" s="340" t="s">
        <v>663</v>
      </c>
      <c r="AG96" s="339" t="s">
        <v>663</v>
      </c>
    </row>
    <row r="97" spans="1:33" ht="15" x14ac:dyDescent="0.2">
      <c r="A97" s="323" t="str">
        <f t="shared" si="33"/>
        <v>Bus</v>
      </c>
      <c r="B97" s="338" t="s">
        <v>687</v>
      </c>
      <c r="C97" s="337">
        <v>104585.67980691875</v>
      </c>
      <c r="D97" s="336">
        <v>113077.07610471442</v>
      </c>
      <c r="E97" s="333">
        <f t="shared" ref="E97:E104" si="34">AVERAGE(D97,F97)</f>
        <v>115188.39593625024</v>
      </c>
      <c r="F97" s="335">
        <v>117299.71576778605</v>
      </c>
      <c r="G97" s="333">
        <f t="shared" ref="G97:G104" si="35">AVERAGE(F97,H97)</f>
        <v>118657.16814124331</v>
      </c>
      <c r="H97" s="334">
        <v>120014.62051470055</v>
      </c>
      <c r="I97" s="333">
        <f t="shared" ref="I97:I104" si="36">AVERAGE(H97,J97)</f>
        <v>121564.25896065209</v>
      </c>
      <c r="J97" s="332">
        <v>123113.89740660363</v>
      </c>
      <c r="K97" s="791">
        <f t="shared" ref="K97:R104" si="37">C97*$B$2*$K$3</f>
        <v>2374350.3925985522</v>
      </c>
      <c r="L97" s="792">
        <f t="shared" si="37"/>
        <v>2567125.8296431107</v>
      </c>
      <c r="M97" s="792">
        <f t="shared" si="37"/>
        <v>2615057.9469287945</v>
      </c>
      <c r="N97" s="792">
        <f t="shared" si="37"/>
        <v>2662990.0642144778</v>
      </c>
      <c r="O97" s="792">
        <f t="shared" si="37"/>
        <v>2693807.5488051251</v>
      </c>
      <c r="P97" s="792">
        <f t="shared" si="37"/>
        <v>2724625.0333957719</v>
      </c>
      <c r="Q97" s="792">
        <f t="shared" si="37"/>
        <v>2759805.6112657399</v>
      </c>
      <c r="R97" s="793">
        <f t="shared" si="37"/>
        <v>2794986.1891357079</v>
      </c>
      <c r="S97" s="331">
        <f t="shared" ref="S97:Z104" si="38">C97/C$97</f>
        <v>1</v>
      </c>
      <c r="T97" s="331">
        <f t="shared" si="38"/>
        <v>1</v>
      </c>
      <c r="U97" s="331">
        <f t="shared" si="38"/>
        <v>1</v>
      </c>
      <c r="V97" s="331">
        <f t="shared" si="38"/>
        <v>1</v>
      </c>
      <c r="W97" s="331">
        <f t="shared" si="38"/>
        <v>1</v>
      </c>
      <c r="X97" s="331">
        <f t="shared" si="38"/>
        <v>1</v>
      </c>
      <c r="Y97" s="331">
        <f t="shared" si="38"/>
        <v>1</v>
      </c>
      <c r="Z97" s="331">
        <f t="shared" si="38"/>
        <v>1</v>
      </c>
      <c r="AB97" s="330" t="s">
        <v>687</v>
      </c>
      <c r="AC97" s="329">
        <v>13.994490402622045</v>
      </c>
      <c r="AD97" s="328">
        <v>13.191801941531427</v>
      </c>
      <c r="AE97" s="327">
        <v>11.734984998533537</v>
      </c>
      <c r="AF97" s="326">
        <v>11.220071176529693</v>
      </c>
      <c r="AG97" s="325">
        <v>10.791662866044483</v>
      </c>
    </row>
    <row r="98" spans="1:33" ht="15" x14ac:dyDescent="0.2">
      <c r="A98" s="323" t="str">
        <f t="shared" si="33"/>
        <v>Bus</v>
      </c>
      <c r="B98" s="338" t="s">
        <v>829</v>
      </c>
      <c r="C98" s="337">
        <v>112781.74324159419</v>
      </c>
      <c r="D98" s="336">
        <v>119843.62290240868</v>
      </c>
      <c r="E98" s="333">
        <f t="shared" si="34"/>
        <v>120931.82437835461</v>
      </c>
      <c r="F98" s="335">
        <v>122020.02585430053</v>
      </c>
      <c r="G98" s="333">
        <f t="shared" si="35"/>
        <v>122869.25200041107</v>
      </c>
      <c r="H98" s="334">
        <v>123718.47814652159</v>
      </c>
      <c r="I98" s="333">
        <f t="shared" si="36"/>
        <v>124937.38050446415</v>
      </c>
      <c r="J98" s="332">
        <v>126156.2828624067</v>
      </c>
      <c r="K98" s="791">
        <f t="shared" si="37"/>
        <v>2560421.0522702299</v>
      </c>
      <c r="L98" s="792">
        <f t="shared" si="37"/>
        <v>2720742.9699179786</v>
      </c>
      <c r="M98" s="792">
        <f t="shared" si="37"/>
        <v>2745447.8014628761</v>
      </c>
      <c r="N98" s="792">
        <f t="shared" si="37"/>
        <v>2770152.6330077737</v>
      </c>
      <c r="O98" s="792">
        <f t="shared" si="37"/>
        <v>2789432.1408442678</v>
      </c>
      <c r="P98" s="792">
        <f t="shared" si="37"/>
        <v>2808711.648680761</v>
      </c>
      <c r="Q98" s="792">
        <f t="shared" si="37"/>
        <v>2836383.7094969568</v>
      </c>
      <c r="R98" s="793">
        <f t="shared" si="37"/>
        <v>2864055.7703131516</v>
      </c>
      <c r="S98" s="331">
        <f t="shared" si="38"/>
        <v>1.0783669757638583</v>
      </c>
      <c r="T98" s="331">
        <f t="shared" si="38"/>
        <v>1.0598401287934625</v>
      </c>
      <c r="U98" s="331">
        <f t="shared" si="38"/>
        <v>1.0498611721729592</v>
      </c>
      <c r="V98" s="331">
        <f t="shared" si="38"/>
        <v>1.0402414452210533</v>
      </c>
      <c r="W98" s="331">
        <f t="shared" si="38"/>
        <v>1.0354979300884202</v>
      </c>
      <c r="X98" s="331">
        <f t="shared" si="38"/>
        <v>1.0308617201465662</v>
      </c>
      <c r="Y98" s="331">
        <f t="shared" si="38"/>
        <v>1.0277476420508092</v>
      </c>
      <c r="Z98" s="331">
        <f t="shared" si="38"/>
        <v>1.0247119579502475</v>
      </c>
      <c r="AB98" s="330" t="s">
        <v>829</v>
      </c>
      <c r="AC98" s="329">
        <v>11.31113245814023</v>
      </c>
      <c r="AD98" s="328">
        <v>11.053344322508508</v>
      </c>
      <c r="AE98" s="327">
        <v>9.8702835330130654</v>
      </c>
      <c r="AF98" s="326">
        <v>9.4345222548033352</v>
      </c>
      <c r="AG98" s="325">
        <v>9.071868202881431</v>
      </c>
    </row>
    <row r="99" spans="1:33" ht="15" x14ac:dyDescent="0.2">
      <c r="A99" s="323" t="str">
        <f t="shared" si="33"/>
        <v>Bus</v>
      </c>
      <c r="B99" s="338" t="s">
        <v>828</v>
      </c>
      <c r="C99" s="337">
        <v>113443.27980691874</v>
      </c>
      <c r="D99" s="336">
        <v>117649.86503170698</v>
      </c>
      <c r="E99" s="333">
        <f t="shared" si="34"/>
        <v>118979.95394617732</v>
      </c>
      <c r="F99" s="335">
        <v>120310.04286064766</v>
      </c>
      <c r="G99" s="333">
        <f t="shared" si="35"/>
        <v>121286.87552080402</v>
      </c>
      <c r="H99" s="334">
        <v>122263.7081809604</v>
      </c>
      <c r="I99" s="333">
        <f t="shared" si="36"/>
        <v>123565.6368522952</v>
      </c>
      <c r="J99" s="332">
        <v>124867.56552362998</v>
      </c>
      <c r="K99" s="791">
        <f t="shared" si="37"/>
        <v>2575439.5481723119</v>
      </c>
      <c r="L99" s="792">
        <f t="shared" si="37"/>
        <v>2670939.3077800749</v>
      </c>
      <c r="M99" s="792">
        <f t="shared" si="37"/>
        <v>2701135.5750137344</v>
      </c>
      <c r="N99" s="792">
        <f t="shared" si="37"/>
        <v>2731331.8422473934</v>
      </c>
      <c r="O99" s="792">
        <f t="shared" si="37"/>
        <v>2753508.3296443988</v>
      </c>
      <c r="P99" s="792">
        <f t="shared" si="37"/>
        <v>2775684.8170414036</v>
      </c>
      <c r="Q99" s="792">
        <f t="shared" si="37"/>
        <v>2805241.7779716766</v>
      </c>
      <c r="R99" s="793">
        <f t="shared" si="37"/>
        <v>2834798.7389019486</v>
      </c>
      <c r="S99" s="331">
        <f t="shared" si="38"/>
        <v>1.084692283076923</v>
      </c>
      <c r="T99" s="331">
        <f t="shared" si="38"/>
        <v>1.0404395752394406</v>
      </c>
      <c r="U99" s="331">
        <f t="shared" si="38"/>
        <v>1.0329161455814133</v>
      </c>
      <c r="V99" s="331">
        <f t="shared" si="38"/>
        <v>1.0256635497635906</v>
      </c>
      <c r="W99" s="331">
        <f t="shared" si="38"/>
        <v>1.0221622293937644</v>
      </c>
      <c r="X99" s="331">
        <f t="shared" si="38"/>
        <v>1.0187401139679007</v>
      </c>
      <c r="Y99" s="331">
        <f t="shared" si="38"/>
        <v>1.0164635387798555</v>
      </c>
      <c r="Z99" s="331">
        <f t="shared" si="38"/>
        <v>1.014244274236844</v>
      </c>
      <c r="AB99" s="330" t="s">
        <v>828</v>
      </c>
      <c r="AC99" s="329">
        <v>12.018078236773993</v>
      </c>
      <c r="AD99" s="328">
        <v>11.74417834266529</v>
      </c>
      <c r="AE99" s="327">
        <v>10.487176253826384</v>
      </c>
      <c r="AF99" s="326">
        <v>10.024179895728546</v>
      </c>
      <c r="AG99" s="325">
        <v>9.6388599655615206</v>
      </c>
    </row>
    <row r="100" spans="1:33" ht="15" x14ac:dyDescent="0.2">
      <c r="A100" s="323" t="str">
        <f t="shared" si="33"/>
        <v>Bus</v>
      </c>
      <c r="B100" s="338" t="s">
        <v>689</v>
      </c>
      <c r="C100" s="337">
        <v>116351.42843540911</v>
      </c>
      <c r="D100" s="336">
        <v>119377.37392363261</v>
      </c>
      <c r="E100" s="333">
        <f t="shared" si="34"/>
        <v>119821.79555029134</v>
      </c>
      <c r="F100" s="335">
        <v>120266.21717695009</v>
      </c>
      <c r="G100" s="333">
        <f t="shared" si="35"/>
        <v>120754.76021338374</v>
      </c>
      <c r="H100" s="334">
        <v>121243.30324981739</v>
      </c>
      <c r="I100" s="333">
        <f t="shared" si="36"/>
        <v>122275.5039036619</v>
      </c>
      <c r="J100" s="332">
        <v>123307.70455750641</v>
      </c>
      <c r="K100" s="791">
        <f t="shared" si="37"/>
        <v>2641461.6254828833</v>
      </c>
      <c r="L100" s="792">
        <f t="shared" si="37"/>
        <v>2710157.9792400058</v>
      </c>
      <c r="M100" s="792">
        <f t="shared" si="37"/>
        <v>2720247.4357094248</v>
      </c>
      <c r="N100" s="792">
        <f t="shared" si="37"/>
        <v>2730336.8921788437</v>
      </c>
      <c r="O100" s="792">
        <f t="shared" si="37"/>
        <v>2741428.0124211079</v>
      </c>
      <c r="P100" s="792">
        <f t="shared" si="37"/>
        <v>2752519.1326633729</v>
      </c>
      <c r="Q100" s="792">
        <f t="shared" si="37"/>
        <v>2775952.6087589604</v>
      </c>
      <c r="R100" s="793">
        <f t="shared" si="37"/>
        <v>2799386.0848545479</v>
      </c>
      <c r="S100" s="331">
        <f t="shared" si="38"/>
        <v>1.1124986580401039</v>
      </c>
      <c r="T100" s="331">
        <f t="shared" si="38"/>
        <v>1.0557168440850366</v>
      </c>
      <c r="U100" s="331">
        <f t="shared" si="38"/>
        <v>1.0402245345668795</v>
      </c>
      <c r="V100" s="331">
        <f t="shared" si="38"/>
        <v>1.0252899283663799</v>
      </c>
      <c r="W100" s="331">
        <f t="shared" si="38"/>
        <v>1.0176777526802558</v>
      </c>
      <c r="X100" s="331">
        <f t="shared" si="38"/>
        <v>1.0102377754464202</v>
      </c>
      <c r="Y100" s="331">
        <f t="shared" si="38"/>
        <v>1.005850773484664</v>
      </c>
      <c r="Z100" s="331">
        <f t="shared" si="38"/>
        <v>1.001574210182484</v>
      </c>
      <c r="AB100" s="330" t="s">
        <v>689</v>
      </c>
      <c r="AC100" s="329">
        <v>9.8972409008726991</v>
      </c>
      <c r="AD100" s="328">
        <v>9.7369274546123403</v>
      </c>
      <c r="AE100" s="327">
        <v>8.8490586509521663</v>
      </c>
      <c r="AF100" s="326">
        <v>8.4852977340198574</v>
      </c>
      <c r="AG100" s="325">
        <v>8.0973329655812751</v>
      </c>
    </row>
    <row r="101" spans="1:33" ht="15" x14ac:dyDescent="0.2">
      <c r="A101" s="323" t="str">
        <f t="shared" si="33"/>
        <v>Bus</v>
      </c>
      <c r="B101" s="338" t="s">
        <v>692</v>
      </c>
      <c r="C101" s="337">
        <v>210032.009662809</v>
      </c>
      <c r="D101" s="336">
        <v>160147.05094959697</v>
      </c>
      <c r="E101" s="333">
        <f t="shared" si="34"/>
        <v>151867.75591154594</v>
      </c>
      <c r="F101" s="335">
        <v>143588.46087349489</v>
      </c>
      <c r="G101" s="333">
        <f t="shared" si="35"/>
        <v>144564.87323401903</v>
      </c>
      <c r="H101" s="334">
        <v>145541.28559454315</v>
      </c>
      <c r="I101" s="333">
        <f t="shared" si="36"/>
        <v>146467.9438683865</v>
      </c>
      <c r="J101" s="332">
        <v>147394.60214222985</v>
      </c>
      <c r="K101" s="791">
        <f t="shared" si="37"/>
        <v>4768239.6435325667</v>
      </c>
      <c r="L101" s="792">
        <f t="shared" si="37"/>
        <v>3635729.2317425008</v>
      </c>
      <c r="M101" s="792">
        <f t="shared" si="37"/>
        <v>3447769.0113726826</v>
      </c>
      <c r="N101" s="792">
        <f t="shared" si="37"/>
        <v>3259808.7910028636</v>
      </c>
      <c r="O101" s="792">
        <f t="shared" si="37"/>
        <v>3281975.7365715932</v>
      </c>
      <c r="P101" s="792">
        <f t="shared" si="37"/>
        <v>3304142.6821403229</v>
      </c>
      <c r="Q101" s="792">
        <f t="shared" si="37"/>
        <v>3325180.0884120665</v>
      </c>
      <c r="R101" s="793">
        <f t="shared" si="37"/>
        <v>3346217.49468381</v>
      </c>
      <c r="S101" s="331">
        <f t="shared" si="38"/>
        <v>2.008229138545166</v>
      </c>
      <c r="T101" s="331">
        <f t="shared" si="38"/>
        <v>1.4162645203285382</v>
      </c>
      <c r="U101" s="331">
        <f t="shared" si="38"/>
        <v>1.3184292973017482</v>
      </c>
      <c r="V101" s="331">
        <f t="shared" si="38"/>
        <v>1.2241160171074217</v>
      </c>
      <c r="W101" s="331">
        <f t="shared" si="38"/>
        <v>1.2183408343433288</v>
      </c>
      <c r="X101" s="331">
        <f t="shared" si="38"/>
        <v>1.2126962945878401</v>
      </c>
      <c r="Y101" s="331">
        <f t="shared" si="38"/>
        <v>1.2048602535042412</v>
      </c>
      <c r="Z101" s="331">
        <f t="shared" si="38"/>
        <v>1.1972214774050671</v>
      </c>
      <c r="AB101" s="330" t="s">
        <v>692</v>
      </c>
      <c r="AC101" s="329">
        <v>4.2967374340531439</v>
      </c>
      <c r="AD101" s="328">
        <v>4.1516717578834097</v>
      </c>
      <c r="AE101" s="327">
        <v>3.9381110207044951</v>
      </c>
      <c r="AF101" s="326">
        <v>3.7593629578837526</v>
      </c>
      <c r="AG101" s="325">
        <v>3.5746569593351674</v>
      </c>
    </row>
    <row r="102" spans="1:33" ht="15" x14ac:dyDescent="0.2">
      <c r="A102" s="323" t="str">
        <f t="shared" si="33"/>
        <v>Bus</v>
      </c>
      <c r="B102" s="338" t="s">
        <v>699</v>
      </c>
      <c r="C102" s="337">
        <v>277340.96449320531</v>
      </c>
      <c r="D102" s="336">
        <v>162518.18115955184</v>
      </c>
      <c r="E102" s="333">
        <f t="shared" si="34"/>
        <v>144863.97068257336</v>
      </c>
      <c r="F102" s="335">
        <v>127209.76020559487</v>
      </c>
      <c r="G102" s="333">
        <f t="shared" si="35"/>
        <v>125207.46042029635</v>
      </c>
      <c r="H102" s="334">
        <v>123205.16063499784</v>
      </c>
      <c r="I102" s="333">
        <f t="shared" si="36"/>
        <v>122962.68940722018</v>
      </c>
      <c r="J102" s="332">
        <v>122720.21817944253</v>
      </c>
      <c r="K102" s="791">
        <f t="shared" si="37"/>
        <v>6296317.3270356311</v>
      </c>
      <c r="L102" s="792">
        <f t="shared" si="37"/>
        <v>3689559.6792311268</v>
      </c>
      <c r="M102" s="792">
        <f t="shared" si="37"/>
        <v>3288765.9792292048</v>
      </c>
      <c r="N102" s="792">
        <f t="shared" si="37"/>
        <v>2887972.2792272815</v>
      </c>
      <c r="O102" s="792">
        <f t="shared" si="37"/>
        <v>2842515.1832835502</v>
      </c>
      <c r="P102" s="792">
        <f t="shared" si="37"/>
        <v>2797058.087339818</v>
      </c>
      <c r="Q102" s="792">
        <f t="shared" si="37"/>
        <v>2791553.3982090442</v>
      </c>
      <c r="R102" s="793">
        <f t="shared" si="37"/>
        <v>2786048.7090782705</v>
      </c>
      <c r="S102" s="331">
        <f t="shared" si="38"/>
        <v>2.6518062989619553</v>
      </c>
      <c r="T102" s="331">
        <f t="shared" si="38"/>
        <v>1.4372336706783322</v>
      </c>
      <c r="U102" s="331">
        <f t="shared" si="38"/>
        <v>1.2576264258662544</v>
      </c>
      <c r="V102" s="331">
        <f t="shared" si="38"/>
        <v>1.0844848120299573</v>
      </c>
      <c r="W102" s="331">
        <f t="shared" si="38"/>
        <v>1.0552035109354365</v>
      </c>
      <c r="X102" s="331">
        <f t="shared" si="38"/>
        <v>1.0265845953319201</v>
      </c>
      <c r="Y102" s="331">
        <f t="shared" si="38"/>
        <v>1.0115036315651029</v>
      </c>
      <c r="Z102" s="331">
        <f t="shared" si="38"/>
        <v>0.99680231691584809</v>
      </c>
      <c r="AB102" s="330" t="s">
        <v>699</v>
      </c>
      <c r="AC102" s="329">
        <v>6.6335595473101172</v>
      </c>
      <c r="AD102" s="328">
        <v>6.1972203681762217</v>
      </c>
      <c r="AE102" s="327">
        <v>5.6940560898496049</v>
      </c>
      <c r="AF102" s="326">
        <v>5.273904651666518</v>
      </c>
      <c r="AG102" s="325">
        <v>4.8730406223495022</v>
      </c>
    </row>
    <row r="103" spans="1:33" ht="15" x14ac:dyDescent="0.2">
      <c r="A103" s="323" t="str">
        <f t="shared" si="33"/>
        <v>Bus</v>
      </c>
      <c r="B103" s="338" t="s">
        <v>827</v>
      </c>
      <c r="C103" s="337">
        <v>118745.67980691875</v>
      </c>
      <c r="D103" s="336">
        <v>121980.88232500074</v>
      </c>
      <c r="E103" s="333">
        <f t="shared" si="34"/>
        <v>123266.32101324902</v>
      </c>
      <c r="F103" s="335">
        <v>124551.75970149731</v>
      </c>
      <c r="G103" s="333">
        <f t="shared" si="35"/>
        <v>125552.84139797505</v>
      </c>
      <c r="H103" s="334">
        <v>126553.92309445278</v>
      </c>
      <c r="I103" s="333">
        <f t="shared" si="36"/>
        <v>127857.69303261595</v>
      </c>
      <c r="J103" s="332">
        <v>129161.46297077912</v>
      </c>
      <c r="K103" s="791">
        <f t="shared" si="37"/>
        <v>2695816.9798145522</v>
      </c>
      <c r="L103" s="792">
        <f t="shared" si="37"/>
        <v>2769263.9792806837</v>
      </c>
      <c r="M103" s="792">
        <f t="shared" si="37"/>
        <v>2798446.5773164597</v>
      </c>
      <c r="N103" s="792">
        <f t="shared" si="37"/>
        <v>2827629.1753522358</v>
      </c>
      <c r="O103" s="792">
        <f t="shared" si="37"/>
        <v>2850356.1751044323</v>
      </c>
      <c r="P103" s="792">
        <f t="shared" si="37"/>
        <v>2873083.1748566288</v>
      </c>
      <c r="Q103" s="792">
        <f t="shared" si="37"/>
        <v>2902681.9370413837</v>
      </c>
      <c r="R103" s="793">
        <f t="shared" si="37"/>
        <v>2932280.6992261386</v>
      </c>
      <c r="S103" s="331">
        <f t="shared" si="38"/>
        <v>1.1353913846153847</v>
      </c>
      <c r="T103" s="331">
        <f t="shared" si="38"/>
        <v>1.0787410368839128</v>
      </c>
      <c r="U103" s="331">
        <f t="shared" si="38"/>
        <v>1.0701279413724054</v>
      </c>
      <c r="V103" s="331">
        <f t="shared" si="38"/>
        <v>1.061824906277419</v>
      </c>
      <c r="W103" s="331">
        <f t="shared" si="38"/>
        <v>1.0581142577793825</v>
      </c>
      <c r="X103" s="331">
        <f t="shared" si="38"/>
        <v>1.054487549531111</v>
      </c>
      <c r="Y103" s="331">
        <f t="shared" si="38"/>
        <v>1.0517704309290523</v>
      </c>
      <c r="Z103" s="331">
        <f t="shared" si="38"/>
        <v>1.0491217132392652</v>
      </c>
      <c r="AB103" s="330" t="s">
        <v>827</v>
      </c>
      <c r="AC103" s="329">
        <v>13.994490402622045</v>
      </c>
      <c r="AD103" s="328">
        <v>13.191801941531427</v>
      </c>
      <c r="AE103" s="327">
        <v>11.734984998533537</v>
      </c>
      <c r="AF103" s="326">
        <v>11.220071176529693</v>
      </c>
      <c r="AG103" s="325">
        <v>10.791662866044483</v>
      </c>
    </row>
    <row r="104" spans="1:33" ht="15" x14ac:dyDescent="0.2">
      <c r="A104" s="323" t="str">
        <f t="shared" si="33"/>
        <v>Bus</v>
      </c>
      <c r="B104" s="338" t="s">
        <v>700</v>
      </c>
      <c r="C104" s="337">
        <v>116405.99579555681</v>
      </c>
      <c r="D104" s="336">
        <v>119894.70049649201</v>
      </c>
      <c r="E104" s="333">
        <f t="shared" si="34"/>
        <v>121154.48362723406</v>
      </c>
      <c r="F104" s="335">
        <v>122414.26675797613</v>
      </c>
      <c r="G104" s="333">
        <f t="shared" si="35"/>
        <v>123434.96810514023</v>
      </c>
      <c r="H104" s="334">
        <v>124455.66945230431</v>
      </c>
      <c r="I104" s="333">
        <f t="shared" si="36"/>
        <v>125768.60854731036</v>
      </c>
      <c r="J104" s="332">
        <v>127081.54764231641</v>
      </c>
      <c r="K104" s="791">
        <f t="shared" si="37"/>
        <v>2642700.4378444701</v>
      </c>
      <c r="L104" s="792">
        <f t="shared" si="37"/>
        <v>2721902.5560658015</v>
      </c>
      <c r="M104" s="792">
        <f t="shared" si="37"/>
        <v>2750502.7102799211</v>
      </c>
      <c r="N104" s="792">
        <f t="shared" si="37"/>
        <v>2779102.8644940415</v>
      </c>
      <c r="O104" s="792">
        <f t="shared" si="37"/>
        <v>2802275.2782397773</v>
      </c>
      <c r="P104" s="792">
        <f t="shared" si="37"/>
        <v>2825447.6919855122</v>
      </c>
      <c r="Q104" s="792">
        <f t="shared" si="37"/>
        <v>2855254.6164271832</v>
      </c>
      <c r="R104" s="793">
        <f t="shared" si="37"/>
        <v>2885061.5408688537</v>
      </c>
      <c r="S104" s="331">
        <f t="shared" si="38"/>
        <v>1.1130204059529007</v>
      </c>
      <c r="T104" s="331">
        <f t="shared" si="38"/>
        <v>1.0602918347965078</v>
      </c>
      <c r="U104" s="331">
        <f t="shared" si="38"/>
        <v>1.0517941728634341</v>
      </c>
      <c r="V104" s="331">
        <f t="shared" si="38"/>
        <v>1.043602415885774</v>
      </c>
      <c r="W104" s="331">
        <f t="shared" si="38"/>
        <v>1.0402655822546656</v>
      </c>
      <c r="X104" s="331">
        <f t="shared" si="38"/>
        <v>1.0370042326389706</v>
      </c>
      <c r="Y104" s="331">
        <f t="shared" si="38"/>
        <v>1.0345854087591577</v>
      </c>
      <c r="Z104" s="331">
        <f t="shared" si="38"/>
        <v>1.0322274765017712</v>
      </c>
      <c r="AB104" s="330" t="s">
        <v>700</v>
      </c>
      <c r="AC104" s="329">
        <v>16.093663963015352</v>
      </c>
      <c r="AD104" s="328">
        <v>15.170572232761142</v>
      </c>
      <c r="AE104" s="327">
        <v>13.495232748313567</v>
      </c>
      <c r="AF104" s="326">
        <v>12.90308185300915</v>
      </c>
      <c r="AG104" s="325">
        <v>12.410412295951149</v>
      </c>
    </row>
    <row r="105" spans="1:33" x14ac:dyDescent="0.25">
      <c r="K105" s="798"/>
      <c r="R105" s="799"/>
    </row>
    <row r="106" spans="1:33" ht="13.5" thickBot="1" x14ac:dyDescent="0.3">
      <c r="K106" s="802"/>
      <c r="L106" s="803"/>
      <c r="M106" s="803"/>
      <c r="N106" s="803"/>
      <c r="O106" s="803"/>
      <c r="P106" s="803"/>
      <c r="Q106" s="803"/>
      <c r="R106" s="804"/>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0475-7B9A-4131-80C7-A96F7F389B6D}">
  <sheetPr codeName="Sheet58"/>
  <dimension ref="A1:AY280"/>
  <sheetViews>
    <sheetView topLeftCell="T17" zoomScaleNormal="100" workbookViewId="0">
      <pane xSplit="2" ySplit="3" topLeftCell="V93" activePane="bottomRight" state="frozen"/>
      <selection activeCell="T17" sqref="T17"/>
      <selection pane="topRight" activeCell="V17" sqref="V17"/>
      <selection pane="bottomLeft" activeCell="T20" sqref="T20"/>
      <selection pane="bottomRight" activeCell="AD104" sqref="AD104"/>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25"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19"/>
      <c r="V1" s="219" t="s">
        <v>651</v>
      </c>
      <c r="W1" s="220" t="b">
        <f>ERC.Efficiency</f>
        <v>1</v>
      </c>
      <c r="AA1" s="65" t="s">
        <v>613</v>
      </c>
      <c r="AB1" s="221" t="s">
        <v>652</v>
      </c>
      <c r="AC1" s="222">
        <f>INDEX(AC5:AC7,MATCH(AB1,AB5:AB7,0))</f>
        <v>2</v>
      </c>
      <c r="AD1" s="223">
        <f>INDEX(AD5:AD7,MATCH($AC$1,$AC$5:$AC$7,0))</f>
        <v>-5.0000000000000001E-3</v>
      </c>
      <c r="AE1" s="223">
        <f>INDEX(AE5:AE7,MATCH($AC$1,$AC$5:$AC$7,0))</f>
        <v>-5.0000000000000001E-3</v>
      </c>
      <c r="AF1" s="223">
        <f>INDEX(AF5:AF7,MATCH($AC$1,$AC$5:$AC$7,0))</f>
        <v>-5.0000000000000001E-3</v>
      </c>
      <c r="AG1" s="223">
        <f>INDEX(AG5:AG7,MATCH($AC$1,$AC$5:$AC$7,0))</f>
        <v>-5.0000000000000001E-3</v>
      </c>
      <c r="AH1" s="224">
        <f>INDEX(AH5:AH7,MATCH($AC$1,$AC$5:$AC$7,0))</f>
        <v>-5.0000000000000001E-3</v>
      </c>
      <c r="AI1" s="516"/>
    </row>
    <row r="2" spans="5:44" x14ac:dyDescent="0.25">
      <c r="AA2" s="65" t="s">
        <v>653</v>
      </c>
      <c r="AB2" s="226" t="s">
        <v>652</v>
      </c>
      <c r="AC2" s="227">
        <f>INDEX(AC10:AC12,MATCH(AB2,AB10:AB12,0))</f>
        <v>2</v>
      </c>
      <c r="AD2" s="228">
        <f>INDEX(AD10:AD12,MATCH($AC$2,$AC$10:$AC$12,0))</f>
        <v>-1E-3</v>
      </c>
      <c r="AE2" s="228">
        <f>INDEX(AE10:AE12,MATCH($AC$2,$AC$10:$AC$12,0))</f>
        <v>-1E-3</v>
      </c>
      <c r="AF2" s="228">
        <f>INDEX(AF10:AF12,MATCH($AC$2,$AC$10:$AC$12,0))</f>
        <v>-1E-3</v>
      </c>
      <c r="AG2" s="228">
        <f>INDEX(AG10:AG12,MATCH($AC$2,$AC$10:$AC$12,0))</f>
        <v>-1E-3</v>
      </c>
      <c r="AH2" s="229">
        <f>INDEX(AH10:AH12,MATCH($AC$2,$AC$10:$AC$12,0))</f>
        <v>-1E-3</v>
      </c>
      <c r="AI2" s="516"/>
    </row>
    <row r="3" spans="5:44" x14ac:dyDescent="0.25">
      <c r="E3" s="230"/>
      <c r="AJ3" s="231"/>
      <c r="AK3" s="231"/>
    </row>
    <row r="4" spans="5:44" x14ac:dyDescent="0.25">
      <c r="E4" s="230"/>
      <c r="AJ4" s="61"/>
      <c r="AK4" s="61"/>
    </row>
    <row r="5" spans="5:44" x14ac:dyDescent="0.25">
      <c r="Y5" s="102"/>
      <c r="AA5" s="61" t="s">
        <v>55</v>
      </c>
      <c r="AB5" s="61" t="s">
        <v>654</v>
      </c>
      <c r="AC5" s="232">
        <v>1</v>
      </c>
      <c r="AD5" s="233">
        <v>0</v>
      </c>
      <c r="AE5" s="233">
        <v>0</v>
      </c>
      <c r="AF5" s="233">
        <v>0</v>
      </c>
      <c r="AG5" s="233">
        <v>0</v>
      </c>
      <c r="AH5" s="233">
        <v>0</v>
      </c>
      <c r="AI5" s="517"/>
      <c r="AJ5" s="231"/>
      <c r="AK5" s="231"/>
    </row>
    <row r="6" spans="5:44" x14ac:dyDescent="0.25">
      <c r="AB6" s="61" t="s">
        <v>652</v>
      </c>
      <c r="AC6" s="234">
        <v>2</v>
      </c>
      <c r="AD6" s="233">
        <v>-5.0000000000000001E-3</v>
      </c>
      <c r="AE6" s="518">
        <v>-5.0000000000000001E-3</v>
      </c>
      <c r="AF6" s="518">
        <v>-5.0000000000000001E-3</v>
      </c>
      <c r="AG6" s="518">
        <v>-5.0000000000000001E-3</v>
      </c>
      <c r="AH6" s="519">
        <v>-5.0000000000000001E-3</v>
      </c>
      <c r="AI6" s="517"/>
      <c r="AJ6" s="231"/>
      <c r="AK6" s="231"/>
    </row>
    <row r="7" spans="5:44" x14ac:dyDescent="0.25">
      <c r="AB7" s="61" t="s">
        <v>656</v>
      </c>
      <c r="AC7" s="235">
        <v>3</v>
      </c>
      <c r="AD7" s="236">
        <f>AD6</f>
        <v>-5.0000000000000001E-3</v>
      </c>
      <c r="AE7" s="520">
        <f>AD7</f>
        <v>-5.0000000000000001E-3</v>
      </c>
      <c r="AF7" s="520">
        <v>-0.01</v>
      </c>
      <c r="AG7" s="520">
        <v>-0.02</v>
      </c>
      <c r="AH7" s="521">
        <v>-2.5000000000000001E-2</v>
      </c>
      <c r="AI7" s="517"/>
      <c r="AJ7" s="61"/>
      <c r="AK7" s="61"/>
    </row>
    <row r="8" spans="5:44" x14ac:dyDescent="0.25">
      <c r="AJ8" s="61"/>
      <c r="AK8" s="61"/>
    </row>
    <row r="9" spans="5:44" x14ac:dyDescent="0.25">
      <c r="AC9" s="193"/>
      <c r="AD9" s="193"/>
      <c r="AE9" s="193"/>
      <c r="AF9" s="193"/>
      <c r="AG9" s="193"/>
      <c r="AH9" s="193"/>
      <c r="AI9" s="193"/>
      <c r="AJ9" s="231"/>
      <c r="AK9" s="231"/>
    </row>
    <row r="10" spans="5:44" x14ac:dyDescent="0.25">
      <c r="Y10" s="100"/>
      <c r="AA10" s="61" t="s">
        <v>52</v>
      </c>
      <c r="AB10" s="61" t="s">
        <v>654</v>
      </c>
      <c r="AC10" s="232">
        <v>1</v>
      </c>
      <c r="AD10" s="233">
        <v>0</v>
      </c>
      <c r="AE10" s="233">
        <f t="shared" ref="AE10:AH11" si="0">AD10</f>
        <v>0</v>
      </c>
      <c r="AF10" s="233">
        <f t="shared" si="0"/>
        <v>0</v>
      </c>
      <c r="AG10" s="233">
        <f t="shared" si="0"/>
        <v>0</v>
      </c>
      <c r="AH10" s="233">
        <f t="shared" si="0"/>
        <v>0</v>
      </c>
      <c r="AI10" s="517"/>
      <c r="AJ10" s="231"/>
      <c r="AK10" s="231"/>
    </row>
    <row r="11" spans="5:44" x14ac:dyDescent="0.25">
      <c r="AB11" s="61" t="s">
        <v>652</v>
      </c>
      <c r="AC11" s="234">
        <v>2</v>
      </c>
      <c r="AD11" s="233">
        <f>-0.001</f>
        <v>-1E-3</v>
      </c>
      <c r="AE11" s="233">
        <f t="shared" si="0"/>
        <v>-1E-3</v>
      </c>
      <c r="AF11" s="233">
        <f t="shared" si="0"/>
        <v>-1E-3</v>
      </c>
      <c r="AG11" s="233">
        <f t="shared" si="0"/>
        <v>-1E-3</v>
      </c>
      <c r="AH11" s="233">
        <f t="shared" si="0"/>
        <v>-1E-3</v>
      </c>
      <c r="AI11" s="517"/>
      <c r="AJ11" s="231"/>
      <c r="AK11" s="231"/>
    </row>
    <row r="12" spans="5:44" x14ac:dyDescent="0.25">
      <c r="AB12" s="61" t="s">
        <v>656</v>
      </c>
      <c r="AC12" s="235">
        <v>3</v>
      </c>
      <c r="AD12" s="236">
        <f>AD11</f>
        <v>-1E-3</v>
      </c>
      <c r="AE12" s="236">
        <f>AD12</f>
        <v>-1E-3</v>
      </c>
      <c r="AF12" s="236">
        <v>-5.0000000000000001E-3</v>
      </c>
      <c r="AG12" s="236">
        <v>-0.01</v>
      </c>
      <c r="AH12" s="236">
        <v>-0.02</v>
      </c>
      <c r="AI12" s="517"/>
    </row>
    <row r="15" spans="5:44" x14ac:dyDescent="0.25">
      <c r="V15" s="65" t="s">
        <v>658</v>
      </c>
      <c r="W15" s="65"/>
      <c r="X15" s="65"/>
      <c r="Y15" s="61">
        <f>'AEA2012 update'!L3</f>
        <v>0</v>
      </c>
      <c r="AD15" s="65" t="s">
        <v>847</v>
      </c>
      <c r="AF15" s="65"/>
      <c r="AL15" s="65" t="s">
        <v>660</v>
      </c>
      <c r="AR15" s="237" t="s">
        <v>661</v>
      </c>
    </row>
    <row r="16" spans="5:44" x14ac:dyDescent="0.25">
      <c r="S16" s="65"/>
      <c r="V16" s="238">
        <v>2010</v>
      </c>
      <c r="W16" s="238">
        <v>2020</v>
      </c>
      <c r="X16" s="239">
        <v>2025</v>
      </c>
      <c r="Y16" s="239">
        <v>2030</v>
      </c>
      <c r="Z16" s="239">
        <v>2035</v>
      </c>
      <c r="AA16" s="239">
        <v>2040</v>
      </c>
      <c r="AB16" s="240">
        <v>2050</v>
      </c>
      <c r="AD16" s="241">
        <v>2010</v>
      </c>
      <c r="AE16" s="241">
        <v>2020</v>
      </c>
      <c r="AF16" s="242">
        <v>2030</v>
      </c>
      <c r="AG16" s="242">
        <v>2040</v>
      </c>
      <c r="AH16" s="243">
        <v>2050</v>
      </c>
      <c r="AI16" s="246"/>
      <c r="AL16" s="241">
        <v>2010</v>
      </c>
      <c r="AM16" s="241">
        <v>2020</v>
      </c>
      <c r="AN16" s="242">
        <v>2030</v>
      </c>
      <c r="AO16" s="242">
        <v>2040</v>
      </c>
      <c r="AP16" s="243">
        <v>2050</v>
      </c>
    </row>
    <row r="17" spans="5:50" x14ac:dyDescent="0.25">
      <c r="R17" s="65"/>
      <c r="U17" s="65" t="s">
        <v>662</v>
      </c>
      <c r="V17" s="244">
        <v>0</v>
      </c>
      <c r="W17" s="245">
        <v>0</v>
      </c>
      <c r="X17" s="245">
        <v>0</v>
      </c>
      <c r="Y17" s="245">
        <v>1</v>
      </c>
      <c r="Z17" s="245">
        <v>0</v>
      </c>
      <c r="AA17" s="245">
        <v>0</v>
      </c>
      <c r="AB17" s="245">
        <v>0</v>
      </c>
      <c r="AD17" s="246"/>
      <c r="AE17" s="246"/>
      <c r="AF17" s="246"/>
      <c r="AG17" s="246"/>
      <c r="AH17" s="246"/>
      <c r="AI17" s="246"/>
    </row>
    <row r="18" spans="5:50" x14ac:dyDescent="0.25">
      <c r="N18"/>
      <c r="O18"/>
      <c r="R18" s="247"/>
      <c r="S18" s="65"/>
      <c r="V18" s="248">
        <f>IFERROR(TRA.freight.capex*(V17+S18),0)</f>
        <v>0</v>
      </c>
      <c r="W18" s="249">
        <f t="shared" ref="W18:AB18" si="1">IFERROR(TRA.freight.capex*(W17+V18),0)</f>
        <v>0</v>
      </c>
      <c r="X18" s="249">
        <f t="shared" si="1"/>
        <v>0</v>
      </c>
      <c r="Y18" s="249">
        <f t="shared" si="1"/>
        <v>1</v>
      </c>
      <c r="Z18" s="249">
        <f t="shared" si="1"/>
        <v>1</v>
      </c>
      <c r="AA18" s="249">
        <f t="shared" si="1"/>
        <v>1</v>
      </c>
      <c r="AB18" s="249">
        <f t="shared" si="1"/>
        <v>1</v>
      </c>
      <c r="AD18" s="61" t="s">
        <v>663</v>
      </c>
      <c r="AE18" s="61" t="s">
        <v>663</v>
      </c>
      <c r="AF18" s="61" t="s">
        <v>663</v>
      </c>
      <c r="AG18" s="61" t="s">
        <v>663</v>
      </c>
      <c r="AH18" s="61" t="s">
        <v>663</v>
      </c>
      <c r="AR18" s="61" t="s">
        <v>665</v>
      </c>
    </row>
    <row r="19" spans="5:50" x14ac:dyDescent="0.25">
      <c r="E19" s="61" t="s">
        <v>667</v>
      </c>
      <c r="J19" s="250">
        <v>2017</v>
      </c>
      <c r="N19" s="65" t="s">
        <v>668</v>
      </c>
      <c r="O19" s="65" t="s">
        <v>669</v>
      </c>
      <c r="P19" s="65" t="s">
        <v>670</v>
      </c>
      <c r="Q19" s="65" t="s">
        <v>671</v>
      </c>
      <c r="R19" s="65" t="s">
        <v>672</v>
      </c>
      <c r="S19" s="65" t="s">
        <v>673</v>
      </c>
      <c r="T19" s="65" t="s">
        <v>674</v>
      </c>
      <c r="U19" s="65" t="s">
        <v>675</v>
      </c>
      <c r="V19" s="251"/>
      <c r="W19" s="251"/>
      <c r="X19" s="251"/>
      <c r="Y19" s="251"/>
      <c r="Z19" s="251"/>
      <c r="AA19" s="251"/>
      <c r="AB19" s="251"/>
      <c r="AJ19" s="225" t="s">
        <v>676</v>
      </c>
      <c r="AK19" s="225" t="s">
        <v>677</v>
      </c>
      <c r="AR19" s="61">
        <f>AD16</f>
        <v>2010</v>
      </c>
      <c r="AS19" s="61">
        <f t="shared" ref="AS19:AV19" si="2">AE16</f>
        <v>2020</v>
      </c>
      <c r="AT19" s="61">
        <f t="shared" si="2"/>
        <v>2030</v>
      </c>
      <c r="AU19" s="61">
        <f t="shared" si="2"/>
        <v>2040</v>
      </c>
      <c r="AV19" s="61">
        <f t="shared" si="2"/>
        <v>2050</v>
      </c>
    </row>
    <row r="20" spans="5:50" x14ac:dyDescent="0.25">
      <c r="E20" s="66" t="s">
        <v>678</v>
      </c>
      <c r="H20" s="252" t="s">
        <v>679</v>
      </c>
      <c r="I20" s="253">
        <f>Analytica!AI65/Analytica!AI67</f>
        <v>1.2029012449300542</v>
      </c>
      <c r="J20" s="254">
        <f>H28/H27</f>
        <v>1.0709452702702702</v>
      </c>
      <c r="N20" s="61" t="s">
        <v>573</v>
      </c>
      <c r="O20" s="61" t="s">
        <v>613</v>
      </c>
      <c r="P20" s="61" t="s">
        <v>555</v>
      </c>
      <c r="Q20" s="61" t="str">
        <f>RIGHT(P20,3)</f>
        <v>CAR</v>
      </c>
      <c r="R20" s="61" t="s">
        <v>680</v>
      </c>
      <c r="S20" s="255">
        <f>W20*F22</f>
        <v>384581.26616029348</v>
      </c>
      <c r="T20" s="256" t="s">
        <v>681</v>
      </c>
      <c r="U20" s="256" t="s">
        <v>680</v>
      </c>
      <c r="V20" s="103">
        <f t="array" ref="V20">IF(V$18,INDEX('AEA2012 update'!$K$6:$R$104,MATCH($T20&amp;$R20,'AEA2012 update'!$A$6:$A$104&amp;'AEA2012 update'!$B$6:$B$104,0),MATCH(V$16,'AEA2012 update'!$S$4:$Z$4,0)),INDEX('AEA2012 update'!$K$6:$R$104,MATCH($T20&amp;$U20,'AEA2012 update'!$A$6:$A$104&amp;'AEA2012 update'!$B$6:$B$104,0),MATCH(V$16,'AEA2012 update'!$S$4:$Z$4,0)))</f>
        <v>221973.27212134015</v>
      </c>
      <c r="W20" s="103">
        <f t="array" ref="W20">IF(W$18,INDEX('AEA2012 update'!$K$6:$R$104,MATCH($T20&amp;$R20,'AEA2012 update'!$A$6:$A$104&amp;'AEA2012 update'!$B$6:$B$104,0),MATCH(W$16,'AEA2012 update'!$S$4:$Z$4,0)),INDEX('AEA2012 update'!$K$6:$R$104,MATCH($T20&amp;$U20,'AEA2012 update'!$A$6:$A$104&amp;'AEA2012 update'!$B$6:$B$104,0),MATCH(W$16,'AEA2012 update'!$S$4:$Z$4,0)))</f>
        <v>240363.2913501834</v>
      </c>
      <c r="X20" s="103">
        <f t="array" ref="X20">IF(X$18,INDEX('AEA2012 update'!$K$6:$R$104,MATCH($T20&amp;$R20,'AEA2012 update'!$A$6:$A$104&amp;'AEA2012 update'!$B$6:$B$104,0),MATCH(X$16,'AEA2012 update'!$S$4:$Z$4,0)),INDEX('AEA2012 update'!$K$6:$R$104,MATCH($T20&amp;$U20,'AEA2012 update'!$A$6:$A$104&amp;'AEA2012 update'!$B$6:$B$104,0),MATCH(X$16,'AEA2012 update'!$S$4:$Z$4,0)))</f>
        <v>244456.53288726759</v>
      </c>
      <c r="Y20" s="103">
        <f t="array" ref="Y20">IF(Y$18,INDEX('AEA2012 update'!$K$6:$R$104,MATCH($T20&amp;$R20,'AEA2012 update'!$A$6:$A$104&amp;'AEA2012 update'!$B$6:$B$104,0),MATCH(Y$16,'AEA2012 update'!$S$4:$Z$4,0)),INDEX('AEA2012 update'!$K$6:$R$104,MATCH($T20&amp;$U20,'AEA2012 update'!$A$6:$A$104&amp;'AEA2012 update'!$B$6:$B$104,0),MATCH(Y$16,'AEA2012 update'!$S$4:$Z$4,0)))</f>
        <v>248549.77442435178</v>
      </c>
      <c r="Z20" s="103">
        <f t="array" ref="Z20">IF(Z$18,INDEX('AEA2012 update'!$K$6:$R$104,MATCH($T20&amp;$R20,'AEA2012 update'!$A$6:$A$104&amp;'AEA2012 update'!$B$6:$B$104,0),MATCH(Z$16,'AEA2012 update'!$S$4:$Z$4,0)),INDEX('AEA2012 update'!$K$6:$R$104,MATCH($T20&amp;$U20,'AEA2012 update'!$A$6:$A$104&amp;'AEA2012 update'!$B$6:$B$104,0),MATCH(Z$16,'AEA2012 update'!$S$4:$Z$4,0)))</f>
        <v>251273.34974387253</v>
      </c>
      <c r="AA20" s="103">
        <f t="array" ref="AA20">IF(AA$18,INDEX('AEA2012 update'!$K$6:$R$104,MATCH($T20&amp;$R20,'AEA2012 update'!$A$6:$A$104&amp;'AEA2012 update'!$B$6:$B$104,0),MATCH(AA$16,'AEA2012 update'!$S$4:$Z$4,0)),INDEX('AEA2012 update'!$K$6:$R$104,MATCH($T20&amp;$U20,'AEA2012 update'!$A$6:$A$104&amp;'AEA2012 update'!$B$6:$B$104,0),MATCH(AA$16,'AEA2012 update'!$S$4:$Z$4,0)))</f>
        <v>253996.92506339328</v>
      </c>
      <c r="AB20" s="103">
        <f t="array" ref="AB20">IF(AB$18,INDEX('AEA2012 update'!$K$6:$R$104,MATCH($T20&amp;$R20,'AEA2012 update'!$A$6:$A$104&amp;'AEA2012 update'!$B$6:$B$104,0),MATCH(AB$16,'AEA2012 update'!$S$4:$Z$4,0)),INDEX('AEA2012 update'!$K$6:$R$104,MATCH($T20&amp;$U20,'AEA2012 update'!$A$6:$A$104&amp;'AEA2012 update'!$B$6:$B$104,0),MATCH(AB$16,'AEA2012 update'!$S$4:$Z$4,0)))</f>
        <v>257172.600668175</v>
      </c>
      <c r="AC20" s="103" t="str">
        <f>Q20&amp;N20</f>
        <v>CAROGS</v>
      </c>
      <c r="AD20" s="67">
        <f t="array" ref="AD20">INDEX('AEA2012 update'!$AC$6:$AG$104,MATCH($T20&amp;$U20,'AEA2012 update'!$A$6:$A$104&amp;'AEA2012 update'!$B$6:$B$104,0),MATCH(AD$16,'AEA2012 update'!$S$4:$Z$4,0))</f>
        <v>2.7731584934931535</v>
      </c>
      <c r="AE20" s="67">
        <f t="array" ref="AE20">IF($W$1,AD20*(1+INDEX(AE$1:AE$2,MATCH($O20,$AA$1:$AA$2,0)))^(AE$16-AD$16),INDEX('AEA2012 update'!$AC$6:$AG$104,MATCH($T20&amp;$U20,'AEA2012 update'!$A$6:$A$104&amp;'AEA2012 update'!$B$6:$B$104,0),MATCH(AE$16,'AEA2012 update'!$AC$4:$AG$4,0)))</f>
        <v>2.637579136548537</v>
      </c>
      <c r="AF20" s="67">
        <f t="array" ref="AF20">IF($W$1,AE20*(1+INDEX(AF$1:AF$2,MATCH($O20,$AA$1:$AA$2,0)))^(AF$16-AE$16),INDEX('AEA2012 update'!$AC$6:$AG$104,MATCH($T20&amp;$U20,'AEA2012 update'!$A$6:$A$104&amp;'AEA2012 update'!$B$6:$B$104,0),MATCH(AF$16,'AEA2012 update'!$AC$4:$AG$4,0)))</f>
        <v>2.5086282366764774</v>
      </c>
      <c r="AG20" s="67">
        <f t="array" ref="AG20">IF($W$1,AF20*(1+INDEX(AG$1:AG$2,MATCH($O20,$AA$1:$AA$2,0)))^(AG$16-AF$16),INDEX('AEA2012 update'!$AC$6:$AG$104,MATCH($T20&amp;$U20,'AEA2012 update'!$A$6:$A$104&amp;'AEA2012 update'!$B$6:$B$104,0),MATCH(AG$16,'AEA2012 update'!$AC$4:$AG$4,0)))</f>
        <v>2.3859817294754837</v>
      </c>
      <c r="AH20" s="67">
        <f t="array" ref="AH20">IF($W$1,AG20*(1+INDEX(AH$1:AH$2,MATCH($O20,$AA$1:$AA$2,0)))^(AH$16-AG$16),INDEX('AEA2012 update'!$AC$6:$AG$104,MATCH($T20&amp;$U20,'AEA2012 update'!$A$6:$A$104&amp;'AEA2012 update'!$B$6:$B$104,0),MATCH(AH$16,'AEA2012 update'!$AC$4:$AG$4,0)))</f>
        <v>2.2693313940103756</v>
      </c>
      <c r="AI20" s="67"/>
      <c r="AJ20" s="257">
        <f>-((AD20-AE20)/($AE$16-$AD$16))/AD20</f>
        <v>-4.8889869534227961E-3</v>
      </c>
      <c r="AK20" s="257">
        <f>-((AE20-AH20)/($AH$16-$AE$16))/AE20</f>
        <v>-4.6538602695101209E-3</v>
      </c>
      <c r="AQ20" s="61" t="str">
        <f>P20&amp;"-"&amp;N20</f>
        <v>CAR-OGS</v>
      </c>
      <c r="AR20" s="80" t="e" cm="1">
        <f t="array" aca="1" ref="AR20" ca="1">AD20/INDIRECT("cv."&amp;LEFT($U20,6)&amp;".hhv.MJL") * 100</f>
        <v>#REF!</v>
      </c>
      <c r="AS20" s="80">
        <f t="shared" ref="AS20:AV20" si="3">AE20/cv.petrol.hhv.MJL*100</f>
        <v>7.7122196975103421</v>
      </c>
      <c r="AT20" s="80">
        <f t="shared" si="3"/>
        <v>7.3351702826797576</v>
      </c>
      <c r="AU20" s="80">
        <f t="shared" si="3"/>
        <v>6.9765547645481973</v>
      </c>
      <c r="AV20" s="80">
        <f t="shared" si="3"/>
        <v>6.6354719123110391</v>
      </c>
      <c r="AX20" s="61" t="e" cm="1">
        <f t="array" aca="1" ref="AX20" ca="1">INDIRECT("cv."&amp;LEFT($U20,6)&amp;".hhv.MJL")</f>
        <v>#REF!</v>
      </c>
    </row>
    <row r="21" spans="5:50" x14ac:dyDescent="0.25">
      <c r="E21" s="61" t="s">
        <v>683</v>
      </c>
      <c r="F21" s="61" t="s">
        <v>684</v>
      </c>
      <c r="I21" s="252" t="s">
        <v>685</v>
      </c>
      <c r="N21" s="61" t="s">
        <v>506</v>
      </c>
      <c r="O21" s="61" t="s">
        <v>613</v>
      </c>
      <c r="P21" s="61" t="s">
        <v>555</v>
      </c>
      <c r="Q21" s="61" t="str">
        <f t="shared" ref="Q21:Q89" si="4">RIGHT(P21,3)</f>
        <v>CAR</v>
      </c>
      <c r="R21" s="61" t="s">
        <v>680</v>
      </c>
      <c r="T21" s="256" t="s">
        <v>681</v>
      </c>
      <c r="U21" s="256" t="s">
        <v>680</v>
      </c>
      <c r="V21" s="103">
        <f t="array" ref="V21">IF(V$18,INDEX('AEA2012 update'!$K$6:$R$104,MATCH($T21&amp;$R21,'AEA2012 update'!$A$6:$A$104&amp;'AEA2012 update'!$B$6:$B$104,0),MATCH(V$16,'AEA2012 update'!$S$4:$Z$4,0)),INDEX('AEA2012 update'!$K$6:$R$104,MATCH($T21&amp;$U21,'AEA2012 update'!$A$6:$A$104&amp;'AEA2012 update'!$B$6:$B$104,0),MATCH(V$16,'AEA2012 update'!$S$4:$Z$4,0)))</f>
        <v>221973.27212134015</v>
      </c>
      <c r="W21" s="103">
        <f t="array" ref="W21">IF(W$18,INDEX('AEA2012 update'!$K$6:$R$104,MATCH($T21&amp;$R21,'AEA2012 update'!$A$6:$A$104&amp;'AEA2012 update'!$B$6:$B$104,0),MATCH(W$16,'AEA2012 update'!$S$4:$Z$4,0)),INDEX('AEA2012 update'!$K$6:$R$104,MATCH($T21&amp;$U21,'AEA2012 update'!$A$6:$A$104&amp;'AEA2012 update'!$B$6:$B$104,0),MATCH(W$16,'AEA2012 update'!$S$4:$Z$4,0)))</f>
        <v>240363.2913501834</v>
      </c>
      <c r="X21" s="103">
        <f t="array" ref="X21">IF(X$18,INDEX('AEA2012 update'!$K$6:$R$104,MATCH($T21&amp;$R21,'AEA2012 update'!$A$6:$A$104&amp;'AEA2012 update'!$B$6:$B$104,0),MATCH(X$16,'AEA2012 update'!$S$4:$Z$4,0)),INDEX('AEA2012 update'!$K$6:$R$104,MATCH($T21&amp;$U21,'AEA2012 update'!$A$6:$A$104&amp;'AEA2012 update'!$B$6:$B$104,0),MATCH(X$16,'AEA2012 update'!$S$4:$Z$4,0)))</f>
        <v>244456.53288726759</v>
      </c>
      <c r="Y21" s="103">
        <f t="array" ref="Y21">IF(Y$18,INDEX('AEA2012 update'!$K$6:$R$104,MATCH($T21&amp;$R21,'AEA2012 update'!$A$6:$A$104&amp;'AEA2012 update'!$B$6:$B$104,0),MATCH(Y$16,'AEA2012 update'!$S$4:$Z$4,0)),INDEX('AEA2012 update'!$K$6:$R$104,MATCH($T21&amp;$U21,'AEA2012 update'!$A$6:$A$104&amp;'AEA2012 update'!$B$6:$B$104,0),MATCH(Y$16,'AEA2012 update'!$S$4:$Z$4,0)))</f>
        <v>248549.77442435178</v>
      </c>
      <c r="Z21" s="103">
        <f t="array" ref="Z21">IF(Z$18,INDEX('AEA2012 update'!$K$6:$R$104,MATCH($T21&amp;$R21,'AEA2012 update'!$A$6:$A$104&amp;'AEA2012 update'!$B$6:$B$104,0),MATCH(Z$16,'AEA2012 update'!$S$4:$Z$4,0)),INDEX('AEA2012 update'!$K$6:$R$104,MATCH($T21&amp;$U21,'AEA2012 update'!$A$6:$A$104&amp;'AEA2012 update'!$B$6:$B$104,0),MATCH(Z$16,'AEA2012 update'!$S$4:$Z$4,0)))</f>
        <v>251273.34974387253</v>
      </c>
      <c r="AA21" s="103">
        <f t="array" ref="AA21">IF(AA$18,INDEX('AEA2012 update'!$K$6:$R$104,MATCH($T21&amp;$R21,'AEA2012 update'!$A$6:$A$104&amp;'AEA2012 update'!$B$6:$B$104,0),MATCH(AA$16,'AEA2012 update'!$S$4:$Z$4,0)),INDEX('AEA2012 update'!$K$6:$R$104,MATCH($T21&amp;$U21,'AEA2012 update'!$A$6:$A$104&amp;'AEA2012 update'!$B$6:$B$104,0),MATCH(AA$16,'AEA2012 update'!$S$4:$Z$4,0)))</f>
        <v>253996.92506339328</v>
      </c>
      <c r="AB21" s="103">
        <f t="array" ref="AB21">IF(AB$18,INDEX('AEA2012 update'!$K$6:$R$104,MATCH($T21&amp;$R21,'AEA2012 update'!$A$6:$A$104&amp;'AEA2012 update'!$B$6:$B$104,0),MATCH(AB$16,'AEA2012 update'!$S$4:$Z$4,0)),INDEX('AEA2012 update'!$K$6:$R$104,MATCH($T21&amp;$U21,'AEA2012 update'!$A$6:$A$104&amp;'AEA2012 update'!$B$6:$B$104,0),MATCH(AB$16,'AEA2012 update'!$S$4:$Z$4,0)))</f>
        <v>257172.600668175</v>
      </c>
      <c r="AC21" s="103" t="str">
        <f t="shared" ref="AC21:AC84" si="5">Q21&amp;N21</f>
        <v>CARBGS</v>
      </c>
      <c r="AD21" s="67">
        <f t="array" ref="AD21">INDEX('AEA2012 update'!$AC$6:$AG$104,MATCH($T21&amp;$U21,'AEA2012 update'!$A$6:$A$104&amp;'AEA2012 update'!$B$6:$B$104,0),MATCH(AD$16,'AEA2012 update'!$S$4:$Z$4,0))</f>
        <v>2.7731584934931535</v>
      </c>
      <c r="AE21" s="67">
        <f t="array" ref="AE21">IF($W$1,AD21*(1+INDEX(AE$1:AE$2,MATCH($O21,$AA$1:$AA$2,0)))^(AE$16-AD$16),INDEX('AEA2012 update'!$AC$6:$AG$104,MATCH($T21&amp;$U21,'AEA2012 update'!$A$6:$A$104&amp;'AEA2012 update'!$B$6:$B$104,0),MATCH(AE$16,'AEA2012 update'!$AC$4:$AG$4,0)))</f>
        <v>2.637579136548537</v>
      </c>
      <c r="AF21" s="67">
        <f t="array" ref="AF21">IF($W$1,AE21*(1+INDEX(AF$1:AF$2,MATCH($O21,$AA$1:$AA$2,0)))^(AF$16-AE$16),INDEX('AEA2012 update'!$AC$6:$AG$104,MATCH($T21&amp;$U21,'AEA2012 update'!$A$6:$A$104&amp;'AEA2012 update'!$B$6:$B$104,0),MATCH(AF$16,'AEA2012 update'!$AC$4:$AG$4,0)))</f>
        <v>2.5086282366764774</v>
      </c>
      <c r="AG21" s="67">
        <f t="array" ref="AG21">IF($W$1,AF21*(1+INDEX(AG$1:AG$2,MATCH($O21,$AA$1:$AA$2,0)))^(AG$16-AF$16),INDEX('AEA2012 update'!$AC$6:$AG$104,MATCH($T21&amp;$U21,'AEA2012 update'!$A$6:$A$104&amp;'AEA2012 update'!$B$6:$B$104,0),MATCH(AG$16,'AEA2012 update'!$AC$4:$AG$4,0)))</f>
        <v>2.3859817294754837</v>
      </c>
      <c r="AH21" s="67">
        <f t="array" ref="AH21">IF($W$1,AG21*(1+INDEX(AH$1:AH$2,MATCH($O21,$AA$1:$AA$2,0)))^(AH$16-AG$16),INDEX('AEA2012 update'!$AC$6:$AG$104,MATCH($T21&amp;$U21,'AEA2012 update'!$A$6:$A$104&amp;'AEA2012 update'!$B$6:$B$104,0),MATCH(AH$16,'AEA2012 update'!$AC$4:$AG$4,0)))</f>
        <v>2.2693313940103756</v>
      </c>
      <c r="AI21" s="67"/>
      <c r="AJ21" s="257">
        <f t="shared" ref="AJ21:AJ89" si="6">-((AD21-AE21)/($AE$16-$AD$16))/AD21</f>
        <v>-4.8889869534227961E-3</v>
      </c>
      <c r="AK21" s="257">
        <f t="shared" ref="AK21:AK89" si="7">-((AE21-AH21)/($AH$16-$AE$16))/AE21</f>
        <v>-4.6538602695101209E-3</v>
      </c>
      <c r="AQ21" s="61" t="str">
        <f t="shared" ref="AQ21:AQ84" si="8">P21&amp;"-"&amp;N21</f>
        <v>CAR-BGS</v>
      </c>
      <c r="AR21" s="80" t="e" cm="1">
        <f t="array" aca="1" ref="AR21" ca="1">AD21/INDIRECT("cv."&amp;LEFT($U21,6)&amp;".hhv.MJL") * 100</f>
        <v>#REF!</v>
      </c>
      <c r="AS21" s="80">
        <f t="shared" ref="AS21:AV21" si="9">AE21/cv.petrol.hhv.MJL*100</f>
        <v>7.7122196975103421</v>
      </c>
      <c r="AT21" s="80">
        <f t="shared" si="9"/>
        <v>7.3351702826797576</v>
      </c>
      <c r="AU21" s="80">
        <f t="shared" si="9"/>
        <v>6.9765547645481973</v>
      </c>
      <c r="AV21" s="80">
        <f t="shared" si="9"/>
        <v>6.6354719123110391</v>
      </c>
      <c r="AX21" s="61" t="e" cm="1">
        <f t="array" aca="1" ref="AX21" ca="1">INDIRECT("cv."&amp;LEFT($U21,6)&amp;".hhv.MJL")</f>
        <v>#REF!</v>
      </c>
    </row>
    <row r="22" spans="5:50" x14ac:dyDescent="0.25">
      <c r="E22" s="61" t="s">
        <v>686</v>
      </c>
      <c r="F22" s="61">
        <v>1.6</v>
      </c>
      <c r="N22" s="61" t="s">
        <v>511</v>
      </c>
      <c r="O22" s="61" t="s">
        <v>613</v>
      </c>
      <c r="P22" s="61" t="s">
        <v>555</v>
      </c>
      <c r="Q22" s="61" t="str">
        <f t="shared" si="4"/>
        <v>CAR</v>
      </c>
      <c r="R22" s="61" t="s">
        <v>680</v>
      </c>
      <c r="T22" s="256" t="s">
        <v>681</v>
      </c>
      <c r="U22" s="256" t="s">
        <v>687</v>
      </c>
      <c r="V22" s="103">
        <f t="array" ref="V22">IF(V$18,INDEX('AEA2012 update'!$K$6:$R$104,MATCH($T22&amp;$R22,'AEA2012 update'!$A$6:$A$104&amp;'AEA2012 update'!$B$6:$B$104,0),MATCH(V$16,'AEA2012 update'!$S$4:$Z$4,0)),INDEX('AEA2012 update'!$K$6:$R$104,MATCH($T22&amp;$U22,'AEA2012 update'!$A$6:$A$104&amp;'AEA2012 update'!$B$6:$B$104,0),MATCH(V$16,'AEA2012 update'!$S$4:$Z$4,0)))</f>
        <v>328443.28314829268</v>
      </c>
      <c r="W22" s="103">
        <f t="array" ref="W22">IF(W$18,INDEX('AEA2012 update'!$K$6:$R$104,MATCH($T22&amp;$R22,'AEA2012 update'!$A$6:$A$104&amp;'AEA2012 update'!$B$6:$B$104,0),MATCH(W$16,'AEA2012 update'!$S$4:$Z$4,0)),INDEX('AEA2012 update'!$K$6:$R$104,MATCH($T22&amp;$U22,'AEA2012 update'!$A$6:$A$104&amp;'AEA2012 update'!$B$6:$B$104,0),MATCH(W$16,'AEA2012 update'!$S$4:$Z$4,0)))</f>
        <v>360544.93702527508</v>
      </c>
      <c r="X22" s="103">
        <f t="array" ref="X22">IF(X$18,INDEX('AEA2012 update'!$K$6:$R$104,MATCH($T22&amp;$R22,'AEA2012 update'!$A$6:$A$104&amp;'AEA2012 update'!$B$6:$B$104,0),MATCH(X$16,'AEA2012 update'!$S$4:$Z$4,0)),INDEX('AEA2012 update'!$K$6:$R$104,MATCH($T22&amp;$U22,'AEA2012 update'!$A$6:$A$104&amp;'AEA2012 update'!$B$6:$B$104,0),MATCH(X$16,'AEA2012 update'!$S$4:$Z$4,0)))</f>
        <v>366150.82503153011</v>
      </c>
      <c r="Y22" s="103">
        <f t="array" ref="Y22">IF(Y$18,INDEX('AEA2012 update'!$K$6:$R$104,MATCH($T22&amp;$R22,'AEA2012 update'!$A$6:$A$104&amp;'AEA2012 update'!$B$6:$B$104,0),MATCH(Y$16,'AEA2012 update'!$S$4:$Z$4,0)),INDEX('AEA2012 update'!$K$6:$R$104,MATCH($T22&amp;$U22,'AEA2012 update'!$A$6:$A$104&amp;'AEA2012 update'!$B$6:$B$104,0),MATCH(Y$16,'AEA2012 update'!$S$4:$Z$4,0)))</f>
        <v>248549.77442435178</v>
      </c>
      <c r="Z22" s="103">
        <f t="array" ref="Z22">IF(Z$18,INDEX('AEA2012 update'!$K$6:$R$104,MATCH($T22&amp;$R22,'AEA2012 update'!$A$6:$A$104&amp;'AEA2012 update'!$B$6:$B$104,0),MATCH(Z$16,'AEA2012 update'!$S$4:$Z$4,0)),INDEX('AEA2012 update'!$K$6:$R$104,MATCH($T22&amp;$U22,'AEA2012 update'!$A$6:$A$104&amp;'AEA2012 update'!$B$6:$B$104,0),MATCH(Z$16,'AEA2012 update'!$S$4:$Z$4,0)))</f>
        <v>251273.34974387253</v>
      </c>
      <c r="AA22" s="103">
        <f t="array" ref="AA22">IF(AA$18,INDEX('AEA2012 update'!$K$6:$R$104,MATCH($T22&amp;$R22,'AEA2012 update'!$A$6:$A$104&amp;'AEA2012 update'!$B$6:$B$104,0),MATCH(AA$16,'AEA2012 update'!$S$4:$Z$4,0)),INDEX('AEA2012 update'!$K$6:$R$104,MATCH($T22&amp;$U22,'AEA2012 update'!$A$6:$A$104&amp;'AEA2012 update'!$B$6:$B$104,0),MATCH(AA$16,'AEA2012 update'!$S$4:$Z$4,0)))</f>
        <v>253996.92506339328</v>
      </c>
      <c r="AB22" s="103">
        <f t="array" ref="AB22">IF(AB$18,INDEX('AEA2012 update'!$K$6:$R$104,MATCH($T22&amp;$R22,'AEA2012 update'!$A$6:$A$104&amp;'AEA2012 update'!$B$6:$B$104,0),MATCH(AB$16,'AEA2012 update'!$S$4:$Z$4,0)),INDEX('AEA2012 update'!$K$6:$R$104,MATCH($T22&amp;$U22,'AEA2012 update'!$A$6:$A$104&amp;'AEA2012 update'!$B$6:$B$104,0),MATCH(AB$16,'AEA2012 update'!$S$4:$Z$4,0)))</f>
        <v>257172.600668175</v>
      </c>
      <c r="AC22" s="103" t="str">
        <f t="shared" si="5"/>
        <v>CARODS</v>
      </c>
      <c r="AD22" s="67">
        <f t="array" ref="AD22">INDEX('AEA2012 update'!$AC$6:$AG$104,MATCH($T22&amp;$U22,'AEA2012 update'!$A$6:$A$104&amp;'AEA2012 update'!$B$6:$B$104,0),MATCH(AD$16,'AEA2012 update'!$S$4:$Z$4,0))</f>
        <v>2.2264912113239048</v>
      </c>
      <c r="AE22" s="67">
        <f t="array" ref="AE22">IF($W$1,AD22*(1+INDEX(AE$1:AE$2,MATCH($O22,$AA$1:$AA$2,0)))^(AE$16-AD$16),INDEX('AEA2012 update'!$AC$6:$AG$104,MATCH($T22&amp;$U22,'AEA2012 update'!$A$6:$A$104&amp;'AEA2012 update'!$B$6:$B$104,0),MATCH(AE$16,'AEA2012 update'!$AC$4:$AG$4,0)))</f>
        <v>2.1176383464831736</v>
      </c>
      <c r="AF22" s="67">
        <f t="array" ref="AF22">IF($W$1,AE22*(1+INDEX(AF$1:AF$2,MATCH($O22,$AA$1:$AA$2,0)))^(AF$16-AE$16),INDEX('AEA2012 update'!$AC$6:$AG$104,MATCH($T22&amp;$U22,'AEA2012 update'!$A$6:$A$104&amp;'AEA2012 update'!$B$6:$B$104,0),MATCH(AF$16,'AEA2012 update'!$AC$4:$AG$4,0)))</f>
        <v>2.0141072840029328</v>
      </c>
      <c r="AG22" s="67">
        <f t="array" ref="AG22">IF($W$1,AF22*(1+INDEX(AG$1:AG$2,MATCH($O22,$AA$1:$AA$2,0)))^(AG$16-AF$16),INDEX('AEA2012 update'!$AC$6:$AG$104,MATCH($T22&amp;$U22,'AEA2012 update'!$A$6:$A$104&amp;'AEA2012 update'!$B$6:$B$104,0),MATCH(AG$16,'AEA2012 update'!$AC$4:$AG$4,0)))</f>
        <v>1.915637841660091</v>
      </c>
      <c r="AH22" s="67">
        <f t="array" ref="AH22">IF($W$1,AG22*(1+INDEX(AH$1:AH$2,MATCH($O22,$AA$1:$AA$2,0)))^(AH$16-AG$16),INDEX('AEA2012 update'!$AC$6:$AG$104,MATCH($T22&amp;$U22,'AEA2012 update'!$A$6:$A$104&amp;'AEA2012 update'!$B$6:$B$104,0),MATCH(AH$16,'AEA2012 update'!$AC$4:$AG$4,0)))</f>
        <v>1.821982557506499</v>
      </c>
      <c r="AI22" s="67"/>
      <c r="AJ22" s="257">
        <f t="shared" si="6"/>
        <v>-4.88898695342281E-3</v>
      </c>
      <c r="AK22" s="257">
        <f t="shared" si="7"/>
        <v>-4.6538602695101235E-3</v>
      </c>
      <c r="AQ22" s="61" t="str">
        <f t="shared" si="8"/>
        <v>CAR-ODS</v>
      </c>
      <c r="AR22" s="80" t="e" cm="1">
        <f t="array" aca="1" ref="AR22" ca="1">AD22/INDIRECT("cv."&amp;LEFT($U22,6)&amp;".hhv.MJL") * 100</f>
        <v>#REF!</v>
      </c>
      <c r="AS22" s="80">
        <f>AE22/cv.diesel.hhv.MJL*100</f>
        <v>5.5581058962812957</v>
      </c>
      <c r="AT22" s="80">
        <f>AF22/cv.diesel.hhv.MJL*100</f>
        <v>5.2863708241546794</v>
      </c>
      <c r="AU22" s="80">
        <f>AG22/cv.diesel.hhv.MJL*100</f>
        <v>5.0279208442522076</v>
      </c>
      <c r="AV22" s="80">
        <f>AH22/cv.diesel.hhv.MJL*100</f>
        <v>4.7821064501482908</v>
      </c>
      <c r="AX22" s="61" t="e" cm="1">
        <f t="array" aca="1" ref="AX22" ca="1">INDIRECT("cv."&amp;LEFT($U22,6)&amp;".hhv.MJL")</f>
        <v>#REF!</v>
      </c>
    </row>
    <row r="23" spans="5:50" x14ac:dyDescent="0.25">
      <c r="N23" s="61" t="s">
        <v>519</v>
      </c>
      <c r="O23" s="61" t="s">
        <v>613</v>
      </c>
      <c r="P23" s="61" t="s">
        <v>555</v>
      </c>
      <c r="Q23" s="61" t="str">
        <f t="shared" si="4"/>
        <v>CAR</v>
      </c>
      <c r="R23" s="61" t="s">
        <v>680</v>
      </c>
      <c r="S23" s="65"/>
      <c r="T23" s="256" t="s">
        <v>681</v>
      </c>
      <c r="U23" s="256" t="s">
        <v>688</v>
      </c>
      <c r="V23" s="103">
        <f t="array" ref="V23">IF(V$18,INDEX('AEA2012 update'!$K$6:$R$104,MATCH($T23&amp;$R23,'AEA2012 update'!$A$6:$A$104&amp;'AEA2012 update'!$B$6:$B$104,0),MATCH(V$16,'AEA2012 update'!$S$4:$Z$4,0)),INDEX('AEA2012 update'!$K$6:$R$104,MATCH($T23&amp;$U23,'AEA2012 update'!$A$6:$A$104&amp;'AEA2012 update'!$B$6:$B$104,0),MATCH(V$16,'AEA2012 update'!$S$4:$Z$4,0)))</f>
        <v>463914.82511277962</v>
      </c>
      <c r="W23" s="103">
        <f t="array" ref="W23">IF(W$18,INDEX('AEA2012 update'!$K$6:$R$104,MATCH($T23&amp;$R23,'AEA2012 update'!$A$6:$A$104&amp;'AEA2012 update'!$B$6:$B$104,0),MATCH(W$16,'AEA2012 update'!$S$4:$Z$4,0)),INDEX('AEA2012 update'!$K$6:$R$104,MATCH($T23&amp;$U23,'AEA2012 update'!$A$6:$A$104&amp;'AEA2012 update'!$B$6:$B$104,0),MATCH(W$16,'AEA2012 update'!$S$4:$Z$4,0)))</f>
        <v>440435.38283569075</v>
      </c>
      <c r="X23" s="103">
        <f t="array" ref="X23">IF(X$18,INDEX('AEA2012 update'!$K$6:$R$104,MATCH($T23&amp;$R23,'AEA2012 update'!$A$6:$A$104&amp;'AEA2012 update'!$B$6:$B$104,0),MATCH(X$16,'AEA2012 update'!$S$4:$Z$4,0)),INDEX('AEA2012 update'!$K$6:$R$104,MATCH($T23&amp;$U23,'AEA2012 update'!$A$6:$A$104&amp;'AEA2012 update'!$B$6:$B$104,0),MATCH(X$16,'AEA2012 update'!$S$4:$Z$4,0)))</f>
        <v>436635.14806228853</v>
      </c>
      <c r="Y23" s="103">
        <f t="array" ref="Y23">IF(Y$18,INDEX('AEA2012 update'!$K$6:$R$104,MATCH($T23&amp;$R23,'AEA2012 update'!$A$6:$A$104&amp;'AEA2012 update'!$B$6:$B$104,0),MATCH(Y$16,'AEA2012 update'!$S$4:$Z$4,0)),INDEX('AEA2012 update'!$K$6:$R$104,MATCH($T23&amp;$U23,'AEA2012 update'!$A$6:$A$104&amp;'AEA2012 update'!$B$6:$B$104,0),MATCH(Y$16,'AEA2012 update'!$S$4:$Z$4,0)))</f>
        <v>248549.77442435178</v>
      </c>
      <c r="Z23" s="103">
        <f t="array" ref="Z23">IF(Z$18,INDEX('AEA2012 update'!$K$6:$R$104,MATCH($T23&amp;$R23,'AEA2012 update'!$A$6:$A$104&amp;'AEA2012 update'!$B$6:$B$104,0),MATCH(Z$16,'AEA2012 update'!$S$4:$Z$4,0)),INDEX('AEA2012 update'!$K$6:$R$104,MATCH($T23&amp;$U23,'AEA2012 update'!$A$6:$A$104&amp;'AEA2012 update'!$B$6:$B$104,0),MATCH(Z$16,'AEA2012 update'!$S$4:$Z$4,0)))</f>
        <v>251273.34974387253</v>
      </c>
      <c r="AA23" s="103">
        <f t="array" ref="AA23">IF(AA$18,INDEX('AEA2012 update'!$K$6:$R$104,MATCH($T23&amp;$R23,'AEA2012 update'!$A$6:$A$104&amp;'AEA2012 update'!$B$6:$B$104,0),MATCH(AA$16,'AEA2012 update'!$S$4:$Z$4,0)),INDEX('AEA2012 update'!$K$6:$R$104,MATCH($T23&amp;$U23,'AEA2012 update'!$A$6:$A$104&amp;'AEA2012 update'!$B$6:$B$104,0),MATCH(AA$16,'AEA2012 update'!$S$4:$Z$4,0)))</f>
        <v>253996.92506339328</v>
      </c>
      <c r="AB23" s="103">
        <f t="array" ref="AB23">IF(AB$18,INDEX('AEA2012 update'!$K$6:$R$104,MATCH($T23&amp;$R23,'AEA2012 update'!$A$6:$A$104&amp;'AEA2012 update'!$B$6:$B$104,0),MATCH(AB$16,'AEA2012 update'!$S$4:$Z$4,0)),INDEX('AEA2012 update'!$K$6:$R$104,MATCH($T23&amp;$U23,'AEA2012 update'!$A$6:$A$104&amp;'AEA2012 update'!$B$6:$B$104,0),MATCH(AB$16,'AEA2012 update'!$S$4:$Z$4,0)))</f>
        <v>257172.600668175</v>
      </c>
      <c r="AC23" s="103" t="str">
        <f t="shared" si="5"/>
        <v>CAROGSH</v>
      </c>
      <c r="AD23" s="67">
        <f t="array" ref="AD23">INDEX('AEA2012 update'!$AC$6:$AG$104,MATCH($T23&amp;$U23,'AEA2012 update'!$A$6:$A$104&amp;'AEA2012 update'!$B$6:$B$104,0),MATCH(AD$16,'AEA2012 update'!$S$4:$Z$4,0))</f>
        <v>2.118957461890536</v>
      </c>
      <c r="AE23" s="67">
        <f t="array" ref="AE23">IF($W$1,AD23*(1+INDEX(AE$1:AE$2,MATCH($O23,$AA$1:$AA$2,0)))^(AE$16-AD$16),INDEX('AEA2012 update'!$AC$6:$AG$104,MATCH($T23&amp;$U23,'AEA2012 update'!$A$6:$A$104&amp;'AEA2012 update'!$B$6:$B$104,0),MATCH(AE$16,'AEA2012 update'!$AC$4:$AG$4,0)))</f>
        <v>2.0153619080301288</v>
      </c>
      <c r="AF23" s="67">
        <f t="array" ref="AF23">IF($W$1,AE23*(1+INDEX(AF$1:AF$2,MATCH($O23,$AA$1:$AA$2,0)))^(AF$16-AE$16),INDEX('AEA2012 update'!$AC$6:$AG$104,MATCH($T23&amp;$U23,'AEA2012 update'!$A$6:$A$104&amp;'AEA2012 update'!$B$6:$B$104,0),MATCH(AF$16,'AEA2012 update'!$AC$4:$AG$4,0)))</f>
        <v>1.9168311272822829</v>
      </c>
      <c r="AG23" s="67">
        <f t="array" ref="AG23">IF($W$1,AF23*(1+INDEX(AG$1:AG$2,MATCH($O23,$AA$1:$AA$2,0)))^(AG$16-AF$16),INDEX('AEA2012 update'!$AC$6:$AG$104,MATCH($T23&amp;$U23,'AEA2012 update'!$A$6:$A$104&amp;'AEA2012 update'!$B$6:$B$104,0),MATCH(AG$16,'AEA2012 update'!$AC$4:$AG$4,0)))</f>
        <v>1.8231175035503049</v>
      </c>
      <c r="AH23" s="67">
        <f t="array" ref="AH23">IF($W$1,AG23*(1+INDEX(AH$1:AH$2,MATCH($O23,$AA$1:$AA$2,0)))^(AH$16-AG$16),INDEX('AEA2012 update'!$AC$6:$AG$104,MATCH($T23&amp;$U23,'AEA2012 update'!$A$6:$A$104&amp;'AEA2012 update'!$B$6:$B$104,0),MATCH(AH$16,'AEA2012 update'!$AC$4:$AG$4,0)))</f>
        <v>1.733985526656163</v>
      </c>
      <c r="AI23" s="67"/>
      <c r="AJ23" s="257">
        <f t="shared" si="6"/>
        <v>-4.8889869534227996E-3</v>
      </c>
      <c r="AK23" s="257">
        <f t="shared" si="7"/>
        <v>-4.6538602695101209E-3</v>
      </c>
      <c r="AQ23" s="61" t="str">
        <f t="shared" si="8"/>
        <v>CAR-OGSH</v>
      </c>
      <c r="AR23" s="80" t="e" cm="1">
        <f t="array" aca="1" ref="AR23" ca="1">AD23/INDIRECT("cv."&amp;LEFT($U23,6)&amp;".hhv.MJL") * 100</f>
        <v>#REF!</v>
      </c>
      <c r="AS23" s="80">
        <f t="shared" ref="AS23:AV23" si="10">AE23/cv.petrol.hhv.MJL*100</f>
        <v>5.8928710761114873</v>
      </c>
      <c r="AT23" s="80">
        <f t="shared" si="10"/>
        <v>5.6047693780183705</v>
      </c>
      <c r="AU23" s="80">
        <f t="shared" si="10"/>
        <v>5.3307529343576157</v>
      </c>
      <c r="AV23" s="80">
        <f t="shared" si="10"/>
        <v>5.0701331188776688</v>
      </c>
      <c r="AX23" s="61" t="e" cm="1">
        <f t="array" aca="1" ref="AX23" ca="1">INDIRECT("cv."&amp;LEFT($U23,6)&amp;".hhv.MJL")</f>
        <v>#REF!</v>
      </c>
    </row>
    <row r="24" spans="5:50" x14ac:dyDescent="0.25">
      <c r="N24" s="61" t="s">
        <v>521</v>
      </c>
      <c r="O24" s="61" t="s">
        <v>613</v>
      </c>
      <c r="P24" s="61" t="s">
        <v>555</v>
      </c>
      <c r="Q24" s="61" t="str">
        <f t="shared" si="4"/>
        <v>CAR</v>
      </c>
      <c r="R24" s="61" t="s">
        <v>680</v>
      </c>
      <c r="S24" s="65"/>
      <c r="T24" s="256" t="s">
        <v>681</v>
      </c>
      <c r="U24" s="256" t="s">
        <v>689</v>
      </c>
      <c r="V24" s="103">
        <f t="array" ref="V24">IF(V$18,INDEX('AEA2012 update'!$K$6:$R$104,MATCH($T24&amp;$R24,'AEA2012 update'!$A$6:$A$104&amp;'AEA2012 update'!$B$6:$B$104,0),MATCH(V$16,'AEA2012 update'!$S$4:$Z$4,0)),INDEX('AEA2012 update'!$K$6:$R$104,MATCH($T24&amp;$U24,'AEA2012 update'!$A$6:$A$104&amp;'AEA2012 update'!$B$6:$B$104,0),MATCH(V$16,'AEA2012 update'!$S$4:$Z$4,0)))</f>
        <v>676856.89554145606</v>
      </c>
      <c r="W24" s="103">
        <f t="array" ref="W24">IF(W$18,INDEX('AEA2012 update'!$K$6:$R$104,MATCH($T24&amp;$R24,'AEA2012 update'!$A$6:$A$104&amp;'AEA2012 update'!$B$6:$B$104,0),MATCH(W$16,'AEA2012 update'!$S$4:$Z$4,0)),INDEX('AEA2012 update'!$K$6:$R$104,MATCH($T24&amp;$U24,'AEA2012 update'!$A$6:$A$104&amp;'AEA2012 update'!$B$6:$B$104,0),MATCH(W$16,'AEA2012 update'!$S$4:$Z$4,0)))</f>
        <v>660653.07425353606</v>
      </c>
      <c r="X24" s="103">
        <f t="array" ref="X24">IF(X$18,INDEX('AEA2012 update'!$K$6:$R$104,MATCH($T24&amp;$R24,'AEA2012 update'!$A$6:$A$104&amp;'AEA2012 update'!$B$6:$B$104,0),MATCH(X$16,'AEA2012 update'!$S$4:$Z$4,0)),INDEX('AEA2012 update'!$K$6:$R$104,MATCH($T24&amp;$U24,'AEA2012 update'!$A$6:$A$104&amp;'AEA2012 update'!$B$6:$B$104,0),MATCH(X$16,'AEA2012 update'!$S$4:$Z$4,0)))</f>
        <v>655423.85807417962</v>
      </c>
      <c r="Y24" s="103">
        <f t="array" ref="Y24">IF(Y$18,INDEX('AEA2012 update'!$K$6:$R$104,MATCH($T24&amp;$R24,'AEA2012 update'!$A$6:$A$104&amp;'AEA2012 update'!$B$6:$B$104,0),MATCH(Y$16,'AEA2012 update'!$S$4:$Z$4,0)),INDEX('AEA2012 update'!$K$6:$R$104,MATCH($T24&amp;$U24,'AEA2012 update'!$A$6:$A$104&amp;'AEA2012 update'!$B$6:$B$104,0),MATCH(Y$16,'AEA2012 update'!$S$4:$Z$4,0)))</f>
        <v>248549.77442435178</v>
      </c>
      <c r="Z24" s="103">
        <f t="array" ref="Z24">IF(Z$18,INDEX('AEA2012 update'!$K$6:$R$104,MATCH($T24&amp;$R24,'AEA2012 update'!$A$6:$A$104&amp;'AEA2012 update'!$B$6:$B$104,0),MATCH(Z$16,'AEA2012 update'!$S$4:$Z$4,0)),INDEX('AEA2012 update'!$K$6:$R$104,MATCH($T24&amp;$U24,'AEA2012 update'!$A$6:$A$104&amp;'AEA2012 update'!$B$6:$B$104,0),MATCH(Z$16,'AEA2012 update'!$S$4:$Z$4,0)))</f>
        <v>251273.34974387253</v>
      </c>
      <c r="AA24" s="103">
        <f t="array" ref="AA24">IF(AA$18,INDEX('AEA2012 update'!$K$6:$R$104,MATCH($T24&amp;$R24,'AEA2012 update'!$A$6:$A$104&amp;'AEA2012 update'!$B$6:$B$104,0),MATCH(AA$16,'AEA2012 update'!$S$4:$Z$4,0)),INDEX('AEA2012 update'!$K$6:$R$104,MATCH($T24&amp;$U24,'AEA2012 update'!$A$6:$A$104&amp;'AEA2012 update'!$B$6:$B$104,0),MATCH(AA$16,'AEA2012 update'!$S$4:$Z$4,0)))</f>
        <v>253996.92506339328</v>
      </c>
      <c r="AB24" s="103">
        <f t="array" ref="AB24">IF(AB$18,INDEX('AEA2012 update'!$K$6:$R$104,MATCH($T24&amp;$R24,'AEA2012 update'!$A$6:$A$104&amp;'AEA2012 update'!$B$6:$B$104,0),MATCH(AB$16,'AEA2012 update'!$S$4:$Z$4,0)),INDEX('AEA2012 update'!$K$6:$R$104,MATCH($T24&amp;$U24,'AEA2012 update'!$A$6:$A$104&amp;'AEA2012 update'!$B$6:$B$104,0),MATCH(AB$16,'AEA2012 update'!$S$4:$Z$4,0)))</f>
        <v>257172.600668175</v>
      </c>
      <c r="AC24" s="103" t="str">
        <f t="shared" si="5"/>
        <v>CARODSH</v>
      </c>
      <c r="AD24" s="67">
        <f t="array" ref="AD24">INDEX('AEA2012 update'!$AC$6:$AG$104,MATCH($T24&amp;$U24,'AEA2012 update'!$A$6:$A$104&amp;'AEA2012 update'!$B$6:$B$104,0),MATCH(AD$16,'AEA2012 update'!$S$4:$Z$4,0))</f>
        <v>1.7693016047311396</v>
      </c>
      <c r="AE24" s="67">
        <f t="array" ref="AE24">IF($W$1,AD24*(1+INDEX(AE$1:AE$2,MATCH($O24,$AA$1:$AA$2,0)))^(AE$16-AD$16),INDEX('AEA2012 update'!$AC$6:$AG$104,MATCH($T24&amp;$U24,'AEA2012 update'!$A$6:$A$104&amp;'AEA2012 update'!$B$6:$B$104,0),MATCH(AE$16,'AEA2012 update'!$AC$4:$AG$4,0)))</f>
        <v>1.682800680109134</v>
      </c>
      <c r="AF24" s="67">
        <f t="array" ref="AF24">IF($W$1,AE24*(1+INDEX(AF$1:AF$2,MATCH($O24,$AA$1:$AA$2,0)))^(AF$16-AE$16),INDEX('AEA2012 update'!$AC$6:$AG$104,MATCH($T24&amp;$U24,'AEA2012 update'!$A$6:$A$104&amp;'AEA2012 update'!$B$6:$B$104,0),MATCH(AF$16,'AEA2012 update'!$AC$4:$AG$4,0)))</f>
        <v>1.6005287744064882</v>
      </c>
      <c r="AG24" s="67">
        <f t="array" ref="AG24">IF($W$1,AF24*(1+INDEX(AG$1:AG$2,MATCH($O24,$AA$1:$AA$2,0)))^(AG$16-AF$16),INDEX('AEA2012 update'!$AC$6:$AG$104,MATCH($T24&amp;$U24,'AEA2012 update'!$A$6:$A$104&amp;'AEA2012 update'!$B$6:$B$104,0),MATCH(AG$16,'AEA2012 update'!$AC$4:$AG$4,0)))</f>
        <v>1.5222791314399771</v>
      </c>
      <c r="AH24" s="67">
        <f t="array" ref="AH24">IF($W$1,AG24*(1+INDEX(AH$1:AH$2,MATCH($O24,$AA$1:$AA$2,0)))^(AH$16-AG$16),INDEX('AEA2012 update'!$AC$6:$AG$104,MATCH($T24&amp;$U24,'AEA2012 update'!$A$6:$A$104&amp;'AEA2012 update'!$B$6:$B$104,0),MATCH(AH$16,'AEA2012 update'!$AC$4:$AG$4,0)))</f>
        <v>1.4478551033091986</v>
      </c>
      <c r="AI24" s="67"/>
      <c r="AJ24" s="257">
        <f t="shared" si="6"/>
        <v>-4.8889869534227996E-3</v>
      </c>
      <c r="AK24" s="257">
        <f t="shared" si="7"/>
        <v>-4.6538602695101218E-3</v>
      </c>
      <c r="AQ24" s="61" t="str">
        <f t="shared" si="8"/>
        <v>CAR-ODSH</v>
      </c>
      <c r="AR24" s="80" t="e" cm="1">
        <f t="array" aca="1" ref="AR24" ca="1">AD24/INDIRECT("cv."&amp;LEFT($U24,6)&amp;".hhv.MJL") * 100</f>
        <v>#REF!</v>
      </c>
      <c r="AS24" s="80">
        <f t="shared" ref="AS24:AV24" si="11">AE24/cv.petrol.hhv.MJL*100</f>
        <v>4.9204698248805085</v>
      </c>
      <c r="AT24" s="80">
        <f t="shared" si="11"/>
        <v>4.6799086970949944</v>
      </c>
      <c r="AU24" s="80">
        <f t="shared" si="11"/>
        <v>4.451108571461921</v>
      </c>
      <c r="AV24" s="80">
        <f t="shared" si="11"/>
        <v>4.2334944541204633</v>
      </c>
      <c r="AX24" s="61" t="e" cm="1">
        <f t="array" aca="1" ref="AX24" ca="1">INDIRECT("cv."&amp;LEFT($U24,6)&amp;".hhv.MJL")</f>
        <v>#REF!</v>
      </c>
    </row>
    <row r="25" spans="5:50" x14ac:dyDescent="0.25">
      <c r="H25" s="61">
        <v>2018</v>
      </c>
      <c r="I25" s="61">
        <v>2020</v>
      </c>
      <c r="N25" s="61" t="s">
        <v>690</v>
      </c>
      <c r="O25" s="61" t="s">
        <v>613</v>
      </c>
      <c r="P25" s="61" t="s">
        <v>555</v>
      </c>
      <c r="Q25" s="61" t="str">
        <f t="shared" si="4"/>
        <v>CAR</v>
      </c>
      <c r="R25" s="61" t="s">
        <v>680</v>
      </c>
      <c r="S25" s="65"/>
      <c r="T25" s="256" t="s">
        <v>681</v>
      </c>
      <c r="U25" s="256" t="s">
        <v>691</v>
      </c>
      <c r="V25" s="103">
        <f t="array" ref="V25">IF(V$18,INDEX('AEA2012 update'!$K$6:$R$104,MATCH($T25&amp;$R25,'AEA2012 update'!$A$6:$A$104&amp;'AEA2012 update'!$B$6:$B$104,0),MATCH(V$16,'AEA2012 update'!$S$4:$Z$4,0)),INDEX('AEA2012 update'!$K$6:$R$104,MATCH($T25&amp;$U25,'AEA2012 update'!$A$6:$A$104&amp;'AEA2012 update'!$B$6:$B$104,0),MATCH(V$16,'AEA2012 update'!$S$4:$Z$4,0)))</f>
        <v>721264.32330352848</v>
      </c>
      <c r="W25" s="103">
        <f t="array" ref="W25">IF(W$18,INDEX('AEA2012 update'!$K$6:$R$104,MATCH($T25&amp;$R25,'AEA2012 update'!$A$6:$A$104&amp;'AEA2012 update'!$B$6:$B$104,0),MATCH(W$16,'AEA2012 update'!$S$4:$Z$4,0)),INDEX('AEA2012 update'!$K$6:$R$104,MATCH($T25&amp;$U25,'AEA2012 update'!$A$6:$A$104&amp;'AEA2012 update'!$B$6:$B$104,0),MATCH(W$16,'AEA2012 update'!$S$4:$Z$4,0)))</f>
        <v>585779.0591714686</v>
      </c>
      <c r="X25" s="103">
        <f t="array" ref="X25">IF(X$18,INDEX('AEA2012 update'!$K$6:$R$104,MATCH($T25&amp;$R25,'AEA2012 update'!$A$6:$A$104&amp;'AEA2012 update'!$B$6:$B$104,0),MATCH(X$16,'AEA2012 update'!$S$4:$Z$4,0)),INDEX('AEA2012 update'!$K$6:$R$104,MATCH($T25&amp;$U25,'AEA2012 update'!$A$6:$A$104&amp;'AEA2012 update'!$B$6:$B$104,0),MATCH(X$16,'AEA2012 update'!$S$4:$Z$4,0)))</f>
        <v>567630.06516271632</v>
      </c>
      <c r="Y25" s="103">
        <f t="array" ref="Y25">IF(Y$18,INDEX('AEA2012 update'!$K$6:$R$104,MATCH($T25&amp;$R25,'AEA2012 update'!$A$6:$A$104&amp;'AEA2012 update'!$B$6:$B$104,0),MATCH(Y$16,'AEA2012 update'!$S$4:$Z$4,0)),INDEX('AEA2012 update'!$K$6:$R$104,MATCH($T25&amp;$U25,'AEA2012 update'!$A$6:$A$104&amp;'AEA2012 update'!$B$6:$B$104,0),MATCH(Y$16,'AEA2012 update'!$S$4:$Z$4,0)))</f>
        <v>248549.77442435178</v>
      </c>
      <c r="Z25" s="103">
        <f t="array" ref="Z25">IF(Z$18,INDEX('AEA2012 update'!$K$6:$R$104,MATCH($T25&amp;$R25,'AEA2012 update'!$A$6:$A$104&amp;'AEA2012 update'!$B$6:$B$104,0),MATCH(Z$16,'AEA2012 update'!$S$4:$Z$4,0)),INDEX('AEA2012 update'!$K$6:$R$104,MATCH($T25&amp;$U25,'AEA2012 update'!$A$6:$A$104&amp;'AEA2012 update'!$B$6:$B$104,0),MATCH(Z$16,'AEA2012 update'!$S$4:$Z$4,0)))</f>
        <v>251273.34974387253</v>
      </c>
      <c r="AA25" s="103">
        <f t="array" ref="AA25">IF(AA$18,INDEX('AEA2012 update'!$K$6:$R$104,MATCH($T25&amp;$R25,'AEA2012 update'!$A$6:$A$104&amp;'AEA2012 update'!$B$6:$B$104,0),MATCH(AA$16,'AEA2012 update'!$S$4:$Z$4,0)),INDEX('AEA2012 update'!$K$6:$R$104,MATCH($T25&amp;$U25,'AEA2012 update'!$A$6:$A$104&amp;'AEA2012 update'!$B$6:$B$104,0),MATCH(AA$16,'AEA2012 update'!$S$4:$Z$4,0)))</f>
        <v>253996.92506339328</v>
      </c>
      <c r="AB25" s="103">
        <f t="array" ref="AB25">IF(AB$18,INDEX('AEA2012 update'!$K$6:$R$104,MATCH($T25&amp;$R25,'AEA2012 update'!$A$6:$A$104&amp;'AEA2012 update'!$B$6:$B$104,0),MATCH(AB$16,'AEA2012 update'!$S$4:$Z$4,0)),INDEX('AEA2012 update'!$K$6:$R$104,MATCH($T25&amp;$U25,'AEA2012 update'!$A$6:$A$104&amp;'AEA2012 update'!$B$6:$B$104,0),MATCH(AB$16,'AEA2012 update'!$S$4:$Z$4,0)))</f>
        <v>257172.600668175</v>
      </c>
      <c r="AC25" s="103" t="str">
        <f t="shared" si="5"/>
        <v>CAROGSP</v>
      </c>
      <c r="AD25" s="67">
        <f t="array" ref="AD25">INDEX('AEA2012 update'!$AC$6:$AG$104,MATCH($T25&amp;$U25,'AEA2012 update'!$A$6:$A$104&amp;'AEA2012 update'!$B$6:$B$104,0),MATCH(AD$16,'AEA2012 update'!$S$4:$Z$4,0))</f>
        <v>1.6844344849453972</v>
      </c>
      <c r="AE25" s="67">
        <f t="array" ref="AE25">IF($W$1,AD25*(1+INDEX(AE$1:AE$2,MATCH($O25,$AA$1:$AA$2,0)))^(AE$16-AD$16),INDEX('AEA2012 update'!$AC$6:$AG$104,MATCH($T25&amp;$U25,'AEA2012 update'!$A$6:$A$104&amp;'AEA2012 update'!$B$6:$B$104,0),MATCH(AE$16,'AEA2012 update'!$AC$4:$AG$4,0)))</f>
        <v>1.602082702737462</v>
      </c>
      <c r="AF25" s="67">
        <f t="array" ref="AF25">IF($W$1,AE25*(1+INDEX(AF$1:AF$2,MATCH($O25,$AA$1:$AA$2,0)))^(AF$16-AE$16),INDEX('AEA2012 update'!$AC$6:$AG$104,MATCH($T25&amp;$U25,'AEA2012 update'!$A$6:$A$104&amp;'AEA2012 update'!$B$6:$B$104,0),MATCH(AF$16,'AEA2012 update'!$AC$4:$AG$4,0)))</f>
        <v>1.5237570884175842</v>
      </c>
      <c r="AG25" s="67">
        <f t="array" ref="AG25">IF($W$1,AF25*(1+INDEX(AG$1:AG$2,MATCH($O25,$AA$1:$AA$2,0)))^(AG$16-AF$16),INDEX('AEA2012 update'!$AC$6:$AG$104,MATCH($T25&amp;$U25,'AEA2012 update'!$A$6:$A$104&amp;'AEA2012 update'!$B$6:$B$104,0),MATCH(AG$16,'AEA2012 update'!$AC$4:$AG$4,0)))</f>
        <v>1.4492608031629932</v>
      </c>
      <c r="AH25" s="67">
        <f t="array" ref="AH25">IF($W$1,AG25*(1+INDEX(AH$1:AH$2,MATCH($O25,$AA$1:$AA$2,0)))^(AH$16-AG$16),INDEX('AEA2012 update'!$AC$6:$AG$104,MATCH($T25&amp;$U25,'AEA2012 update'!$A$6:$A$104&amp;'AEA2012 update'!$B$6:$B$104,0),MATCH(AH$16,'AEA2012 update'!$AC$4:$AG$4,0)))</f>
        <v>1.3784066315752839</v>
      </c>
      <c r="AI25" s="67"/>
      <c r="AJ25" s="257">
        <f t="shared" si="6"/>
        <v>-4.8889869534228083E-3</v>
      </c>
      <c r="AK25" s="257">
        <f t="shared" si="7"/>
        <v>-4.6538602695101227E-3</v>
      </c>
      <c r="AQ25" s="61" t="str">
        <f t="shared" si="8"/>
        <v>CAR-OGSP</v>
      </c>
      <c r="AR25" s="80" t="e" cm="1">
        <f t="array" aca="1" ref="AR25" ca="1">AD25/INDIRECT("cv."&amp;LEFT($U25,6)&amp;".hhv.MJL") * 100</f>
        <v>#REF!</v>
      </c>
      <c r="AS25" s="80">
        <f t="shared" ref="AS25:AV25" si="12">AE25/cv.petrol.hhv.MJL*100</f>
        <v>4.6844523471855606</v>
      </c>
      <c r="AT25" s="80">
        <f t="shared" si="12"/>
        <v>4.4554300830923506</v>
      </c>
      <c r="AU25" s="80">
        <f t="shared" si="12"/>
        <v>4.2376046876110909</v>
      </c>
      <c r="AV25" s="80">
        <f t="shared" si="12"/>
        <v>4.0304287472961509</v>
      </c>
      <c r="AX25" s="61" t="e" cm="1">
        <f t="array" aca="1" ref="AX25" ca="1">INDIRECT("cv."&amp;LEFT($U25,6)&amp;".hhv.MJL")</f>
        <v>#REF!</v>
      </c>
    </row>
    <row r="26" spans="5:50" x14ac:dyDescent="0.25">
      <c r="E26" s="61" t="s">
        <v>62</v>
      </c>
      <c r="F26" s="61" t="s">
        <v>692</v>
      </c>
      <c r="G26" s="61" t="s">
        <v>693</v>
      </c>
      <c r="H26" s="61">
        <v>479100</v>
      </c>
      <c r="I26" s="86">
        <v>500000</v>
      </c>
      <c r="N26" s="61" t="s">
        <v>694</v>
      </c>
      <c r="O26" s="61" t="s">
        <v>613</v>
      </c>
      <c r="P26" s="61" t="s">
        <v>555</v>
      </c>
      <c r="Q26" s="61" t="str">
        <f t="shared" si="4"/>
        <v>CAR</v>
      </c>
      <c r="R26" s="61" t="s">
        <v>680</v>
      </c>
      <c r="T26" s="256" t="s">
        <v>681</v>
      </c>
      <c r="U26" s="256" t="s">
        <v>695</v>
      </c>
      <c r="V26" s="103">
        <f t="array" ref="V26">IF(V$18,INDEX('AEA2012 update'!$K$6:$R$104,MATCH($T26&amp;$R26,'AEA2012 update'!$A$6:$A$104&amp;'AEA2012 update'!$B$6:$B$104,0),MATCH(V$16,'AEA2012 update'!$S$4:$Z$4,0)),INDEX('AEA2012 update'!$K$6:$R$104,MATCH($T26&amp;$U26,'AEA2012 update'!$A$6:$A$104&amp;'AEA2012 update'!$B$6:$B$104,0),MATCH(V$16,'AEA2012 update'!$S$4:$Z$4,0)))</f>
        <v>1063174.3490159395</v>
      </c>
      <c r="W26" s="103">
        <f t="array" ref="W26">IF(W$18,INDEX('AEA2012 update'!$K$6:$R$104,MATCH($T26&amp;$R26,'AEA2012 update'!$A$6:$A$104&amp;'AEA2012 update'!$B$6:$B$104,0),MATCH(W$16,'AEA2012 update'!$S$4:$Z$4,0)),INDEX('AEA2012 update'!$K$6:$R$104,MATCH($T26&amp;$U26,'AEA2012 update'!$A$6:$A$104&amp;'AEA2012 update'!$B$6:$B$104,0),MATCH(W$16,'AEA2012 update'!$S$4:$Z$4,0)))</f>
        <v>878668.58875720296</v>
      </c>
      <c r="X26" s="103">
        <f t="array" ref="X26">IF(X$18,INDEX('AEA2012 update'!$K$6:$R$104,MATCH($T26&amp;$R26,'AEA2012 update'!$A$6:$A$104&amp;'AEA2012 update'!$B$6:$B$104,0),MATCH(X$16,'AEA2012 update'!$S$4:$Z$4,0)),INDEX('AEA2012 update'!$K$6:$R$104,MATCH($T26&amp;$U26,'AEA2012 update'!$A$6:$A$104&amp;'AEA2012 update'!$B$6:$B$104,0),MATCH(X$16,'AEA2012 update'!$S$4:$Z$4,0)))</f>
        <v>851972.15227518079</v>
      </c>
      <c r="Y26" s="103">
        <f t="array" ref="Y26">IF(Y$18,INDEX('AEA2012 update'!$K$6:$R$104,MATCH($T26&amp;$R26,'AEA2012 update'!$A$6:$A$104&amp;'AEA2012 update'!$B$6:$B$104,0),MATCH(Y$16,'AEA2012 update'!$S$4:$Z$4,0)),INDEX('AEA2012 update'!$K$6:$R$104,MATCH($T26&amp;$U26,'AEA2012 update'!$A$6:$A$104&amp;'AEA2012 update'!$B$6:$B$104,0),MATCH(Y$16,'AEA2012 update'!$S$4:$Z$4,0)))</f>
        <v>248549.77442435178</v>
      </c>
      <c r="Z26" s="103">
        <f t="array" ref="Z26">IF(Z$18,INDEX('AEA2012 update'!$K$6:$R$104,MATCH($T26&amp;$R26,'AEA2012 update'!$A$6:$A$104&amp;'AEA2012 update'!$B$6:$B$104,0),MATCH(Z$16,'AEA2012 update'!$S$4:$Z$4,0)),INDEX('AEA2012 update'!$K$6:$R$104,MATCH($T26&amp;$U26,'AEA2012 update'!$A$6:$A$104&amp;'AEA2012 update'!$B$6:$B$104,0),MATCH(Z$16,'AEA2012 update'!$S$4:$Z$4,0)))</f>
        <v>251273.34974387253</v>
      </c>
      <c r="AA26" s="103">
        <f t="array" ref="AA26">IF(AA$18,INDEX('AEA2012 update'!$K$6:$R$104,MATCH($T26&amp;$R26,'AEA2012 update'!$A$6:$A$104&amp;'AEA2012 update'!$B$6:$B$104,0),MATCH(AA$16,'AEA2012 update'!$S$4:$Z$4,0)),INDEX('AEA2012 update'!$K$6:$R$104,MATCH($T26&amp;$U26,'AEA2012 update'!$A$6:$A$104&amp;'AEA2012 update'!$B$6:$B$104,0),MATCH(AA$16,'AEA2012 update'!$S$4:$Z$4,0)))</f>
        <v>253996.92506339328</v>
      </c>
      <c r="AB26" s="103">
        <f t="array" ref="AB26">IF(AB$18,INDEX('AEA2012 update'!$K$6:$R$104,MATCH($T26&amp;$R26,'AEA2012 update'!$A$6:$A$104&amp;'AEA2012 update'!$B$6:$B$104,0),MATCH(AB$16,'AEA2012 update'!$S$4:$Z$4,0)),INDEX('AEA2012 update'!$K$6:$R$104,MATCH($T26&amp;$U26,'AEA2012 update'!$A$6:$A$104&amp;'AEA2012 update'!$B$6:$B$104,0),MATCH(AB$16,'AEA2012 update'!$S$4:$Z$4,0)))</f>
        <v>257172.600668175</v>
      </c>
      <c r="AC26" s="103" t="str">
        <f t="shared" si="5"/>
        <v>CARODSP</v>
      </c>
      <c r="AD26" s="67">
        <f t="array" ref="AD26">INDEX('AEA2012 update'!$AC$6:$AG$104,MATCH($T26&amp;$U26,'AEA2012 update'!$A$6:$A$104&amp;'AEA2012 update'!$B$6:$B$104,0),MATCH(AD$16,'AEA2012 update'!$S$4:$Z$4,0))</f>
        <v>1.4414185748830934</v>
      </c>
      <c r="AE26" s="67">
        <f t="array" ref="AE26">IF($W$1,AD26*(1+INDEX(AE$1:AE$2,MATCH($O26,$AA$1:$AA$2,0)))^(AE$16-AD$16),INDEX('AEA2012 update'!$AC$6:$AG$104,MATCH($T26&amp;$U26,'AEA2012 update'!$A$6:$A$104&amp;'AEA2012 update'!$B$6:$B$104,0),MATCH(AE$16,'AEA2012 update'!$AC$4:$AG$4,0)))</f>
        <v>1.3709478088128462</v>
      </c>
      <c r="AF26" s="67">
        <f t="array" ref="AF26">IF($W$1,AE26*(1+INDEX(AF$1:AF$2,MATCH($O26,$AA$1:$AA$2,0)))^(AF$16-AE$16),INDEX('AEA2012 update'!$AC$6:$AG$104,MATCH($T26&amp;$U26,'AEA2012 update'!$A$6:$A$104&amp;'AEA2012 update'!$B$6:$B$104,0),MATCH(AF$16,'AEA2012 update'!$AC$4:$AG$4,0)))</f>
        <v>1.3039223493017504</v>
      </c>
      <c r="AG26" s="67">
        <f t="array" ref="AG26">IF($W$1,AF26*(1+INDEX(AG$1:AG$2,MATCH($O26,$AA$1:$AA$2,0)))^(AG$16-AF$16),INDEX('AEA2012 update'!$AC$6:$AG$104,MATCH($T26&amp;$U26,'AEA2012 update'!$A$6:$A$104&amp;'AEA2012 update'!$B$6:$B$104,0),MATCH(AG$16,'AEA2012 update'!$AC$4:$AG$4,0)))</f>
        <v>1.2401737557616237</v>
      </c>
      <c r="AH26" s="67">
        <f t="array" ref="AH26">IF($W$1,AG26*(1+INDEX(AH$1:AH$2,MATCH($O26,$AA$1:$AA$2,0)))^(AH$16-AG$16),INDEX('AEA2012 update'!$AC$6:$AG$104,MATCH($T26&amp;$U26,'AEA2012 update'!$A$6:$A$104&amp;'AEA2012 update'!$B$6:$B$104,0),MATCH(AH$16,'AEA2012 update'!$AC$4:$AG$4,0)))</f>
        <v>1.1795418226426644</v>
      </c>
      <c r="AI26" s="67"/>
      <c r="AJ26" s="257">
        <f t="shared" si="6"/>
        <v>-4.8889869534227987E-3</v>
      </c>
      <c r="AK26" s="257">
        <f t="shared" si="7"/>
        <v>-4.6538602695101192E-3</v>
      </c>
      <c r="AQ26" s="61" t="str">
        <f t="shared" si="8"/>
        <v>CAR-ODSP</v>
      </c>
      <c r="AR26" s="80" t="e" cm="1">
        <f t="array" aca="1" ref="AR26" ca="1">AD26/INDIRECT("cv."&amp;LEFT($U26,6)&amp;".hhv.MJL") * 100</f>
        <v>#REF!</v>
      </c>
      <c r="AS26" s="80">
        <f t="shared" ref="AS26:AV26" si="13">AE26/cv.petrol.hhv.MJL*100</f>
        <v>4.0086193240141696</v>
      </c>
      <c r="AT26" s="80">
        <f t="shared" si="13"/>
        <v>3.8126384482507318</v>
      </c>
      <c r="AU26" s="80">
        <f t="shared" si="13"/>
        <v>3.6262390519345717</v>
      </c>
      <c r="AV26" s="80">
        <f t="shared" si="13"/>
        <v>3.4489526977855678</v>
      </c>
      <c r="AX26" s="61" t="e" cm="1">
        <f t="array" aca="1" ref="AX26" ca="1">INDIRECT("cv."&amp;LEFT($U26,6)&amp;".hhv.MJL")</f>
        <v>#REF!</v>
      </c>
    </row>
    <row r="27" spans="5:50" x14ac:dyDescent="0.25">
      <c r="E27" s="61" t="s">
        <v>62</v>
      </c>
      <c r="F27" s="255" t="s">
        <v>573</v>
      </c>
      <c r="G27" s="61" t="s">
        <v>696</v>
      </c>
      <c r="H27" s="258">
        <v>236800</v>
      </c>
      <c r="I27" s="61">
        <v>290000</v>
      </c>
      <c r="N27" s="61" t="s">
        <v>501</v>
      </c>
      <c r="O27" s="61" t="s">
        <v>613</v>
      </c>
      <c r="P27" s="61" t="s">
        <v>555</v>
      </c>
      <c r="Q27" s="61" t="str">
        <f t="shared" si="4"/>
        <v>CAR</v>
      </c>
      <c r="R27" s="61" t="s">
        <v>680</v>
      </c>
      <c r="S27" s="255">
        <f>$F$22*W27</f>
        <v>1015450.0239507556</v>
      </c>
      <c r="T27" s="256" t="s">
        <v>681</v>
      </c>
      <c r="U27" s="256" t="s">
        <v>692</v>
      </c>
      <c r="V27" s="103">
        <f t="array" ref="V27">IF(V$18,INDEX('AEA2012 update'!$K$6:$R$104,MATCH($T27&amp;$R27,'AEA2012 update'!$A$6:$A$104&amp;'AEA2012 update'!$B$6:$B$104,0),MATCH(V$16,'AEA2012 update'!$S$4:$Z$4,0)),INDEX('AEA2012 update'!$K$6:$R$104,MATCH($T27&amp;$U27,'AEA2012 update'!$A$6:$A$104&amp;'AEA2012 update'!$B$6:$B$104,0),MATCH(V$16,'AEA2012 update'!$S$4:$Z$4,0)))</f>
        <v>934806.19308225554</v>
      </c>
      <c r="W27" s="103">
        <f t="array" ref="W27">IF(W$18,INDEX('AEA2012 update'!$K$6:$R$104,MATCH($T27&amp;$R27,'AEA2012 update'!$A$6:$A$104&amp;'AEA2012 update'!$B$6:$B$104,0),MATCH(W$16,'AEA2012 update'!$S$4:$Z$4,0)),INDEX('AEA2012 update'!$K$6:$R$104,MATCH($T27&amp;$U27,'AEA2012 update'!$A$6:$A$104&amp;'AEA2012 update'!$B$6:$B$104,0),MATCH(W$16,'AEA2012 update'!$S$4:$Z$4,0)))</f>
        <v>634656.26496922225</v>
      </c>
      <c r="X27" s="103">
        <f t="array" ref="X27">IF(X$18,INDEX('AEA2012 update'!$K$6:$R$104,MATCH($T27&amp;$R27,'AEA2012 update'!$A$6:$A$104&amp;'AEA2012 update'!$B$6:$B$104,0),MATCH(X$16,'AEA2012 update'!$S$4:$Z$4,0)),INDEX('AEA2012 update'!$K$6:$R$104,MATCH($T27&amp;$U27,'AEA2012 update'!$A$6:$A$104&amp;'AEA2012 update'!$B$6:$B$104,0),MATCH(X$16,'AEA2012 update'!$S$4:$Z$4,0)))</f>
        <v>580104.67292909464</v>
      </c>
      <c r="Y27" s="103">
        <f t="array" ref="Y27">IF(Y$18,INDEX('AEA2012 update'!$K$6:$R$104,MATCH($T27&amp;$R27,'AEA2012 update'!$A$6:$A$104&amp;'AEA2012 update'!$B$6:$B$104,0),MATCH(Y$16,'AEA2012 update'!$S$4:$Z$4,0)),INDEX('AEA2012 update'!$K$6:$R$104,MATCH($T27&amp;$U27,'AEA2012 update'!$A$6:$A$104&amp;'AEA2012 update'!$B$6:$B$104,0),MATCH(Y$16,'AEA2012 update'!$S$4:$Z$4,0)))</f>
        <v>248549.77442435178</v>
      </c>
      <c r="Z27" s="103">
        <f t="array" ref="Z27">IF(Z$18,INDEX('AEA2012 update'!$K$6:$R$104,MATCH($T27&amp;$R27,'AEA2012 update'!$A$6:$A$104&amp;'AEA2012 update'!$B$6:$B$104,0),MATCH(Z$16,'AEA2012 update'!$S$4:$Z$4,0)),INDEX('AEA2012 update'!$K$6:$R$104,MATCH($T27&amp;$U27,'AEA2012 update'!$A$6:$A$104&amp;'AEA2012 update'!$B$6:$B$104,0),MATCH(Z$16,'AEA2012 update'!$S$4:$Z$4,0)))</f>
        <v>251273.34974387253</v>
      </c>
      <c r="AA27" s="103">
        <f t="array" ref="AA27">IF(AA$18,INDEX('AEA2012 update'!$K$6:$R$104,MATCH($T27&amp;$R27,'AEA2012 update'!$A$6:$A$104&amp;'AEA2012 update'!$B$6:$B$104,0),MATCH(AA$16,'AEA2012 update'!$S$4:$Z$4,0)),INDEX('AEA2012 update'!$K$6:$R$104,MATCH($T27&amp;$U27,'AEA2012 update'!$A$6:$A$104&amp;'AEA2012 update'!$B$6:$B$104,0),MATCH(AA$16,'AEA2012 update'!$S$4:$Z$4,0)))</f>
        <v>253996.92506339328</v>
      </c>
      <c r="AB27" s="103">
        <f t="array" ref="AB27">IF(AB$18,INDEX('AEA2012 update'!$K$6:$R$104,MATCH($T27&amp;$R27,'AEA2012 update'!$A$6:$A$104&amp;'AEA2012 update'!$B$6:$B$104,0),MATCH(AB$16,'AEA2012 update'!$S$4:$Z$4,0)),INDEX('AEA2012 update'!$K$6:$R$104,MATCH($T27&amp;$U27,'AEA2012 update'!$A$6:$A$104&amp;'AEA2012 update'!$B$6:$B$104,0),MATCH(AB$16,'AEA2012 update'!$S$4:$Z$4,0)))</f>
        <v>257172.600668175</v>
      </c>
      <c r="AC27" s="103" t="str">
        <f t="shared" si="5"/>
        <v>CARELC</v>
      </c>
      <c r="AD27" s="67">
        <f t="array" ref="AD27">INDEX('AEA2012 update'!$AC$6:$AG$104,MATCH($T27&amp;$U27,'AEA2012 update'!$A$6:$A$104&amp;'AEA2012 update'!$B$6:$B$104,0),MATCH(AD$16,'AEA2012 update'!$S$4:$Z$4,0))</f>
        <v>0.693962607442839</v>
      </c>
      <c r="AE27" s="67">
        <f t="array" ref="AE27">IF($W$1,AD27*(1+INDEX(AE$1:AE$2,MATCH($O27,$AA$1:$AA$2,0)))^(AE$16-AD$16),INDEX('AEA2012 update'!$AC$6:$AG$104,MATCH($T27&amp;$U27,'AEA2012 update'!$A$6:$A$104&amp;'AEA2012 update'!$B$6:$B$104,0),MATCH(AE$16,'AEA2012 update'!$AC$4:$AG$4,0)))</f>
        <v>0.66003486610332585</v>
      </c>
      <c r="AF27" s="67">
        <f t="array" ref="AF27">IF($W$1,AE27*(1+INDEX(AF$1:AF$2,MATCH($O27,$AA$1:$AA$2,0)))^(AF$16-AE$16),INDEX('AEA2012 update'!$AC$6:$AG$104,MATCH($T27&amp;$U27,'AEA2012 update'!$A$6:$A$104&amp;'AEA2012 update'!$B$6:$B$104,0),MATCH(AF$16,'AEA2012 update'!$AC$4:$AG$4,0)))</f>
        <v>0.62776584761149257</v>
      </c>
      <c r="AG27" s="67">
        <f t="array" ref="AG27">IF($W$1,AF27*(1+INDEX(AG$1:AG$2,MATCH($O27,$AA$1:$AA$2,0)))^(AG$16-AF$16),INDEX('AEA2012 update'!$AC$6:$AG$104,MATCH($T27&amp;$U27,'AEA2012 update'!$A$6:$A$104&amp;'AEA2012 update'!$B$6:$B$104,0),MATCH(AG$16,'AEA2012 update'!$AC$4:$AG$4,0)))</f>
        <v>0.59707445722372265</v>
      </c>
      <c r="AH27" s="67">
        <f t="array" ref="AH27">IF($W$1,AG27*(1+INDEX(AH$1:AH$2,MATCH($O27,$AA$1:$AA$2,0)))^(AH$16-AG$16),INDEX('AEA2012 update'!$AC$6:$AG$104,MATCH($T27&amp;$U27,'AEA2012 update'!$A$6:$A$104&amp;'AEA2012 update'!$B$6:$B$104,0),MATCH(AH$16,'AEA2012 update'!$AC$4:$AG$4,0)))</f>
        <v>0.56788356490783487</v>
      </c>
      <c r="AI27" s="67"/>
      <c r="AJ27" s="257">
        <f t="shared" si="6"/>
        <v>-4.8889869534228109E-3</v>
      </c>
      <c r="AK27" s="257">
        <f t="shared" si="7"/>
        <v>-4.6538602695101183E-3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8"/>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50" x14ac:dyDescent="0.25">
      <c r="E28" s="61" t="s">
        <v>697</v>
      </c>
      <c r="F28" s="61" t="s">
        <v>511</v>
      </c>
      <c r="G28" s="252" t="s">
        <v>698</v>
      </c>
      <c r="H28" s="258">
        <v>253599.84</v>
      </c>
      <c r="N28" s="61" t="s">
        <v>504</v>
      </c>
      <c r="O28" s="61" t="s">
        <v>613</v>
      </c>
      <c r="P28" s="61" t="s">
        <v>555</v>
      </c>
      <c r="Q28" s="61" t="str">
        <f t="shared" si="4"/>
        <v>CAR</v>
      </c>
      <c r="R28" s="61" t="s">
        <v>680</v>
      </c>
      <c r="S28" s="65"/>
      <c r="T28" s="256" t="s">
        <v>681</v>
      </c>
      <c r="U28" s="256" t="s">
        <v>699</v>
      </c>
      <c r="V28" s="103">
        <f t="array" ref="V28">IF(V$18,INDEX('AEA2012 update'!$K$6:$R$104,MATCH($T28&amp;$R28,'AEA2012 update'!$A$6:$A$104&amp;'AEA2012 update'!$B$6:$B$104,0),MATCH(V$16,'AEA2012 update'!$S$4:$Z$4,0)),INDEX('AEA2012 update'!$K$6:$R$104,MATCH($T28&amp;$U28,'AEA2012 update'!$A$6:$A$104&amp;'AEA2012 update'!$B$6:$B$104,0),MATCH(V$16,'AEA2012 update'!$S$4:$Z$4,0)))</f>
        <v>2407968.5375206149</v>
      </c>
      <c r="W28" s="103">
        <f t="array" ref="W28">IF(W$18,INDEX('AEA2012 update'!$K$6:$R$104,MATCH($T28&amp;$R28,'AEA2012 update'!$A$6:$A$104&amp;'AEA2012 update'!$B$6:$B$104,0),MATCH(W$16,'AEA2012 update'!$S$4:$Z$4,0)),INDEX('AEA2012 update'!$K$6:$R$104,MATCH($T28&amp;$U28,'AEA2012 update'!$A$6:$A$104&amp;'AEA2012 update'!$B$6:$B$104,0),MATCH(W$16,'AEA2012 update'!$S$4:$Z$4,0)))</f>
        <v>951984.39745383337</v>
      </c>
      <c r="X28" s="103">
        <f t="array" ref="X28">IF(X$18,INDEX('AEA2012 update'!$K$6:$R$104,MATCH($T28&amp;$R28,'AEA2012 update'!$A$6:$A$104&amp;'AEA2012 update'!$B$6:$B$104,0),MATCH(X$16,'AEA2012 update'!$S$4:$Z$4,0)),INDEX('AEA2012 update'!$K$6:$R$104,MATCH($T28&amp;$U28,'AEA2012 update'!$A$6:$A$104&amp;'AEA2012 update'!$B$6:$B$104,0),MATCH(X$16,'AEA2012 update'!$S$4:$Z$4,0)))</f>
        <v>726239.93374644255</v>
      </c>
      <c r="Y28" s="103">
        <f t="array" ref="Y28">IF(Y$18,INDEX('AEA2012 update'!$K$6:$R$104,MATCH($T28&amp;$R28,'AEA2012 update'!$A$6:$A$104&amp;'AEA2012 update'!$B$6:$B$104,0),MATCH(Y$16,'AEA2012 update'!$S$4:$Z$4,0)),INDEX('AEA2012 update'!$K$6:$R$104,MATCH($T28&amp;$U28,'AEA2012 update'!$A$6:$A$104&amp;'AEA2012 update'!$B$6:$B$104,0),MATCH(Y$16,'AEA2012 update'!$S$4:$Z$4,0)))</f>
        <v>248549.77442435178</v>
      </c>
      <c r="Z28" s="103">
        <f t="array" ref="Z28">IF(Z$18,INDEX('AEA2012 update'!$K$6:$R$104,MATCH($T28&amp;$R28,'AEA2012 update'!$A$6:$A$104&amp;'AEA2012 update'!$B$6:$B$104,0),MATCH(Z$16,'AEA2012 update'!$S$4:$Z$4,0)),INDEX('AEA2012 update'!$K$6:$R$104,MATCH($T28&amp;$U28,'AEA2012 update'!$A$6:$A$104&amp;'AEA2012 update'!$B$6:$B$104,0),MATCH(Z$16,'AEA2012 update'!$S$4:$Z$4,0)))</f>
        <v>251273.34974387253</v>
      </c>
      <c r="AA28" s="103">
        <f t="array" ref="AA28">IF(AA$18,INDEX('AEA2012 update'!$K$6:$R$104,MATCH($T28&amp;$R28,'AEA2012 update'!$A$6:$A$104&amp;'AEA2012 update'!$B$6:$B$104,0),MATCH(AA$16,'AEA2012 update'!$S$4:$Z$4,0)),INDEX('AEA2012 update'!$K$6:$R$104,MATCH($T28&amp;$U28,'AEA2012 update'!$A$6:$A$104&amp;'AEA2012 update'!$B$6:$B$104,0),MATCH(AA$16,'AEA2012 update'!$S$4:$Z$4,0)))</f>
        <v>253996.92506339328</v>
      </c>
      <c r="AB28" s="103">
        <f t="array" ref="AB28">IF(AB$18,INDEX('AEA2012 update'!$K$6:$R$104,MATCH($T28&amp;$R28,'AEA2012 update'!$A$6:$A$104&amp;'AEA2012 update'!$B$6:$B$104,0),MATCH(AB$16,'AEA2012 update'!$S$4:$Z$4,0)),INDEX('AEA2012 update'!$K$6:$R$104,MATCH($T28&amp;$U28,'AEA2012 update'!$A$6:$A$104&amp;'AEA2012 update'!$B$6:$B$104,0),MATCH(AB$16,'AEA2012 update'!$S$4:$Z$4,0)))</f>
        <v>257172.600668175</v>
      </c>
      <c r="AC28" s="103" t="str">
        <f t="shared" si="5"/>
        <v>CARHGN</v>
      </c>
      <c r="AD28" s="67">
        <f t="array" ref="AD28">INDEX('AEA2012 update'!$AC$6:$AG$104,MATCH($T28&amp;$U28,'AEA2012 update'!$A$6:$A$104&amp;'AEA2012 update'!$B$6:$B$104,0),MATCH(AD$16,'AEA2012 update'!$S$4:$Z$4,0))</f>
        <v>1.0752270792303171</v>
      </c>
      <c r="AE28" s="67">
        <f t="array" ref="AE28">IF($W$1,AD28*(1+INDEX(AE$1:AE$2,MATCH($O28,$AA$1:$AA$2,0)))^(AE$16-AD$16),INDEX('AEA2012 update'!$AC$6:$AG$104,MATCH($T28&amp;$U28,'AEA2012 update'!$A$6:$A$104&amp;'AEA2012 update'!$B$6:$B$104,0),MATCH(AE$16,'AEA2012 update'!$AC$4:$AG$4,0)))</f>
        <v>1.0226593676070779</v>
      </c>
      <c r="AF28" s="67">
        <f t="array" ref="AF28">IF($W$1,AE28*(1+INDEX(AF$1:AF$2,MATCH($O28,$AA$1:$AA$2,0)))^(AF$16-AE$16),INDEX('AEA2012 update'!$AC$6:$AG$104,MATCH($T28&amp;$U28,'AEA2012 update'!$A$6:$A$104&amp;'AEA2012 update'!$B$6:$B$104,0),MATCH(AF$16,'AEA2012 update'!$AC$4:$AG$4,0)))</f>
        <v>0.97266168454681168</v>
      </c>
      <c r="AG28" s="67">
        <f t="array" ref="AG28">IF($W$1,AF28*(1+INDEX(AG$1:AG$2,MATCH($O28,$AA$1:$AA$2,0)))^(AG$16-AF$16),INDEX('AEA2012 update'!$AC$6:$AG$104,MATCH($T28&amp;$U28,'AEA2012 update'!$A$6:$A$104&amp;'AEA2012 update'!$B$6:$B$104,0),MATCH(AG$16,'AEA2012 update'!$AC$4:$AG$4,0)))</f>
        <v>0.92510838168837561</v>
      </c>
      <c r="AH28" s="67">
        <f t="array" ref="AH28">IF($W$1,AG28*(1+INDEX(AH$1:AH$2,MATCH($O28,$AA$1:$AA$2,0)))^(AH$16-AG$16),INDEX('AEA2012 update'!$AC$6:$AG$104,MATCH($T28&amp;$U28,'AEA2012 update'!$A$6:$A$104&amp;'AEA2012 update'!$B$6:$B$104,0),MATCH(AH$16,'AEA2012 update'!$AC$4:$AG$4,0)))</f>
        <v>0.87987995360261007</v>
      </c>
      <c r="AI28" s="67"/>
      <c r="AJ28" s="257">
        <f t="shared" si="6"/>
        <v>-4.8889869534228013E-3</v>
      </c>
      <c r="AK28" s="257">
        <f t="shared" si="7"/>
        <v>-4.6538602695101218E-3</v>
      </c>
      <c r="AQ28" s="61" t="str">
        <f t="shared" si="8"/>
        <v>CAR-HGN</v>
      </c>
      <c r="AR28" s="80"/>
      <c r="AS28" s="80"/>
      <c r="AT28" s="80"/>
      <c r="AU28" s="80"/>
      <c r="AV28" s="80"/>
    </row>
    <row r="29" spans="5:50" x14ac:dyDescent="0.25">
      <c r="N29" s="61" t="s">
        <v>509</v>
      </c>
      <c r="O29" s="61" t="s">
        <v>613</v>
      </c>
      <c r="P29" s="61" t="s">
        <v>555</v>
      </c>
      <c r="Q29" s="61" t="str">
        <f t="shared" si="4"/>
        <v>CAR</v>
      </c>
      <c r="R29" s="61" t="s">
        <v>680</v>
      </c>
      <c r="S29" s="65"/>
      <c r="T29" s="256" t="s">
        <v>681</v>
      </c>
      <c r="U29" s="256" t="s">
        <v>700</v>
      </c>
      <c r="V29" s="103">
        <f t="array" ref="V29">IF(V$18,INDEX('AEA2012 update'!$K$6:$R$104,MATCH($T29&amp;$R29,'AEA2012 update'!$A$6:$A$104&amp;'AEA2012 update'!$B$6:$B$104,0),MATCH(V$16,'AEA2012 update'!$S$4:$Z$4,0)),INDEX('AEA2012 update'!$K$6:$R$104,MATCH($T29&amp;$U29,'AEA2012 update'!$A$6:$A$104&amp;'AEA2012 update'!$B$6:$B$104,0),MATCH(V$16,'AEA2012 update'!$S$4:$Z$4,0)))</f>
        <v>376679.62430658605</v>
      </c>
      <c r="W29" s="103">
        <f t="array" ref="W29">IF(W$18,INDEX('AEA2012 update'!$K$6:$R$104,MATCH($T29&amp;$R29,'AEA2012 update'!$A$6:$A$104&amp;'AEA2012 update'!$B$6:$B$104,0),MATCH(W$16,'AEA2012 update'!$S$4:$Z$4,0)),INDEX('AEA2012 update'!$K$6:$R$104,MATCH($T29&amp;$U29,'AEA2012 update'!$A$6:$A$104&amp;'AEA2012 update'!$B$6:$B$104,0),MATCH(W$16,'AEA2012 update'!$S$4:$Z$4,0)))</f>
        <v>396599.43072780268</v>
      </c>
      <c r="X29" s="103">
        <f t="array" ref="X29">IF(X$18,INDEX('AEA2012 update'!$K$6:$R$104,MATCH($T29&amp;$R29,'AEA2012 update'!$A$6:$A$104&amp;'AEA2012 update'!$B$6:$B$104,0),MATCH(X$16,'AEA2012 update'!$S$4:$Z$4,0)),INDEX('AEA2012 update'!$K$6:$R$104,MATCH($T29&amp;$U29,'AEA2012 update'!$A$6:$A$104&amp;'AEA2012 update'!$B$6:$B$104,0),MATCH(X$16,'AEA2012 update'!$S$4:$Z$4,0)))</f>
        <v>400607.99761902145</v>
      </c>
      <c r="Y29" s="103">
        <f t="array" ref="Y29">IF(Y$18,INDEX('AEA2012 update'!$K$6:$R$104,MATCH($T29&amp;$R29,'AEA2012 update'!$A$6:$A$104&amp;'AEA2012 update'!$B$6:$B$104,0),MATCH(Y$16,'AEA2012 update'!$S$4:$Z$4,0)),INDEX('AEA2012 update'!$K$6:$R$104,MATCH($T29&amp;$U29,'AEA2012 update'!$A$6:$A$104&amp;'AEA2012 update'!$B$6:$B$104,0),MATCH(Y$16,'AEA2012 update'!$S$4:$Z$4,0)))</f>
        <v>248549.77442435178</v>
      </c>
      <c r="Z29" s="103">
        <f t="array" ref="Z29">IF(Z$18,INDEX('AEA2012 update'!$K$6:$R$104,MATCH($T29&amp;$R29,'AEA2012 update'!$A$6:$A$104&amp;'AEA2012 update'!$B$6:$B$104,0),MATCH(Z$16,'AEA2012 update'!$S$4:$Z$4,0)),INDEX('AEA2012 update'!$K$6:$R$104,MATCH($T29&amp;$U29,'AEA2012 update'!$A$6:$A$104&amp;'AEA2012 update'!$B$6:$B$104,0),MATCH(Z$16,'AEA2012 update'!$S$4:$Z$4,0)))</f>
        <v>251273.34974387253</v>
      </c>
      <c r="AA29" s="103">
        <f t="array" ref="AA29">IF(AA$18,INDEX('AEA2012 update'!$K$6:$R$104,MATCH($T29&amp;$R29,'AEA2012 update'!$A$6:$A$104&amp;'AEA2012 update'!$B$6:$B$104,0),MATCH(AA$16,'AEA2012 update'!$S$4:$Z$4,0)),INDEX('AEA2012 update'!$K$6:$R$104,MATCH($T29&amp;$U29,'AEA2012 update'!$A$6:$A$104&amp;'AEA2012 update'!$B$6:$B$104,0),MATCH(AA$16,'AEA2012 update'!$S$4:$Z$4,0)))</f>
        <v>253996.92506339328</v>
      </c>
      <c r="AB29" s="103">
        <f t="array" ref="AB29">IF(AB$18,INDEX('AEA2012 update'!$K$6:$R$104,MATCH($T29&amp;$R29,'AEA2012 update'!$A$6:$A$104&amp;'AEA2012 update'!$B$6:$B$104,0),MATCH(AB$16,'AEA2012 update'!$S$4:$Z$4,0)),INDEX('AEA2012 update'!$K$6:$R$104,MATCH($T29&amp;$U29,'AEA2012 update'!$A$6:$A$104&amp;'AEA2012 update'!$B$6:$B$104,0),MATCH(AB$16,'AEA2012 update'!$S$4:$Z$4,0)))</f>
        <v>257172.600668175</v>
      </c>
      <c r="AC29" s="103" t="str">
        <f t="shared" si="5"/>
        <v>CARGAS</v>
      </c>
      <c r="AD29" s="67">
        <f t="array" ref="AD29">INDEX('AEA2012 update'!$AC$6:$AG$104,MATCH($T29&amp;$U29,'AEA2012 update'!$A$6:$A$104&amp;'AEA2012 update'!$B$6:$B$104,0),MATCH(AD$16,'AEA2012 update'!$S$4:$Z$4,0))</f>
        <v>2.7731584934931535</v>
      </c>
      <c r="AE29" s="67">
        <f t="array" ref="AE29">IF($W$1,AD29*(1+INDEX(AE$1:AE$2,MATCH($O29,$AA$1:$AA$2,0)))^(AE$16-AD$16),INDEX('AEA2012 update'!$AC$6:$AG$104,MATCH($T29&amp;$U29,'AEA2012 update'!$A$6:$A$104&amp;'AEA2012 update'!$B$6:$B$104,0),MATCH(AE$16,'AEA2012 update'!$AC$4:$AG$4,0)))</f>
        <v>2.637579136548537</v>
      </c>
      <c r="AF29" s="67">
        <f t="array" ref="AF29">IF($W$1,AE29*(1+INDEX(AF$1:AF$2,MATCH($O29,$AA$1:$AA$2,0)))^(AF$16-AE$16),INDEX('AEA2012 update'!$AC$6:$AG$104,MATCH($T29&amp;$U29,'AEA2012 update'!$A$6:$A$104&amp;'AEA2012 update'!$B$6:$B$104,0),MATCH(AF$16,'AEA2012 update'!$AC$4:$AG$4,0)))</f>
        <v>2.5086282366764774</v>
      </c>
      <c r="AG29" s="67">
        <f t="array" ref="AG29">IF($W$1,AF29*(1+INDEX(AG$1:AG$2,MATCH($O29,$AA$1:$AA$2,0)))^(AG$16-AF$16),INDEX('AEA2012 update'!$AC$6:$AG$104,MATCH($T29&amp;$U29,'AEA2012 update'!$A$6:$A$104&amp;'AEA2012 update'!$B$6:$B$104,0),MATCH(AG$16,'AEA2012 update'!$AC$4:$AG$4,0)))</f>
        <v>2.3859817294754837</v>
      </c>
      <c r="AH29" s="67">
        <f t="array" ref="AH29">IF($W$1,AG29*(1+INDEX(AH$1:AH$2,MATCH($O29,$AA$1:$AA$2,0)))^(AH$16-AG$16),INDEX('AEA2012 update'!$AC$6:$AG$104,MATCH($T29&amp;$U29,'AEA2012 update'!$A$6:$A$104&amp;'AEA2012 update'!$B$6:$B$104,0),MATCH(AH$16,'AEA2012 update'!$AC$4:$AG$4,0)))</f>
        <v>2.2693313940103756</v>
      </c>
      <c r="AI29" s="67"/>
      <c r="AJ29" s="257">
        <f t="shared" si="6"/>
        <v>-4.8889869534227961E-3</v>
      </c>
      <c r="AK29" s="257">
        <f t="shared" si="7"/>
        <v>-4.6538602695101209E-3</v>
      </c>
      <c r="AQ29" s="61" t="str">
        <f t="shared" si="8"/>
        <v>CAR-GAS</v>
      </c>
      <c r="AR29" s="80"/>
      <c r="AS29" s="80"/>
      <c r="AT29" s="80"/>
      <c r="AU29" s="80"/>
      <c r="AV29" s="80"/>
    </row>
    <row r="30" spans="5:50" x14ac:dyDescent="0.25">
      <c r="O30" s="61" t="s">
        <v>613</v>
      </c>
      <c r="Q30" s="61" t="str">
        <f t="shared" si="4"/>
        <v/>
      </c>
      <c r="S30" s="65"/>
      <c r="T30" s="256"/>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5"/>
        <v/>
      </c>
      <c r="AD30" s="67" t="e">
        <f t="array" ref="AD30">INDEX('AEA2012 update'!$AC$6:$AG$104,MATCH($T30&amp;$U30,'AEA2012 update'!$A$6:$A$104&amp;'AEA2012 update'!$B$6:$B$104,0),MATCH(AD$16,'AEA2012 update'!$S$4:$Z$4,0))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I30" s="67"/>
      <c r="AJ30" s="257" t="e">
        <f t="shared" si="6"/>
        <v>#N/A</v>
      </c>
      <c r="AK30" s="257" t="e">
        <f t="shared" si="7"/>
        <v>#N/A</v>
      </c>
      <c r="AQ30" s="61" t="str">
        <f t="shared" si="8"/>
        <v>-</v>
      </c>
      <c r="AR30" s="80" t="e">
        <f t="shared" ref="AR30" si="14">AD30/cv.petrol.hhv.MJL*100</f>
        <v>#N/A</v>
      </c>
      <c r="AS30" s="80"/>
      <c r="AT30" s="80"/>
      <c r="AU30" s="80"/>
      <c r="AV30" s="80"/>
    </row>
    <row r="31" spans="5:50" x14ac:dyDescent="0.25">
      <c r="N31" s="61" t="s">
        <v>573</v>
      </c>
      <c r="O31" s="61" t="s">
        <v>613</v>
      </c>
      <c r="P31" s="61" t="s">
        <v>460</v>
      </c>
      <c r="Q31" s="61" t="str">
        <f t="shared" si="4"/>
        <v>SUV</v>
      </c>
      <c r="R31" s="61" t="s">
        <v>680</v>
      </c>
      <c r="S31" s="65"/>
      <c r="T31" s="256" t="s">
        <v>701</v>
      </c>
      <c r="U31" s="256" t="s">
        <v>680</v>
      </c>
      <c r="V31" s="103">
        <f t="array" ref="V31">IF(V$18,INDEX('AEA2012 update'!$K$6:$R$104,MATCH($T31&amp;$R31,'AEA2012 update'!$A$6:$A$104&amp;'AEA2012 update'!$B$6:$B$104,0),MATCH(V$16,'AEA2012 update'!$S$4:$Z$4,0)),INDEX('AEA2012 update'!$K$6:$R$104,MATCH($T31&amp;$U31,'AEA2012 update'!$A$6:$A$104&amp;'AEA2012 update'!$B$6:$B$104,0),MATCH(V$16,'AEA2012 update'!$S$4:$Z$4,0)))</f>
        <v>322554.53757929691</v>
      </c>
      <c r="W31" s="103">
        <f t="array" ref="W31">IF(W$18,INDEX('AEA2012 update'!$K$6:$R$104,MATCH($T31&amp;$R31,'AEA2012 update'!$A$6:$A$104&amp;'AEA2012 update'!$B$6:$B$104,0),MATCH(W$16,'AEA2012 update'!$S$4:$Z$4,0)),INDEX('AEA2012 update'!$K$6:$R$104,MATCH($T31&amp;$U31,'AEA2012 update'!$A$6:$A$104&amp;'AEA2012 update'!$B$6:$B$104,0),MATCH(W$16,'AEA2012 update'!$S$4:$Z$4,0)))</f>
        <v>350637.87759734597</v>
      </c>
      <c r="X31" s="103">
        <f t="array" ref="X31">IF(X$18,INDEX('AEA2012 update'!$K$6:$R$104,MATCH($T31&amp;$R31,'AEA2012 update'!$A$6:$A$104&amp;'AEA2012 update'!$B$6:$B$104,0),MATCH(X$16,'AEA2012 update'!$S$4:$Z$4,0)),INDEX('AEA2012 update'!$K$6:$R$104,MATCH($T31&amp;$U31,'AEA2012 update'!$A$6:$A$104&amp;'AEA2012 update'!$B$6:$B$104,0),MATCH(X$16,'AEA2012 update'!$S$4:$Z$4,0)))</f>
        <v>357099.62238446943</v>
      </c>
      <c r="Y31" s="103">
        <f t="array" ref="Y31">IF(Y$18,INDEX('AEA2012 update'!$K$6:$R$104,MATCH($T31&amp;$R31,'AEA2012 update'!$A$6:$A$104&amp;'AEA2012 update'!$B$6:$B$104,0),MATCH(Y$16,'AEA2012 update'!$S$4:$Z$4,0)),INDEX('AEA2012 update'!$K$6:$R$104,MATCH($T31&amp;$U31,'AEA2012 update'!$A$6:$A$104&amp;'AEA2012 update'!$B$6:$B$104,0),MATCH(Y$16,'AEA2012 update'!$S$4:$Z$4,0)))</f>
        <v>363561.36717159278</v>
      </c>
      <c r="Z31" s="103">
        <f t="array" ref="Z31">IF(Z$18,INDEX('AEA2012 update'!$K$6:$R$104,MATCH($T31&amp;$R31,'AEA2012 update'!$A$6:$A$104&amp;'AEA2012 update'!$B$6:$B$104,0),MATCH(Z$16,'AEA2012 update'!$S$4:$Z$4,0)),INDEX('AEA2012 update'!$K$6:$R$104,MATCH($T31&amp;$U31,'AEA2012 update'!$A$6:$A$104&amp;'AEA2012 update'!$B$6:$B$104,0),MATCH(Z$16,'AEA2012 update'!$S$4:$Z$4,0)))</f>
        <v>371500.85823323019</v>
      </c>
      <c r="AA31" s="103">
        <f t="array" ref="AA31">IF(AA$18,INDEX('AEA2012 update'!$K$6:$R$104,MATCH($T31&amp;$R31,'AEA2012 update'!$A$6:$A$104&amp;'AEA2012 update'!$B$6:$B$104,0),MATCH(AA$16,'AEA2012 update'!$S$4:$Z$4,0)),INDEX('AEA2012 update'!$K$6:$R$104,MATCH($T31&amp;$U31,'AEA2012 update'!$A$6:$A$104&amp;'AEA2012 update'!$B$6:$B$104,0),MATCH(AA$16,'AEA2012 update'!$S$4:$Z$4,0)))</f>
        <v>379440.3492948676</v>
      </c>
      <c r="AB31" s="103">
        <f t="array" ref="AB31">IF(AB$18,INDEX('AEA2012 update'!$K$6:$R$104,MATCH($T31&amp;$R31,'AEA2012 update'!$A$6:$A$104&amp;'AEA2012 update'!$B$6:$B$104,0),MATCH(AB$16,'AEA2012 update'!$S$4:$Z$4,0)),INDEX('AEA2012 update'!$K$6:$R$104,MATCH($T31&amp;$U31,'AEA2012 update'!$A$6:$A$104&amp;'AEA2012 update'!$B$6:$B$104,0),MATCH(AB$16,'AEA2012 update'!$S$4:$Z$4,0)))</f>
        <v>387396.22422821133</v>
      </c>
      <c r="AC31" s="103" t="str">
        <f t="shared" si="5"/>
        <v>SUVOGS</v>
      </c>
      <c r="AD31" s="67">
        <f t="array" ref="AD31">INDEX('AEA2012 update'!$AC$6:$AG$104,MATCH($T31&amp;$U31,'AEA2012 update'!$A$6:$A$104&amp;'AEA2012 update'!$B$6:$B$104,0),MATCH(AD$16,'AEA2012 update'!$S$4:$Z$4,0))</f>
        <v>2.8454207298952694</v>
      </c>
      <c r="AE31" s="67">
        <f t="array" ref="AE31">IF($W$1,AD31*(1+INDEX(AE$1:AE$2,MATCH($O31,$AA$1:$AA$2,0)))^(AE$16-AD$16),INDEX('AEA2012 update'!$AC$6:$AG$104,MATCH($T31&amp;$U31,'AEA2012 update'!$A$6:$A$104&amp;'AEA2012 update'!$B$6:$B$104,0),MATCH(AE$16,'AEA2012 update'!$AC$4:$AG$4,0)))</f>
        <v>2.7063084816407019</v>
      </c>
      <c r="AF31" s="67">
        <f t="array" ref="AF31">IF($W$1,AE31*(1+INDEX(AF$1:AF$2,MATCH($O31,$AA$1:$AA$2,0)))^(AF$16-AE$16),INDEX('AEA2012 update'!$AC$6:$AG$104,MATCH($T31&amp;$U31,'AEA2012 update'!$A$6:$A$104&amp;'AEA2012 update'!$B$6:$B$104,0),MATCH(AF$16,'AEA2012 update'!$AC$4:$AG$4,0)))</f>
        <v>2.5739974130539132</v>
      </c>
      <c r="AG31" s="67">
        <f t="array" ref="AG31">IF($W$1,AF31*(1+INDEX(AG$1:AG$2,MATCH($O31,$AA$1:$AA$2,0)))^(AG$16-AF$16),INDEX('AEA2012 update'!$AC$6:$AG$104,MATCH($T31&amp;$U31,'AEA2012 update'!$A$6:$A$104&amp;'AEA2012 update'!$B$6:$B$104,0),MATCH(AG$16,'AEA2012 update'!$AC$4:$AG$4,0)))</f>
        <v>2.448155015348267</v>
      </c>
      <c r="AH31" s="67">
        <f t="array" ref="AH31">IF($W$1,AG31*(1+INDEX(AH$1:AH$2,MATCH($O31,$AA$1:$AA$2,0)))^(AH$16-AG$16),INDEX('AEA2012 update'!$AC$6:$AG$104,MATCH($T31&amp;$U31,'AEA2012 update'!$A$6:$A$104&amp;'AEA2012 update'!$B$6:$B$104,0),MATCH(AH$16,'AEA2012 update'!$AC$4:$AG$4,0)))</f>
        <v>2.3284650360483243</v>
      </c>
      <c r="AI31" s="67"/>
      <c r="AJ31" s="257">
        <f t="shared" si="6"/>
        <v>-4.8889869534227979E-3</v>
      </c>
      <c r="AK31" s="257">
        <f t="shared" si="7"/>
        <v>-4.6538602695101192E-3</v>
      </c>
      <c r="AQ31" s="61" t="str">
        <f t="shared" si="8"/>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50" x14ac:dyDescent="0.25">
      <c r="N32" s="61" t="s">
        <v>519</v>
      </c>
      <c r="O32" s="61" t="s">
        <v>613</v>
      </c>
      <c r="P32" s="61" t="s">
        <v>460</v>
      </c>
      <c r="Q32" s="61" t="str">
        <f t="shared" si="4"/>
        <v>SUV</v>
      </c>
      <c r="R32" s="61" t="s">
        <v>680</v>
      </c>
      <c r="S32" s="65"/>
      <c r="T32" s="256" t="s">
        <v>701</v>
      </c>
      <c r="U32" s="256" t="s">
        <v>688</v>
      </c>
      <c r="V32" s="103">
        <f t="array" ref="V32">IF(V$18,INDEX('AEA2012 update'!$K$6:$R$104,MATCH($T32&amp;$R32,'AEA2012 update'!$A$6:$A$104&amp;'AEA2012 update'!$B$6:$B$104,0),MATCH(V$16,'AEA2012 update'!$S$4:$Z$4,0)),INDEX('AEA2012 update'!$K$6:$R$104,MATCH($T32&amp;$U32,'AEA2012 update'!$A$6:$A$104&amp;'AEA2012 update'!$B$6:$B$104,0),MATCH(V$16,'AEA2012 update'!$S$4:$Z$4,0)))</f>
        <v>462611.03749439324</v>
      </c>
      <c r="W32" s="103">
        <f t="array" ref="W32">IF(W$18,INDEX('AEA2012 update'!$K$6:$R$104,MATCH($T32&amp;$R32,'AEA2012 update'!$A$6:$A$104&amp;'AEA2012 update'!$B$6:$B$104,0),MATCH(W$16,'AEA2012 update'!$S$4:$Z$4,0)),INDEX('AEA2012 update'!$K$6:$R$104,MATCH($T32&amp;$U32,'AEA2012 update'!$A$6:$A$104&amp;'AEA2012 update'!$B$6:$B$104,0),MATCH(W$16,'AEA2012 update'!$S$4:$Z$4,0)))</f>
        <v>450697.95583180117</v>
      </c>
      <c r="X32" s="103">
        <f t="array" ref="X32">IF(X$18,INDEX('AEA2012 update'!$K$6:$R$104,MATCH($T32&amp;$R32,'AEA2012 update'!$A$6:$A$104&amp;'AEA2012 update'!$B$6:$B$104,0),MATCH(X$16,'AEA2012 update'!$S$4:$Z$4,0)),INDEX('AEA2012 update'!$K$6:$R$104,MATCH($T32&amp;$U32,'AEA2012 update'!$A$6:$A$104&amp;'AEA2012 update'!$B$6:$B$104,0),MATCH(X$16,'AEA2012 update'!$S$4:$Z$4,0)))</f>
        <v>447834.90632433031</v>
      </c>
      <c r="Y32" s="103">
        <f t="array" ref="Y32">IF(Y$18,INDEX('AEA2012 update'!$K$6:$R$104,MATCH($T32&amp;$R32,'AEA2012 update'!$A$6:$A$104&amp;'AEA2012 update'!$B$6:$B$104,0),MATCH(Y$16,'AEA2012 update'!$S$4:$Z$4,0)),INDEX('AEA2012 update'!$K$6:$R$104,MATCH($T32&amp;$U32,'AEA2012 update'!$A$6:$A$104&amp;'AEA2012 update'!$B$6:$B$104,0),MATCH(Y$16,'AEA2012 update'!$S$4:$Z$4,0)))</f>
        <v>363561.36717159278</v>
      </c>
      <c r="Z32" s="103">
        <f t="array" ref="Z32">IF(Z$18,INDEX('AEA2012 update'!$K$6:$R$104,MATCH($T32&amp;$R32,'AEA2012 update'!$A$6:$A$104&amp;'AEA2012 update'!$B$6:$B$104,0),MATCH(Z$16,'AEA2012 update'!$S$4:$Z$4,0)),INDEX('AEA2012 update'!$K$6:$R$104,MATCH($T32&amp;$U32,'AEA2012 update'!$A$6:$A$104&amp;'AEA2012 update'!$B$6:$B$104,0),MATCH(Z$16,'AEA2012 update'!$S$4:$Z$4,0)))</f>
        <v>371500.85823323019</v>
      </c>
      <c r="AA32" s="103">
        <f t="array" ref="AA32">IF(AA$18,INDEX('AEA2012 update'!$K$6:$R$104,MATCH($T32&amp;$R32,'AEA2012 update'!$A$6:$A$104&amp;'AEA2012 update'!$B$6:$B$104,0),MATCH(AA$16,'AEA2012 update'!$S$4:$Z$4,0)),INDEX('AEA2012 update'!$K$6:$R$104,MATCH($T32&amp;$U32,'AEA2012 update'!$A$6:$A$104&amp;'AEA2012 update'!$B$6:$B$104,0),MATCH(AA$16,'AEA2012 update'!$S$4:$Z$4,0)))</f>
        <v>379440.3492948676</v>
      </c>
      <c r="AB32" s="103">
        <f t="array" ref="AB32">IF(AB$18,INDEX('AEA2012 update'!$K$6:$R$104,MATCH($T32&amp;$R32,'AEA2012 update'!$A$6:$A$104&amp;'AEA2012 update'!$B$6:$B$104,0),MATCH(AB$16,'AEA2012 update'!$S$4:$Z$4,0)),INDEX('AEA2012 update'!$K$6:$R$104,MATCH($T32&amp;$U32,'AEA2012 update'!$A$6:$A$104&amp;'AEA2012 update'!$B$6:$B$104,0),MATCH(AB$16,'AEA2012 update'!$S$4:$Z$4,0)))</f>
        <v>387396.22422821133</v>
      </c>
      <c r="AC32" s="103" t="str">
        <f t="shared" si="5"/>
        <v>SUVOGSH</v>
      </c>
      <c r="AD32" s="67">
        <f t="array" ref="AD32">INDEX('AEA2012 update'!$AC$6:$AG$104,MATCH($T32&amp;$U32,'AEA2012 update'!$A$6:$A$104&amp;'AEA2012 update'!$B$6:$B$104,0),MATCH(AD$16,'AEA2012 update'!$S$4:$Z$4,0))</f>
        <v>2.1741726994604185</v>
      </c>
      <c r="AE32" s="67">
        <f t="array" ref="AE32">IF($W$1,AD32*(1+INDEX(AE$1:AE$2,MATCH($O32,$AA$1:$AA$2,0)))^(AE$16-AD$16),INDEX('AEA2012 update'!$AC$6:$AG$104,MATCH($T32&amp;$U32,'AEA2012 update'!$A$6:$A$104&amp;'AEA2012 update'!$B$6:$B$104,0),MATCH(AE$16,'AEA2012 update'!$AC$4:$AG$4,0)))</f>
        <v>2.0678776798389182</v>
      </c>
      <c r="AF32" s="67">
        <f t="array" ref="AF32">IF($W$1,AE32*(1+INDEX(AF$1:AF$2,MATCH($O32,$AA$1:$AA$2,0)))^(AF$16-AE$16),INDEX('AEA2012 update'!$AC$6:$AG$104,MATCH($T32&amp;$U32,'AEA2012 update'!$A$6:$A$104&amp;'AEA2012 update'!$B$6:$B$104,0),MATCH(AF$16,'AEA2012 update'!$AC$4:$AG$4,0)))</f>
        <v>1.9667794098588514</v>
      </c>
      <c r="AG32" s="67">
        <f t="array" ref="AG32">IF($W$1,AF32*(1+INDEX(AG$1:AG$2,MATCH($O32,$AA$1:$AA$2,0)))^(AG$16-AF$16),INDEX('AEA2012 update'!$AC$6:$AG$104,MATCH($T32&amp;$U32,'AEA2012 update'!$A$6:$A$104&amp;'AEA2012 update'!$B$6:$B$104,0),MATCH(AG$16,'AEA2012 update'!$AC$4:$AG$4,0)))</f>
        <v>1.8706238211082462</v>
      </c>
      <c r="AH32" s="67">
        <f t="array" ref="AH32">IF($W$1,AG32*(1+INDEX(AH$1:AH$2,MATCH($O32,$AA$1:$AA$2,0)))^(AH$16-AG$16),INDEX('AEA2012 update'!$AC$6:$AG$104,MATCH($T32&amp;$U32,'AEA2012 update'!$A$6:$A$104&amp;'AEA2012 update'!$B$6:$B$104,0),MATCH(AH$16,'AEA2012 update'!$AC$4:$AG$4,0)))</f>
        <v>1.779169266546645</v>
      </c>
      <c r="AI32" s="67"/>
      <c r="AJ32" s="257">
        <f t="shared" si="6"/>
        <v>-4.8889869534228031E-3</v>
      </c>
      <c r="AK32" s="257">
        <f t="shared" si="7"/>
        <v>-4.6538602695101192E-3</v>
      </c>
      <c r="AQ32" s="61" t="str">
        <f t="shared" si="8"/>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0:48" x14ac:dyDescent="0.25">
      <c r="N33" s="61" t="s">
        <v>506</v>
      </c>
      <c r="O33" s="61" t="s">
        <v>613</v>
      </c>
      <c r="P33" s="61" t="s">
        <v>460</v>
      </c>
      <c r="Q33" s="61" t="str">
        <f t="shared" si="4"/>
        <v>SUV</v>
      </c>
      <c r="R33" s="61" t="s">
        <v>680</v>
      </c>
      <c r="S33" s="65"/>
      <c r="T33" s="256" t="s">
        <v>701</v>
      </c>
      <c r="U33" s="256" t="s">
        <v>680</v>
      </c>
      <c r="V33" s="103">
        <f t="array" ref="V33">IF(V$18,INDEX('AEA2012 update'!$K$6:$R$104,MATCH($T33&amp;$R33,'AEA2012 update'!$A$6:$A$104&amp;'AEA2012 update'!$B$6:$B$104,0),MATCH(V$16,'AEA2012 update'!$S$4:$Z$4,0)),INDEX('AEA2012 update'!$K$6:$R$104,MATCH($T33&amp;$U33,'AEA2012 update'!$A$6:$A$104&amp;'AEA2012 update'!$B$6:$B$104,0),MATCH(V$16,'AEA2012 update'!$S$4:$Z$4,0)))</f>
        <v>322554.53757929691</v>
      </c>
      <c r="W33" s="103">
        <f t="array" ref="W33">IF(W$18,INDEX('AEA2012 update'!$K$6:$R$104,MATCH($T33&amp;$R33,'AEA2012 update'!$A$6:$A$104&amp;'AEA2012 update'!$B$6:$B$104,0),MATCH(W$16,'AEA2012 update'!$S$4:$Z$4,0)),INDEX('AEA2012 update'!$K$6:$R$104,MATCH($T33&amp;$U33,'AEA2012 update'!$A$6:$A$104&amp;'AEA2012 update'!$B$6:$B$104,0),MATCH(W$16,'AEA2012 update'!$S$4:$Z$4,0)))</f>
        <v>350637.87759734597</v>
      </c>
      <c r="X33" s="103">
        <f t="array" ref="X33">IF(X$18,INDEX('AEA2012 update'!$K$6:$R$104,MATCH($T33&amp;$R33,'AEA2012 update'!$A$6:$A$104&amp;'AEA2012 update'!$B$6:$B$104,0),MATCH(X$16,'AEA2012 update'!$S$4:$Z$4,0)),INDEX('AEA2012 update'!$K$6:$R$104,MATCH($T33&amp;$U33,'AEA2012 update'!$A$6:$A$104&amp;'AEA2012 update'!$B$6:$B$104,0),MATCH(X$16,'AEA2012 update'!$S$4:$Z$4,0)))</f>
        <v>357099.62238446943</v>
      </c>
      <c r="Y33" s="103">
        <f t="array" ref="Y33">IF(Y$18,INDEX('AEA2012 update'!$K$6:$R$104,MATCH($T33&amp;$R33,'AEA2012 update'!$A$6:$A$104&amp;'AEA2012 update'!$B$6:$B$104,0),MATCH(Y$16,'AEA2012 update'!$S$4:$Z$4,0)),INDEX('AEA2012 update'!$K$6:$R$104,MATCH($T33&amp;$U33,'AEA2012 update'!$A$6:$A$104&amp;'AEA2012 update'!$B$6:$B$104,0),MATCH(Y$16,'AEA2012 update'!$S$4:$Z$4,0)))</f>
        <v>363561.36717159278</v>
      </c>
      <c r="Z33" s="103">
        <f t="array" ref="Z33">IF(Z$18,INDEX('AEA2012 update'!$K$6:$R$104,MATCH($T33&amp;$R33,'AEA2012 update'!$A$6:$A$104&amp;'AEA2012 update'!$B$6:$B$104,0),MATCH(Z$16,'AEA2012 update'!$S$4:$Z$4,0)),INDEX('AEA2012 update'!$K$6:$R$104,MATCH($T33&amp;$U33,'AEA2012 update'!$A$6:$A$104&amp;'AEA2012 update'!$B$6:$B$104,0),MATCH(Z$16,'AEA2012 update'!$S$4:$Z$4,0)))</f>
        <v>371500.85823323019</v>
      </c>
      <c r="AA33" s="103">
        <f t="array" ref="AA33">IF(AA$18,INDEX('AEA2012 update'!$K$6:$R$104,MATCH($T33&amp;$R33,'AEA2012 update'!$A$6:$A$104&amp;'AEA2012 update'!$B$6:$B$104,0),MATCH(AA$16,'AEA2012 update'!$S$4:$Z$4,0)),INDEX('AEA2012 update'!$K$6:$R$104,MATCH($T33&amp;$U33,'AEA2012 update'!$A$6:$A$104&amp;'AEA2012 update'!$B$6:$B$104,0),MATCH(AA$16,'AEA2012 update'!$S$4:$Z$4,0)))</f>
        <v>379440.3492948676</v>
      </c>
      <c r="AB33" s="103">
        <f t="array" ref="AB33">IF(AB$18,INDEX('AEA2012 update'!$K$6:$R$104,MATCH($T33&amp;$R33,'AEA2012 update'!$A$6:$A$104&amp;'AEA2012 update'!$B$6:$B$104,0),MATCH(AB$16,'AEA2012 update'!$S$4:$Z$4,0)),INDEX('AEA2012 update'!$K$6:$R$104,MATCH($T33&amp;$U33,'AEA2012 update'!$A$6:$A$104&amp;'AEA2012 update'!$B$6:$B$104,0),MATCH(AB$16,'AEA2012 update'!$S$4:$Z$4,0)))</f>
        <v>387396.22422821133</v>
      </c>
      <c r="AC33" s="103" t="str">
        <f t="shared" si="5"/>
        <v>SUVBGS</v>
      </c>
      <c r="AD33" s="67">
        <f t="array" ref="AD33">INDEX('AEA2012 update'!$AC$6:$AG$104,MATCH($T33&amp;$U33,'AEA2012 update'!$A$6:$A$104&amp;'AEA2012 update'!$B$6:$B$104,0),MATCH(AD$16,'AEA2012 update'!$S$4:$Z$4,0))</f>
        <v>2.8454207298952694</v>
      </c>
      <c r="AE33" s="67">
        <f t="array" ref="AE33">IF($W$1,AD33*(1+INDEX(AE$1:AE$2,MATCH($O33,$AA$1:$AA$2,0)))^(AE$16-AD$16),INDEX('AEA2012 update'!$AC$6:$AG$104,MATCH($T33&amp;$U33,'AEA2012 update'!$A$6:$A$104&amp;'AEA2012 update'!$B$6:$B$104,0),MATCH(AE$16,'AEA2012 update'!$AC$4:$AG$4,0)))</f>
        <v>2.7063084816407019</v>
      </c>
      <c r="AF33" s="67">
        <f t="array" ref="AF33">IF($W$1,AE33*(1+INDEX(AF$1:AF$2,MATCH($O33,$AA$1:$AA$2,0)))^(AF$16-AE$16),INDEX('AEA2012 update'!$AC$6:$AG$104,MATCH($T33&amp;$U33,'AEA2012 update'!$A$6:$A$104&amp;'AEA2012 update'!$B$6:$B$104,0),MATCH(AF$16,'AEA2012 update'!$AC$4:$AG$4,0)))</f>
        <v>2.5739974130539132</v>
      </c>
      <c r="AG33" s="67">
        <f t="array" ref="AG33">IF($W$1,AF33*(1+INDEX(AG$1:AG$2,MATCH($O33,$AA$1:$AA$2,0)))^(AG$16-AF$16),INDEX('AEA2012 update'!$AC$6:$AG$104,MATCH($T33&amp;$U33,'AEA2012 update'!$A$6:$A$104&amp;'AEA2012 update'!$B$6:$B$104,0),MATCH(AG$16,'AEA2012 update'!$AC$4:$AG$4,0)))</f>
        <v>2.448155015348267</v>
      </c>
      <c r="AH33" s="67">
        <f t="array" ref="AH33">IF($W$1,AG33*(1+INDEX(AH$1:AH$2,MATCH($O33,$AA$1:$AA$2,0)))^(AH$16-AG$16),INDEX('AEA2012 update'!$AC$6:$AG$104,MATCH($T33&amp;$U33,'AEA2012 update'!$A$6:$A$104&amp;'AEA2012 update'!$B$6:$B$104,0),MATCH(AH$16,'AEA2012 update'!$AC$4:$AG$4,0)))</f>
        <v>2.3284650360483243</v>
      </c>
      <c r="AI33" s="67"/>
      <c r="AJ33" s="257">
        <f t="shared" si="6"/>
        <v>-4.8889869534227979E-3</v>
      </c>
      <c r="AK33" s="257">
        <f t="shared" si="7"/>
        <v>-4.6538602695101192E-3</v>
      </c>
      <c r="AQ33" s="61" t="str">
        <f t="shared" si="8"/>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0:48" x14ac:dyDescent="0.25">
      <c r="N34" s="61" t="s">
        <v>511</v>
      </c>
      <c r="O34" s="61" t="s">
        <v>613</v>
      </c>
      <c r="P34" s="61" t="s">
        <v>460</v>
      </c>
      <c r="Q34" s="61" t="str">
        <f t="shared" si="4"/>
        <v>SUV</v>
      </c>
      <c r="R34" s="61" t="s">
        <v>680</v>
      </c>
      <c r="S34" s="65"/>
      <c r="T34" s="256" t="s">
        <v>701</v>
      </c>
      <c r="U34" s="256" t="s">
        <v>687</v>
      </c>
      <c r="V34" s="103">
        <f t="array" ref="V34">IF(V$18,INDEX('AEA2012 update'!$K$6:$R$104,MATCH($T34&amp;$R34,'AEA2012 update'!$A$6:$A$104&amp;'AEA2012 update'!$B$6:$B$104,0),MATCH(V$16,'AEA2012 update'!$S$4:$Z$4,0)),INDEX('AEA2012 update'!$K$6:$R$104,MATCH($T34&amp;$U34,'AEA2012 update'!$A$6:$A$104&amp;'AEA2012 update'!$B$6:$B$104,0),MATCH(V$16,'AEA2012 update'!$S$4:$Z$4,0)))</f>
        <v>449299.91329948109</v>
      </c>
      <c r="W34" s="103">
        <f t="array" ref="W34">IF(W$18,INDEX('AEA2012 update'!$K$6:$R$104,MATCH($T34&amp;$R34,'AEA2012 update'!$A$6:$A$104&amp;'AEA2012 update'!$B$6:$B$104,0),MATCH(W$16,'AEA2012 update'!$S$4:$Z$4,0)),INDEX('AEA2012 update'!$K$6:$R$104,MATCH($T34&amp;$U34,'AEA2012 update'!$A$6:$A$104&amp;'AEA2012 update'!$B$6:$B$104,0),MATCH(W$16,'AEA2012 update'!$S$4:$Z$4,0)))</f>
        <v>496024.31464990409</v>
      </c>
      <c r="X34" s="103">
        <f t="array" ref="X34">IF(X$18,INDEX('AEA2012 update'!$K$6:$R$104,MATCH($T34&amp;$R34,'AEA2012 update'!$A$6:$A$104&amp;'AEA2012 update'!$B$6:$B$104,0),MATCH(X$16,'AEA2012 update'!$S$4:$Z$4,0)),INDEX('AEA2012 update'!$K$6:$R$104,MATCH($T34&amp;$U34,'AEA2012 update'!$A$6:$A$104&amp;'AEA2012 update'!$B$6:$B$104,0),MATCH(X$16,'AEA2012 update'!$S$4:$Z$4,0)))</f>
        <v>504862.6389695133</v>
      </c>
      <c r="Y34" s="103">
        <f t="array" ref="Y34">IF(Y$18,INDEX('AEA2012 update'!$K$6:$R$104,MATCH($T34&amp;$R34,'AEA2012 update'!$A$6:$A$104&amp;'AEA2012 update'!$B$6:$B$104,0),MATCH(Y$16,'AEA2012 update'!$S$4:$Z$4,0)),INDEX('AEA2012 update'!$K$6:$R$104,MATCH($T34&amp;$U34,'AEA2012 update'!$A$6:$A$104&amp;'AEA2012 update'!$B$6:$B$104,0),MATCH(Y$16,'AEA2012 update'!$S$4:$Z$4,0)))</f>
        <v>363561.36717159278</v>
      </c>
      <c r="Z34" s="103">
        <f t="array" ref="Z34">IF(Z$18,INDEX('AEA2012 update'!$K$6:$R$104,MATCH($T34&amp;$R34,'AEA2012 update'!$A$6:$A$104&amp;'AEA2012 update'!$B$6:$B$104,0),MATCH(Z$16,'AEA2012 update'!$S$4:$Z$4,0)),INDEX('AEA2012 update'!$K$6:$R$104,MATCH($T34&amp;$U34,'AEA2012 update'!$A$6:$A$104&amp;'AEA2012 update'!$B$6:$B$104,0),MATCH(Z$16,'AEA2012 update'!$S$4:$Z$4,0)))</f>
        <v>371500.85823323019</v>
      </c>
      <c r="AA34" s="103">
        <f t="array" ref="AA34">IF(AA$18,INDEX('AEA2012 update'!$K$6:$R$104,MATCH($T34&amp;$R34,'AEA2012 update'!$A$6:$A$104&amp;'AEA2012 update'!$B$6:$B$104,0),MATCH(AA$16,'AEA2012 update'!$S$4:$Z$4,0)),INDEX('AEA2012 update'!$K$6:$R$104,MATCH($T34&amp;$U34,'AEA2012 update'!$A$6:$A$104&amp;'AEA2012 update'!$B$6:$B$104,0),MATCH(AA$16,'AEA2012 update'!$S$4:$Z$4,0)))</f>
        <v>379440.3492948676</v>
      </c>
      <c r="AB34" s="103">
        <f t="array" ref="AB34">IF(AB$18,INDEX('AEA2012 update'!$K$6:$R$104,MATCH($T34&amp;$R34,'AEA2012 update'!$A$6:$A$104&amp;'AEA2012 update'!$B$6:$B$104,0),MATCH(AB$16,'AEA2012 update'!$S$4:$Z$4,0)),INDEX('AEA2012 update'!$K$6:$R$104,MATCH($T34&amp;$U34,'AEA2012 update'!$A$6:$A$104&amp;'AEA2012 update'!$B$6:$B$104,0),MATCH(AB$16,'AEA2012 update'!$S$4:$Z$4,0)))</f>
        <v>387396.22422821133</v>
      </c>
      <c r="AC34" s="103" t="str">
        <f t="shared" si="5"/>
        <v>SUVODS</v>
      </c>
      <c r="AD34" s="67">
        <f t="array" ref="AD34">INDEX('AEA2012 update'!$AC$6:$AG$104,MATCH($T34&amp;$U34,'AEA2012 update'!$A$6:$A$104&amp;'AEA2012 update'!$B$6:$B$104,0),MATCH(AD$16,'AEA2012 update'!$S$4:$Z$4,0))</f>
        <v>2.9031215330752671</v>
      </c>
      <c r="AE34" s="67">
        <f t="array" ref="AE34">IF($W$1,AD34*(1+INDEX(AE$1:AE$2,MATCH($O34,$AA$1:$AA$2,0)))^(AE$16-AD$16),INDEX('AEA2012 update'!$AC$6:$AG$104,MATCH($T34&amp;$U34,'AEA2012 update'!$A$6:$A$104&amp;'AEA2012 update'!$B$6:$B$104,0),MATCH(AE$16,'AEA2012 update'!$AC$4:$AG$4,0)))</f>
        <v>2.7611883000812094</v>
      </c>
      <c r="AF34" s="67">
        <f t="array" ref="AF34">IF($W$1,AE34*(1+INDEX(AF$1:AF$2,MATCH($O34,$AA$1:$AA$2,0)))^(AF$16-AE$16),INDEX('AEA2012 update'!$AC$6:$AG$104,MATCH($T34&amp;$U34,'AEA2012 update'!$A$6:$A$104&amp;'AEA2012 update'!$B$6:$B$104,0),MATCH(AF$16,'AEA2012 update'!$AC$4:$AG$4,0)))</f>
        <v>2.6261941643308022</v>
      </c>
      <c r="AG34" s="67">
        <f t="array" ref="AG34">IF($W$1,AF34*(1+INDEX(AG$1:AG$2,MATCH($O34,$AA$1:$AA$2,0)))^(AG$16-AF$16),INDEX('AEA2012 update'!$AC$6:$AG$104,MATCH($T34&amp;$U34,'AEA2012 update'!$A$6:$A$104&amp;'AEA2012 update'!$B$6:$B$104,0),MATCH(AG$16,'AEA2012 update'!$AC$4:$AG$4,0)))</f>
        <v>2.4977998742651182</v>
      </c>
      <c r="AH34" s="67">
        <f t="array" ref="AH34">IF($W$1,AG34*(1+INDEX(AH$1:AH$2,MATCH($O34,$AA$1:$AA$2,0)))^(AH$16-AG$16),INDEX('AEA2012 update'!$AC$6:$AG$104,MATCH($T34&amp;$U34,'AEA2012 update'!$A$6:$A$104&amp;'AEA2012 update'!$B$6:$B$104,0),MATCH(AH$16,'AEA2012 update'!$AC$4:$AG$4,0)))</f>
        <v>2.3756827642896852</v>
      </c>
      <c r="AI34" s="67"/>
      <c r="AJ34" s="257">
        <f t="shared" si="6"/>
        <v>-4.8889869534227961E-3</v>
      </c>
      <c r="AK34" s="257">
        <f t="shared" si="7"/>
        <v>-4.6538602695101253E-3</v>
      </c>
      <c r="AQ34" s="61" t="str">
        <f t="shared" si="8"/>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0:48" x14ac:dyDescent="0.25">
      <c r="J35" s="255"/>
      <c r="N35" s="61" t="s">
        <v>521</v>
      </c>
      <c r="O35" s="61" t="s">
        <v>613</v>
      </c>
      <c r="P35" s="61" t="s">
        <v>460</v>
      </c>
      <c r="Q35" s="61" t="str">
        <f t="shared" si="4"/>
        <v>SUV</v>
      </c>
      <c r="R35" s="61" t="s">
        <v>680</v>
      </c>
      <c r="S35" s="65"/>
      <c r="T35" s="256" t="s">
        <v>701</v>
      </c>
      <c r="U35" s="256" t="s">
        <v>689</v>
      </c>
      <c r="V35" s="103">
        <f t="array" ref="V35">IF(V$18,INDEX('AEA2012 update'!$K$6:$R$104,MATCH($T35&amp;$R35,'AEA2012 update'!$A$6:$A$104&amp;'AEA2012 update'!$B$6:$B$104,0),MATCH(V$16,'AEA2012 update'!$S$4:$Z$4,0)),INDEX('AEA2012 update'!$K$6:$R$104,MATCH($T35&amp;$U35,'AEA2012 update'!$A$6:$A$104&amp;'AEA2012 update'!$B$6:$B$104,0),MATCH(V$16,'AEA2012 update'!$S$4:$Z$4,0)))</f>
        <v>684967.98910243902</v>
      </c>
      <c r="W35" s="103">
        <f t="array" ref="W35">IF(W$18,INDEX('AEA2012 update'!$K$6:$R$104,MATCH($T35&amp;$R35,'AEA2012 update'!$A$6:$A$104&amp;'AEA2012 update'!$B$6:$B$104,0),MATCH(W$16,'AEA2012 update'!$S$4:$Z$4,0)),INDEX('AEA2012 update'!$K$6:$R$104,MATCH($T35&amp;$U35,'AEA2012 update'!$A$6:$A$104&amp;'AEA2012 update'!$B$6:$B$104,0),MATCH(W$16,'AEA2012 update'!$S$4:$Z$4,0)))</f>
        <v>676046.93374770158</v>
      </c>
      <c r="X35" s="103">
        <f t="array" ref="X35">IF(X$18,INDEX('AEA2012 update'!$K$6:$R$104,MATCH($T35&amp;$R35,'AEA2012 update'!$A$6:$A$104&amp;'AEA2012 update'!$B$6:$B$104,0),MATCH(X$16,'AEA2012 update'!$S$4:$Z$4,0)),INDEX('AEA2012 update'!$K$6:$R$104,MATCH($T35&amp;$U35,'AEA2012 update'!$A$6:$A$104&amp;'AEA2012 update'!$B$6:$B$104,0),MATCH(X$16,'AEA2012 update'!$S$4:$Z$4,0)))</f>
        <v>671504.019880448</v>
      </c>
      <c r="Y35" s="103">
        <f t="array" ref="Y35">IF(Y$18,INDEX('AEA2012 update'!$K$6:$R$104,MATCH($T35&amp;$R35,'AEA2012 update'!$A$6:$A$104&amp;'AEA2012 update'!$B$6:$B$104,0),MATCH(Y$16,'AEA2012 update'!$S$4:$Z$4,0)),INDEX('AEA2012 update'!$K$6:$R$104,MATCH($T35&amp;$U35,'AEA2012 update'!$A$6:$A$104&amp;'AEA2012 update'!$B$6:$B$104,0),MATCH(Y$16,'AEA2012 update'!$S$4:$Z$4,0)))</f>
        <v>363561.36717159278</v>
      </c>
      <c r="Z35" s="103">
        <f t="array" ref="Z35">IF(Z$18,INDEX('AEA2012 update'!$K$6:$R$104,MATCH($T35&amp;$R35,'AEA2012 update'!$A$6:$A$104&amp;'AEA2012 update'!$B$6:$B$104,0),MATCH(Z$16,'AEA2012 update'!$S$4:$Z$4,0)),INDEX('AEA2012 update'!$K$6:$R$104,MATCH($T35&amp;$U35,'AEA2012 update'!$A$6:$A$104&amp;'AEA2012 update'!$B$6:$B$104,0),MATCH(Z$16,'AEA2012 update'!$S$4:$Z$4,0)))</f>
        <v>371500.85823323019</v>
      </c>
      <c r="AA35" s="103">
        <f t="array" ref="AA35">IF(AA$18,INDEX('AEA2012 update'!$K$6:$R$104,MATCH($T35&amp;$R35,'AEA2012 update'!$A$6:$A$104&amp;'AEA2012 update'!$B$6:$B$104,0),MATCH(AA$16,'AEA2012 update'!$S$4:$Z$4,0)),INDEX('AEA2012 update'!$K$6:$R$104,MATCH($T35&amp;$U35,'AEA2012 update'!$A$6:$A$104&amp;'AEA2012 update'!$B$6:$B$104,0),MATCH(AA$16,'AEA2012 update'!$S$4:$Z$4,0)))</f>
        <v>379440.3492948676</v>
      </c>
      <c r="AB35" s="103">
        <f t="array" ref="AB35">IF(AB$18,INDEX('AEA2012 update'!$K$6:$R$104,MATCH($T35&amp;$R35,'AEA2012 update'!$A$6:$A$104&amp;'AEA2012 update'!$B$6:$B$104,0),MATCH(AB$16,'AEA2012 update'!$S$4:$Z$4,0)),INDEX('AEA2012 update'!$K$6:$R$104,MATCH($T35&amp;$U35,'AEA2012 update'!$A$6:$A$104&amp;'AEA2012 update'!$B$6:$B$104,0),MATCH(AB$16,'AEA2012 update'!$S$4:$Z$4,0)))</f>
        <v>387396.22422821133</v>
      </c>
      <c r="AC35" s="103" t="str">
        <f t="shared" si="5"/>
        <v>SUVODSH</v>
      </c>
      <c r="AD35" s="67">
        <f t="array" ref="AD35">INDEX('AEA2012 update'!$AC$6:$AG$104,MATCH($T35&amp;$U35,'AEA2012 update'!$A$6:$A$104&amp;'AEA2012 update'!$B$6:$B$104,0),MATCH(AD$16,'AEA2012 update'!$S$4:$Z$4,0))</f>
        <v>2.4252993644945193</v>
      </c>
      <c r="AE35" s="67">
        <f t="array" ref="AE35">IF($W$1,AD35*(1+INDEX(AE$1:AE$2,MATCH($O35,$AA$1:$AA$2,0)))^(AE$16-AD$16),INDEX('AEA2012 update'!$AC$6:$AG$104,MATCH($T35&amp;$U35,'AEA2012 update'!$A$6:$A$104&amp;'AEA2012 update'!$B$6:$B$104,0),MATCH(AE$16,'AEA2012 update'!$AC$4:$AG$4,0)))</f>
        <v>2.3067267949829362</v>
      </c>
      <c r="AF35" s="67">
        <f t="array" ref="AF35">IF($W$1,AE35*(1+INDEX(AF$1:AF$2,MATCH($O35,$AA$1:$AA$2,0)))^(AF$16-AE$16),INDEX('AEA2012 update'!$AC$6:$AG$104,MATCH($T35&amp;$U35,'AEA2012 update'!$A$6:$A$104&amp;'AEA2012 update'!$B$6:$B$104,0),MATCH(AF$16,'AEA2012 update'!$AC$4:$AG$4,0)))</f>
        <v>2.1939512229251124</v>
      </c>
      <c r="AG35" s="67">
        <f t="array" ref="AG35">IF($W$1,AF35*(1+INDEX(AG$1:AG$2,MATCH($O35,$AA$1:$AA$2,0)))^(AG$16-AF$16),INDEX('AEA2012 update'!$AC$6:$AG$104,MATCH($T35&amp;$U35,'AEA2012 update'!$A$6:$A$104&amp;'AEA2012 update'!$B$6:$B$104,0),MATCH(AG$16,'AEA2012 update'!$AC$4:$AG$4,0)))</f>
        <v>2.0866892338718435</v>
      </c>
      <c r="AH35" s="67">
        <f t="array" ref="AH35">IF($W$1,AG35*(1+INDEX(AH$1:AH$2,MATCH($O35,$AA$1:$AA$2,0)))^(AH$16-AG$16),INDEX('AEA2012 update'!$AC$6:$AG$104,MATCH($T35&amp;$U35,'AEA2012 update'!$A$6:$A$104&amp;'AEA2012 update'!$B$6:$B$104,0),MATCH(AH$16,'AEA2012 update'!$AC$4:$AG$4,0)))</f>
        <v>1.9846712694693709</v>
      </c>
      <c r="AI35" s="67"/>
      <c r="AJ35" s="257">
        <f t="shared" si="6"/>
        <v>-4.8889869534227996E-3</v>
      </c>
      <c r="AK35" s="257">
        <f t="shared" si="7"/>
        <v>-4.6538602695101235E-3</v>
      </c>
      <c r="AQ35" s="61" t="str">
        <f t="shared" si="8"/>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0:48" x14ac:dyDescent="0.25">
      <c r="N36" s="61" t="s">
        <v>501</v>
      </c>
      <c r="O36" s="61" t="s">
        <v>613</v>
      </c>
      <c r="P36" s="61" t="s">
        <v>460</v>
      </c>
      <c r="Q36" s="61" t="str">
        <f t="shared" si="4"/>
        <v>SUV</v>
      </c>
      <c r="R36" s="61" t="s">
        <v>680</v>
      </c>
      <c r="S36" s="65"/>
      <c r="T36" s="256" t="s">
        <v>701</v>
      </c>
      <c r="U36" s="256" t="s">
        <v>692</v>
      </c>
      <c r="V36" s="103">
        <f t="array" ref="V36">IF(V$18,INDEX('AEA2012 update'!$K$6:$R$104,MATCH($T36&amp;$R36,'AEA2012 update'!$A$6:$A$104&amp;'AEA2012 update'!$B$6:$B$104,0),MATCH(V$16,'AEA2012 update'!$S$4:$Z$4,0)),INDEX('AEA2012 update'!$K$6:$R$104,MATCH($T36&amp;$U36,'AEA2012 update'!$A$6:$A$104&amp;'AEA2012 update'!$B$6:$B$104,0),MATCH(V$16,'AEA2012 update'!$S$4:$Z$4,0)))</f>
        <v>1200355.9594665694</v>
      </c>
      <c r="W36" s="103">
        <f t="array" ref="W36">IF(W$18,INDEX('AEA2012 update'!$K$6:$R$104,MATCH($T36&amp;$R36,'AEA2012 update'!$A$6:$A$104&amp;'AEA2012 update'!$B$6:$B$104,0),MATCH(W$16,'AEA2012 update'!$S$4:$Z$4,0)),INDEX('AEA2012 update'!$K$6:$R$104,MATCH($T36&amp;$U36,'AEA2012 update'!$A$6:$A$104&amp;'AEA2012 update'!$B$6:$B$104,0),MATCH(W$16,'AEA2012 update'!$S$4:$Z$4,0)))</f>
        <v>820963.00033176108</v>
      </c>
      <c r="X36" s="103">
        <f t="array" ref="X36">IF(X$18,INDEX('AEA2012 update'!$K$6:$R$104,MATCH($T36&amp;$R36,'AEA2012 update'!$A$6:$A$104&amp;'AEA2012 update'!$B$6:$B$104,0),MATCH(X$16,'AEA2012 update'!$S$4:$Z$4,0)),INDEX('AEA2012 update'!$K$6:$R$104,MATCH($T36&amp;$U36,'AEA2012 update'!$A$6:$A$104&amp;'AEA2012 update'!$B$6:$B$104,0),MATCH(X$16,'AEA2012 update'!$S$4:$Z$4,0)))</f>
        <v>755333.69376548787</v>
      </c>
      <c r="Y36" s="103">
        <f t="array" ref="Y36">IF(Y$18,INDEX('AEA2012 update'!$K$6:$R$104,MATCH($T36&amp;$R36,'AEA2012 update'!$A$6:$A$104&amp;'AEA2012 update'!$B$6:$B$104,0),MATCH(Y$16,'AEA2012 update'!$S$4:$Z$4,0)),INDEX('AEA2012 update'!$K$6:$R$104,MATCH($T36&amp;$U36,'AEA2012 update'!$A$6:$A$104&amp;'AEA2012 update'!$B$6:$B$104,0),MATCH(Y$16,'AEA2012 update'!$S$4:$Z$4,0)))</f>
        <v>363561.36717159278</v>
      </c>
      <c r="Z36" s="103">
        <f t="array" ref="Z36">IF(Z$18,INDEX('AEA2012 update'!$K$6:$R$104,MATCH($T36&amp;$R36,'AEA2012 update'!$A$6:$A$104&amp;'AEA2012 update'!$B$6:$B$104,0),MATCH(Z$16,'AEA2012 update'!$S$4:$Z$4,0)),INDEX('AEA2012 update'!$K$6:$R$104,MATCH($T36&amp;$U36,'AEA2012 update'!$A$6:$A$104&amp;'AEA2012 update'!$B$6:$B$104,0),MATCH(Z$16,'AEA2012 update'!$S$4:$Z$4,0)))</f>
        <v>371500.85823323019</v>
      </c>
      <c r="AA36" s="103">
        <f t="array" ref="AA36">IF(AA$18,INDEX('AEA2012 update'!$K$6:$R$104,MATCH($T36&amp;$R36,'AEA2012 update'!$A$6:$A$104&amp;'AEA2012 update'!$B$6:$B$104,0),MATCH(AA$16,'AEA2012 update'!$S$4:$Z$4,0)),INDEX('AEA2012 update'!$K$6:$R$104,MATCH($T36&amp;$U36,'AEA2012 update'!$A$6:$A$104&amp;'AEA2012 update'!$B$6:$B$104,0),MATCH(AA$16,'AEA2012 update'!$S$4:$Z$4,0)))</f>
        <v>379440.3492948676</v>
      </c>
      <c r="AB36" s="103">
        <f t="array" ref="AB36">IF(AB$18,INDEX('AEA2012 update'!$K$6:$R$104,MATCH($T36&amp;$R36,'AEA2012 update'!$A$6:$A$104&amp;'AEA2012 update'!$B$6:$B$104,0),MATCH(AB$16,'AEA2012 update'!$S$4:$Z$4,0)),INDEX('AEA2012 update'!$K$6:$R$104,MATCH($T36&amp;$U36,'AEA2012 update'!$A$6:$A$104&amp;'AEA2012 update'!$B$6:$B$104,0),MATCH(AB$16,'AEA2012 update'!$S$4:$Z$4,0)))</f>
        <v>387396.22422821133</v>
      </c>
      <c r="AC36" s="103" t="str">
        <f t="shared" si="5"/>
        <v>SUVELC</v>
      </c>
      <c r="AD36" s="67">
        <f t="array" ref="AD36">INDEX('AEA2012 update'!$AC$6:$AG$104,MATCH($T36&amp;$U36,'AEA2012 update'!$A$6:$A$104&amp;'AEA2012 update'!$B$6:$B$104,0),MATCH(AD$16,'AEA2012 update'!$S$4:$Z$4,0))</f>
        <v>0.71204570298567482</v>
      </c>
      <c r="AE36" s="67">
        <f t="array" ref="AE36">IF($W$1,AD36*(1+INDEX(AE$1:AE$2,MATCH($O36,$AA$1:$AA$2,0)))^(AE$16-AD$16),INDEX('AEA2012 update'!$AC$6:$AG$104,MATCH($T36&amp;$U36,'AEA2012 update'!$A$6:$A$104&amp;'AEA2012 update'!$B$6:$B$104,0),MATCH(AE$16,'AEA2012 update'!$AC$4:$AG$4,0)))</f>
        <v>0.67723388146429753</v>
      </c>
      <c r="AF36" s="67">
        <f t="array" ref="AF36">IF($W$1,AE36*(1+INDEX(AF$1:AF$2,MATCH($O36,$AA$1:$AA$2,0)))^(AF$16-AE$16),INDEX('AEA2012 update'!$AC$6:$AG$104,MATCH($T36&amp;$U36,'AEA2012 update'!$A$6:$A$104&amp;'AEA2012 update'!$B$6:$B$104,0),MATCH(AF$16,'AEA2012 update'!$AC$4:$AG$4,0)))</f>
        <v>0.64412400535534919</v>
      </c>
      <c r="AG36" s="67">
        <f t="array" ref="AG36">IF($W$1,AF36*(1+INDEX(AG$1:AG$2,MATCH($O36,$AA$1:$AA$2,0)))^(AG$16-AF$16),INDEX('AEA2012 update'!$AC$6:$AG$104,MATCH($T36&amp;$U36,'AEA2012 update'!$A$6:$A$104&amp;'AEA2012 update'!$B$6:$B$104,0),MATCH(AG$16,'AEA2012 update'!$AC$4:$AG$4,0)))</f>
        <v>0.61263286676966178</v>
      </c>
      <c r="AH36" s="67">
        <f t="array" ref="AH36">IF($W$1,AG36*(1+INDEX(AH$1:AH$2,MATCH($O36,$AA$1:$AA$2,0)))^(AH$16-AG$16),INDEX('AEA2012 update'!$AC$6:$AG$104,MATCH($T36&amp;$U36,'AEA2012 update'!$A$6:$A$104&amp;'AEA2012 update'!$B$6:$B$104,0),MATCH(AH$16,'AEA2012 update'!$AC$4:$AG$4,0)))</f>
        <v>0.58268132584091292</v>
      </c>
      <c r="AI36" s="67"/>
      <c r="AJ36" s="257">
        <f t="shared" si="6"/>
        <v>-4.8889869534227996E-3</v>
      </c>
      <c r="AK36" s="257">
        <f t="shared" si="7"/>
        <v>-4.6538602695101201E-3</v>
      </c>
      <c r="AQ36" s="61" t="str">
        <f t="shared" si="8"/>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0:48" x14ac:dyDescent="0.25">
      <c r="N37" s="61" t="s">
        <v>504</v>
      </c>
      <c r="O37" s="61" t="s">
        <v>613</v>
      </c>
      <c r="P37" s="61" t="s">
        <v>460</v>
      </c>
      <c r="Q37" s="61" t="str">
        <f t="shared" si="4"/>
        <v>SUV</v>
      </c>
      <c r="R37" s="61" t="s">
        <v>680</v>
      </c>
      <c r="S37" s="65"/>
      <c r="T37" s="256" t="s">
        <v>701</v>
      </c>
      <c r="U37" s="256" t="s">
        <v>699</v>
      </c>
      <c r="V37" s="103">
        <f t="array" ref="V37">IF(V$18,INDEX('AEA2012 update'!$K$6:$R$104,MATCH($T37&amp;$R37,'AEA2012 update'!$A$6:$A$104&amp;'AEA2012 update'!$B$6:$B$104,0),MATCH(V$16,'AEA2012 update'!$S$4:$Z$4,0)),INDEX('AEA2012 update'!$K$6:$R$104,MATCH($T37&amp;$U37,'AEA2012 update'!$A$6:$A$104&amp;'AEA2012 update'!$B$6:$B$104,0),MATCH(V$16,'AEA2012 update'!$S$4:$Z$4,0)))</f>
        <v>4486535.6914122794</v>
      </c>
      <c r="W37" s="103">
        <f t="array" ref="W37">IF(W$18,INDEX('AEA2012 update'!$K$6:$R$104,MATCH($T37&amp;$R37,'AEA2012 update'!$A$6:$A$104&amp;'AEA2012 update'!$B$6:$B$104,0),MATCH(W$16,'AEA2012 update'!$S$4:$Z$4,0)),INDEX('AEA2012 update'!$K$6:$R$104,MATCH($T37&amp;$U37,'AEA2012 update'!$A$6:$A$104&amp;'AEA2012 update'!$B$6:$B$104,0),MATCH(W$16,'AEA2012 update'!$S$4:$Z$4,0)))</f>
        <v>1793789.1316594642</v>
      </c>
      <c r="X37" s="103">
        <f t="array" ref="X37">IF(X$18,INDEX('AEA2012 update'!$K$6:$R$104,MATCH($T37&amp;$R37,'AEA2012 update'!$A$6:$A$104&amp;'AEA2012 update'!$B$6:$B$104,0),MATCH(X$16,'AEA2012 update'!$S$4:$Z$4,0)),INDEX('AEA2012 update'!$K$6:$R$104,MATCH($T37&amp;$U37,'AEA2012 update'!$A$6:$A$104&amp;'AEA2012 update'!$B$6:$B$104,0),MATCH(X$16,'AEA2012 update'!$S$4:$Z$4,0)))</f>
        <v>1377038.9964110029</v>
      </c>
      <c r="Y37" s="103">
        <f t="array" ref="Y37">IF(Y$18,INDEX('AEA2012 update'!$K$6:$R$104,MATCH($T37&amp;$R37,'AEA2012 update'!$A$6:$A$104&amp;'AEA2012 update'!$B$6:$B$104,0),MATCH(Y$16,'AEA2012 update'!$S$4:$Z$4,0)),INDEX('AEA2012 update'!$K$6:$R$104,MATCH($T37&amp;$U37,'AEA2012 update'!$A$6:$A$104&amp;'AEA2012 update'!$B$6:$B$104,0),MATCH(Y$16,'AEA2012 update'!$S$4:$Z$4,0)))</f>
        <v>363561.36717159278</v>
      </c>
      <c r="Z37" s="103">
        <f t="array" ref="Z37">IF(Z$18,INDEX('AEA2012 update'!$K$6:$R$104,MATCH($T37&amp;$R37,'AEA2012 update'!$A$6:$A$104&amp;'AEA2012 update'!$B$6:$B$104,0),MATCH(Z$16,'AEA2012 update'!$S$4:$Z$4,0)),INDEX('AEA2012 update'!$K$6:$R$104,MATCH($T37&amp;$U37,'AEA2012 update'!$A$6:$A$104&amp;'AEA2012 update'!$B$6:$B$104,0),MATCH(Z$16,'AEA2012 update'!$S$4:$Z$4,0)))</f>
        <v>371500.85823323019</v>
      </c>
      <c r="AA37" s="103">
        <f t="array" ref="AA37">IF(AA$18,INDEX('AEA2012 update'!$K$6:$R$104,MATCH($T37&amp;$R37,'AEA2012 update'!$A$6:$A$104&amp;'AEA2012 update'!$B$6:$B$104,0),MATCH(AA$16,'AEA2012 update'!$S$4:$Z$4,0)),INDEX('AEA2012 update'!$K$6:$R$104,MATCH($T37&amp;$U37,'AEA2012 update'!$A$6:$A$104&amp;'AEA2012 update'!$B$6:$B$104,0),MATCH(AA$16,'AEA2012 update'!$S$4:$Z$4,0)))</f>
        <v>379440.3492948676</v>
      </c>
      <c r="AB37" s="103">
        <f t="array" ref="AB37">IF(AB$18,INDEX('AEA2012 update'!$K$6:$R$104,MATCH($T37&amp;$R37,'AEA2012 update'!$A$6:$A$104&amp;'AEA2012 update'!$B$6:$B$104,0),MATCH(AB$16,'AEA2012 update'!$S$4:$Z$4,0)),INDEX('AEA2012 update'!$K$6:$R$104,MATCH($T37&amp;$U37,'AEA2012 update'!$A$6:$A$104&amp;'AEA2012 update'!$B$6:$B$104,0),MATCH(AB$16,'AEA2012 update'!$S$4:$Z$4,0)))</f>
        <v>387396.22422821133</v>
      </c>
      <c r="AC37" s="103" t="str">
        <f t="shared" si="5"/>
        <v>SUVHGN</v>
      </c>
      <c r="AD37" s="67">
        <f t="array" ref="AD37">INDEX('AEA2012 update'!$AC$6:$AG$104,MATCH($T37&amp;$U37,'AEA2012 update'!$A$6:$A$104&amp;'AEA2012 update'!$B$6:$B$104,0),MATCH(AD$16,'AEA2012 update'!$S$4:$Z$4,0))</f>
        <v>1.4019884160257075</v>
      </c>
      <c r="AE37" s="67">
        <f t="array" ref="AE37">IF($W$1,AD37*(1+INDEX(AE$1:AE$2,MATCH($O37,$AA$1:$AA$2,0)))^(AE$16-AD$16),INDEX('AEA2012 update'!$AC$6:$AG$104,MATCH($T37&amp;$U37,'AEA2012 update'!$A$6:$A$104&amp;'AEA2012 update'!$B$6:$B$104,0),MATCH(AE$16,'AEA2012 update'!$AC$4:$AG$4,0)))</f>
        <v>1.3334453852777115</v>
      </c>
      <c r="AF37" s="67">
        <f t="array" ref="AF37">IF($W$1,AE37*(1+INDEX(AF$1:AF$2,MATCH($O37,$AA$1:$AA$2,0)))^(AF$16-AE$16),INDEX('AEA2012 update'!$AC$6:$AG$104,MATCH($T37&amp;$U37,'AEA2012 update'!$A$6:$A$104&amp;'AEA2012 update'!$B$6:$B$104,0),MATCH(AF$16,'AEA2012 update'!$AC$4:$AG$4,0)))</f>
        <v>1.2682534143604658</v>
      </c>
      <c r="AG37" s="67">
        <f t="array" ref="AG37">IF($W$1,AF37*(1+INDEX(AG$1:AG$2,MATCH($O37,$AA$1:$AA$2,0)))^(AG$16-AF$16),INDEX('AEA2012 update'!$AC$6:$AG$104,MATCH($T37&amp;$U37,'AEA2012 update'!$A$6:$A$104&amp;'AEA2012 update'!$B$6:$B$104,0),MATCH(AG$16,'AEA2012 update'!$AC$4:$AG$4,0)))</f>
        <v>1.2062486703960433</v>
      </c>
      <c r="AH37" s="67">
        <f t="array" ref="AH37">IF($W$1,AG37*(1+INDEX(AH$1:AH$2,MATCH($O37,$AA$1:$AA$2,0)))^(AH$16-AG$16),INDEX('AEA2012 update'!$AC$6:$AG$104,MATCH($T37&amp;$U37,'AEA2012 update'!$A$6:$A$104&amp;'AEA2012 update'!$B$6:$B$104,0),MATCH(AH$16,'AEA2012 update'!$AC$4:$AG$4,0)))</f>
        <v>1.1472753302745446</v>
      </c>
      <c r="AI37" s="67"/>
      <c r="AJ37" s="257">
        <f t="shared" si="6"/>
        <v>-4.88898695342281E-3</v>
      </c>
      <c r="AK37" s="257">
        <f t="shared" si="7"/>
        <v>-4.6538602695101244E-3</v>
      </c>
      <c r="AQ37" s="61" t="str">
        <f t="shared" si="8"/>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0:48" x14ac:dyDescent="0.25">
      <c r="N38" s="61" t="s">
        <v>509</v>
      </c>
      <c r="O38" s="61" t="s">
        <v>613</v>
      </c>
      <c r="P38" s="61" t="s">
        <v>460</v>
      </c>
      <c r="Q38" s="61" t="str">
        <f t="shared" si="4"/>
        <v>SUV</v>
      </c>
      <c r="R38" s="61" t="s">
        <v>680</v>
      </c>
      <c r="S38" s="65"/>
      <c r="T38" s="256" t="s">
        <v>701</v>
      </c>
      <c r="U38" s="256" t="s">
        <v>700</v>
      </c>
      <c r="V38" s="103">
        <f t="array" ref="V38">IF(V$18,INDEX('AEA2012 update'!$K$6:$R$104,MATCH($T38&amp;$R38,'AEA2012 update'!$A$6:$A$104&amp;'AEA2012 update'!$B$6:$B$104,0),MATCH(V$16,'AEA2012 update'!$S$4:$Z$4,0)),INDEX('AEA2012 update'!$K$6:$R$104,MATCH($T38&amp;$U38,'AEA2012 update'!$A$6:$A$104&amp;'AEA2012 update'!$B$6:$B$104,0),MATCH(V$16,'AEA2012 update'!$S$4:$Z$4,0)))</f>
        <v>519120.41439989489</v>
      </c>
      <c r="W38" s="103">
        <f t="array" ref="W38">IF(W$18,INDEX('AEA2012 update'!$K$6:$R$104,MATCH($T38&amp;$R38,'AEA2012 update'!$A$6:$A$104&amp;'AEA2012 update'!$B$6:$B$104,0),MATCH(W$16,'AEA2012 update'!$S$4:$Z$4,0)),INDEX('AEA2012 update'!$K$6:$R$104,MATCH($T38&amp;$U38,'AEA2012 update'!$A$6:$A$104&amp;'AEA2012 update'!$B$6:$B$104,0),MATCH(W$16,'AEA2012 update'!$S$4:$Z$4,0)))</f>
        <v>545626.74611489451</v>
      </c>
      <c r="X38" s="103">
        <f t="array" ref="X38">IF(X$18,INDEX('AEA2012 update'!$K$6:$R$104,MATCH($T38&amp;$R38,'AEA2012 update'!$A$6:$A$104&amp;'AEA2012 update'!$B$6:$B$104,0),MATCH(X$16,'AEA2012 update'!$S$4:$Z$4,0)),INDEX('AEA2012 update'!$K$6:$R$104,MATCH($T38&amp;$U38,'AEA2012 update'!$A$6:$A$104&amp;'AEA2012 update'!$B$6:$B$104,0),MATCH(X$16,'AEA2012 update'!$S$4:$Z$4,0)))</f>
        <v>551370.12411759188</v>
      </c>
      <c r="Y38" s="103">
        <f t="array" ref="Y38">IF(Y$18,INDEX('AEA2012 update'!$K$6:$R$104,MATCH($T38&amp;$R38,'AEA2012 update'!$A$6:$A$104&amp;'AEA2012 update'!$B$6:$B$104,0),MATCH(Y$16,'AEA2012 update'!$S$4:$Z$4,0)),INDEX('AEA2012 update'!$K$6:$R$104,MATCH($T38&amp;$U38,'AEA2012 update'!$A$6:$A$104&amp;'AEA2012 update'!$B$6:$B$104,0),MATCH(Y$16,'AEA2012 update'!$S$4:$Z$4,0)))</f>
        <v>363561.36717159278</v>
      </c>
      <c r="Z38" s="103">
        <f t="array" ref="Z38">IF(Z$18,INDEX('AEA2012 update'!$K$6:$R$104,MATCH($T38&amp;$R38,'AEA2012 update'!$A$6:$A$104&amp;'AEA2012 update'!$B$6:$B$104,0),MATCH(Z$16,'AEA2012 update'!$S$4:$Z$4,0)),INDEX('AEA2012 update'!$K$6:$R$104,MATCH($T38&amp;$U38,'AEA2012 update'!$A$6:$A$104&amp;'AEA2012 update'!$B$6:$B$104,0),MATCH(Z$16,'AEA2012 update'!$S$4:$Z$4,0)))</f>
        <v>371500.85823323019</v>
      </c>
      <c r="AA38" s="103">
        <f t="array" ref="AA38">IF(AA$18,INDEX('AEA2012 update'!$K$6:$R$104,MATCH($T38&amp;$R38,'AEA2012 update'!$A$6:$A$104&amp;'AEA2012 update'!$B$6:$B$104,0),MATCH(AA$16,'AEA2012 update'!$S$4:$Z$4,0)),INDEX('AEA2012 update'!$K$6:$R$104,MATCH($T38&amp;$U38,'AEA2012 update'!$A$6:$A$104&amp;'AEA2012 update'!$B$6:$B$104,0),MATCH(AA$16,'AEA2012 update'!$S$4:$Z$4,0)))</f>
        <v>379440.3492948676</v>
      </c>
      <c r="AB38" s="103">
        <f t="array" ref="AB38">IF(AB$18,INDEX('AEA2012 update'!$K$6:$R$104,MATCH($T38&amp;$R38,'AEA2012 update'!$A$6:$A$104&amp;'AEA2012 update'!$B$6:$B$104,0),MATCH(AB$16,'AEA2012 update'!$S$4:$Z$4,0)),INDEX('AEA2012 update'!$K$6:$R$104,MATCH($T38&amp;$U38,'AEA2012 update'!$A$6:$A$104&amp;'AEA2012 update'!$B$6:$B$104,0),MATCH(AB$16,'AEA2012 update'!$S$4:$Z$4,0)))</f>
        <v>387396.22422821133</v>
      </c>
      <c r="AC38" s="103" t="str">
        <f t="shared" si="5"/>
        <v>SUVGAS</v>
      </c>
      <c r="AD38" s="67">
        <f t="array" ref="AD38">INDEX('AEA2012 update'!$AC$6:$AG$104,MATCH($T38&amp;$U38,'AEA2012 update'!$A$6:$A$104&amp;'AEA2012 update'!$B$6:$B$104,0),MATCH(AD$16,'AEA2012 update'!$S$4:$Z$4,0))</f>
        <v>3.3385897630365569</v>
      </c>
      <c r="AE38" s="67">
        <f t="array" ref="AE38">IF($W$1,AD38*(1+INDEX(AE$1:AE$2,MATCH($O38,$AA$1:$AA$2,0)))^(AE$16-AD$16),INDEX('AEA2012 update'!$AC$6:$AG$104,MATCH($T38&amp;$U38,'AEA2012 update'!$A$6:$A$104&amp;'AEA2012 update'!$B$6:$B$104,0),MATCH(AE$16,'AEA2012 update'!$AC$4:$AG$4,0)))</f>
        <v>3.1753665450933903</v>
      </c>
      <c r="AF38" s="67">
        <f t="array" ref="AF38">IF($W$1,AE38*(1+INDEX(AF$1:AF$2,MATCH($O38,$AA$1:$AA$2,0)))^(AF$16-AE$16),INDEX('AEA2012 update'!$AC$6:$AG$104,MATCH($T38&amp;$U38,'AEA2012 update'!$A$6:$A$104&amp;'AEA2012 update'!$B$6:$B$104,0),MATCH(AF$16,'AEA2012 update'!$AC$4:$AG$4,0)))</f>
        <v>3.0201232889804221</v>
      </c>
      <c r="AG38" s="67">
        <f t="array" ref="AG38">IF($W$1,AF38*(1+INDEX(AG$1:AG$2,MATCH($O38,$AA$1:$AA$2,0)))^(AG$16-AF$16),INDEX('AEA2012 update'!$AC$6:$AG$104,MATCH($T38&amp;$U38,'AEA2012 update'!$A$6:$A$104&amp;'AEA2012 update'!$B$6:$B$104,0),MATCH(AG$16,'AEA2012 update'!$AC$4:$AG$4,0)))</f>
        <v>2.8724698554048858</v>
      </c>
      <c r="AH38" s="67">
        <f t="array" ref="AH38">IF($W$1,AG38*(1+INDEX(AH$1:AH$2,MATCH($O38,$AA$1:$AA$2,0)))^(AH$16-AG$16),INDEX('AEA2012 update'!$AC$6:$AG$104,MATCH($T38&amp;$U38,'AEA2012 update'!$A$6:$A$104&amp;'AEA2012 update'!$B$6:$B$104,0),MATCH(AH$16,'AEA2012 update'!$AC$4:$AG$4,0)))</f>
        <v>2.7320351789331379</v>
      </c>
      <c r="AI38" s="67"/>
      <c r="AJ38" s="257">
        <f t="shared" si="6"/>
        <v>-4.8889869534228022E-3</v>
      </c>
      <c r="AK38" s="257">
        <f t="shared" si="7"/>
        <v>-4.6538602695101218E-3</v>
      </c>
      <c r="AQ38" s="61" t="str">
        <f t="shared" si="8"/>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0:48" x14ac:dyDescent="0.25">
      <c r="O39" s="61" t="s">
        <v>613</v>
      </c>
      <c r="Q39" s="61" t="str">
        <f t="shared" si="4"/>
        <v/>
      </c>
      <c r="S39" s="65"/>
      <c r="T39" s="256"/>
      <c r="U39" s="256"/>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5"/>
        <v/>
      </c>
      <c r="AD39" s="67"/>
      <c r="AE39" s="67">
        <f t="array" ref="AE39">IF($W$1,AD39*(1+INDEX(AE$1:AE$2,MATCH($O39,$AA$1:$AA$2,0)))^(AE$16-AD$16),INDEX('AEA2012 update'!$AC$6:$AG$104,MATCH($T39&amp;$U39,'AEA2012 update'!$A$6:$A$104&amp;'AEA2012 update'!$B$6:$B$104,0),MATCH(AE$16,'AEA2012 update'!$AC$4:$AG$4,0)))</f>
        <v>0</v>
      </c>
      <c r="AF39" s="67">
        <f t="array" ref="AF39">IF($W$1,AE39*(1+INDEX(AF$1:AF$2,MATCH($O39,$AA$1:$AA$2,0)))^(AF$16-AE$16),INDEX('AEA2012 update'!$AC$6:$AG$104,MATCH($T39&amp;$U39,'AEA2012 update'!$A$6:$A$104&amp;'AEA2012 update'!$B$6:$B$104,0),MATCH(AF$16,'AEA2012 update'!$AC$4:$AG$4,0)))</f>
        <v>0</v>
      </c>
      <c r="AG39" s="67">
        <f t="array" ref="AG39">IF($W$1,AF39*(1+INDEX(AG$1:AG$2,MATCH($O39,$AA$1:$AA$2,0)))^(AG$16-AF$16),INDEX('AEA2012 update'!$AC$6:$AG$104,MATCH($T39&amp;$U39,'AEA2012 update'!$A$6:$A$104&amp;'AEA2012 update'!$B$6:$B$104,0),MATCH(AG$16,'AEA2012 update'!$AC$4:$AG$4,0)))</f>
        <v>0</v>
      </c>
      <c r="AH39" s="67">
        <f t="array" ref="AH39">IF($W$1,AG39*(1+INDEX(AH$1:AH$2,MATCH($O39,$AA$1:$AA$2,0)))^(AH$16-AG$16),INDEX('AEA2012 update'!$AC$6:$AG$104,MATCH($T39&amp;$U39,'AEA2012 update'!$A$6:$A$104&amp;'AEA2012 update'!$B$6:$B$104,0),MATCH(AH$16,'AEA2012 update'!$AC$4:$AG$4,0)))</f>
        <v>0</v>
      </c>
      <c r="AI39" s="67"/>
      <c r="AJ39" s="257" t="e">
        <f t="shared" si="6"/>
        <v>#DIV/0!</v>
      </c>
      <c r="AK39" s="257" t="e">
        <f t="shared" si="7"/>
        <v>#DIV/0!</v>
      </c>
      <c r="AQ39" s="61" t="str">
        <f t="shared" si="8"/>
        <v>-</v>
      </c>
      <c r="AR39" s="80" t="e" cm="1">
        <f t="array" aca="1" ref="AR39" ca="1">AD39/INDIRECT("cv."&amp;LEFT($U39,6)&amp;".hhv.MJL") * 100</f>
        <v>#REF!</v>
      </c>
      <c r="AS39" s="80" t="e" cm="1">
        <f t="array" aca="1" ref="AS39" ca="1">AE39/INDIRECT("cv."&amp;LEFT($U39,6)&amp;".hhv.MJL") * 100</f>
        <v>#REF!</v>
      </c>
      <c r="AT39" s="80" t="e" cm="1">
        <f t="array" aca="1" ref="AT39" ca="1">AF39/INDIRECT("cv."&amp;LEFT($U39,6)&amp;".hhv.MJL") * 100</f>
        <v>#REF!</v>
      </c>
      <c r="AU39" s="80" t="e" cm="1">
        <f t="array" aca="1" ref="AU39" ca="1">AG39/INDIRECT("cv."&amp;LEFT($U39,6)&amp;".hhv.MJL") * 100</f>
        <v>#REF!</v>
      </c>
      <c r="AV39" s="80" t="e" cm="1">
        <f t="array" aca="1" ref="AV39" ca="1">AH39/INDIRECT("cv."&amp;LEFT($U39,6)&amp;".hhv.MJL") * 100</f>
        <v>#REF!</v>
      </c>
    </row>
    <row r="40" spans="10:48" x14ac:dyDescent="0.25">
      <c r="N40" s="61" t="s">
        <v>573</v>
      </c>
      <c r="O40" s="61" t="s">
        <v>613</v>
      </c>
      <c r="P40" s="61" t="s">
        <v>61</v>
      </c>
      <c r="Q40" s="61" t="str">
        <f t="shared" si="4"/>
        <v>MBT</v>
      </c>
      <c r="R40" s="61" t="s">
        <v>680</v>
      </c>
      <c r="S40" s="65"/>
      <c r="T40" s="256" t="s">
        <v>701</v>
      </c>
      <c r="U40" s="256" t="s">
        <v>680</v>
      </c>
      <c r="V40" s="103">
        <f t="array" ref="V40">IF(V$18,INDEX('AEA2012 update'!$K$6:$R$104,MATCH($T40&amp;$R40,'AEA2012 update'!$A$6:$A$104&amp;'AEA2012 update'!$B$6:$B$104,0),MATCH(V$16,'AEA2012 update'!$S$4:$Z$4,0)),INDEX('AEA2012 update'!$K$6:$R$104,MATCH($T40&amp;$U40,'AEA2012 update'!$A$6:$A$104&amp;'AEA2012 update'!$B$6:$B$104,0),MATCH(V$16,'AEA2012 update'!$S$4:$Z$4,0)))</f>
        <v>322554.53757929691</v>
      </c>
      <c r="W40" s="103">
        <f t="array" ref="W40">IF(W$18,INDEX('AEA2012 update'!$K$6:$R$104,MATCH($T40&amp;$R40,'AEA2012 update'!$A$6:$A$104&amp;'AEA2012 update'!$B$6:$B$104,0),MATCH(W$16,'AEA2012 update'!$S$4:$Z$4,0)),INDEX('AEA2012 update'!$K$6:$R$104,MATCH($T40&amp;$U40,'AEA2012 update'!$A$6:$A$104&amp;'AEA2012 update'!$B$6:$B$104,0),MATCH(W$16,'AEA2012 update'!$S$4:$Z$4,0)))</f>
        <v>350637.87759734597</v>
      </c>
      <c r="X40" s="103">
        <f t="array" ref="X40">IF(X$18,INDEX('AEA2012 update'!$K$6:$R$104,MATCH($T40&amp;$R40,'AEA2012 update'!$A$6:$A$104&amp;'AEA2012 update'!$B$6:$B$104,0),MATCH(X$16,'AEA2012 update'!$S$4:$Z$4,0)),INDEX('AEA2012 update'!$K$6:$R$104,MATCH($T40&amp;$U40,'AEA2012 update'!$A$6:$A$104&amp;'AEA2012 update'!$B$6:$B$104,0),MATCH(X$16,'AEA2012 update'!$S$4:$Z$4,0)))</f>
        <v>357099.62238446943</v>
      </c>
      <c r="Y40" s="103">
        <f t="array" ref="Y40">IF(Y$18,INDEX('AEA2012 update'!$K$6:$R$104,MATCH($T40&amp;$R40,'AEA2012 update'!$A$6:$A$104&amp;'AEA2012 update'!$B$6:$B$104,0),MATCH(Y$16,'AEA2012 update'!$S$4:$Z$4,0)),INDEX('AEA2012 update'!$K$6:$R$104,MATCH($T40&amp;$U40,'AEA2012 update'!$A$6:$A$104&amp;'AEA2012 update'!$B$6:$B$104,0),MATCH(Y$16,'AEA2012 update'!$S$4:$Z$4,0)))</f>
        <v>363561.36717159278</v>
      </c>
      <c r="Z40" s="103">
        <f t="array" ref="Z40">IF(Z$18,INDEX('AEA2012 update'!$K$6:$R$104,MATCH($T40&amp;$R40,'AEA2012 update'!$A$6:$A$104&amp;'AEA2012 update'!$B$6:$B$104,0),MATCH(Z$16,'AEA2012 update'!$S$4:$Z$4,0)),INDEX('AEA2012 update'!$K$6:$R$104,MATCH($T40&amp;$U40,'AEA2012 update'!$A$6:$A$104&amp;'AEA2012 update'!$B$6:$B$104,0),MATCH(Z$16,'AEA2012 update'!$S$4:$Z$4,0)))</f>
        <v>371500.85823323019</v>
      </c>
      <c r="AA40" s="103">
        <f t="array" ref="AA40">IF(AA$18,INDEX('AEA2012 update'!$K$6:$R$104,MATCH($T40&amp;$R40,'AEA2012 update'!$A$6:$A$104&amp;'AEA2012 update'!$B$6:$B$104,0),MATCH(AA$16,'AEA2012 update'!$S$4:$Z$4,0)),INDEX('AEA2012 update'!$K$6:$R$104,MATCH($T40&amp;$U40,'AEA2012 update'!$A$6:$A$104&amp;'AEA2012 update'!$B$6:$B$104,0),MATCH(AA$16,'AEA2012 update'!$S$4:$Z$4,0)))</f>
        <v>379440.3492948676</v>
      </c>
      <c r="AB40" s="103">
        <f t="array" ref="AB40">IF(AB$18,INDEX('AEA2012 update'!$K$6:$R$104,MATCH($T40&amp;$R40,'AEA2012 update'!$A$6:$A$104&amp;'AEA2012 update'!$B$6:$B$104,0),MATCH(AB$16,'AEA2012 update'!$S$4:$Z$4,0)),INDEX('AEA2012 update'!$K$6:$R$104,MATCH($T40&amp;$U40,'AEA2012 update'!$A$6:$A$104&amp;'AEA2012 update'!$B$6:$B$104,0),MATCH(AB$16,'AEA2012 update'!$S$4:$Z$4,0)))</f>
        <v>387396.22422821133</v>
      </c>
      <c r="AC40" s="103" t="str">
        <f t="shared" si="5"/>
        <v>MBTOGS</v>
      </c>
      <c r="AD40" s="67">
        <f t="array" ref="AD40">INDEX('AEA2012 update'!$AC$6:$AG$104,MATCH($T40&amp;$U40,'AEA2012 update'!$A$6:$A$104&amp;'AEA2012 update'!$B$6:$B$104,0),MATCH(AD$16,'AEA2012 update'!$S$4:$Z$4,0))</f>
        <v>2.8454207298952694</v>
      </c>
      <c r="AE40" s="67">
        <f t="array" ref="AE40">IF($W$1,AD40*(1+INDEX(AE$1:AE$2,MATCH($O40,$AA$1:$AA$2,0)))^(AE$16-AD$16),INDEX('AEA2012 update'!$AC$6:$AG$104,MATCH($T40&amp;$U40,'AEA2012 update'!$A$6:$A$104&amp;'AEA2012 update'!$B$6:$B$104,0),MATCH(AE$16,'AEA2012 update'!$AC$4:$AG$4,0)))</f>
        <v>2.7063084816407019</v>
      </c>
      <c r="AF40" s="67">
        <f t="array" ref="AF40">IF($W$1,AE40*(1+INDEX(AF$1:AF$2,MATCH($O40,$AA$1:$AA$2,0)))^(AF$16-AE$16),INDEX('AEA2012 update'!$AC$6:$AG$104,MATCH($T40&amp;$U40,'AEA2012 update'!$A$6:$A$104&amp;'AEA2012 update'!$B$6:$B$104,0),MATCH(AF$16,'AEA2012 update'!$AC$4:$AG$4,0)))</f>
        <v>2.5739974130539132</v>
      </c>
      <c r="AG40" s="67">
        <f t="array" ref="AG40">IF($W$1,AF40*(1+INDEX(AG$1:AG$2,MATCH($O40,$AA$1:$AA$2,0)))^(AG$16-AF$16),INDEX('AEA2012 update'!$AC$6:$AG$104,MATCH($T40&amp;$U40,'AEA2012 update'!$A$6:$A$104&amp;'AEA2012 update'!$B$6:$B$104,0),MATCH(AG$16,'AEA2012 update'!$AC$4:$AG$4,0)))</f>
        <v>2.448155015348267</v>
      </c>
      <c r="AH40" s="67">
        <f t="array" ref="AH40">IF($W$1,AG40*(1+INDEX(AH$1:AH$2,MATCH($O40,$AA$1:$AA$2,0)))^(AH$16-AG$16),INDEX('AEA2012 update'!$AC$6:$AG$104,MATCH($T40&amp;$U40,'AEA2012 update'!$A$6:$A$104&amp;'AEA2012 update'!$B$6:$B$104,0),MATCH(AH$16,'AEA2012 update'!$AC$4:$AG$4,0)))</f>
        <v>2.3284650360483243</v>
      </c>
      <c r="AI40" s="67"/>
      <c r="AJ40" s="257">
        <f t="shared" si="6"/>
        <v>-4.8889869534227979E-3</v>
      </c>
      <c r="AK40" s="257">
        <f t="shared" si="7"/>
        <v>-4.6538602695101192E-3</v>
      </c>
      <c r="AQ40" s="61" t="str">
        <f t="shared" si="8"/>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0:48" x14ac:dyDescent="0.25">
      <c r="N41" s="61" t="s">
        <v>506</v>
      </c>
      <c r="O41" s="61" t="s">
        <v>613</v>
      </c>
      <c r="P41" s="61" t="s">
        <v>61</v>
      </c>
      <c r="Q41" s="61" t="str">
        <f t="shared" si="4"/>
        <v>MBT</v>
      </c>
      <c r="R41" s="61" t="s">
        <v>680</v>
      </c>
      <c r="S41" s="65"/>
      <c r="T41" s="256" t="s">
        <v>701</v>
      </c>
      <c r="U41" s="256" t="s">
        <v>680</v>
      </c>
      <c r="V41" s="103">
        <f t="array" ref="V41">IF(V$18,INDEX('AEA2012 update'!$K$6:$R$104,MATCH($T41&amp;$R41,'AEA2012 update'!$A$6:$A$104&amp;'AEA2012 update'!$B$6:$B$104,0),MATCH(V$16,'AEA2012 update'!$S$4:$Z$4,0)),INDEX('AEA2012 update'!$K$6:$R$104,MATCH($T41&amp;$U41,'AEA2012 update'!$A$6:$A$104&amp;'AEA2012 update'!$B$6:$B$104,0),MATCH(V$16,'AEA2012 update'!$S$4:$Z$4,0)))</f>
        <v>322554.53757929691</v>
      </c>
      <c r="W41" s="103">
        <f t="array" ref="W41">IF(W$18,INDEX('AEA2012 update'!$K$6:$R$104,MATCH($T41&amp;$R41,'AEA2012 update'!$A$6:$A$104&amp;'AEA2012 update'!$B$6:$B$104,0),MATCH(W$16,'AEA2012 update'!$S$4:$Z$4,0)),INDEX('AEA2012 update'!$K$6:$R$104,MATCH($T41&amp;$U41,'AEA2012 update'!$A$6:$A$104&amp;'AEA2012 update'!$B$6:$B$104,0),MATCH(W$16,'AEA2012 update'!$S$4:$Z$4,0)))</f>
        <v>350637.87759734597</v>
      </c>
      <c r="X41" s="103">
        <f t="array" ref="X41">IF(X$18,INDEX('AEA2012 update'!$K$6:$R$104,MATCH($T41&amp;$R41,'AEA2012 update'!$A$6:$A$104&amp;'AEA2012 update'!$B$6:$B$104,0),MATCH(X$16,'AEA2012 update'!$S$4:$Z$4,0)),INDEX('AEA2012 update'!$K$6:$R$104,MATCH($T41&amp;$U41,'AEA2012 update'!$A$6:$A$104&amp;'AEA2012 update'!$B$6:$B$104,0),MATCH(X$16,'AEA2012 update'!$S$4:$Z$4,0)))</f>
        <v>357099.62238446943</v>
      </c>
      <c r="Y41" s="103">
        <f t="array" ref="Y41">IF(Y$18,INDEX('AEA2012 update'!$K$6:$R$104,MATCH($T41&amp;$R41,'AEA2012 update'!$A$6:$A$104&amp;'AEA2012 update'!$B$6:$B$104,0),MATCH(Y$16,'AEA2012 update'!$S$4:$Z$4,0)),INDEX('AEA2012 update'!$K$6:$R$104,MATCH($T41&amp;$U41,'AEA2012 update'!$A$6:$A$104&amp;'AEA2012 update'!$B$6:$B$104,0),MATCH(Y$16,'AEA2012 update'!$S$4:$Z$4,0)))</f>
        <v>363561.36717159278</v>
      </c>
      <c r="Z41" s="103">
        <f t="array" ref="Z41">IF(Z$18,INDEX('AEA2012 update'!$K$6:$R$104,MATCH($T41&amp;$R41,'AEA2012 update'!$A$6:$A$104&amp;'AEA2012 update'!$B$6:$B$104,0),MATCH(Z$16,'AEA2012 update'!$S$4:$Z$4,0)),INDEX('AEA2012 update'!$K$6:$R$104,MATCH($T41&amp;$U41,'AEA2012 update'!$A$6:$A$104&amp;'AEA2012 update'!$B$6:$B$104,0),MATCH(Z$16,'AEA2012 update'!$S$4:$Z$4,0)))</f>
        <v>371500.85823323019</v>
      </c>
      <c r="AA41" s="103">
        <f t="array" ref="AA41">IF(AA$18,INDEX('AEA2012 update'!$K$6:$R$104,MATCH($T41&amp;$R41,'AEA2012 update'!$A$6:$A$104&amp;'AEA2012 update'!$B$6:$B$104,0),MATCH(AA$16,'AEA2012 update'!$S$4:$Z$4,0)),INDEX('AEA2012 update'!$K$6:$R$104,MATCH($T41&amp;$U41,'AEA2012 update'!$A$6:$A$104&amp;'AEA2012 update'!$B$6:$B$104,0),MATCH(AA$16,'AEA2012 update'!$S$4:$Z$4,0)))</f>
        <v>379440.3492948676</v>
      </c>
      <c r="AB41" s="103">
        <f t="array" ref="AB41">IF(AB$18,INDEX('AEA2012 update'!$K$6:$R$104,MATCH($T41&amp;$R41,'AEA2012 update'!$A$6:$A$104&amp;'AEA2012 update'!$B$6:$B$104,0),MATCH(AB$16,'AEA2012 update'!$S$4:$Z$4,0)),INDEX('AEA2012 update'!$K$6:$R$104,MATCH($T41&amp;$U41,'AEA2012 update'!$A$6:$A$104&amp;'AEA2012 update'!$B$6:$B$104,0),MATCH(AB$16,'AEA2012 update'!$S$4:$Z$4,0)))</f>
        <v>387396.22422821133</v>
      </c>
      <c r="AC41" s="103" t="str">
        <f t="shared" si="5"/>
        <v>MBTBGS</v>
      </c>
      <c r="AD41" s="67">
        <f t="array" ref="AD41">INDEX('AEA2012 update'!$AC$6:$AG$104,MATCH($T41&amp;$U41,'AEA2012 update'!$A$6:$A$104&amp;'AEA2012 update'!$B$6:$B$104,0),MATCH(AD$16,'AEA2012 update'!$S$4:$Z$4,0))</f>
        <v>2.8454207298952694</v>
      </c>
      <c r="AE41" s="67">
        <f t="array" ref="AE41">IF($W$1,AD41*(1+INDEX(AE$1:AE$2,MATCH($O41,$AA$1:$AA$2,0)))^(AE$16-AD$16),INDEX('AEA2012 update'!$AC$6:$AG$104,MATCH($T41&amp;$U41,'AEA2012 update'!$A$6:$A$104&amp;'AEA2012 update'!$B$6:$B$104,0),MATCH(AE$16,'AEA2012 update'!$AC$4:$AG$4,0)))</f>
        <v>2.7063084816407019</v>
      </c>
      <c r="AF41" s="67">
        <f t="array" ref="AF41">IF($W$1,AE41*(1+INDEX(AF$1:AF$2,MATCH($O41,$AA$1:$AA$2,0)))^(AF$16-AE$16),INDEX('AEA2012 update'!$AC$6:$AG$104,MATCH($T41&amp;$U41,'AEA2012 update'!$A$6:$A$104&amp;'AEA2012 update'!$B$6:$B$104,0),MATCH(AF$16,'AEA2012 update'!$AC$4:$AG$4,0)))</f>
        <v>2.5739974130539132</v>
      </c>
      <c r="AG41" s="67">
        <f t="array" ref="AG41">IF($W$1,AF41*(1+INDEX(AG$1:AG$2,MATCH($O41,$AA$1:$AA$2,0)))^(AG$16-AF$16),INDEX('AEA2012 update'!$AC$6:$AG$104,MATCH($T41&amp;$U41,'AEA2012 update'!$A$6:$A$104&amp;'AEA2012 update'!$B$6:$B$104,0),MATCH(AG$16,'AEA2012 update'!$AC$4:$AG$4,0)))</f>
        <v>2.448155015348267</v>
      </c>
      <c r="AH41" s="67">
        <f t="array" ref="AH41">IF($W$1,AG41*(1+INDEX(AH$1:AH$2,MATCH($O41,$AA$1:$AA$2,0)))^(AH$16-AG$16),INDEX('AEA2012 update'!$AC$6:$AG$104,MATCH($T41&amp;$U41,'AEA2012 update'!$A$6:$A$104&amp;'AEA2012 update'!$B$6:$B$104,0),MATCH(AH$16,'AEA2012 update'!$AC$4:$AG$4,0)))</f>
        <v>2.3284650360483243</v>
      </c>
      <c r="AI41" s="67"/>
      <c r="AJ41" s="257">
        <f t="shared" si="6"/>
        <v>-4.8889869534227979E-3</v>
      </c>
      <c r="AK41" s="257">
        <f t="shared" si="7"/>
        <v>-4.6538602695101192E-3</v>
      </c>
      <c r="AQ41" s="61" t="str">
        <f t="shared" si="8"/>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0:48" x14ac:dyDescent="0.25">
      <c r="N42" s="61" t="s">
        <v>511</v>
      </c>
      <c r="O42" s="61" t="s">
        <v>613</v>
      </c>
      <c r="P42" s="61" t="s">
        <v>61</v>
      </c>
      <c r="Q42" s="61" t="str">
        <f t="shared" si="4"/>
        <v>MBT</v>
      </c>
      <c r="R42" s="61" t="s">
        <v>680</v>
      </c>
      <c r="S42" s="65"/>
      <c r="T42" s="256" t="s">
        <v>701</v>
      </c>
      <c r="U42" s="256" t="s">
        <v>687</v>
      </c>
      <c r="V42" s="103">
        <f t="array" ref="V42">IF(V$18,INDEX('AEA2012 update'!$K$6:$R$104,MATCH($T42&amp;$R42,'AEA2012 update'!$A$6:$A$104&amp;'AEA2012 update'!$B$6:$B$104,0),MATCH(V$16,'AEA2012 update'!$S$4:$Z$4,0)),INDEX('AEA2012 update'!$K$6:$R$104,MATCH($T42&amp;$U42,'AEA2012 update'!$A$6:$A$104&amp;'AEA2012 update'!$B$6:$B$104,0),MATCH(V$16,'AEA2012 update'!$S$4:$Z$4,0)))</f>
        <v>449299.91329948109</v>
      </c>
      <c r="W42" s="103">
        <f t="array" ref="W42">IF(W$18,INDEX('AEA2012 update'!$K$6:$R$104,MATCH($T42&amp;$R42,'AEA2012 update'!$A$6:$A$104&amp;'AEA2012 update'!$B$6:$B$104,0),MATCH(W$16,'AEA2012 update'!$S$4:$Z$4,0)),INDEX('AEA2012 update'!$K$6:$R$104,MATCH($T42&amp;$U42,'AEA2012 update'!$A$6:$A$104&amp;'AEA2012 update'!$B$6:$B$104,0),MATCH(W$16,'AEA2012 update'!$S$4:$Z$4,0)))</f>
        <v>496024.31464990409</v>
      </c>
      <c r="X42" s="103">
        <f t="array" ref="X42">IF(X$18,INDEX('AEA2012 update'!$K$6:$R$104,MATCH($T42&amp;$R42,'AEA2012 update'!$A$6:$A$104&amp;'AEA2012 update'!$B$6:$B$104,0),MATCH(X$16,'AEA2012 update'!$S$4:$Z$4,0)),INDEX('AEA2012 update'!$K$6:$R$104,MATCH($T42&amp;$U42,'AEA2012 update'!$A$6:$A$104&amp;'AEA2012 update'!$B$6:$B$104,0),MATCH(X$16,'AEA2012 update'!$S$4:$Z$4,0)))</f>
        <v>504862.6389695133</v>
      </c>
      <c r="Y42" s="103">
        <f t="array" ref="Y42">IF(Y$18,INDEX('AEA2012 update'!$K$6:$R$104,MATCH($T42&amp;$R42,'AEA2012 update'!$A$6:$A$104&amp;'AEA2012 update'!$B$6:$B$104,0),MATCH(Y$16,'AEA2012 update'!$S$4:$Z$4,0)),INDEX('AEA2012 update'!$K$6:$R$104,MATCH($T42&amp;$U42,'AEA2012 update'!$A$6:$A$104&amp;'AEA2012 update'!$B$6:$B$104,0),MATCH(Y$16,'AEA2012 update'!$S$4:$Z$4,0)))</f>
        <v>363561.36717159278</v>
      </c>
      <c r="Z42" s="103">
        <f t="array" ref="Z42">IF(Z$18,INDEX('AEA2012 update'!$K$6:$R$104,MATCH($T42&amp;$R42,'AEA2012 update'!$A$6:$A$104&amp;'AEA2012 update'!$B$6:$B$104,0),MATCH(Z$16,'AEA2012 update'!$S$4:$Z$4,0)),INDEX('AEA2012 update'!$K$6:$R$104,MATCH($T42&amp;$U42,'AEA2012 update'!$A$6:$A$104&amp;'AEA2012 update'!$B$6:$B$104,0),MATCH(Z$16,'AEA2012 update'!$S$4:$Z$4,0)))</f>
        <v>371500.85823323019</v>
      </c>
      <c r="AA42" s="103">
        <f t="array" ref="AA42">IF(AA$18,INDEX('AEA2012 update'!$K$6:$R$104,MATCH($T42&amp;$R42,'AEA2012 update'!$A$6:$A$104&amp;'AEA2012 update'!$B$6:$B$104,0),MATCH(AA$16,'AEA2012 update'!$S$4:$Z$4,0)),INDEX('AEA2012 update'!$K$6:$R$104,MATCH($T42&amp;$U42,'AEA2012 update'!$A$6:$A$104&amp;'AEA2012 update'!$B$6:$B$104,0),MATCH(AA$16,'AEA2012 update'!$S$4:$Z$4,0)))</f>
        <v>379440.3492948676</v>
      </c>
      <c r="AB42" s="103">
        <f t="array" ref="AB42">IF(AB$18,INDEX('AEA2012 update'!$K$6:$R$104,MATCH($T42&amp;$R42,'AEA2012 update'!$A$6:$A$104&amp;'AEA2012 update'!$B$6:$B$104,0),MATCH(AB$16,'AEA2012 update'!$S$4:$Z$4,0)),INDEX('AEA2012 update'!$K$6:$R$104,MATCH($T42&amp;$U42,'AEA2012 update'!$A$6:$A$104&amp;'AEA2012 update'!$B$6:$B$104,0),MATCH(AB$16,'AEA2012 update'!$S$4:$Z$4,0)))</f>
        <v>387396.22422821133</v>
      </c>
      <c r="AC42" s="103" t="str">
        <f t="shared" si="5"/>
        <v>MBTODS</v>
      </c>
      <c r="AD42" s="67">
        <f t="array" ref="AD42">INDEX('AEA2012 update'!$AC$6:$AG$104,MATCH($T42&amp;$U42,'AEA2012 update'!$A$6:$A$104&amp;'AEA2012 update'!$B$6:$B$104,0),MATCH(AD$16,'AEA2012 update'!$S$4:$Z$4,0))</f>
        <v>2.9031215330752671</v>
      </c>
      <c r="AE42" s="67">
        <f t="array" ref="AE42">IF($W$1,AD42*(1+INDEX(AE$1:AE$2,MATCH($O42,$AA$1:$AA$2,0)))^(AE$16-AD$16),INDEX('AEA2012 update'!$AC$6:$AG$104,MATCH($T42&amp;$U42,'AEA2012 update'!$A$6:$A$104&amp;'AEA2012 update'!$B$6:$B$104,0),MATCH(AE$16,'AEA2012 update'!$AC$4:$AG$4,0)))</f>
        <v>2.7611883000812094</v>
      </c>
      <c r="AF42" s="67">
        <f t="array" ref="AF42">IF($W$1,AE42*(1+INDEX(AF$1:AF$2,MATCH($O42,$AA$1:$AA$2,0)))^(AF$16-AE$16),INDEX('AEA2012 update'!$AC$6:$AG$104,MATCH($T42&amp;$U42,'AEA2012 update'!$A$6:$A$104&amp;'AEA2012 update'!$B$6:$B$104,0),MATCH(AF$16,'AEA2012 update'!$AC$4:$AG$4,0)))</f>
        <v>2.6261941643308022</v>
      </c>
      <c r="AG42" s="67">
        <f t="array" ref="AG42">IF($W$1,AF42*(1+INDEX(AG$1:AG$2,MATCH($O42,$AA$1:$AA$2,0)))^(AG$16-AF$16),INDEX('AEA2012 update'!$AC$6:$AG$104,MATCH($T42&amp;$U42,'AEA2012 update'!$A$6:$A$104&amp;'AEA2012 update'!$B$6:$B$104,0),MATCH(AG$16,'AEA2012 update'!$AC$4:$AG$4,0)))</f>
        <v>2.4977998742651182</v>
      </c>
      <c r="AH42" s="67">
        <f t="array" ref="AH42">IF($W$1,AG42*(1+INDEX(AH$1:AH$2,MATCH($O42,$AA$1:$AA$2,0)))^(AH$16-AG$16),INDEX('AEA2012 update'!$AC$6:$AG$104,MATCH($T42&amp;$U42,'AEA2012 update'!$A$6:$A$104&amp;'AEA2012 update'!$B$6:$B$104,0),MATCH(AH$16,'AEA2012 update'!$AC$4:$AG$4,0)))</f>
        <v>2.3756827642896852</v>
      </c>
      <c r="AI42" s="67"/>
      <c r="AJ42" s="257">
        <f t="shared" si="6"/>
        <v>-4.8889869534227961E-3</v>
      </c>
      <c r="AK42" s="257">
        <f t="shared" si="7"/>
        <v>-4.6538602695101253E-3</v>
      </c>
      <c r="AQ42" s="61" t="str">
        <f t="shared" si="8"/>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0:48" x14ac:dyDescent="0.25">
      <c r="N43" s="61" t="s">
        <v>501</v>
      </c>
      <c r="O43" s="61" t="s">
        <v>613</v>
      </c>
      <c r="P43" s="61" t="s">
        <v>61</v>
      </c>
      <c r="Q43" s="61" t="str">
        <f t="shared" si="4"/>
        <v>MBT</v>
      </c>
      <c r="R43" s="61" t="s">
        <v>680</v>
      </c>
      <c r="S43" s="65"/>
      <c r="T43" s="256" t="s">
        <v>701</v>
      </c>
      <c r="U43" s="256" t="s">
        <v>692</v>
      </c>
      <c r="V43" s="103">
        <f t="array" ref="V43">IF(V$18,INDEX('AEA2012 update'!$K$6:$R$104,MATCH($T43&amp;$R43,'AEA2012 update'!$A$6:$A$104&amp;'AEA2012 update'!$B$6:$B$104,0),MATCH(V$16,'AEA2012 update'!$S$4:$Z$4,0)),INDEX('AEA2012 update'!$K$6:$R$104,MATCH($T43&amp;$U43,'AEA2012 update'!$A$6:$A$104&amp;'AEA2012 update'!$B$6:$B$104,0),MATCH(V$16,'AEA2012 update'!$S$4:$Z$4,0)))</f>
        <v>1200355.9594665694</v>
      </c>
      <c r="W43" s="103">
        <f t="array" ref="W43">IF(W$18,INDEX('AEA2012 update'!$K$6:$R$104,MATCH($T43&amp;$R43,'AEA2012 update'!$A$6:$A$104&amp;'AEA2012 update'!$B$6:$B$104,0),MATCH(W$16,'AEA2012 update'!$S$4:$Z$4,0)),INDEX('AEA2012 update'!$K$6:$R$104,MATCH($T43&amp;$U43,'AEA2012 update'!$A$6:$A$104&amp;'AEA2012 update'!$B$6:$B$104,0),MATCH(W$16,'AEA2012 update'!$S$4:$Z$4,0)))</f>
        <v>820963.00033176108</v>
      </c>
      <c r="X43" s="103">
        <f t="array" ref="X43">IF(X$18,INDEX('AEA2012 update'!$K$6:$R$104,MATCH($T43&amp;$R43,'AEA2012 update'!$A$6:$A$104&amp;'AEA2012 update'!$B$6:$B$104,0),MATCH(X$16,'AEA2012 update'!$S$4:$Z$4,0)),INDEX('AEA2012 update'!$K$6:$R$104,MATCH($T43&amp;$U43,'AEA2012 update'!$A$6:$A$104&amp;'AEA2012 update'!$B$6:$B$104,0),MATCH(X$16,'AEA2012 update'!$S$4:$Z$4,0)))</f>
        <v>755333.69376548787</v>
      </c>
      <c r="Y43" s="103">
        <f t="array" ref="Y43">IF(Y$18,INDEX('AEA2012 update'!$K$6:$R$104,MATCH($T43&amp;$R43,'AEA2012 update'!$A$6:$A$104&amp;'AEA2012 update'!$B$6:$B$104,0),MATCH(Y$16,'AEA2012 update'!$S$4:$Z$4,0)),INDEX('AEA2012 update'!$K$6:$R$104,MATCH($T43&amp;$U43,'AEA2012 update'!$A$6:$A$104&amp;'AEA2012 update'!$B$6:$B$104,0),MATCH(Y$16,'AEA2012 update'!$S$4:$Z$4,0)))</f>
        <v>363561.36717159278</v>
      </c>
      <c r="Z43" s="103">
        <f t="array" ref="Z43">IF(Z$18,INDEX('AEA2012 update'!$K$6:$R$104,MATCH($T43&amp;$R43,'AEA2012 update'!$A$6:$A$104&amp;'AEA2012 update'!$B$6:$B$104,0),MATCH(Z$16,'AEA2012 update'!$S$4:$Z$4,0)),INDEX('AEA2012 update'!$K$6:$R$104,MATCH($T43&amp;$U43,'AEA2012 update'!$A$6:$A$104&amp;'AEA2012 update'!$B$6:$B$104,0),MATCH(Z$16,'AEA2012 update'!$S$4:$Z$4,0)))</f>
        <v>371500.85823323019</v>
      </c>
      <c r="AA43" s="103">
        <f t="array" ref="AA43">IF(AA$18,INDEX('AEA2012 update'!$K$6:$R$104,MATCH($T43&amp;$R43,'AEA2012 update'!$A$6:$A$104&amp;'AEA2012 update'!$B$6:$B$104,0),MATCH(AA$16,'AEA2012 update'!$S$4:$Z$4,0)),INDEX('AEA2012 update'!$K$6:$R$104,MATCH($T43&amp;$U43,'AEA2012 update'!$A$6:$A$104&amp;'AEA2012 update'!$B$6:$B$104,0),MATCH(AA$16,'AEA2012 update'!$S$4:$Z$4,0)))</f>
        <v>379440.3492948676</v>
      </c>
      <c r="AB43" s="103">
        <f t="array" ref="AB43">IF(AB$18,INDEX('AEA2012 update'!$K$6:$R$104,MATCH($T43&amp;$R43,'AEA2012 update'!$A$6:$A$104&amp;'AEA2012 update'!$B$6:$B$104,0),MATCH(AB$16,'AEA2012 update'!$S$4:$Z$4,0)),INDEX('AEA2012 update'!$K$6:$R$104,MATCH($T43&amp;$U43,'AEA2012 update'!$A$6:$A$104&amp;'AEA2012 update'!$B$6:$B$104,0),MATCH(AB$16,'AEA2012 update'!$S$4:$Z$4,0)))</f>
        <v>387396.22422821133</v>
      </c>
      <c r="AC43" s="103" t="str">
        <f t="shared" si="5"/>
        <v>MBTELC</v>
      </c>
      <c r="AD43" s="67">
        <f t="array" ref="AD43">INDEX('AEA2012 update'!$AC$6:$AG$104,MATCH($T43&amp;$U43,'AEA2012 update'!$A$6:$A$104&amp;'AEA2012 update'!$B$6:$B$104,0),MATCH(AD$16,'AEA2012 update'!$S$4:$Z$4,0))</f>
        <v>0.71204570298567482</v>
      </c>
      <c r="AE43" s="67">
        <f t="array" ref="AE43">IF($W$1,AD43*(1+INDEX(AE$1:AE$2,MATCH($O43,$AA$1:$AA$2,0)))^(AE$16-AD$16),INDEX('AEA2012 update'!$AC$6:$AG$104,MATCH($T43&amp;$U43,'AEA2012 update'!$A$6:$A$104&amp;'AEA2012 update'!$B$6:$B$104,0),MATCH(AE$16,'AEA2012 update'!$AC$4:$AG$4,0)))</f>
        <v>0.67723388146429753</v>
      </c>
      <c r="AF43" s="67">
        <f t="array" ref="AF43">IF($W$1,AE43*(1+INDEX(AF$1:AF$2,MATCH($O43,$AA$1:$AA$2,0)))^(AF$16-AE$16),INDEX('AEA2012 update'!$AC$6:$AG$104,MATCH($T43&amp;$U43,'AEA2012 update'!$A$6:$A$104&amp;'AEA2012 update'!$B$6:$B$104,0),MATCH(AF$16,'AEA2012 update'!$AC$4:$AG$4,0)))</f>
        <v>0.64412400535534919</v>
      </c>
      <c r="AG43" s="67">
        <f t="array" ref="AG43">IF($W$1,AF43*(1+INDEX(AG$1:AG$2,MATCH($O43,$AA$1:$AA$2,0)))^(AG$16-AF$16),INDEX('AEA2012 update'!$AC$6:$AG$104,MATCH($T43&amp;$U43,'AEA2012 update'!$A$6:$A$104&amp;'AEA2012 update'!$B$6:$B$104,0),MATCH(AG$16,'AEA2012 update'!$AC$4:$AG$4,0)))</f>
        <v>0.61263286676966178</v>
      </c>
      <c r="AH43" s="67">
        <f t="array" ref="AH43">IF($W$1,AG43*(1+INDEX(AH$1:AH$2,MATCH($O43,$AA$1:$AA$2,0)))^(AH$16-AG$16),INDEX('AEA2012 update'!$AC$6:$AG$104,MATCH($T43&amp;$U43,'AEA2012 update'!$A$6:$A$104&amp;'AEA2012 update'!$B$6:$B$104,0),MATCH(AH$16,'AEA2012 update'!$AC$4:$AG$4,0)))</f>
        <v>0.58268132584091292</v>
      </c>
      <c r="AI43" s="67"/>
      <c r="AJ43" s="257">
        <f t="shared" si="6"/>
        <v>-4.8889869534227996E-3</v>
      </c>
      <c r="AK43" s="257">
        <f t="shared" si="7"/>
        <v>-4.6538602695101201E-3</v>
      </c>
      <c r="AQ43" s="61" t="str">
        <f t="shared" si="8"/>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0:48" x14ac:dyDescent="0.25">
      <c r="N44" s="61" t="s">
        <v>504</v>
      </c>
      <c r="O44" s="61" t="s">
        <v>613</v>
      </c>
      <c r="P44" s="61" t="s">
        <v>61</v>
      </c>
      <c r="Q44" s="61" t="str">
        <f t="shared" si="4"/>
        <v>MBT</v>
      </c>
      <c r="R44" s="61" t="s">
        <v>680</v>
      </c>
      <c r="S44" s="65"/>
      <c r="T44" s="256" t="s">
        <v>701</v>
      </c>
      <c r="U44" s="256" t="s">
        <v>699</v>
      </c>
      <c r="V44" s="103">
        <f t="array" ref="V44">IF(V$18,INDEX('AEA2012 update'!$K$6:$R$104,MATCH($T44&amp;$R44,'AEA2012 update'!$A$6:$A$104&amp;'AEA2012 update'!$B$6:$B$104,0),MATCH(V$16,'AEA2012 update'!$S$4:$Z$4,0)),INDEX('AEA2012 update'!$K$6:$R$104,MATCH($T44&amp;$U44,'AEA2012 update'!$A$6:$A$104&amp;'AEA2012 update'!$B$6:$B$104,0),MATCH(V$16,'AEA2012 update'!$S$4:$Z$4,0)))</f>
        <v>4486535.6914122794</v>
      </c>
      <c r="W44" s="103">
        <f t="array" ref="W44">IF(W$18,INDEX('AEA2012 update'!$K$6:$R$104,MATCH($T44&amp;$R44,'AEA2012 update'!$A$6:$A$104&amp;'AEA2012 update'!$B$6:$B$104,0),MATCH(W$16,'AEA2012 update'!$S$4:$Z$4,0)),INDEX('AEA2012 update'!$K$6:$R$104,MATCH($T44&amp;$U44,'AEA2012 update'!$A$6:$A$104&amp;'AEA2012 update'!$B$6:$B$104,0),MATCH(W$16,'AEA2012 update'!$S$4:$Z$4,0)))</f>
        <v>1793789.1316594642</v>
      </c>
      <c r="X44" s="103">
        <f t="array" ref="X44">IF(X$18,INDEX('AEA2012 update'!$K$6:$R$104,MATCH($T44&amp;$R44,'AEA2012 update'!$A$6:$A$104&amp;'AEA2012 update'!$B$6:$B$104,0),MATCH(X$16,'AEA2012 update'!$S$4:$Z$4,0)),INDEX('AEA2012 update'!$K$6:$R$104,MATCH($T44&amp;$U44,'AEA2012 update'!$A$6:$A$104&amp;'AEA2012 update'!$B$6:$B$104,0),MATCH(X$16,'AEA2012 update'!$S$4:$Z$4,0)))</f>
        <v>1377038.9964110029</v>
      </c>
      <c r="Y44" s="103">
        <f t="array" ref="Y44">IF(Y$18,INDEX('AEA2012 update'!$K$6:$R$104,MATCH($T44&amp;$R44,'AEA2012 update'!$A$6:$A$104&amp;'AEA2012 update'!$B$6:$B$104,0),MATCH(Y$16,'AEA2012 update'!$S$4:$Z$4,0)),INDEX('AEA2012 update'!$K$6:$R$104,MATCH($T44&amp;$U44,'AEA2012 update'!$A$6:$A$104&amp;'AEA2012 update'!$B$6:$B$104,0),MATCH(Y$16,'AEA2012 update'!$S$4:$Z$4,0)))</f>
        <v>363561.36717159278</v>
      </c>
      <c r="Z44" s="103">
        <f t="array" ref="Z44">IF(Z$18,INDEX('AEA2012 update'!$K$6:$R$104,MATCH($T44&amp;$R44,'AEA2012 update'!$A$6:$A$104&amp;'AEA2012 update'!$B$6:$B$104,0),MATCH(Z$16,'AEA2012 update'!$S$4:$Z$4,0)),INDEX('AEA2012 update'!$K$6:$R$104,MATCH($T44&amp;$U44,'AEA2012 update'!$A$6:$A$104&amp;'AEA2012 update'!$B$6:$B$104,0),MATCH(Z$16,'AEA2012 update'!$S$4:$Z$4,0)))</f>
        <v>371500.85823323019</v>
      </c>
      <c r="AA44" s="103">
        <f t="array" ref="AA44">IF(AA$18,INDEX('AEA2012 update'!$K$6:$R$104,MATCH($T44&amp;$R44,'AEA2012 update'!$A$6:$A$104&amp;'AEA2012 update'!$B$6:$B$104,0),MATCH(AA$16,'AEA2012 update'!$S$4:$Z$4,0)),INDEX('AEA2012 update'!$K$6:$R$104,MATCH($T44&amp;$U44,'AEA2012 update'!$A$6:$A$104&amp;'AEA2012 update'!$B$6:$B$104,0),MATCH(AA$16,'AEA2012 update'!$S$4:$Z$4,0)))</f>
        <v>379440.3492948676</v>
      </c>
      <c r="AB44" s="103">
        <f t="array" ref="AB44">IF(AB$18,INDEX('AEA2012 update'!$K$6:$R$104,MATCH($T44&amp;$R44,'AEA2012 update'!$A$6:$A$104&amp;'AEA2012 update'!$B$6:$B$104,0),MATCH(AB$16,'AEA2012 update'!$S$4:$Z$4,0)),INDEX('AEA2012 update'!$K$6:$R$104,MATCH($T44&amp;$U44,'AEA2012 update'!$A$6:$A$104&amp;'AEA2012 update'!$B$6:$B$104,0),MATCH(AB$16,'AEA2012 update'!$S$4:$Z$4,0)))</f>
        <v>387396.22422821133</v>
      </c>
      <c r="AC44" s="103" t="str">
        <f t="shared" si="5"/>
        <v>MBTHGN</v>
      </c>
      <c r="AD44" s="67">
        <f t="array" ref="AD44">INDEX('AEA2012 update'!$AC$6:$AG$104,MATCH($T44&amp;$U44,'AEA2012 update'!$A$6:$A$104&amp;'AEA2012 update'!$B$6:$B$104,0),MATCH(AD$16,'AEA2012 update'!$S$4:$Z$4,0))</f>
        <v>1.4019884160257075</v>
      </c>
      <c r="AE44" s="67">
        <f t="array" ref="AE44">IF($W$1,AD44*(1+INDEX(AE$1:AE$2,MATCH($O44,$AA$1:$AA$2,0)))^(AE$16-AD$16),INDEX('AEA2012 update'!$AC$6:$AG$104,MATCH($T44&amp;$U44,'AEA2012 update'!$A$6:$A$104&amp;'AEA2012 update'!$B$6:$B$104,0),MATCH(AE$16,'AEA2012 update'!$AC$4:$AG$4,0)))</f>
        <v>1.3334453852777115</v>
      </c>
      <c r="AF44" s="67">
        <f t="array" ref="AF44">IF($W$1,AE44*(1+INDEX(AF$1:AF$2,MATCH($O44,$AA$1:$AA$2,0)))^(AF$16-AE$16),INDEX('AEA2012 update'!$AC$6:$AG$104,MATCH($T44&amp;$U44,'AEA2012 update'!$A$6:$A$104&amp;'AEA2012 update'!$B$6:$B$104,0),MATCH(AF$16,'AEA2012 update'!$AC$4:$AG$4,0)))</f>
        <v>1.2682534143604658</v>
      </c>
      <c r="AG44" s="67">
        <f t="array" ref="AG44">IF($W$1,AF44*(1+INDEX(AG$1:AG$2,MATCH($O44,$AA$1:$AA$2,0)))^(AG$16-AF$16),INDEX('AEA2012 update'!$AC$6:$AG$104,MATCH($T44&amp;$U44,'AEA2012 update'!$A$6:$A$104&amp;'AEA2012 update'!$B$6:$B$104,0),MATCH(AG$16,'AEA2012 update'!$AC$4:$AG$4,0)))</f>
        <v>1.2062486703960433</v>
      </c>
      <c r="AH44" s="67">
        <f t="array" ref="AH44">IF($W$1,AG44*(1+INDEX(AH$1:AH$2,MATCH($O44,$AA$1:$AA$2,0)))^(AH$16-AG$16),INDEX('AEA2012 update'!$AC$6:$AG$104,MATCH($T44&amp;$U44,'AEA2012 update'!$A$6:$A$104&amp;'AEA2012 update'!$B$6:$B$104,0),MATCH(AH$16,'AEA2012 update'!$AC$4:$AG$4,0)))</f>
        <v>1.1472753302745446</v>
      </c>
      <c r="AI44" s="67"/>
      <c r="AJ44" s="257">
        <f t="shared" si="6"/>
        <v>-4.88898695342281E-3</v>
      </c>
      <c r="AK44" s="257">
        <f t="shared" si="7"/>
        <v>-4.6538602695101244E-3</v>
      </c>
      <c r="AQ44" s="61" t="str">
        <f t="shared" si="8"/>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0:48" x14ac:dyDescent="0.25">
      <c r="N45" s="61" t="s">
        <v>509</v>
      </c>
      <c r="O45" s="61" t="s">
        <v>613</v>
      </c>
      <c r="P45" s="61" t="s">
        <v>61</v>
      </c>
      <c r="Q45" s="61" t="str">
        <f t="shared" si="4"/>
        <v>MBT</v>
      </c>
      <c r="R45" s="61" t="s">
        <v>680</v>
      </c>
      <c r="S45" s="65"/>
      <c r="T45" s="256" t="s">
        <v>701</v>
      </c>
      <c r="U45" s="256" t="s">
        <v>700</v>
      </c>
      <c r="V45" s="103">
        <f t="array" ref="V45">IF(V$18,INDEX('AEA2012 update'!$K$6:$R$104,MATCH($T45&amp;$R45,'AEA2012 update'!$A$6:$A$104&amp;'AEA2012 update'!$B$6:$B$104,0),MATCH(V$16,'AEA2012 update'!$S$4:$Z$4,0)),INDEX('AEA2012 update'!$K$6:$R$104,MATCH($T45&amp;$U45,'AEA2012 update'!$A$6:$A$104&amp;'AEA2012 update'!$B$6:$B$104,0),MATCH(V$16,'AEA2012 update'!$S$4:$Z$4,0)))</f>
        <v>519120.41439989489</v>
      </c>
      <c r="W45" s="103">
        <f t="array" ref="W45">IF(W$18,INDEX('AEA2012 update'!$K$6:$R$104,MATCH($T45&amp;$R45,'AEA2012 update'!$A$6:$A$104&amp;'AEA2012 update'!$B$6:$B$104,0),MATCH(W$16,'AEA2012 update'!$S$4:$Z$4,0)),INDEX('AEA2012 update'!$K$6:$R$104,MATCH($T45&amp;$U45,'AEA2012 update'!$A$6:$A$104&amp;'AEA2012 update'!$B$6:$B$104,0),MATCH(W$16,'AEA2012 update'!$S$4:$Z$4,0)))</f>
        <v>545626.74611489451</v>
      </c>
      <c r="X45" s="103">
        <f t="array" ref="X45">IF(X$18,INDEX('AEA2012 update'!$K$6:$R$104,MATCH($T45&amp;$R45,'AEA2012 update'!$A$6:$A$104&amp;'AEA2012 update'!$B$6:$B$104,0),MATCH(X$16,'AEA2012 update'!$S$4:$Z$4,0)),INDEX('AEA2012 update'!$K$6:$R$104,MATCH($T45&amp;$U45,'AEA2012 update'!$A$6:$A$104&amp;'AEA2012 update'!$B$6:$B$104,0),MATCH(X$16,'AEA2012 update'!$S$4:$Z$4,0)))</f>
        <v>551370.12411759188</v>
      </c>
      <c r="Y45" s="103">
        <f t="array" ref="Y45">IF(Y$18,INDEX('AEA2012 update'!$K$6:$R$104,MATCH($T45&amp;$R45,'AEA2012 update'!$A$6:$A$104&amp;'AEA2012 update'!$B$6:$B$104,0),MATCH(Y$16,'AEA2012 update'!$S$4:$Z$4,0)),INDEX('AEA2012 update'!$K$6:$R$104,MATCH($T45&amp;$U45,'AEA2012 update'!$A$6:$A$104&amp;'AEA2012 update'!$B$6:$B$104,0),MATCH(Y$16,'AEA2012 update'!$S$4:$Z$4,0)))</f>
        <v>363561.36717159278</v>
      </c>
      <c r="Z45" s="103">
        <f t="array" ref="Z45">IF(Z$18,INDEX('AEA2012 update'!$K$6:$R$104,MATCH($T45&amp;$R45,'AEA2012 update'!$A$6:$A$104&amp;'AEA2012 update'!$B$6:$B$104,0),MATCH(Z$16,'AEA2012 update'!$S$4:$Z$4,0)),INDEX('AEA2012 update'!$K$6:$R$104,MATCH($T45&amp;$U45,'AEA2012 update'!$A$6:$A$104&amp;'AEA2012 update'!$B$6:$B$104,0),MATCH(Z$16,'AEA2012 update'!$S$4:$Z$4,0)))</f>
        <v>371500.85823323019</v>
      </c>
      <c r="AA45" s="103">
        <f t="array" ref="AA45">IF(AA$18,INDEX('AEA2012 update'!$K$6:$R$104,MATCH($T45&amp;$R45,'AEA2012 update'!$A$6:$A$104&amp;'AEA2012 update'!$B$6:$B$104,0),MATCH(AA$16,'AEA2012 update'!$S$4:$Z$4,0)),INDEX('AEA2012 update'!$K$6:$R$104,MATCH($T45&amp;$U45,'AEA2012 update'!$A$6:$A$104&amp;'AEA2012 update'!$B$6:$B$104,0),MATCH(AA$16,'AEA2012 update'!$S$4:$Z$4,0)))</f>
        <v>379440.3492948676</v>
      </c>
      <c r="AB45" s="103">
        <f t="array" ref="AB45">IF(AB$18,INDEX('AEA2012 update'!$K$6:$R$104,MATCH($T45&amp;$R45,'AEA2012 update'!$A$6:$A$104&amp;'AEA2012 update'!$B$6:$B$104,0),MATCH(AB$16,'AEA2012 update'!$S$4:$Z$4,0)),INDEX('AEA2012 update'!$K$6:$R$104,MATCH($T45&amp;$U45,'AEA2012 update'!$A$6:$A$104&amp;'AEA2012 update'!$B$6:$B$104,0),MATCH(AB$16,'AEA2012 update'!$S$4:$Z$4,0)))</f>
        <v>387396.22422821133</v>
      </c>
      <c r="AC45" s="103" t="str">
        <f t="shared" si="5"/>
        <v>MBTGAS</v>
      </c>
      <c r="AD45" s="67">
        <f t="array" ref="AD45">INDEX('AEA2012 update'!$AC$6:$AG$104,MATCH($T45&amp;$U45,'AEA2012 update'!$A$6:$A$104&amp;'AEA2012 update'!$B$6:$B$104,0),MATCH(AD$16,'AEA2012 update'!$S$4:$Z$4,0))</f>
        <v>3.3385897630365569</v>
      </c>
      <c r="AE45" s="67">
        <f t="array" ref="AE45">IF($W$1,AD45*(1+INDEX(AE$1:AE$2,MATCH($O45,$AA$1:$AA$2,0)))^(AE$16-AD$16),INDEX('AEA2012 update'!$AC$6:$AG$104,MATCH($T45&amp;$U45,'AEA2012 update'!$A$6:$A$104&amp;'AEA2012 update'!$B$6:$B$104,0),MATCH(AE$16,'AEA2012 update'!$AC$4:$AG$4,0)))</f>
        <v>3.1753665450933903</v>
      </c>
      <c r="AF45" s="67">
        <f t="array" ref="AF45">IF($W$1,AE45*(1+INDEX(AF$1:AF$2,MATCH($O45,$AA$1:$AA$2,0)))^(AF$16-AE$16),INDEX('AEA2012 update'!$AC$6:$AG$104,MATCH($T45&amp;$U45,'AEA2012 update'!$A$6:$A$104&amp;'AEA2012 update'!$B$6:$B$104,0),MATCH(AF$16,'AEA2012 update'!$AC$4:$AG$4,0)))</f>
        <v>3.0201232889804221</v>
      </c>
      <c r="AG45" s="67">
        <f t="array" ref="AG45">IF($W$1,AF45*(1+INDEX(AG$1:AG$2,MATCH($O45,$AA$1:$AA$2,0)))^(AG$16-AF$16),INDEX('AEA2012 update'!$AC$6:$AG$104,MATCH($T45&amp;$U45,'AEA2012 update'!$A$6:$A$104&amp;'AEA2012 update'!$B$6:$B$104,0),MATCH(AG$16,'AEA2012 update'!$AC$4:$AG$4,0)))</f>
        <v>2.8724698554048858</v>
      </c>
      <c r="AH45" s="67">
        <f t="array" ref="AH45">IF($W$1,AG45*(1+INDEX(AH$1:AH$2,MATCH($O45,$AA$1:$AA$2,0)))^(AH$16-AG$16),INDEX('AEA2012 update'!$AC$6:$AG$104,MATCH($T45&amp;$U45,'AEA2012 update'!$A$6:$A$104&amp;'AEA2012 update'!$B$6:$B$104,0),MATCH(AH$16,'AEA2012 update'!$AC$4:$AG$4,0)))</f>
        <v>2.7320351789331379</v>
      </c>
      <c r="AI45" s="67"/>
      <c r="AJ45" s="257">
        <f t="shared" si="6"/>
        <v>-4.8889869534228022E-3</v>
      </c>
      <c r="AK45" s="257">
        <f t="shared" si="7"/>
        <v>-4.6538602695101218E-3</v>
      </c>
      <c r="AQ45" s="61" t="str">
        <f t="shared" si="8"/>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0:48" x14ac:dyDescent="0.25">
      <c r="O46" s="61" t="s">
        <v>613</v>
      </c>
      <c r="Q46" s="61" t="str">
        <f t="shared" si="4"/>
        <v/>
      </c>
      <c r="S46" s="65"/>
      <c r="T46" s="256"/>
      <c r="U46" s="260"/>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5"/>
        <v/>
      </c>
      <c r="AD46" s="67" t="e">
        <f t="array" ref="AD46">INDEX('AEA2012 update'!$AC$6:$AG$104,MATCH($T46&amp;$U46,'AEA2012 update'!$A$6:$A$104&amp;'AEA2012 update'!$B$6:$B$104,0),MATCH(AD$16,'AEA2012 update'!$S$4:$Z$4,0))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57" t="e">
        <f t="shared" si="6"/>
        <v>#N/A</v>
      </c>
      <c r="AK46" s="257" t="e">
        <f t="shared" si="7"/>
        <v>#N/A</v>
      </c>
      <c r="AQ46" s="61" t="str">
        <f t="shared" si="8"/>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0:48" x14ac:dyDescent="0.25">
      <c r="N47" s="61" t="s">
        <v>573</v>
      </c>
      <c r="O47" s="61" t="s">
        <v>613</v>
      </c>
      <c r="P47" s="61" t="s">
        <v>714</v>
      </c>
      <c r="Q47" s="61" t="str">
        <f t="shared" si="4"/>
        <v>MOT</v>
      </c>
      <c r="R47" s="61" t="s">
        <v>680</v>
      </c>
      <c r="S47" s="65"/>
      <c r="T47" s="256" t="s">
        <v>715</v>
      </c>
      <c r="U47" s="256" t="s">
        <v>680</v>
      </c>
      <c r="V47" s="103">
        <f t="array" ref="V47">IF(V$18,INDEX('AEA2012 update'!$K$6:$R$104,MATCH($T47&amp;$R47,'AEA2012 update'!$A$6:$A$104&amp;'AEA2012 update'!$B$6:$B$104,0),MATCH(V$16,'AEA2012 update'!$S$4:$Z$4,0)),INDEX('AEA2012 update'!$K$6:$R$104,MATCH($T47&amp;$U47,'AEA2012 update'!$A$6:$A$104&amp;'AEA2012 update'!$B$6:$B$104,0),MATCH(V$16,'AEA2012 update'!$S$4:$Z$4,0)))</f>
        <v>96467.645499958366</v>
      </c>
      <c r="W47" s="103">
        <f t="array" ref="W47">IF(W$18,INDEX('AEA2012 update'!$K$6:$R$104,MATCH($T47&amp;$R47,'AEA2012 update'!$A$6:$A$104&amp;'AEA2012 update'!$B$6:$B$104,0),MATCH(W$16,'AEA2012 update'!$S$4:$Z$4,0)),INDEX('AEA2012 update'!$K$6:$R$104,MATCH($T47&amp;$U47,'AEA2012 update'!$A$6:$A$104&amp;'AEA2012 update'!$B$6:$B$104,0),MATCH(W$16,'AEA2012 update'!$S$4:$Z$4,0)))</f>
        <v>100952.58236707702</v>
      </c>
      <c r="X47" s="103">
        <f t="array" ref="X47">IF(X$18,INDEX('AEA2012 update'!$K$6:$R$104,MATCH($T47&amp;$R47,'AEA2012 update'!$A$6:$A$104&amp;'AEA2012 update'!$B$6:$B$104,0),MATCH(X$16,'AEA2012 update'!$S$4:$Z$4,0)),INDEX('AEA2012 update'!$K$6:$R$104,MATCH($T47&amp;$U47,'AEA2012 update'!$A$6:$A$104&amp;'AEA2012 update'!$B$6:$B$104,0),MATCH(X$16,'AEA2012 update'!$S$4:$Z$4,0)))</f>
        <v>102362.83931314477</v>
      </c>
      <c r="Y47" s="103">
        <f t="array" ref="Y47">IF(Y$18,INDEX('AEA2012 update'!$K$6:$R$104,MATCH($T47&amp;$R47,'AEA2012 update'!$A$6:$A$104&amp;'AEA2012 update'!$B$6:$B$104,0),MATCH(Y$16,'AEA2012 update'!$S$4:$Z$4,0)),INDEX('AEA2012 update'!$K$6:$R$104,MATCH($T47&amp;$U47,'AEA2012 update'!$A$6:$A$104&amp;'AEA2012 update'!$B$6:$B$104,0),MATCH(Y$16,'AEA2012 update'!$S$4:$Z$4,0)))</f>
        <v>103773.09625921253</v>
      </c>
      <c r="Z47" s="103">
        <f t="array" ref="Z47">IF(Z$18,INDEX('AEA2012 update'!$K$6:$R$104,MATCH($T47&amp;$R47,'AEA2012 update'!$A$6:$A$104&amp;'AEA2012 update'!$B$6:$B$104,0),MATCH(Z$16,'AEA2012 update'!$S$4:$Z$4,0)),INDEX('AEA2012 update'!$K$6:$R$104,MATCH($T47&amp;$U47,'AEA2012 update'!$A$6:$A$104&amp;'AEA2012 update'!$B$6:$B$104,0),MATCH(Z$16,'AEA2012 update'!$S$4:$Z$4,0)))</f>
        <v>105377.19050256097</v>
      </c>
      <c r="AA47" s="103">
        <f t="array" ref="AA47">IF(AA$18,INDEX('AEA2012 update'!$K$6:$R$104,MATCH($T47&amp;$R47,'AEA2012 update'!$A$6:$A$104&amp;'AEA2012 update'!$B$6:$B$104,0),MATCH(AA$16,'AEA2012 update'!$S$4:$Z$4,0)),INDEX('AEA2012 update'!$K$6:$R$104,MATCH($T47&amp;$U47,'AEA2012 update'!$A$6:$A$104&amp;'AEA2012 update'!$B$6:$B$104,0),MATCH(AA$16,'AEA2012 update'!$S$4:$Z$4,0)))</f>
        <v>106981.2847459094</v>
      </c>
      <c r="AB47" s="103">
        <f t="array" ref="AB47">IF(AB$18,INDEX('AEA2012 update'!$K$6:$R$104,MATCH($T47&amp;$R47,'AEA2012 update'!$A$6:$A$104&amp;'AEA2012 update'!$B$6:$B$104,0),MATCH(AB$16,'AEA2012 update'!$S$4:$Z$4,0)),INDEX('AEA2012 update'!$K$6:$R$104,MATCH($T47&amp;$U47,'AEA2012 update'!$A$6:$A$104&amp;'AEA2012 update'!$B$6:$B$104,0),MATCH(AB$16,'AEA2012 update'!$S$4:$Z$4,0)))</f>
        <v>108464.33187891265</v>
      </c>
      <c r="AC47" s="103" t="str">
        <f t="shared" si="5"/>
        <v>MOTOGS</v>
      </c>
      <c r="AD47" s="67">
        <f t="array" ref="AD47">INDEX('AEA2012 update'!$AC$6:$AG$104,MATCH($T47&amp;$U47,'AEA2012 update'!$A$6:$A$104&amp;'AEA2012 update'!$B$6:$B$104,0),MATCH(AD$16,'AEA2012 update'!$S$4:$Z$4,0))</f>
        <v>1.6564224548036226</v>
      </c>
      <c r="AE47" s="67">
        <f t="array" ref="AE47">IF($W$1,AD47*(1+INDEX(AE$1:AE$2,MATCH($O47,$AA$1:$AA$2,0)))^(AE$16-AD$16),INDEX('AEA2012 update'!$AC$6:$AG$104,MATCH($T47&amp;$U47,'AEA2012 update'!$A$6:$A$104&amp;'AEA2012 update'!$B$6:$B$104,0),MATCH(AE$16,'AEA2012 update'!$AC$4:$AG$4,0)))</f>
        <v>1.5754401770947077</v>
      </c>
      <c r="AF47" s="67">
        <f t="array" ref="AF47">IF($W$1,AE47*(1+INDEX(AF$1:AF$2,MATCH($O47,$AA$1:$AA$2,0)))^(AF$16-AE$16),INDEX('AEA2012 update'!$AC$6:$AG$104,MATCH($T47&amp;$U47,'AEA2012 update'!$A$6:$A$104&amp;'AEA2012 update'!$B$6:$B$104,0),MATCH(AF$16,'AEA2012 update'!$AC$4:$AG$4,0)))</f>
        <v>1.4984171123775665</v>
      </c>
      <c r="AG47" s="67">
        <f t="array" ref="AG47">IF($W$1,AF47*(1+INDEX(AG$1:AG$2,MATCH($O47,$AA$1:$AA$2,0)))^(AG$16-AF$16),INDEX('AEA2012 update'!$AC$6:$AG$104,MATCH($T47&amp;$U47,'AEA2012 update'!$A$6:$A$104&amp;'AEA2012 update'!$B$6:$B$104,0),MATCH(AG$16,'AEA2012 update'!$AC$4:$AG$4,0)))</f>
        <v>1.4251596952455725</v>
      </c>
      <c r="AH47" s="67">
        <f t="array" ref="AH47">IF($W$1,AG47*(1+INDEX(AH$1:AH$2,MATCH($O47,$AA$1:$AA$2,0)))^(AH$16-AG$16),INDEX('AEA2012 update'!$AC$6:$AG$104,MATCH($T47&amp;$U47,'AEA2012 update'!$A$6:$A$104&amp;'AEA2012 update'!$B$6:$B$104,0),MATCH(AH$16,'AEA2012 update'!$AC$4:$AG$4,0)))</f>
        <v>1.3554838236795763</v>
      </c>
      <c r="AI47" s="67"/>
      <c r="AJ47" s="257">
        <f t="shared" si="6"/>
        <v>-4.8889869534228039E-3</v>
      </c>
      <c r="AK47" s="257">
        <f t="shared" si="7"/>
        <v>-4.6538602695101201E-3</v>
      </c>
      <c r="AQ47" s="61" t="str">
        <f t="shared" si="8"/>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0:48" x14ac:dyDescent="0.25">
      <c r="N48" s="61" t="s">
        <v>511</v>
      </c>
      <c r="O48" s="61" t="s">
        <v>613</v>
      </c>
      <c r="P48" s="61" t="s">
        <v>714</v>
      </c>
      <c r="Q48" s="61" t="str">
        <f t="shared" si="4"/>
        <v>MOT</v>
      </c>
      <c r="R48" s="61" t="s">
        <v>680</v>
      </c>
      <c r="S48" s="65"/>
      <c r="T48" s="256" t="s">
        <v>715</v>
      </c>
      <c r="U48" s="256" t="s">
        <v>688</v>
      </c>
      <c r="V48" s="103">
        <f t="array" ref="V48">IF(V$18,INDEX('AEA2012 update'!$K$6:$R$104,MATCH($T48&amp;$R48,'AEA2012 update'!$A$6:$A$104&amp;'AEA2012 update'!$B$6:$B$104,0),MATCH(V$16,'AEA2012 update'!$S$4:$Z$4,0)),INDEX('AEA2012 update'!$K$6:$R$104,MATCH($T48&amp;$U48,'AEA2012 update'!$A$6:$A$104&amp;'AEA2012 update'!$B$6:$B$104,0),MATCH(V$16,'AEA2012 update'!$S$4:$Z$4,0)))</f>
        <v>202427.5003038717</v>
      </c>
      <c r="W48" s="103">
        <f t="array" ref="W48">IF(W$18,INDEX('AEA2012 update'!$K$6:$R$104,MATCH($T48&amp;$R48,'AEA2012 update'!$A$6:$A$104&amp;'AEA2012 update'!$B$6:$B$104,0),MATCH(W$16,'AEA2012 update'!$S$4:$Z$4,0)),INDEX('AEA2012 update'!$K$6:$R$104,MATCH($T48&amp;$U48,'AEA2012 update'!$A$6:$A$104&amp;'AEA2012 update'!$B$6:$B$104,0),MATCH(W$16,'AEA2012 update'!$S$4:$Z$4,0)))</f>
        <v>184982.86079099006</v>
      </c>
      <c r="X48" s="103">
        <f t="array" ref="X48">IF(X$18,INDEX('AEA2012 update'!$K$6:$R$104,MATCH($T48&amp;$R48,'AEA2012 update'!$A$6:$A$104&amp;'AEA2012 update'!$B$6:$B$104,0),MATCH(X$16,'AEA2012 update'!$S$4:$Z$4,0)),INDEX('AEA2012 update'!$K$6:$R$104,MATCH($T48&amp;$U48,'AEA2012 update'!$A$6:$A$104&amp;'AEA2012 update'!$B$6:$B$104,0),MATCH(X$16,'AEA2012 update'!$S$4:$Z$4,0)))</f>
        <v>182001.73414443681</v>
      </c>
      <c r="Y48" s="103">
        <f t="array" ref="Y48">IF(Y$18,INDEX('AEA2012 update'!$K$6:$R$104,MATCH($T48&amp;$R48,'AEA2012 update'!$A$6:$A$104&amp;'AEA2012 update'!$B$6:$B$104,0),MATCH(Y$16,'AEA2012 update'!$S$4:$Z$4,0)),INDEX('AEA2012 update'!$K$6:$R$104,MATCH($T48&amp;$U48,'AEA2012 update'!$A$6:$A$104&amp;'AEA2012 update'!$B$6:$B$104,0),MATCH(Y$16,'AEA2012 update'!$S$4:$Z$4,0)))</f>
        <v>103773.09625921253</v>
      </c>
      <c r="Z48" s="103">
        <f t="array" ref="Z48">IF(Z$18,INDEX('AEA2012 update'!$K$6:$R$104,MATCH($T48&amp;$R48,'AEA2012 update'!$A$6:$A$104&amp;'AEA2012 update'!$B$6:$B$104,0),MATCH(Z$16,'AEA2012 update'!$S$4:$Z$4,0)),INDEX('AEA2012 update'!$K$6:$R$104,MATCH($T48&amp;$U48,'AEA2012 update'!$A$6:$A$104&amp;'AEA2012 update'!$B$6:$B$104,0),MATCH(Z$16,'AEA2012 update'!$S$4:$Z$4,0)))</f>
        <v>105377.19050256097</v>
      </c>
      <c r="AA48" s="103">
        <f t="array" ref="AA48">IF(AA$18,INDEX('AEA2012 update'!$K$6:$R$104,MATCH($T48&amp;$R48,'AEA2012 update'!$A$6:$A$104&amp;'AEA2012 update'!$B$6:$B$104,0),MATCH(AA$16,'AEA2012 update'!$S$4:$Z$4,0)),INDEX('AEA2012 update'!$K$6:$R$104,MATCH($T48&amp;$U48,'AEA2012 update'!$A$6:$A$104&amp;'AEA2012 update'!$B$6:$B$104,0),MATCH(AA$16,'AEA2012 update'!$S$4:$Z$4,0)))</f>
        <v>106981.2847459094</v>
      </c>
      <c r="AB48" s="103">
        <f t="array" ref="AB48">IF(AB$18,INDEX('AEA2012 update'!$K$6:$R$104,MATCH($T48&amp;$R48,'AEA2012 update'!$A$6:$A$104&amp;'AEA2012 update'!$B$6:$B$104,0),MATCH(AB$16,'AEA2012 update'!$S$4:$Z$4,0)),INDEX('AEA2012 update'!$K$6:$R$104,MATCH($T48&amp;$U48,'AEA2012 update'!$A$6:$A$104&amp;'AEA2012 update'!$B$6:$B$104,0),MATCH(AB$16,'AEA2012 update'!$S$4:$Z$4,0)))</f>
        <v>108464.33187891265</v>
      </c>
      <c r="AC48" s="103" t="str">
        <f t="shared" si="5"/>
        <v>MOTODS</v>
      </c>
      <c r="AD48" s="67">
        <f t="array" ref="AD48">INDEX('AEA2012 update'!$AC$6:$AG$104,MATCH($T48&amp;$U48,'AEA2012 update'!$A$6:$A$104&amp;'AEA2012 update'!$B$6:$B$104,0),MATCH(AD$16,'AEA2012 update'!$S$4:$Z$4,0))</f>
        <v>1.242316841102717</v>
      </c>
      <c r="AE48" s="67">
        <f t="array" ref="AE48">IF($W$1,AD48*(1+INDEX(AE$1:AE$2,MATCH($O48,$AA$1:$AA$2,0)))^(AE$16-AD$16),INDEX('AEA2012 update'!$AC$6:$AG$104,MATCH($T48&amp;$U48,'AEA2012 update'!$A$6:$A$104&amp;'AEA2012 update'!$B$6:$B$104,0),MATCH(AE$16,'AEA2012 update'!$AC$4:$AG$4,0)))</f>
        <v>1.1815801328210309</v>
      </c>
      <c r="AF48" s="67">
        <f t="array" ref="AF48">IF($W$1,AE48*(1+INDEX(AF$1:AF$2,MATCH($O48,$AA$1:$AA$2,0)))^(AF$16-AE$16),INDEX('AEA2012 update'!$AC$6:$AG$104,MATCH($T48&amp;$U48,'AEA2012 update'!$A$6:$A$104&amp;'AEA2012 update'!$B$6:$B$104,0),MATCH(AF$16,'AEA2012 update'!$AC$4:$AG$4,0)))</f>
        <v>1.1238128342831748</v>
      </c>
      <c r="AG48" s="67">
        <f t="array" ref="AG48">IF($W$1,AF48*(1+INDEX(AG$1:AG$2,MATCH($O48,$AA$1:$AA$2,0)))^(AG$16-AF$16),INDEX('AEA2012 update'!$AC$6:$AG$104,MATCH($T48&amp;$U48,'AEA2012 update'!$A$6:$A$104&amp;'AEA2012 update'!$B$6:$B$104,0),MATCH(AG$16,'AEA2012 update'!$AC$4:$AG$4,0)))</f>
        <v>1.0688697714341793</v>
      </c>
      <c r="AH48" s="67">
        <f t="array" ref="AH48">IF($W$1,AG48*(1+INDEX(AH$1:AH$2,MATCH($O48,$AA$1:$AA$2,0)))^(AH$16-AG$16),INDEX('AEA2012 update'!$AC$6:$AG$104,MATCH($T48&amp;$U48,'AEA2012 update'!$A$6:$A$104&amp;'AEA2012 update'!$B$6:$B$104,0),MATCH(AH$16,'AEA2012 update'!$AC$4:$AG$4,0)))</f>
        <v>1.0166128677596822</v>
      </c>
      <c r="AI48" s="67"/>
      <c r="AJ48" s="257">
        <f t="shared" si="6"/>
        <v>-4.8889869534227996E-3</v>
      </c>
      <c r="AK48" s="257">
        <f t="shared" si="7"/>
        <v>-4.6538602695101244E-3</v>
      </c>
      <c r="AQ48" s="61" t="str">
        <f t="shared" si="8"/>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1:49" x14ac:dyDescent="0.25">
      <c r="N49" s="61" t="s">
        <v>501</v>
      </c>
      <c r="O49" s="61" t="s">
        <v>613</v>
      </c>
      <c r="P49" s="61" t="s">
        <v>714</v>
      </c>
      <c r="Q49" s="61" t="str">
        <f t="shared" si="4"/>
        <v>MOT</v>
      </c>
      <c r="R49" s="61" t="s">
        <v>680</v>
      </c>
      <c r="S49"/>
      <c r="T49" s="256" t="s">
        <v>715</v>
      </c>
      <c r="U49" s="256" t="s">
        <v>692</v>
      </c>
      <c r="V49" s="103">
        <f t="array" ref="V49">IF(V$18,INDEX('AEA2012 update'!$K$6:$R$104,MATCH($T49&amp;$R49,'AEA2012 update'!$A$6:$A$104&amp;'AEA2012 update'!$B$6:$B$104,0),MATCH(V$16,'AEA2012 update'!$S$4:$Z$4,0)),INDEX('AEA2012 update'!$K$6:$R$104,MATCH($T49&amp;$U49,'AEA2012 update'!$A$6:$A$104&amp;'AEA2012 update'!$B$6:$B$104,0),MATCH(V$16,'AEA2012 update'!$S$4:$Z$4,0)))</f>
        <v>333949.83416192123</v>
      </c>
      <c r="W49" s="103">
        <f t="array" ref="W49">IF(W$18,INDEX('AEA2012 update'!$K$6:$R$104,MATCH($T49&amp;$R49,'AEA2012 update'!$A$6:$A$104&amp;'AEA2012 update'!$B$6:$B$104,0),MATCH(W$16,'AEA2012 update'!$S$4:$Z$4,0)),INDEX('AEA2012 update'!$K$6:$R$104,MATCH($T49&amp;$U49,'AEA2012 update'!$A$6:$A$104&amp;'AEA2012 update'!$B$6:$B$104,0),MATCH(W$16,'AEA2012 update'!$S$4:$Z$4,0)))</f>
        <v>266555.63128707331</v>
      </c>
      <c r="X49" s="103">
        <f t="array" ref="X49">IF(X$18,INDEX('AEA2012 update'!$K$6:$R$104,MATCH($T49&amp;$R49,'AEA2012 update'!$A$6:$A$104&amp;'AEA2012 update'!$B$6:$B$104,0),MATCH(X$16,'AEA2012 update'!$S$4:$Z$4,0)),INDEX('AEA2012 update'!$K$6:$R$104,MATCH($T49&amp;$U49,'AEA2012 update'!$A$6:$A$104&amp;'AEA2012 update'!$B$6:$B$104,0),MATCH(X$16,'AEA2012 update'!$S$4:$Z$4,0)))</f>
        <v>251835.85109009614</v>
      </c>
      <c r="Y49" s="103">
        <f t="array" ref="Y49">IF(Y$18,INDEX('AEA2012 update'!$K$6:$R$104,MATCH($T49&amp;$R49,'AEA2012 update'!$A$6:$A$104&amp;'AEA2012 update'!$B$6:$B$104,0),MATCH(Y$16,'AEA2012 update'!$S$4:$Z$4,0)),INDEX('AEA2012 update'!$K$6:$R$104,MATCH($T49&amp;$U49,'AEA2012 update'!$A$6:$A$104&amp;'AEA2012 update'!$B$6:$B$104,0),MATCH(Y$16,'AEA2012 update'!$S$4:$Z$4,0)))</f>
        <v>103773.09625921253</v>
      </c>
      <c r="Z49" s="103">
        <f t="array" ref="Z49">IF(Z$18,INDEX('AEA2012 update'!$K$6:$R$104,MATCH($T49&amp;$R49,'AEA2012 update'!$A$6:$A$104&amp;'AEA2012 update'!$B$6:$B$104,0),MATCH(Z$16,'AEA2012 update'!$S$4:$Z$4,0)),INDEX('AEA2012 update'!$K$6:$R$104,MATCH($T49&amp;$U49,'AEA2012 update'!$A$6:$A$104&amp;'AEA2012 update'!$B$6:$B$104,0),MATCH(Z$16,'AEA2012 update'!$S$4:$Z$4,0)))</f>
        <v>105377.19050256097</v>
      </c>
      <c r="AA49" s="103">
        <f t="array" ref="AA49">IF(AA$18,INDEX('AEA2012 update'!$K$6:$R$104,MATCH($T49&amp;$R49,'AEA2012 update'!$A$6:$A$104&amp;'AEA2012 update'!$B$6:$B$104,0),MATCH(AA$16,'AEA2012 update'!$S$4:$Z$4,0)),INDEX('AEA2012 update'!$K$6:$R$104,MATCH($T49&amp;$U49,'AEA2012 update'!$A$6:$A$104&amp;'AEA2012 update'!$B$6:$B$104,0),MATCH(AA$16,'AEA2012 update'!$S$4:$Z$4,0)))</f>
        <v>106981.2847459094</v>
      </c>
      <c r="AB49" s="103">
        <f t="array" ref="AB49">IF(AB$18,INDEX('AEA2012 update'!$K$6:$R$104,MATCH($T49&amp;$R49,'AEA2012 update'!$A$6:$A$104&amp;'AEA2012 update'!$B$6:$B$104,0),MATCH(AB$16,'AEA2012 update'!$S$4:$Z$4,0)),INDEX('AEA2012 update'!$K$6:$R$104,MATCH($T49&amp;$U49,'AEA2012 update'!$A$6:$A$104&amp;'AEA2012 update'!$B$6:$B$104,0),MATCH(AB$16,'AEA2012 update'!$S$4:$Z$4,0)))</f>
        <v>108464.33187891265</v>
      </c>
      <c r="AC49" s="103" t="str">
        <f t="shared" si="5"/>
        <v>MOTELC</v>
      </c>
      <c r="AD49" s="67">
        <f t="array" ref="AD49">INDEX('AEA2012 update'!$AC$6:$AG$104,MATCH($T49&amp;$U49,'AEA2012 update'!$A$6:$A$104&amp;'AEA2012 update'!$B$6:$B$104,0),MATCH(AD$16,'AEA2012 update'!$S$4:$Z$4,0))</f>
        <v>0.33397671303006748</v>
      </c>
      <c r="AE49" s="67">
        <f t="array" ref="AE49">IF($W$1,AD49*(1+INDEX(AE$1:AE$2,MATCH($O49,$AA$1:$AA$2,0)))^(AE$16-AD$16),INDEX('AEA2012 update'!$AC$6:$AG$104,MATCH($T49&amp;$U49,'AEA2012 update'!$A$6:$A$104&amp;'AEA2012 update'!$B$6:$B$104,0),MATCH(AE$16,'AEA2012 update'!$AC$4:$AG$4,0)))</f>
        <v>0.3176486351025572</v>
      </c>
      <c r="AF49" s="67">
        <f t="array" ref="AF49">IF($W$1,AE49*(1+INDEX(AF$1:AF$2,MATCH($O49,$AA$1:$AA$2,0)))^(AF$16-AE$16),INDEX('AEA2012 update'!$AC$6:$AG$104,MATCH($T49&amp;$U49,'AEA2012 update'!$A$6:$A$104&amp;'AEA2012 update'!$B$6:$B$104,0),MATCH(AF$16,'AEA2012 update'!$AC$4:$AG$4,0)))</f>
        <v>0.30211883477466756</v>
      </c>
      <c r="AG49" s="67">
        <f t="array" ref="AG49">IF($W$1,AF49*(1+INDEX(AG$1:AG$2,MATCH($O49,$AA$1:$AA$2,0)))^(AG$16-AF$16),INDEX('AEA2012 update'!$AC$6:$AG$104,MATCH($T49&amp;$U49,'AEA2012 update'!$A$6:$A$104&amp;'AEA2012 update'!$B$6:$B$104,0),MATCH(AG$16,'AEA2012 update'!$AC$4:$AG$4,0)))</f>
        <v>0.28734828435870108</v>
      </c>
      <c r="AH49" s="67">
        <f t="array" ref="AH49">IF($W$1,AG49*(1+INDEX(AH$1:AH$2,MATCH($O49,$AA$1:$AA$2,0)))^(AH$16-AG$16),INDEX('AEA2012 update'!$AC$6:$AG$104,MATCH($T49&amp;$U49,'AEA2012 update'!$A$6:$A$104&amp;'AEA2012 update'!$B$6:$B$104,0),MATCH(AH$16,'AEA2012 update'!$AC$4:$AG$4,0)))</f>
        <v>0.27329986422551994</v>
      </c>
      <c r="AI49" s="67"/>
      <c r="AJ49" s="257">
        <f t="shared" si="6"/>
        <v>-4.8889869534227953E-3</v>
      </c>
      <c r="AK49" s="257">
        <f t="shared" si="7"/>
        <v>-4.6538602695101201E-3</v>
      </c>
      <c r="AQ49" s="61" t="str">
        <f t="shared" si="8"/>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1:49" x14ac:dyDescent="0.25">
      <c r="N50" s="61" t="s">
        <v>504</v>
      </c>
      <c r="O50" s="61" t="s">
        <v>613</v>
      </c>
      <c r="P50" s="61" t="s">
        <v>714</v>
      </c>
      <c r="Q50" s="61" t="str">
        <f t="shared" si="4"/>
        <v>MOT</v>
      </c>
      <c r="R50" s="61" t="s">
        <v>680</v>
      </c>
      <c r="S50"/>
      <c r="T50" s="256" t="s">
        <v>715</v>
      </c>
      <c r="U50" s="256" t="s">
        <v>699</v>
      </c>
      <c r="V50" s="103">
        <f t="array" ref="V50">IF(V$18,INDEX('AEA2012 update'!$K$6:$R$104,MATCH($T50&amp;$R50,'AEA2012 update'!$A$6:$A$104&amp;'AEA2012 update'!$B$6:$B$104,0),MATCH(V$16,'AEA2012 update'!$S$4:$Z$4,0)),INDEX('AEA2012 update'!$K$6:$R$104,MATCH($T50&amp;$U50,'AEA2012 update'!$A$6:$A$104&amp;'AEA2012 update'!$B$6:$B$104,0),MATCH(V$16,'AEA2012 update'!$S$4:$Z$4,0)))</f>
        <v>1079521.3133266186</v>
      </c>
      <c r="W50" s="103">
        <f t="array" ref="W50">IF(W$18,INDEX('AEA2012 update'!$K$6:$R$104,MATCH($T50&amp;$R50,'AEA2012 update'!$A$6:$A$104&amp;'AEA2012 update'!$B$6:$B$104,0),MATCH(W$16,'AEA2012 update'!$S$4:$Z$4,0)),INDEX('AEA2012 update'!$K$6:$R$104,MATCH($T50&amp;$U50,'AEA2012 update'!$A$6:$A$104&amp;'AEA2012 update'!$B$6:$B$104,0),MATCH(W$16,'AEA2012 update'!$S$4:$Z$4,0)))</f>
        <v>399833.44693060999</v>
      </c>
      <c r="X50" s="103">
        <f t="array" ref="X50">IF(X$18,INDEX('AEA2012 update'!$K$6:$R$104,MATCH($T50&amp;$R50,'AEA2012 update'!$A$6:$A$104&amp;'AEA2012 update'!$B$6:$B$104,0),MATCH(X$16,'AEA2012 update'!$S$4:$Z$4,0)),INDEX('AEA2012 update'!$K$6:$R$104,MATCH($T50&amp;$U50,'AEA2012 update'!$A$6:$A$104&amp;'AEA2012 update'!$B$6:$B$104,0),MATCH(X$16,'AEA2012 update'!$S$4:$Z$4,0)))</f>
        <v>379841.77458407945</v>
      </c>
      <c r="Y50" s="103">
        <f t="array" ref="Y50">IF(Y$18,INDEX('AEA2012 update'!$K$6:$R$104,MATCH($T50&amp;$R50,'AEA2012 update'!$A$6:$A$104&amp;'AEA2012 update'!$B$6:$B$104,0),MATCH(Y$16,'AEA2012 update'!$S$4:$Z$4,0)),INDEX('AEA2012 update'!$K$6:$R$104,MATCH($T50&amp;$U50,'AEA2012 update'!$A$6:$A$104&amp;'AEA2012 update'!$B$6:$B$104,0),MATCH(Y$16,'AEA2012 update'!$S$4:$Z$4,0)))</f>
        <v>103773.09625921253</v>
      </c>
      <c r="Z50" s="103">
        <f t="array" ref="Z50">IF(Z$18,INDEX('AEA2012 update'!$K$6:$R$104,MATCH($T50&amp;$R50,'AEA2012 update'!$A$6:$A$104&amp;'AEA2012 update'!$B$6:$B$104,0),MATCH(Z$16,'AEA2012 update'!$S$4:$Z$4,0)),INDEX('AEA2012 update'!$K$6:$R$104,MATCH($T50&amp;$U50,'AEA2012 update'!$A$6:$A$104&amp;'AEA2012 update'!$B$6:$B$104,0),MATCH(Z$16,'AEA2012 update'!$S$4:$Z$4,0)))</f>
        <v>105377.19050256097</v>
      </c>
      <c r="AA50" s="103">
        <f t="array" ref="AA50">IF(AA$18,INDEX('AEA2012 update'!$K$6:$R$104,MATCH($T50&amp;$R50,'AEA2012 update'!$A$6:$A$104&amp;'AEA2012 update'!$B$6:$B$104,0),MATCH(AA$16,'AEA2012 update'!$S$4:$Z$4,0)),INDEX('AEA2012 update'!$K$6:$R$104,MATCH($T50&amp;$U50,'AEA2012 update'!$A$6:$A$104&amp;'AEA2012 update'!$B$6:$B$104,0),MATCH(AA$16,'AEA2012 update'!$S$4:$Z$4,0)))</f>
        <v>106981.2847459094</v>
      </c>
      <c r="AB50" s="103">
        <f t="array" ref="AB50">IF(AB$18,INDEX('AEA2012 update'!$K$6:$R$104,MATCH($T50&amp;$R50,'AEA2012 update'!$A$6:$A$104&amp;'AEA2012 update'!$B$6:$B$104,0),MATCH(AB$16,'AEA2012 update'!$S$4:$Z$4,0)),INDEX('AEA2012 update'!$K$6:$R$104,MATCH($T50&amp;$U50,'AEA2012 update'!$A$6:$A$104&amp;'AEA2012 update'!$B$6:$B$104,0),MATCH(AB$16,'AEA2012 update'!$S$4:$Z$4,0)))</f>
        <v>108464.33187891265</v>
      </c>
      <c r="AC50" s="103" t="str">
        <f t="shared" si="5"/>
        <v>MOTHGN</v>
      </c>
      <c r="AD50" s="67">
        <f t="array" ref="AD50">INDEX('AEA2012 update'!$AC$6:$AG$104,MATCH($T50&amp;$U50,'AEA2012 update'!$A$6:$A$104&amp;'AEA2012 update'!$B$6:$B$104,0),MATCH(AD$16,'AEA2012 update'!$S$4:$Z$4,0))</f>
        <v>0.73404373741708251</v>
      </c>
      <c r="AE50" s="67">
        <f t="array" ref="AE50">IF($W$1,AD50*(1+INDEX(AE$1:AE$2,MATCH($O50,$AA$1:$AA$2,0)))^(AE$16-AD$16),INDEX('AEA2012 update'!$AC$6:$AG$104,MATCH($T50&amp;$U50,'AEA2012 update'!$A$6:$A$104&amp;'AEA2012 update'!$B$6:$B$104,0),MATCH(AE$16,'AEA2012 update'!$AC$4:$AG$4,0)))</f>
        <v>0.69815643486234424</v>
      </c>
      <c r="AF50" s="67">
        <f t="array" ref="AF50">IF($W$1,AE50*(1+INDEX(AF$1:AF$2,MATCH($O50,$AA$1:$AA$2,0)))^(AF$16-AE$16),INDEX('AEA2012 update'!$AC$6:$AG$104,MATCH($T50&amp;$U50,'AEA2012 update'!$A$6:$A$104&amp;'AEA2012 update'!$B$6:$B$104,0),MATCH(AF$16,'AEA2012 update'!$AC$4:$AG$4,0)))</f>
        <v>0.66402365784744244</v>
      </c>
      <c r="AG50" s="67">
        <f t="array" ref="AG50">IF($W$1,AF50*(1+INDEX(AG$1:AG$2,MATCH($O50,$AA$1:$AA$2,0)))^(AG$16-AF$16),INDEX('AEA2012 update'!$AC$6:$AG$104,MATCH($T50&amp;$U50,'AEA2012 update'!$A$6:$A$104&amp;'AEA2012 update'!$B$6:$B$104,0),MATCH(AG$16,'AEA2012 update'!$AC$4:$AG$4,0)))</f>
        <v>0.63155962784764008</v>
      </c>
      <c r="AH50" s="67">
        <f t="array" ref="AH50">IF($W$1,AG50*(1+INDEX(AH$1:AH$2,MATCH($O50,$AA$1:$AA$2,0)))^(AH$16-AG$16),INDEX('AEA2012 update'!$AC$6:$AG$104,MATCH($T50&amp;$U50,'AEA2012 update'!$A$6:$A$104&amp;'AEA2012 update'!$B$6:$B$104,0),MATCH(AH$16,'AEA2012 update'!$AC$4:$AG$4,0)))</f>
        <v>0.60068276003908339</v>
      </c>
      <c r="AI50" s="67"/>
      <c r="AJ50" s="257">
        <f t="shared" si="6"/>
        <v>-4.8889869534227979E-3</v>
      </c>
      <c r="AK50" s="257">
        <f t="shared" si="7"/>
        <v>-4.6538602695101227E-3</v>
      </c>
      <c r="AQ50" s="61" t="str">
        <f t="shared" si="8"/>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1:49" x14ac:dyDescent="0.25">
      <c r="O51" s="61" t="s">
        <v>613</v>
      </c>
      <c r="Q51" s="61" t="str">
        <f t="shared" si="4"/>
        <v/>
      </c>
      <c r="S51"/>
      <c r="T51" s="256"/>
      <c r="U51" s="260"/>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5"/>
        <v/>
      </c>
      <c r="AD51" s="67" t="e">
        <f t="array" ref="AD51">INDEX('AEA2012 update'!$AC$6:$AG$104,MATCH($T51&amp;$U51,'AEA2012 update'!$A$6:$A$104&amp;'AEA2012 update'!$B$6:$B$104,0),MATCH(AD$16,'AEA2012 update'!$S$4:$Z$4,0))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57" t="e">
        <f t="shared" si="6"/>
        <v>#N/A</v>
      </c>
      <c r="AK51" s="257" t="e">
        <f t="shared" si="7"/>
        <v>#N/A</v>
      </c>
      <c r="AQ51" s="61" t="str">
        <f t="shared" si="8"/>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1:49" x14ac:dyDescent="0.25">
      <c r="N52" s="61" t="s">
        <v>511</v>
      </c>
      <c r="O52" s="61" t="s">
        <v>613</v>
      </c>
      <c r="P52" s="61" t="s">
        <v>563</v>
      </c>
      <c r="Q52" s="61" t="str">
        <f t="shared" si="4"/>
        <v>BUS</v>
      </c>
      <c r="R52" s="61" t="s">
        <v>687</v>
      </c>
      <c r="S52"/>
      <c r="T52" s="256" t="s">
        <v>60</v>
      </c>
      <c r="U52" s="256" t="s">
        <v>687</v>
      </c>
      <c r="V52" s="103">
        <f t="array" ref="V52">IF(V$18,INDEX('AEA2012 update'!$K$6:$R$104,MATCH($T52&amp;$R52,'AEA2012 update'!$A$6:$A$104&amp;'AEA2012 update'!$B$6:$B$104,0),MATCH(V$16,'AEA2012 update'!$S$4:$Z$4,0)),INDEX('AEA2012 update'!$K$6:$R$104,MATCH($T52&amp;$U52,'AEA2012 update'!$A$6:$A$104&amp;'AEA2012 update'!$B$6:$B$104,0),MATCH(V$16,'AEA2012 update'!$S$4:$Z$4,0)))</f>
        <v>1494094.612984641</v>
      </c>
      <c r="W52" s="103">
        <f t="array" ref="W52">IF(W$18,INDEX('AEA2012 update'!$K$6:$R$104,MATCH($T52&amp;$R52,'AEA2012 update'!$A$6:$A$104&amp;'AEA2012 update'!$B$6:$B$104,0),MATCH(W$16,'AEA2012 update'!$S$4:$Z$4,0)),INDEX('AEA2012 update'!$K$6:$R$104,MATCH($T52&amp;$U52,'AEA2012 update'!$A$6:$A$104&amp;'AEA2012 update'!$B$6:$B$104,0),MATCH(W$16,'AEA2012 update'!$S$4:$Z$4,0)))</f>
        <v>1615401.3682562639</v>
      </c>
      <c r="X52" s="103">
        <f t="array" ref="X52">IF(X$18,INDEX('AEA2012 update'!$K$6:$R$104,MATCH($T52&amp;$R52,'AEA2012 update'!$A$6:$A$104&amp;'AEA2012 update'!$B$6:$B$104,0),MATCH(X$16,'AEA2012 update'!$S$4:$Z$4,0)),INDEX('AEA2012 update'!$K$6:$R$104,MATCH($T52&amp;$U52,'AEA2012 update'!$A$6:$A$104&amp;'AEA2012 update'!$B$6:$B$104,0),MATCH(X$16,'AEA2012 update'!$S$4:$Z$4,0)))</f>
        <v>1645563.3521187683</v>
      </c>
      <c r="Y52" s="103">
        <f t="array" ref="Y52">IF(Y$18,INDEX('AEA2012 update'!$K$6:$R$104,MATCH($T52&amp;$R52,'AEA2012 update'!$A$6:$A$104&amp;'AEA2012 update'!$B$6:$B$104,0),MATCH(Y$16,'AEA2012 update'!$S$4:$Z$4,0)),INDEX('AEA2012 update'!$K$6:$R$104,MATCH($T52&amp;$U52,'AEA2012 update'!$A$6:$A$104&amp;'AEA2012 update'!$B$6:$B$104,0),MATCH(Y$16,'AEA2012 update'!$S$4:$Z$4,0)))</f>
        <v>1675725.3359812722</v>
      </c>
      <c r="Z52" s="103">
        <f t="array" ref="Z52">IF(Z$18,INDEX('AEA2012 update'!$K$6:$R$104,MATCH($T52&amp;$R52,'AEA2012 update'!$A$6:$A$104&amp;'AEA2012 update'!$B$6:$B$104,0),MATCH(Z$16,'AEA2012 update'!$S$4:$Z$4,0)),INDEX('AEA2012 update'!$K$6:$R$104,MATCH($T52&amp;$U52,'AEA2012 update'!$A$6:$A$104&amp;'AEA2012 update'!$B$6:$B$104,0),MATCH(Z$16,'AEA2012 update'!$S$4:$Z$4,0)))</f>
        <v>1695117.6876140197</v>
      </c>
      <c r="AA52" s="103">
        <f t="array" ref="AA52">IF(AA$18,INDEX('AEA2012 update'!$K$6:$R$104,MATCH($T52&amp;$R52,'AEA2012 update'!$A$6:$A$104&amp;'AEA2012 update'!$B$6:$B$104,0),MATCH(AA$16,'AEA2012 update'!$S$4:$Z$4,0)),INDEX('AEA2012 update'!$K$6:$R$104,MATCH($T52&amp;$U52,'AEA2012 update'!$A$6:$A$104&amp;'AEA2012 update'!$B$6:$B$104,0),MATCH(AA$16,'AEA2012 update'!$S$4:$Z$4,0)))</f>
        <v>1714510.0392467668</v>
      </c>
      <c r="AB52" s="103">
        <f t="array" ref="AB52">IF(AB$18,INDEX('AEA2012 update'!$K$6:$R$104,MATCH($T52&amp;$R52,'AEA2012 update'!$A$6:$A$104&amp;'AEA2012 update'!$B$6:$B$104,0),MATCH(AB$16,'AEA2012 update'!$S$4:$Z$4,0)),INDEX('AEA2012 update'!$K$6:$R$104,MATCH($T52&amp;$U52,'AEA2012 update'!$A$6:$A$104&amp;'AEA2012 update'!$B$6:$B$104,0),MATCH(AB$16,'AEA2012 update'!$S$4:$Z$4,0)))</f>
        <v>1758785.822670358</v>
      </c>
      <c r="AC52" s="103" t="str">
        <f t="shared" si="5"/>
        <v>BUSODS</v>
      </c>
      <c r="AD52" s="67">
        <f t="array" ref="AD52">INDEX('AEA2012 update'!$AC$6:$AG$104,MATCH($T52&amp;$U52,'AEA2012 update'!$A$6:$A$104&amp;'AEA2012 update'!$B$6:$B$104,0),MATCH(AD$16,'AEA2012 update'!$S$4:$Z$4,0))</f>
        <v>13.994490402622045</v>
      </c>
      <c r="AE52" s="67">
        <f t="array" ref="AE52">IF($W$1,AD52*(1+INDEX(AE$1:AE$2,MATCH($O52,$AA$1:$AA$2,0)))^(AE$16-AD$16),INDEX('AEA2012 update'!$AC$6:$AG$104,MATCH($T52&amp;$U52,'AEA2012 update'!$A$6:$A$104&amp;'AEA2012 update'!$B$6:$B$104,0),MATCH(AE$16,'AEA2012 update'!$AC$4:$AG$4,0)))</f>
        <v>13.310301592639847</v>
      </c>
      <c r="AF52" s="67">
        <f t="array" ref="AF52">IF($W$1,AE52*(1+INDEX(AF$1:AF$2,MATCH($O52,$AA$1:$AA$2,0)))^(AF$16-AE$16),INDEX('AEA2012 update'!$AC$6:$AG$104,MATCH($T52&amp;$U52,'AEA2012 update'!$A$6:$A$104&amp;'AEA2012 update'!$B$6:$B$104,0),MATCH(AF$16,'AEA2012 update'!$AC$4:$AG$4,0)))</f>
        <v>12.659562684314457</v>
      </c>
      <c r="AG52" s="67">
        <f t="array" ref="AG52">IF($W$1,AF52*(1+INDEX(AG$1:AG$2,MATCH($O52,$AA$1:$AA$2,0)))^(AG$16-AF$16),INDEX('AEA2012 update'!$AC$6:$AG$104,MATCH($T52&amp;$U52,'AEA2012 update'!$A$6:$A$104&amp;'AEA2012 update'!$B$6:$B$104,0),MATCH(AG$16,'AEA2012 update'!$AC$4:$AG$4,0)))</f>
        <v>12.040638316317942</v>
      </c>
      <c r="AH52" s="67">
        <f t="array" ref="AH52">IF($W$1,AG52*(1+INDEX(AH$1:AH$2,MATCH($O52,$AA$1:$AA$2,0)))^(AH$16-AG$16),INDEX('AEA2012 update'!$AC$6:$AG$104,MATCH($T52&amp;$U52,'AEA2012 update'!$A$6:$A$104&amp;'AEA2012 update'!$B$6:$B$104,0),MATCH(AH$16,'AEA2012 update'!$AC$4:$AG$4,0)))</f>
        <v>11.451973079924331</v>
      </c>
      <c r="AI52" s="67"/>
      <c r="AJ52" s="257">
        <f t="shared" si="6"/>
        <v>-4.8889869534227996E-3</v>
      </c>
      <c r="AK52" s="257">
        <f t="shared" si="7"/>
        <v>-4.6538602695101218E-3</v>
      </c>
      <c r="AQ52" s="61" t="str">
        <f t="shared" si="8"/>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1:49" x14ac:dyDescent="0.25">
      <c r="N53" s="61" t="s">
        <v>506</v>
      </c>
      <c r="O53" s="61" t="s">
        <v>613</v>
      </c>
      <c r="P53" s="61" t="s">
        <v>563</v>
      </c>
      <c r="Q53" s="61" t="str">
        <f t="shared" si="4"/>
        <v>BUS</v>
      </c>
      <c r="R53" s="61" t="s">
        <v>687</v>
      </c>
      <c r="S53"/>
      <c r="T53" s="256" t="s">
        <v>60</v>
      </c>
      <c r="U53" s="256" t="s">
        <v>687</v>
      </c>
      <c r="V53" s="103">
        <f t="array" ref="V53">IF(V$18,INDEX('AEA2012 update'!$K$6:$R$104,MATCH($T53&amp;$R53,'AEA2012 update'!$A$6:$A$104&amp;'AEA2012 update'!$B$6:$B$104,0),MATCH(V$16,'AEA2012 update'!$S$4:$Z$4,0)),INDEX('AEA2012 update'!$K$6:$R$104,MATCH($T53&amp;$U53,'AEA2012 update'!$A$6:$A$104&amp;'AEA2012 update'!$B$6:$B$104,0),MATCH(V$16,'AEA2012 update'!$S$4:$Z$4,0)))</f>
        <v>1494094.612984641</v>
      </c>
      <c r="W53" s="103">
        <f t="array" ref="W53">IF(W$18,INDEX('AEA2012 update'!$K$6:$R$104,MATCH($T53&amp;$R53,'AEA2012 update'!$A$6:$A$104&amp;'AEA2012 update'!$B$6:$B$104,0),MATCH(W$16,'AEA2012 update'!$S$4:$Z$4,0)),INDEX('AEA2012 update'!$K$6:$R$104,MATCH($T53&amp;$U53,'AEA2012 update'!$A$6:$A$104&amp;'AEA2012 update'!$B$6:$B$104,0),MATCH(W$16,'AEA2012 update'!$S$4:$Z$4,0)))</f>
        <v>1615401.3682562639</v>
      </c>
      <c r="X53" s="103">
        <f t="array" ref="X53">IF(X$18,INDEX('AEA2012 update'!$K$6:$R$104,MATCH($T53&amp;$R53,'AEA2012 update'!$A$6:$A$104&amp;'AEA2012 update'!$B$6:$B$104,0),MATCH(X$16,'AEA2012 update'!$S$4:$Z$4,0)),INDEX('AEA2012 update'!$K$6:$R$104,MATCH($T53&amp;$U53,'AEA2012 update'!$A$6:$A$104&amp;'AEA2012 update'!$B$6:$B$104,0),MATCH(X$16,'AEA2012 update'!$S$4:$Z$4,0)))</f>
        <v>1645563.3521187683</v>
      </c>
      <c r="Y53" s="103">
        <f t="array" ref="Y53">IF(Y$18,INDEX('AEA2012 update'!$K$6:$R$104,MATCH($T53&amp;$R53,'AEA2012 update'!$A$6:$A$104&amp;'AEA2012 update'!$B$6:$B$104,0),MATCH(Y$16,'AEA2012 update'!$S$4:$Z$4,0)),INDEX('AEA2012 update'!$K$6:$R$104,MATCH($T53&amp;$U53,'AEA2012 update'!$A$6:$A$104&amp;'AEA2012 update'!$B$6:$B$104,0),MATCH(Y$16,'AEA2012 update'!$S$4:$Z$4,0)))</f>
        <v>1675725.3359812722</v>
      </c>
      <c r="Z53" s="103">
        <f t="array" ref="Z53">IF(Z$18,INDEX('AEA2012 update'!$K$6:$R$104,MATCH($T53&amp;$R53,'AEA2012 update'!$A$6:$A$104&amp;'AEA2012 update'!$B$6:$B$104,0),MATCH(Z$16,'AEA2012 update'!$S$4:$Z$4,0)),INDEX('AEA2012 update'!$K$6:$R$104,MATCH($T53&amp;$U53,'AEA2012 update'!$A$6:$A$104&amp;'AEA2012 update'!$B$6:$B$104,0),MATCH(Z$16,'AEA2012 update'!$S$4:$Z$4,0)))</f>
        <v>1695117.6876140197</v>
      </c>
      <c r="AA53" s="103">
        <f t="array" ref="AA53">IF(AA$18,INDEX('AEA2012 update'!$K$6:$R$104,MATCH($T53&amp;$R53,'AEA2012 update'!$A$6:$A$104&amp;'AEA2012 update'!$B$6:$B$104,0),MATCH(AA$16,'AEA2012 update'!$S$4:$Z$4,0)),INDEX('AEA2012 update'!$K$6:$R$104,MATCH($T53&amp;$U53,'AEA2012 update'!$A$6:$A$104&amp;'AEA2012 update'!$B$6:$B$104,0),MATCH(AA$16,'AEA2012 update'!$S$4:$Z$4,0)))</f>
        <v>1714510.0392467668</v>
      </c>
      <c r="AB53" s="103">
        <f t="array" ref="AB53">IF(AB$18,INDEX('AEA2012 update'!$K$6:$R$104,MATCH($T53&amp;$R53,'AEA2012 update'!$A$6:$A$104&amp;'AEA2012 update'!$B$6:$B$104,0),MATCH(AB$16,'AEA2012 update'!$S$4:$Z$4,0)),INDEX('AEA2012 update'!$K$6:$R$104,MATCH($T53&amp;$U53,'AEA2012 update'!$A$6:$A$104&amp;'AEA2012 update'!$B$6:$B$104,0),MATCH(AB$16,'AEA2012 update'!$S$4:$Z$4,0)))</f>
        <v>1758785.822670358</v>
      </c>
      <c r="AC53" s="103" t="str">
        <f t="shared" si="5"/>
        <v>BUSBGS</v>
      </c>
      <c r="AD53" s="67">
        <f t="array" ref="AD53">INDEX('AEA2012 update'!$AC$6:$AG$104,MATCH($T53&amp;$U53,'AEA2012 update'!$A$6:$A$104&amp;'AEA2012 update'!$B$6:$B$104,0),MATCH(AD$16,'AEA2012 update'!$S$4:$Z$4,0))</f>
        <v>13.994490402622045</v>
      </c>
      <c r="AE53" s="67">
        <f t="array" ref="AE53">IF($W$1,AD53*(1+INDEX(AE$1:AE$2,MATCH($O53,$AA$1:$AA$2,0)))^(AE$16-AD$16),INDEX('AEA2012 update'!$AC$6:$AG$104,MATCH($T53&amp;$U53,'AEA2012 update'!$A$6:$A$104&amp;'AEA2012 update'!$B$6:$B$104,0),MATCH(AE$16,'AEA2012 update'!$AC$4:$AG$4,0)))</f>
        <v>13.310301592639847</v>
      </c>
      <c r="AF53" s="67">
        <f t="array" ref="AF53">IF($W$1,AE53*(1+INDEX(AF$1:AF$2,MATCH($O53,$AA$1:$AA$2,0)))^(AF$16-AE$16),INDEX('AEA2012 update'!$AC$6:$AG$104,MATCH($T53&amp;$U53,'AEA2012 update'!$A$6:$A$104&amp;'AEA2012 update'!$B$6:$B$104,0),MATCH(AF$16,'AEA2012 update'!$AC$4:$AG$4,0)))</f>
        <v>12.659562684314457</v>
      </c>
      <c r="AG53" s="67">
        <f t="array" ref="AG53">IF($W$1,AF53*(1+INDEX(AG$1:AG$2,MATCH($O53,$AA$1:$AA$2,0)))^(AG$16-AF$16),INDEX('AEA2012 update'!$AC$6:$AG$104,MATCH($T53&amp;$U53,'AEA2012 update'!$A$6:$A$104&amp;'AEA2012 update'!$B$6:$B$104,0),MATCH(AG$16,'AEA2012 update'!$AC$4:$AG$4,0)))</f>
        <v>12.040638316317942</v>
      </c>
      <c r="AH53" s="67">
        <f t="array" ref="AH53">IF($W$1,AG53*(1+INDEX(AH$1:AH$2,MATCH($O53,$AA$1:$AA$2,0)))^(AH$16-AG$16),INDEX('AEA2012 update'!$AC$6:$AG$104,MATCH($T53&amp;$U53,'AEA2012 update'!$A$6:$A$104&amp;'AEA2012 update'!$B$6:$B$104,0),MATCH(AH$16,'AEA2012 update'!$AC$4:$AG$4,0)))</f>
        <v>11.451973079924331</v>
      </c>
      <c r="AI53" s="67"/>
      <c r="AJ53" s="257">
        <f t="shared" si="6"/>
        <v>-4.8889869534227996E-3</v>
      </c>
      <c r="AK53" s="257">
        <f t="shared" si="7"/>
        <v>-4.6538602695101218E-3</v>
      </c>
      <c r="AQ53" s="61" t="str">
        <f t="shared" si="8"/>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1:49" ht="15.75" customHeight="1" x14ac:dyDescent="0.25">
      <c r="N54" s="61" t="s">
        <v>501</v>
      </c>
      <c r="O54" s="61" t="s">
        <v>613</v>
      </c>
      <c r="P54" s="61" t="s">
        <v>563</v>
      </c>
      <c r="Q54" s="61" t="str">
        <f t="shared" si="4"/>
        <v>BUS</v>
      </c>
      <c r="R54" s="61" t="s">
        <v>687</v>
      </c>
      <c r="S54"/>
      <c r="T54" s="256" t="s">
        <v>60</v>
      </c>
      <c r="U54" s="256" t="s">
        <v>692</v>
      </c>
      <c r="V54" s="103">
        <f t="array" ref="V54">IF(V$18,INDEX('AEA2012 update'!$K$6:$R$104,MATCH($T54&amp;$R54,'AEA2012 update'!$A$6:$A$104&amp;'AEA2012 update'!$B$6:$B$104,0),MATCH(V$16,'AEA2012 update'!$S$4:$Z$4,0)),INDEX('AEA2012 update'!$K$6:$R$104,MATCH($T54&amp;$U54,'AEA2012 update'!$A$6:$A$104&amp;'AEA2012 update'!$B$6:$B$104,0),MATCH(V$16,'AEA2012 update'!$S$4:$Z$4,0)))</f>
        <v>6089818.753990707</v>
      </c>
      <c r="W54" s="103">
        <f t="array" ref="W54">IF(W$18,INDEX('AEA2012 update'!$K$6:$R$104,MATCH($T54&amp;$R54,'AEA2012 update'!$A$6:$A$104&amp;'AEA2012 update'!$B$6:$B$104,0),MATCH(W$16,'AEA2012 update'!$S$4:$Z$4,0)),INDEX('AEA2012 update'!$K$6:$R$104,MATCH($T54&amp;$U54,'AEA2012 update'!$A$6:$A$104&amp;'AEA2012 update'!$B$6:$B$104,0),MATCH(W$16,'AEA2012 update'!$S$4:$Z$4,0)))</f>
        <v>4643418.4762355024</v>
      </c>
      <c r="X54" s="103">
        <f t="array" ref="X54">IF(X$18,INDEX('AEA2012 update'!$K$6:$R$104,MATCH($T54&amp;$R54,'AEA2012 update'!$A$6:$A$104&amp;'AEA2012 update'!$B$6:$B$104,0),MATCH(X$16,'AEA2012 update'!$S$4:$Z$4,0)),INDEX('AEA2012 update'!$K$6:$R$104,MATCH($T54&amp;$U54,'AEA2012 update'!$A$6:$A$104&amp;'AEA2012 update'!$B$6:$B$104,0),MATCH(X$16,'AEA2012 update'!$S$4:$Z$4,0)))</f>
        <v>4403362.6567749837</v>
      </c>
      <c r="Y54" s="103">
        <f t="array" ref="Y54">IF(Y$18,INDEX('AEA2012 update'!$K$6:$R$104,MATCH($T54&amp;$R54,'AEA2012 update'!$A$6:$A$104&amp;'AEA2012 update'!$B$6:$B$104,0),MATCH(Y$16,'AEA2012 update'!$S$4:$Z$4,0)),INDEX('AEA2012 update'!$K$6:$R$104,MATCH($T54&amp;$U54,'AEA2012 update'!$A$6:$A$104&amp;'AEA2012 update'!$B$6:$B$104,0),MATCH(Y$16,'AEA2012 update'!$S$4:$Z$4,0)))</f>
        <v>1675725.3359812722</v>
      </c>
      <c r="Z54" s="103">
        <f t="array" ref="Z54">IF(Z$18,INDEX('AEA2012 update'!$K$6:$R$104,MATCH($T54&amp;$R54,'AEA2012 update'!$A$6:$A$104&amp;'AEA2012 update'!$B$6:$B$104,0),MATCH(Z$16,'AEA2012 update'!$S$4:$Z$4,0)),INDEX('AEA2012 update'!$K$6:$R$104,MATCH($T54&amp;$U54,'AEA2012 update'!$A$6:$A$104&amp;'AEA2012 update'!$B$6:$B$104,0),MATCH(Z$16,'AEA2012 update'!$S$4:$Z$4,0)))</f>
        <v>1695117.6876140197</v>
      </c>
      <c r="AA54" s="103">
        <f t="array" ref="AA54">IF(AA$18,INDEX('AEA2012 update'!$K$6:$R$104,MATCH($T54&amp;$R54,'AEA2012 update'!$A$6:$A$104&amp;'AEA2012 update'!$B$6:$B$104,0),MATCH(AA$16,'AEA2012 update'!$S$4:$Z$4,0)),INDEX('AEA2012 update'!$K$6:$R$104,MATCH($T54&amp;$U54,'AEA2012 update'!$A$6:$A$104&amp;'AEA2012 update'!$B$6:$B$104,0),MATCH(AA$16,'AEA2012 update'!$S$4:$Z$4,0)))</f>
        <v>1714510.0392467668</v>
      </c>
      <c r="AB54" s="103">
        <f t="array" ref="AB54">IF(AB$18,INDEX('AEA2012 update'!$K$6:$R$104,MATCH($T54&amp;$R54,'AEA2012 update'!$A$6:$A$104&amp;'AEA2012 update'!$B$6:$B$104,0),MATCH(AB$16,'AEA2012 update'!$S$4:$Z$4,0)),INDEX('AEA2012 update'!$K$6:$R$104,MATCH($T54&amp;$U54,'AEA2012 update'!$A$6:$A$104&amp;'AEA2012 update'!$B$6:$B$104,0),MATCH(AB$16,'AEA2012 update'!$S$4:$Z$4,0)))</f>
        <v>1758785.822670358</v>
      </c>
      <c r="AC54" s="103" t="str">
        <f t="shared" si="5"/>
        <v>BUSELC</v>
      </c>
      <c r="AD54" s="67">
        <f t="array" ref="AD54">INDEX('AEA2012 update'!$AC$6:$AG$104,MATCH($T54&amp;$U54,'AEA2012 update'!$A$6:$A$104&amp;'AEA2012 update'!$B$6:$B$104,0),MATCH(AD$16,'AEA2012 update'!$S$4:$Z$4,0))</f>
        <v>4.2967374340531439</v>
      </c>
      <c r="AE54" s="67">
        <f t="array" ref="AE54">IF($W$1,AD54*(1+INDEX(AE$1:AE$2,MATCH($O54,$AA$1:$AA$2,0)))^(AE$16-AD$16),INDEX('AEA2012 update'!$AC$6:$AG$104,MATCH($T54&amp;$U54,'AEA2012 update'!$A$6:$A$104&amp;'AEA2012 update'!$B$6:$B$104,0),MATCH(AE$16,'AEA2012 update'!$AC$4:$AG$4,0)))</f>
        <v>4.0866705014794524</v>
      </c>
      <c r="AF54" s="67">
        <f t="array" ref="AF54">IF($W$1,AE54*(1+INDEX(AF$1:AF$2,MATCH($O54,$AA$1:$AA$2,0)))^(AF$16-AE$16),INDEX('AEA2012 update'!$AC$6:$AG$104,MATCH($T54&amp;$U54,'AEA2012 update'!$A$6:$A$104&amp;'AEA2012 update'!$B$6:$B$104,0),MATCH(AF$16,'AEA2012 update'!$AC$4:$AG$4,0)))</f>
        <v>3.8868737138327436</v>
      </c>
      <c r="AG54" s="67">
        <f t="array" ref="AG54">IF($W$1,AF54*(1+INDEX(AG$1:AG$2,MATCH($O54,$AA$1:$AA$2,0)))^(AG$16-AF$16),INDEX('AEA2012 update'!$AC$6:$AG$104,MATCH($T54&amp;$U54,'AEA2012 update'!$A$6:$A$104&amp;'AEA2012 update'!$B$6:$B$104,0),MATCH(AG$16,'AEA2012 update'!$AC$4:$AG$4,0)))</f>
        <v>3.6968449650674402</v>
      </c>
      <c r="AH54" s="67">
        <f t="array" ref="AH54">IF($W$1,AG54*(1+INDEX(AH$1:AH$2,MATCH($O54,$AA$1:$AA$2,0)))^(AH$16-AG$16),INDEX('AEA2012 update'!$AC$6:$AG$104,MATCH($T54&amp;$U54,'AEA2012 update'!$A$6:$A$104&amp;'AEA2012 update'!$B$6:$B$104,0),MATCH(AH$16,'AEA2012 update'!$AC$4:$AG$4,0)))</f>
        <v>3.5161066970370252</v>
      </c>
      <c r="AI54" s="67"/>
      <c r="AJ54" s="257">
        <f t="shared" si="6"/>
        <v>-4.8889869534227927E-3</v>
      </c>
      <c r="AK54" s="257">
        <f t="shared" si="7"/>
        <v>-4.6538602695101244E-3</v>
      </c>
      <c r="AQ54" s="61" t="str">
        <f t="shared" si="8"/>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1:49" x14ac:dyDescent="0.25">
      <c r="N55" s="61" t="s">
        <v>504</v>
      </c>
      <c r="O55" s="61" t="s">
        <v>613</v>
      </c>
      <c r="P55" s="61" t="s">
        <v>563</v>
      </c>
      <c r="Q55" s="61" t="str">
        <f t="shared" si="4"/>
        <v>BUS</v>
      </c>
      <c r="R55" s="61" t="s">
        <v>687</v>
      </c>
      <c r="S55" s="65"/>
      <c r="T55" s="256" t="s">
        <v>60</v>
      </c>
      <c r="U55" s="256" t="s">
        <v>699</v>
      </c>
      <c r="V55" s="103">
        <f t="array" ref="V55">IF(V$18,INDEX('AEA2012 update'!$K$6:$R$104,MATCH($T55&amp;$R55,'AEA2012 update'!$A$6:$A$104&amp;'AEA2012 update'!$B$6:$B$104,0),MATCH(V$16,'AEA2012 update'!$S$4:$Z$4,0)),INDEX('AEA2012 update'!$K$6:$R$104,MATCH($T55&amp;$U55,'AEA2012 update'!$A$6:$A$104&amp;'AEA2012 update'!$B$6:$B$104,0),MATCH(V$16,'AEA2012 update'!$S$4:$Z$4,0)))</f>
        <v>3962049.5059577962</v>
      </c>
      <c r="W55" s="103">
        <f t="array" ref="W55">IF(W$18,INDEX('AEA2012 update'!$K$6:$R$104,MATCH($T55&amp;$R55,'AEA2012 update'!$A$6:$A$104&amp;'AEA2012 update'!$B$6:$B$104,0),MATCH(W$16,'AEA2012 update'!$S$4:$Z$4,0)),INDEX('AEA2012 update'!$K$6:$R$104,MATCH($T55&amp;$U55,'AEA2012 update'!$A$6:$A$104&amp;'AEA2012 update'!$B$6:$B$104,0),MATCH(W$16,'AEA2012 update'!$S$4:$Z$4,0)))</f>
        <v>2321709.2381177512</v>
      </c>
      <c r="X55" s="103">
        <f t="array" ref="X55">IF(X$18,INDEX('AEA2012 update'!$K$6:$R$104,MATCH($T55&amp;$R55,'AEA2012 update'!$A$6:$A$104&amp;'AEA2012 update'!$B$6:$B$104,0),MATCH(X$16,'AEA2012 update'!$S$4:$Z$4,0)),INDEX('AEA2012 update'!$K$6:$R$104,MATCH($T55&amp;$U55,'AEA2012 update'!$A$6:$A$104&amp;'AEA2012 update'!$B$6:$B$104,0),MATCH(X$16,'AEA2012 update'!$S$4:$Z$4,0)))</f>
        <v>2069503.9570616197</v>
      </c>
      <c r="Y55" s="103">
        <f t="array" ref="Y55">IF(Y$18,INDEX('AEA2012 update'!$K$6:$R$104,MATCH($T55&amp;$R55,'AEA2012 update'!$A$6:$A$104&amp;'AEA2012 update'!$B$6:$B$104,0),MATCH(Y$16,'AEA2012 update'!$S$4:$Z$4,0)),INDEX('AEA2012 update'!$K$6:$R$104,MATCH($T55&amp;$U55,'AEA2012 update'!$A$6:$A$104&amp;'AEA2012 update'!$B$6:$B$104,0),MATCH(Y$16,'AEA2012 update'!$S$4:$Z$4,0)))</f>
        <v>1675725.3359812722</v>
      </c>
      <c r="Z55" s="103">
        <f t="array" ref="Z55">IF(Z$18,INDEX('AEA2012 update'!$K$6:$R$104,MATCH($T55&amp;$R55,'AEA2012 update'!$A$6:$A$104&amp;'AEA2012 update'!$B$6:$B$104,0),MATCH(Z$16,'AEA2012 update'!$S$4:$Z$4,0)),INDEX('AEA2012 update'!$K$6:$R$104,MATCH($T55&amp;$U55,'AEA2012 update'!$A$6:$A$104&amp;'AEA2012 update'!$B$6:$B$104,0),MATCH(Z$16,'AEA2012 update'!$S$4:$Z$4,0)))</f>
        <v>1695117.6876140197</v>
      </c>
      <c r="AA55" s="103">
        <f t="array" ref="AA55">IF(AA$18,INDEX('AEA2012 update'!$K$6:$R$104,MATCH($T55&amp;$R55,'AEA2012 update'!$A$6:$A$104&amp;'AEA2012 update'!$B$6:$B$104,0),MATCH(AA$16,'AEA2012 update'!$S$4:$Z$4,0)),INDEX('AEA2012 update'!$K$6:$R$104,MATCH($T55&amp;$U55,'AEA2012 update'!$A$6:$A$104&amp;'AEA2012 update'!$B$6:$B$104,0),MATCH(AA$16,'AEA2012 update'!$S$4:$Z$4,0)))</f>
        <v>1714510.0392467668</v>
      </c>
      <c r="AB55" s="103">
        <f t="array" ref="AB55">IF(AB$18,INDEX('AEA2012 update'!$K$6:$R$104,MATCH($T55&amp;$R55,'AEA2012 update'!$A$6:$A$104&amp;'AEA2012 update'!$B$6:$B$104,0),MATCH(AB$16,'AEA2012 update'!$S$4:$Z$4,0)),INDEX('AEA2012 update'!$K$6:$R$104,MATCH($T55&amp;$U55,'AEA2012 update'!$A$6:$A$104&amp;'AEA2012 update'!$B$6:$B$104,0),MATCH(AB$16,'AEA2012 update'!$S$4:$Z$4,0)))</f>
        <v>1758785.822670358</v>
      </c>
      <c r="AC55" s="103" t="str">
        <f t="shared" si="5"/>
        <v>BUSHGN</v>
      </c>
      <c r="AD55" s="67">
        <f t="array" ref="AD55">INDEX('AEA2012 update'!$AC$6:$AG$104,MATCH($T55&amp;$U55,'AEA2012 update'!$A$6:$A$104&amp;'AEA2012 update'!$B$6:$B$104,0),MATCH(AD$16,'AEA2012 update'!$S$4:$Z$4,0))</f>
        <v>6.6335595473101172</v>
      </c>
      <c r="AE55" s="67">
        <f t="array" ref="AE55">IF($W$1,AD55*(1+INDEX(AE$1:AE$2,MATCH($O55,$AA$1:$AA$2,0)))^(AE$16-AD$16),INDEX('AEA2012 update'!$AC$6:$AG$104,MATCH($T55&amp;$U55,'AEA2012 update'!$A$6:$A$104&amp;'AEA2012 update'!$B$6:$B$104,0),MATCH(AE$16,'AEA2012 update'!$AC$4:$AG$4,0)))</f>
        <v>6.3092456864945925</v>
      </c>
      <c r="AF55" s="67">
        <f t="array" ref="AF55">IF($W$1,AE55*(1+INDEX(AF$1:AF$2,MATCH($O55,$AA$1:$AA$2,0)))^(AF$16-AE$16),INDEX('AEA2012 update'!$AC$6:$AG$104,MATCH($T55&amp;$U55,'AEA2012 update'!$A$6:$A$104&amp;'AEA2012 update'!$B$6:$B$104,0),MATCH(AF$16,'AEA2012 update'!$AC$4:$AG$4,0)))</f>
        <v>6.000787488022481</v>
      </c>
      <c r="AG55" s="67">
        <f t="array" ref="AG55">IF($W$1,AF55*(1+INDEX(AG$1:AG$2,MATCH($O55,$AA$1:$AA$2,0)))^(AG$16-AF$16),INDEX('AEA2012 update'!$AC$6:$AG$104,MATCH($T55&amp;$U55,'AEA2012 update'!$A$6:$A$104&amp;'AEA2012 update'!$B$6:$B$104,0),MATCH(AG$16,'AEA2012 update'!$AC$4:$AG$4,0)))</f>
        <v>5.7074097706304343</v>
      </c>
      <c r="AH55" s="67">
        <f t="array" ref="AH55">IF($W$1,AG55*(1+INDEX(AH$1:AH$2,MATCH($O55,$AA$1:$AA$2,0)))^(AH$16-AG$16),INDEX('AEA2012 update'!$AC$6:$AG$104,MATCH($T55&amp;$U55,'AEA2012 update'!$A$6:$A$104&amp;'AEA2012 update'!$B$6:$B$104,0),MATCH(AH$16,'AEA2012 update'!$AC$4:$AG$4,0)))</f>
        <v>5.4283752515659343</v>
      </c>
      <c r="AI55" s="67"/>
      <c r="AJ55" s="257">
        <f t="shared" si="6"/>
        <v>-4.8889869534228083E-3</v>
      </c>
      <c r="AK55" s="257">
        <f t="shared" si="7"/>
        <v>-4.6538602695101183E-3</v>
      </c>
      <c r="AQ55" s="61" t="str">
        <f t="shared" si="8"/>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1:49" x14ac:dyDescent="0.25">
      <c r="N56" s="61" t="s">
        <v>509</v>
      </c>
      <c r="O56" s="61" t="s">
        <v>613</v>
      </c>
      <c r="P56" s="61" t="s">
        <v>563</v>
      </c>
      <c r="Q56" s="61" t="str">
        <f t="shared" si="4"/>
        <v>BUS</v>
      </c>
      <c r="R56" s="61" t="s">
        <v>687</v>
      </c>
      <c r="S56" s="65"/>
      <c r="T56" s="256" t="s">
        <v>60</v>
      </c>
      <c r="U56" s="256" t="s">
        <v>700</v>
      </c>
      <c r="V56" s="103">
        <f t="array" ref="V56">IF(V$18,INDEX('AEA2012 update'!$K$6:$R$104,MATCH($T56&amp;$R56,'AEA2012 update'!$A$6:$A$104&amp;'AEA2012 update'!$B$6:$B$104,0),MATCH(V$16,'AEA2012 update'!$S$4:$Z$4,0)),INDEX('AEA2012 update'!$K$6:$R$104,MATCH($T56&amp;$U56,'AEA2012 update'!$A$6:$A$104&amp;'AEA2012 update'!$B$6:$B$104,0),MATCH(V$16,'AEA2012 update'!$S$4:$Z$4,0)))</f>
        <v>1662957.7926762076</v>
      </c>
      <c r="W56" s="103">
        <f t="array" ref="W56">IF(W$18,INDEX('AEA2012 update'!$K$6:$R$104,MATCH($T56&amp;$R56,'AEA2012 update'!$A$6:$A$104&amp;'AEA2012 update'!$B$6:$B$104,0),MATCH(W$16,'AEA2012 update'!$S$4:$Z$4,0)),INDEX('AEA2012 update'!$K$6:$R$104,MATCH($T56&amp;$U56,'AEA2012 update'!$A$6:$A$104&amp;'AEA2012 update'!$B$6:$B$104,0),MATCH(W$16,'AEA2012 update'!$S$4:$Z$4,0)))</f>
        <v>1712796.8806812237</v>
      </c>
      <c r="X56" s="103">
        <f t="array" ref="X56">IF(X$18,INDEX('AEA2012 update'!$K$6:$R$104,MATCH($T56&amp;$R56,'AEA2012 update'!$A$6:$A$104&amp;'AEA2012 update'!$B$6:$B$104,0),MATCH(X$16,'AEA2012 update'!$S$4:$Z$4,0)),INDEX('AEA2012 update'!$K$6:$R$104,MATCH($T56&amp;$U56,'AEA2012 update'!$A$6:$A$104&amp;'AEA2012 update'!$B$6:$B$104,0),MATCH(X$16,'AEA2012 update'!$S$4:$Z$4,0)))</f>
        <v>1730793.9448361397</v>
      </c>
      <c r="Y56" s="103">
        <f t="array" ref="Y56">IF(Y$18,INDEX('AEA2012 update'!$K$6:$R$104,MATCH($T56&amp;$R56,'AEA2012 update'!$A$6:$A$104&amp;'AEA2012 update'!$B$6:$B$104,0),MATCH(Y$16,'AEA2012 update'!$S$4:$Z$4,0)),INDEX('AEA2012 update'!$K$6:$R$104,MATCH($T56&amp;$U56,'AEA2012 update'!$A$6:$A$104&amp;'AEA2012 update'!$B$6:$B$104,0),MATCH(Y$16,'AEA2012 update'!$S$4:$Z$4,0)))</f>
        <v>1675725.3359812722</v>
      </c>
      <c r="Z56" s="103">
        <f t="array" ref="Z56">IF(Z$18,INDEX('AEA2012 update'!$K$6:$R$104,MATCH($T56&amp;$R56,'AEA2012 update'!$A$6:$A$104&amp;'AEA2012 update'!$B$6:$B$104,0),MATCH(Z$16,'AEA2012 update'!$S$4:$Z$4,0)),INDEX('AEA2012 update'!$K$6:$R$104,MATCH($T56&amp;$U56,'AEA2012 update'!$A$6:$A$104&amp;'AEA2012 update'!$B$6:$B$104,0),MATCH(Z$16,'AEA2012 update'!$S$4:$Z$4,0)))</f>
        <v>1695117.6876140197</v>
      </c>
      <c r="AA56" s="103">
        <f t="array" ref="AA56">IF(AA$18,INDEX('AEA2012 update'!$K$6:$R$104,MATCH($T56&amp;$R56,'AEA2012 update'!$A$6:$A$104&amp;'AEA2012 update'!$B$6:$B$104,0),MATCH(AA$16,'AEA2012 update'!$S$4:$Z$4,0)),INDEX('AEA2012 update'!$K$6:$R$104,MATCH($T56&amp;$U56,'AEA2012 update'!$A$6:$A$104&amp;'AEA2012 update'!$B$6:$B$104,0),MATCH(AA$16,'AEA2012 update'!$S$4:$Z$4,0)))</f>
        <v>1714510.0392467668</v>
      </c>
      <c r="AB56" s="103">
        <f t="array" ref="AB56">IF(AB$18,INDEX('AEA2012 update'!$K$6:$R$104,MATCH($T56&amp;$R56,'AEA2012 update'!$A$6:$A$104&amp;'AEA2012 update'!$B$6:$B$104,0),MATCH(AB$16,'AEA2012 update'!$S$4:$Z$4,0)),INDEX('AEA2012 update'!$K$6:$R$104,MATCH($T56&amp;$U56,'AEA2012 update'!$A$6:$A$104&amp;'AEA2012 update'!$B$6:$B$104,0),MATCH(AB$16,'AEA2012 update'!$S$4:$Z$4,0)))</f>
        <v>1758785.822670358</v>
      </c>
      <c r="AC56" s="103" t="str">
        <f t="shared" si="5"/>
        <v>BUSGAS</v>
      </c>
      <c r="AD56" s="67">
        <f t="array" ref="AD56">INDEX('AEA2012 update'!$AC$6:$AG$104,MATCH($T56&amp;$U56,'AEA2012 update'!$A$6:$A$104&amp;'AEA2012 update'!$B$6:$B$104,0),MATCH(AD$16,'AEA2012 update'!$S$4:$Z$4,0))</f>
        <v>16.093663963015352</v>
      </c>
      <c r="AE56" s="67">
        <f t="array" ref="AE56">IF($W$1,AD56*(1+INDEX(AE$1:AE$2,MATCH($O56,$AA$1:$AA$2,0)))^(AE$16-AD$16),INDEX('AEA2012 update'!$AC$6:$AG$104,MATCH($T56&amp;$U56,'AEA2012 update'!$A$6:$A$104&amp;'AEA2012 update'!$B$6:$B$104,0),MATCH(AE$16,'AEA2012 update'!$AC$4:$AG$4,0)))</f>
        <v>15.306846831535825</v>
      </c>
      <c r="AF56" s="67">
        <f t="array" ref="AF56">IF($W$1,AE56*(1+INDEX(AF$1:AF$2,MATCH($O56,$AA$1:$AA$2,0)))^(AF$16-AE$16),INDEX('AEA2012 update'!$AC$6:$AG$104,MATCH($T56&amp;$U56,'AEA2012 update'!$A$6:$A$104&amp;'AEA2012 update'!$B$6:$B$104,0),MATCH(AF$16,'AEA2012 update'!$AC$4:$AG$4,0)))</f>
        <v>14.558497086961626</v>
      </c>
      <c r="AG56" s="67">
        <f t="array" ref="AG56">IF($W$1,AF56*(1+INDEX(AG$1:AG$2,MATCH($O56,$AA$1:$AA$2,0)))^(AG$16-AF$16),INDEX('AEA2012 update'!$AC$6:$AG$104,MATCH($T56&amp;$U56,'AEA2012 update'!$A$6:$A$104&amp;'AEA2012 update'!$B$6:$B$104,0),MATCH(AG$16,'AEA2012 update'!$AC$4:$AG$4,0)))</f>
        <v>13.846734063765634</v>
      </c>
      <c r="AH56" s="67">
        <f t="array" ref="AH56">IF($W$1,AG56*(1+INDEX(AH$1:AH$2,MATCH($O56,$AA$1:$AA$2,0)))^(AH$16-AG$16),INDEX('AEA2012 update'!$AC$6:$AG$104,MATCH($T56&amp;$U56,'AEA2012 update'!$A$6:$A$104&amp;'AEA2012 update'!$B$6:$B$104,0),MATCH(AH$16,'AEA2012 update'!$AC$4:$AG$4,0)))</f>
        <v>13.169769041912982</v>
      </c>
      <c r="AI56" s="67"/>
      <c r="AJ56" s="257">
        <f t="shared" si="6"/>
        <v>-4.8889869534227979E-3</v>
      </c>
      <c r="AK56" s="257">
        <f t="shared" si="7"/>
        <v>-4.6538602695101192E-3</v>
      </c>
      <c r="AQ56" s="61" t="str">
        <f t="shared" si="8"/>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1:49" x14ac:dyDescent="0.25">
      <c r="Q57" s="61" t="str">
        <f t="shared" si="4"/>
        <v/>
      </c>
      <c r="S57" s="65"/>
      <c r="T57" s="256"/>
      <c r="U57" s="260"/>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5"/>
        <v/>
      </c>
      <c r="AD57" s="67"/>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57" t="e">
        <f t="shared" si="6"/>
        <v>#N/A</v>
      </c>
      <c r="AK57" s="257" t="e">
        <f t="shared" si="7"/>
        <v>#N/A</v>
      </c>
      <c r="AQ57" s="61" t="str">
        <f t="shared" si="8"/>
        <v>-</v>
      </c>
      <c r="AR57" s="80" t="e" cm="1">
        <f t="array" aca="1" ref="AR57" ca="1">AD57/INDIRECT("cv."&amp;LEFT($U57,6)&amp;".hhv.MJL") * 100</f>
        <v>#REF!</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1:49" x14ac:dyDescent="0.25">
      <c r="K58" s="61" t="s">
        <v>718</v>
      </c>
      <c r="L58" s="254">
        <f>S60/S58</f>
        <v>3.2995608830795962</v>
      </c>
      <c r="N58" s="61" t="s">
        <v>511</v>
      </c>
      <c r="O58" s="61" t="s">
        <v>613</v>
      </c>
      <c r="P58" s="61" t="s">
        <v>59</v>
      </c>
      <c r="Q58" s="61" t="str">
        <f t="shared" si="4"/>
        <v>BRT</v>
      </c>
      <c r="R58" s="61" t="s">
        <v>687</v>
      </c>
      <c r="S58" s="103">
        <v>3471536.3226923002</v>
      </c>
      <c r="T58" s="256" t="s">
        <v>60</v>
      </c>
      <c r="U58" s="256" t="s">
        <v>687</v>
      </c>
      <c r="V58" s="103">
        <f t="array" ref="V58">IF(V$18,INDEX('AEA2012 update'!$K$6:$R$104,MATCH($T58&amp;$R58,'AEA2012 update'!$A$6:$A$104&amp;'AEA2012 update'!$B$6:$B$104,0),MATCH(V$16,'AEA2012 update'!$S$4:$Z$4,0)),INDEX('AEA2012 update'!$K$6:$R$104,MATCH($T58&amp;$U58,'AEA2012 update'!$A$6:$A$104&amp;'AEA2012 update'!$B$6:$B$104,0),MATCH(V$16,'AEA2012 update'!$S$4:$Z$4,0)))</f>
        <v>1494094.612984641</v>
      </c>
      <c r="W58" s="103">
        <f t="array" ref="W58">IF(W$18,INDEX('AEA2012 update'!$K$6:$R$104,MATCH($T58&amp;$R58,'AEA2012 update'!$A$6:$A$104&amp;'AEA2012 update'!$B$6:$B$104,0),MATCH(W$16,'AEA2012 update'!$S$4:$Z$4,0)),INDEX('AEA2012 update'!$K$6:$R$104,MATCH($T58&amp;$U58,'AEA2012 update'!$A$6:$A$104&amp;'AEA2012 update'!$B$6:$B$104,0),MATCH(W$16,'AEA2012 update'!$S$4:$Z$4,0)))</f>
        <v>1615401.3682562639</v>
      </c>
      <c r="X58" s="103">
        <f t="array" ref="X58">IF(X$18,INDEX('AEA2012 update'!$K$6:$R$104,MATCH($T58&amp;$R58,'AEA2012 update'!$A$6:$A$104&amp;'AEA2012 update'!$B$6:$B$104,0),MATCH(X$16,'AEA2012 update'!$S$4:$Z$4,0)),INDEX('AEA2012 update'!$K$6:$R$104,MATCH($T58&amp;$U58,'AEA2012 update'!$A$6:$A$104&amp;'AEA2012 update'!$B$6:$B$104,0),MATCH(X$16,'AEA2012 update'!$S$4:$Z$4,0)))</f>
        <v>1645563.3521187683</v>
      </c>
      <c r="Y58" s="103">
        <f t="array" ref="Y58">IF(Y$18,INDEX('AEA2012 update'!$K$6:$R$104,MATCH($T58&amp;$R58,'AEA2012 update'!$A$6:$A$104&amp;'AEA2012 update'!$B$6:$B$104,0),MATCH(Y$16,'AEA2012 update'!$S$4:$Z$4,0)),INDEX('AEA2012 update'!$K$6:$R$104,MATCH($T58&amp;$U58,'AEA2012 update'!$A$6:$A$104&amp;'AEA2012 update'!$B$6:$B$104,0),MATCH(Y$16,'AEA2012 update'!$S$4:$Z$4,0)))</f>
        <v>1675725.3359812722</v>
      </c>
      <c r="Z58" s="103">
        <f t="array" ref="Z58">IF(Z$18,INDEX('AEA2012 update'!$K$6:$R$104,MATCH($T58&amp;$R58,'AEA2012 update'!$A$6:$A$104&amp;'AEA2012 update'!$B$6:$B$104,0),MATCH(Z$16,'AEA2012 update'!$S$4:$Z$4,0)),INDEX('AEA2012 update'!$K$6:$R$104,MATCH($T58&amp;$U58,'AEA2012 update'!$A$6:$A$104&amp;'AEA2012 update'!$B$6:$B$104,0),MATCH(Z$16,'AEA2012 update'!$S$4:$Z$4,0)))</f>
        <v>1695117.6876140197</v>
      </c>
      <c r="AA58" s="103">
        <f t="array" ref="AA58">IF(AA$18,INDEX('AEA2012 update'!$K$6:$R$104,MATCH($T58&amp;$R58,'AEA2012 update'!$A$6:$A$104&amp;'AEA2012 update'!$B$6:$B$104,0),MATCH(AA$16,'AEA2012 update'!$S$4:$Z$4,0)),INDEX('AEA2012 update'!$K$6:$R$104,MATCH($T58&amp;$U58,'AEA2012 update'!$A$6:$A$104&amp;'AEA2012 update'!$B$6:$B$104,0),MATCH(AA$16,'AEA2012 update'!$S$4:$Z$4,0)))</f>
        <v>1714510.0392467668</v>
      </c>
      <c r="AB58" s="103">
        <f t="array" ref="AB58">IF(AB$18,INDEX('AEA2012 update'!$K$6:$R$104,MATCH($T58&amp;$R58,'AEA2012 update'!$A$6:$A$104&amp;'AEA2012 update'!$B$6:$B$104,0),MATCH(AB$16,'AEA2012 update'!$S$4:$Z$4,0)),INDEX('AEA2012 update'!$K$6:$R$104,MATCH($T58&amp;$U58,'AEA2012 update'!$A$6:$A$104&amp;'AEA2012 update'!$B$6:$B$104,0),MATCH(AB$16,'AEA2012 update'!$S$4:$Z$4,0)))</f>
        <v>1758785.822670358</v>
      </c>
      <c r="AC58" s="103" t="str">
        <f t="shared" si="5"/>
        <v>BRTODS</v>
      </c>
      <c r="AD58" s="67">
        <f t="array" ref="AD58">INDEX('AEA2012 update'!$AC$6:$AG$104,MATCH($T58&amp;$U58,'AEA2012 update'!$A$6:$A$104&amp;'AEA2012 update'!$B$6:$B$104,0),MATCH(AD$16,'AEA2012 update'!$S$4:$Z$4,0))</f>
        <v>13.994490402622045</v>
      </c>
      <c r="AE58" s="67">
        <f t="array" ref="AE58">IF($W$1,AD58*(1+INDEX(AE$1:AE$2,MATCH($O58,$AA$1:$AA$2,0)))^(AE$16-AD$16),INDEX('AEA2012 update'!$AC$6:$AG$104,MATCH($T58&amp;$U58,'AEA2012 update'!$A$6:$A$104&amp;'AEA2012 update'!$B$6:$B$104,0),MATCH(AE$16,'AEA2012 update'!$AC$4:$AG$4,0)))</f>
        <v>13.310301592639847</v>
      </c>
      <c r="AF58" s="67">
        <f t="array" ref="AF58">IF($W$1,AE58*(1+INDEX(AF$1:AF$2,MATCH($O58,$AA$1:$AA$2,0)))^(AF$16-AE$16),INDEX('AEA2012 update'!$AC$6:$AG$104,MATCH($T58&amp;$U58,'AEA2012 update'!$A$6:$A$104&amp;'AEA2012 update'!$B$6:$B$104,0),MATCH(AF$16,'AEA2012 update'!$AC$4:$AG$4,0)))</f>
        <v>12.659562684314457</v>
      </c>
      <c r="AG58" s="67">
        <f t="array" ref="AG58">IF($W$1,AF58*(1+INDEX(AG$1:AG$2,MATCH($O58,$AA$1:$AA$2,0)))^(AG$16-AF$16),INDEX('AEA2012 update'!$AC$6:$AG$104,MATCH($T58&amp;$U58,'AEA2012 update'!$A$6:$A$104&amp;'AEA2012 update'!$B$6:$B$104,0),MATCH(AG$16,'AEA2012 update'!$AC$4:$AG$4,0)))</f>
        <v>12.040638316317942</v>
      </c>
      <c r="AH58" s="67">
        <f t="array" ref="AH58">IF($W$1,AG58*(1+INDEX(AH$1:AH$2,MATCH($O58,$AA$1:$AA$2,0)))^(AH$16-AG$16),INDEX('AEA2012 update'!$AC$6:$AG$104,MATCH($T58&amp;$U58,'AEA2012 update'!$A$6:$A$104&amp;'AEA2012 update'!$B$6:$B$104,0),MATCH(AH$16,'AEA2012 update'!$AC$4:$AG$4,0)))</f>
        <v>11.451973079924331</v>
      </c>
      <c r="AI58" s="67"/>
      <c r="AJ58" s="257">
        <f t="shared" si="6"/>
        <v>-4.8889869534227996E-3</v>
      </c>
      <c r="AK58" s="257">
        <f t="shared" si="7"/>
        <v>-4.6538602695101218E-3</v>
      </c>
      <c r="AQ58" s="61" t="str">
        <f t="shared" si="8"/>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1:49" x14ac:dyDescent="0.25">
      <c r="N59" s="61" t="s">
        <v>506</v>
      </c>
      <c r="O59" s="61" t="s">
        <v>613</v>
      </c>
      <c r="P59" s="61" t="s">
        <v>59</v>
      </c>
      <c r="Q59" s="61" t="str">
        <f t="shared" si="4"/>
        <v>BRT</v>
      </c>
      <c r="R59" s="61" t="s">
        <v>687</v>
      </c>
      <c r="S59"/>
      <c r="T59" s="256" t="s">
        <v>60</v>
      </c>
      <c r="U59" s="256" t="s">
        <v>687</v>
      </c>
      <c r="V59" s="103">
        <f t="array" ref="V59">IF(V$18,INDEX('AEA2012 update'!$K$6:$R$104,MATCH($T59&amp;$R59,'AEA2012 update'!$A$6:$A$104&amp;'AEA2012 update'!$B$6:$B$104,0),MATCH(V$16,'AEA2012 update'!$S$4:$Z$4,0)),INDEX('AEA2012 update'!$K$6:$R$104,MATCH($T59&amp;$U59,'AEA2012 update'!$A$6:$A$104&amp;'AEA2012 update'!$B$6:$B$104,0),MATCH(V$16,'AEA2012 update'!$S$4:$Z$4,0)))</f>
        <v>1494094.612984641</v>
      </c>
      <c r="W59" s="103">
        <f t="array" ref="W59">IF(W$18,INDEX('AEA2012 update'!$K$6:$R$104,MATCH($T59&amp;$R59,'AEA2012 update'!$A$6:$A$104&amp;'AEA2012 update'!$B$6:$B$104,0),MATCH(W$16,'AEA2012 update'!$S$4:$Z$4,0)),INDEX('AEA2012 update'!$K$6:$R$104,MATCH($T59&amp;$U59,'AEA2012 update'!$A$6:$A$104&amp;'AEA2012 update'!$B$6:$B$104,0),MATCH(W$16,'AEA2012 update'!$S$4:$Z$4,0)))</f>
        <v>1615401.3682562639</v>
      </c>
      <c r="X59" s="103">
        <f t="array" ref="X59">IF(X$18,INDEX('AEA2012 update'!$K$6:$R$104,MATCH($T59&amp;$R59,'AEA2012 update'!$A$6:$A$104&amp;'AEA2012 update'!$B$6:$B$104,0),MATCH(X$16,'AEA2012 update'!$S$4:$Z$4,0)),INDEX('AEA2012 update'!$K$6:$R$104,MATCH($T59&amp;$U59,'AEA2012 update'!$A$6:$A$104&amp;'AEA2012 update'!$B$6:$B$104,0),MATCH(X$16,'AEA2012 update'!$S$4:$Z$4,0)))</f>
        <v>1645563.3521187683</v>
      </c>
      <c r="Y59" s="103">
        <f t="array" ref="Y59">IF(Y$18,INDEX('AEA2012 update'!$K$6:$R$104,MATCH($T59&amp;$R59,'AEA2012 update'!$A$6:$A$104&amp;'AEA2012 update'!$B$6:$B$104,0),MATCH(Y$16,'AEA2012 update'!$S$4:$Z$4,0)),INDEX('AEA2012 update'!$K$6:$R$104,MATCH($T59&amp;$U59,'AEA2012 update'!$A$6:$A$104&amp;'AEA2012 update'!$B$6:$B$104,0),MATCH(Y$16,'AEA2012 update'!$S$4:$Z$4,0)))</f>
        <v>1675725.3359812722</v>
      </c>
      <c r="Z59" s="103">
        <f t="array" ref="Z59">IF(Z$18,INDEX('AEA2012 update'!$K$6:$R$104,MATCH($T59&amp;$R59,'AEA2012 update'!$A$6:$A$104&amp;'AEA2012 update'!$B$6:$B$104,0),MATCH(Z$16,'AEA2012 update'!$S$4:$Z$4,0)),INDEX('AEA2012 update'!$K$6:$R$104,MATCH($T59&amp;$U59,'AEA2012 update'!$A$6:$A$104&amp;'AEA2012 update'!$B$6:$B$104,0),MATCH(Z$16,'AEA2012 update'!$S$4:$Z$4,0)))</f>
        <v>1695117.6876140197</v>
      </c>
      <c r="AA59" s="103">
        <f t="array" ref="AA59">IF(AA$18,INDEX('AEA2012 update'!$K$6:$R$104,MATCH($T59&amp;$R59,'AEA2012 update'!$A$6:$A$104&amp;'AEA2012 update'!$B$6:$B$104,0),MATCH(AA$16,'AEA2012 update'!$S$4:$Z$4,0)),INDEX('AEA2012 update'!$K$6:$R$104,MATCH($T59&amp;$U59,'AEA2012 update'!$A$6:$A$104&amp;'AEA2012 update'!$B$6:$B$104,0),MATCH(AA$16,'AEA2012 update'!$S$4:$Z$4,0)))</f>
        <v>1714510.0392467668</v>
      </c>
      <c r="AB59" s="103">
        <f t="array" ref="AB59">IF(AB$18,INDEX('AEA2012 update'!$K$6:$R$104,MATCH($T59&amp;$R59,'AEA2012 update'!$A$6:$A$104&amp;'AEA2012 update'!$B$6:$B$104,0),MATCH(AB$16,'AEA2012 update'!$S$4:$Z$4,0)),INDEX('AEA2012 update'!$K$6:$R$104,MATCH($T59&amp;$U59,'AEA2012 update'!$A$6:$A$104&amp;'AEA2012 update'!$B$6:$B$104,0),MATCH(AB$16,'AEA2012 update'!$S$4:$Z$4,0)))</f>
        <v>1758785.822670358</v>
      </c>
      <c r="AC59" s="103" t="str">
        <f t="shared" si="5"/>
        <v>BRTBGS</v>
      </c>
      <c r="AD59" s="67">
        <f t="array" ref="AD59">INDEX('AEA2012 update'!$AC$6:$AG$104,MATCH($T59&amp;$U59,'AEA2012 update'!$A$6:$A$104&amp;'AEA2012 update'!$B$6:$B$104,0),MATCH(AD$16,'AEA2012 update'!$S$4:$Z$4,0))</f>
        <v>13.994490402622045</v>
      </c>
      <c r="AE59" s="67">
        <f t="array" ref="AE59">IF($W$1,AD59*(1+INDEX(AE$1:AE$2,MATCH($O59,$AA$1:$AA$2,0)))^(AE$16-AD$16),INDEX('AEA2012 update'!$AC$6:$AG$104,MATCH($T59&amp;$U59,'AEA2012 update'!$A$6:$A$104&amp;'AEA2012 update'!$B$6:$B$104,0),MATCH(AE$16,'AEA2012 update'!$AC$4:$AG$4,0)))</f>
        <v>13.310301592639847</v>
      </c>
      <c r="AF59" s="67">
        <f t="array" ref="AF59">IF($W$1,AE59*(1+INDEX(AF$1:AF$2,MATCH($O59,$AA$1:$AA$2,0)))^(AF$16-AE$16),INDEX('AEA2012 update'!$AC$6:$AG$104,MATCH($T59&amp;$U59,'AEA2012 update'!$A$6:$A$104&amp;'AEA2012 update'!$B$6:$B$104,0),MATCH(AF$16,'AEA2012 update'!$AC$4:$AG$4,0)))</f>
        <v>12.659562684314457</v>
      </c>
      <c r="AG59" s="67">
        <f t="array" ref="AG59">IF($W$1,AF59*(1+INDEX(AG$1:AG$2,MATCH($O59,$AA$1:$AA$2,0)))^(AG$16-AF$16),INDEX('AEA2012 update'!$AC$6:$AG$104,MATCH($T59&amp;$U59,'AEA2012 update'!$A$6:$A$104&amp;'AEA2012 update'!$B$6:$B$104,0),MATCH(AG$16,'AEA2012 update'!$AC$4:$AG$4,0)))</f>
        <v>12.040638316317942</v>
      </c>
      <c r="AH59" s="67">
        <f t="array" ref="AH59">IF($W$1,AG59*(1+INDEX(AH$1:AH$2,MATCH($O59,$AA$1:$AA$2,0)))^(AH$16-AG$16),INDEX('AEA2012 update'!$AC$6:$AG$104,MATCH($T59&amp;$U59,'AEA2012 update'!$A$6:$A$104&amp;'AEA2012 update'!$B$6:$B$104,0),MATCH(AH$16,'AEA2012 update'!$AC$4:$AG$4,0)))</f>
        <v>11.451973079924331</v>
      </c>
      <c r="AI59" s="67"/>
      <c r="AJ59" s="257">
        <f t="shared" si="6"/>
        <v>-4.8889869534227996E-3</v>
      </c>
      <c r="AK59" s="257">
        <f t="shared" si="7"/>
        <v>-4.6538602695101218E-3</v>
      </c>
      <c r="AQ59" s="61" t="str">
        <f t="shared" si="8"/>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1:49" x14ac:dyDescent="0.25">
      <c r="K60" s="247" t="s">
        <v>721</v>
      </c>
      <c r="N60" s="61" t="s">
        <v>501</v>
      </c>
      <c r="O60" s="61" t="s">
        <v>613</v>
      </c>
      <c r="P60" s="61" t="s">
        <v>59</v>
      </c>
      <c r="Q60" s="61" t="str">
        <f t="shared" si="4"/>
        <v>BRT</v>
      </c>
      <c r="R60" s="61" t="s">
        <v>687</v>
      </c>
      <c r="S60" s="103">
        <v>11454545.4545455</v>
      </c>
      <c r="T60" s="256" t="s">
        <v>60</v>
      </c>
      <c r="U60" s="256" t="s">
        <v>692</v>
      </c>
      <c r="V60" s="103">
        <f t="array" ref="V60">IF(V$18,INDEX('AEA2012 update'!$K$6:$R$104,MATCH($T60&amp;$R60,'AEA2012 update'!$A$6:$A$104&amp;'AEA2012 update'!$B$6:$B$104,0),MATCH(V$16,'AEA2012 update'!$S$4:$Z$4,0)),INDEX('AEA2012 update'!$K$6:$R$104,MATCH($T60&amp;$U60,'AEA2012 update'!$A$6:$A$104&amp;'AEA2012 update'!$B$6:$B$104,0),MATCH(V$16,'AEA2012 update'!$S$4:$Z$4,0)))</f>
        <v>6089818.753990707</v>
      </c>
      <c r="W60" s="103">
        <f t="array" ref="W60">IF(W$18,INDEX('AEA2012 update'!$K$6:$R$104,MATCH($T60&amp;$R60,'AEA2012 update'!$A$6:$A$104&amp;'AEA2012 update'!$B$6:$B$104,0),MATCH(W$16,'AEA2012 update'!$S$4:$Z$4,0)),INDEX('AEA2012 update'!$K$6:$R$104,MATCH($T60&amp;$U60,'AEA2012 update'!$A$6:$A$104&amp;'AEA2012 update'!$B$6:$B$104,0),MATCH(W$16,'AEA2012 update'!$S$4:$Z$4,0)))</f>
        <v>4643418.4762355024</v>
      </c>
      <c r="X60" s="103">
        <f t="array" ref="X60">IF(X$18,INDEX('AEA2012 update'!$K$6:$R$104,MATCH($T60&amp;$R60,'AEA2012 update'!$A$6:$A$104&amp;'AEA2012 update'!$B$6:$B$104,0),MATCH(X$16,'AEA2012 update'!$S$4:$Z$4,0)),INDEX('AEA2012 update'!$K$6:$R$104,MATCH($T60&amp;$U60,'AEA2012 update'!$A$6:$A$104&amp;'AEA2012 update'!$B$6:$B$104,0),MATCH(X$16,'AEA2012 update'!$S$4:$Z$4,0)))</f>
        <v>4403362.6567749837</v>
      </c>
      <c r="Y60" s="103">
        <f t="array" ref="Y60">IF(Y$18,INDEX('AEA2012 update'!$K$6:$R$104,MATCH($T60&amp;$R60,'AEA2012 update'!$A$6:$A$104&amp;'AEA2012 update'!$B$6:$B$104,0),MATCH(Y$16,'AEA2012 update'!$S$4:$Z$4,0)),INDEX('AEA2012 update'!$K$6:$R$104,MATCH($T60&amp;$U60,'AEA2012 update'!$A$6:$A$104&amp;'AEA2012 update'!$B$6:$B$104,0),MATCH(Y$16,'AEA2012 update'!$S$4:$Z$4,0)))</f>
        <v>1675725.3359812722</v>
      </c>
      <c r="Z60" s="103">
        <f t="array" ref="Z60">IF(Z$18,INDEX('AEA2012 update'!$K$6:$R$104,MATCH($T60&amp;$R60,'AEA2012 update'!$A$6:$A$104&amp;'AEA2012 update'!$B$6:$B$104,0),MATCH(Z$16,'AEA2012 update'!$S$4:$Z$4,0)),INDEX('AEA2012 update'!$K$6:$R$104,MATCH($T60&amp;$U60,'AEA2012 update'!$A$6:$A$104&amp;'AEA2012 update'!$B$6:$B$104,0),MATCH(Z$16,'AEA2012 update'!$S$4:$Z$4,0)))</f>
        <v>1695117.6876140197</v>
      </c>
      <c r="AA60" s="103">
        <f t="array" ref="AA60">IF(AA$18,INDEX('AEA2012 update'!$K$6:$R$104,MATCH($T60&amp;$R60,'AEA2012 update'!$A$6:$A$104&amp;'AEA2012 update'!$B$6:$B$104,0),MATCH(AA$16,'AEA2012 update'!$S$4:$Z$4,0)),INDEX('AEA2012 update'!$K$6:$R$104,MATCH($T60&amp;$U60,'AEA2012 update'!$A$6:$A$104&amp;'AEA2012 update'!$B$6:$B$104,0),MATCH(AA$16,'AEA2012 update'!$S$4:$Z$4,0)))</f>
        <v>1714510.0392467668</v>
      </c>
      <c r="AB60" s="103">
        <f t="array" ref="AB60">IF(AB$18,INDEX('AEA2012 update'!$K$6:$R$104,MATCH($T60&amp;$R60,'AEA2012 update'!$A$6:$A$104&amp;'AEA2012 update'!$B$6:$B$104,0),MATCH(AB$16,'AEA2012 update'!$S$4:$Z$4,0)),INDEX('AEA2012 update'!$K$6:$R$104,MATCH($T60&amp;$U60,'AEA2012 update'!$A$6:$A$104&amp;'AEA2012 update'!$B$6:$B$104,0),MATCH(AB$16,'AEA2012 update'!$S$4:$Z$4,0)))</f>
        <v>1758785.822670358</v>
      </c>
      <c r="AC60" s="103" t="str">
        <f t="shared" si="5"/>
        <v>BRTELC</v>
      </c>
      <c r="AD60" s="67">
        <f t="array" ref="AD60">INDEX('AEA2012 update'!$AC$6:$AG$104,MATCH($T60&amp;$U60,'AEA2012 update'!$A$6:$A$104&amp;'AEA2012 update'!$B$6:$B$104,0),MATCH(AD$16,'AEA2012 update'!$S$4:$Z$4,0))</f>
        <v>4.2967374340531439</v>
      </c>
      <c r="AE60" s="67">
        <f t="array" ref="AE60">IF($W$1,AD60*(1+INDEX(AE$1:AE$2,MATCH($O60,$AA$1:$AA$2,0)))^(AE$16-AD$16),INDEX('AEA2012 update'!$AC$6:$AG$104,MATCH($T60&amp;$U60,'AEA2012 update'!$A$6:$A$104&amp;'AEA2012 update'!$B$6:$B$104,0),MATCH(AE$16,'AEA2012 update'!$AC$4:$AG$4,0)))</f>
        <v>4.0866705014794524</v>
      </c>
      <c r="AF60" s="67">
        <f t="array" ref="AF60">IF($W$1,AE60*(1+INDEX(AF$1:AF$2,MATCH($O60,$AA$1:$AA$2,0)))^(AF$16-AE$16),INDEX('AEA2012 update'!$AC$6:$AG$104,MATCH($T60&amp;$U60,'AEA2012 update'!$A$6:$A$104&amp;'AEA2012 update'!$B$6:$B$104,0),MATCH(AF$16,'AEA2012 update'!$AC$4:$AG$4,0)))</f>
        <v>3.8868737138327436</v>
      </c>
      <c r="AG60" s="67">
        <f t="array" ref="AG60">IF($W$1,AF60*(1+INDEX(AG$1:AG$2,MATCH($O60,$AA$1:$AA$2,0)))^(AG$16-AF$16),INDEX('AEA2012 update'!$AC$6:$AG$104,MATCH($T60&amp;$U60,'AEA2012 update'!$A$6:$A$104&amp;'AEA2012 update'!$B$6:$B$104,0),MATCH(AG$16,'AEA2012 update'!$AC$4:$AG$4,0)))</f>
        <v>3.6968449650674402</v>
      </c>
      <c r="AH60" s="67">
        <f t="array" ref="AH60">IF($W$1,AG60*(1+INDEX(AH$1:AH$2,MATCH($O60,$AA$1:$AA$2,0)))^(AH$16-AG$16),INDEX('AEA2012 update'!$AC$6:$AG$104,MATCH($T60&amp;$U60,'AEA2012 update'!$A$6:$A$104&amp;'AEA2012 update'!$B$6:$B$104,0),MATCH(AH$16,'AEA2012 update'!$AC$4:$AG$4,0)))</f>
        <v>3.5161066970370252</v>
      </c>
      <c r="AI60" s="67"/>
      <c r="AJ60" s="257">
        <f t="shared" si="6"/>
        <v>-4.8889869534227927E-3</v>
      </c>
      <c r="AK60" s="257">
        <f t="shared" si="7"/>
        <v>-4.6538602695101244E-3</v>
      </c>
      <c r="AQ60" s="61" t="str">
        <f t="shared" si="8"/>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1:49" x14ac:dyDescent="0.25">
      <c r="N61" s="61" t="s">
        <v>504</v>
      </c>
      <c r="O61" s="61" t="s">
        <v>613</v>
      </c>
      <c r="P61" s="61" t="s">
        <v>59</v>
      </c>
      <c r="Q61" s="61" t="str">
        <f t="shared" si="4"/>
        <v>BRT</v>
      </c>
      <c r="R61" s="61" t="s">
        <v>687</v>
      </c>
      <c r="S61" s="65"/>
      <c r="T61" s="256" t="s">
        <v>60</v>
      </c>
      <c r="U61" s="256" t="s">
        <v>699</v>
      </c>
      <c r="V61" s="103">
        <f t="array" ref="V61">IF(V$18,INDEX('AEA2012 update'!$K$6:$R$104,MATCH($T61&amp;$R61,'AEA2012 update'!$A$6:$A$104&amp;'AEA2012 update'!$B$6:$B$104,0),MATCH(V$16,'AEA2012 update'!$S$4:$Z$4,0)),INDEX('AEA2012 update'!$K$6:$R$104,MATCH($T61&amp;$U61,'AEA2012 update'!$A$6:$A$104&amp;'AEA2012 update'!$B$6:$B$104,0),MATCH(V$16,'AEA2012 update'!$S$4:$Z$4,0)))</f>
        <v>3962049.5059577962</v>
      </c>
      <c r="W61" s="103">
        <f t="array" ref="W61">IF(W$18,INDEX('AEA2012 update'!$K$6:$R$104,MATCH($T61&amp;$R61,'AEA2012 update'!$A$6:$A$104&amp;'AEA2012 update'!$B$6:$B$104,0),MATCH(W$16,'AEA2012 update'!$S$4:$Z$4,0)),INDEX('AEA2012 update'!$K$6:$R$104,MATCH($T61&amp;$U61,'AEA2012 update'!$A$6:$A$104&amp;'AEA2012 update'!$B$6:$B$104,0),MATCH(W$16,'AEA2012 update'!$S$4:$Z$4,0)))</f>
        <v>2321709.2381177512</v>
      </c>
      <c r="X61" s="103">
        <f t="array" ref="X61">IF(X$18,INDEX('AEA2012 update'!$K$6:$R$104,MATCH($T61&amp;$R61,'AEA2012 update'!$A$6:$A$104&amp;'AEA2012 update'!$B$6:$B$104,0),MATCH(X$16,'AEA2012 update'!$S$4:$Z$4,0)),INDEX('AEA2012 update'!$K$6:$R$104,MATCH($T61&amp;$U61,'AEA2012 update'!$A$6:$A$104&amp;'AEA2012 update'!$B$6:$B$104,0),MATCH(X$16,'AEA2012 update'!$S$4:$Z$4,0)))</f>
        <v>2069503.9570616197</v>
      </c>
      <c r="Y61" s="103">
        <f t="array" ref="Y61">IF(Y$18,INDEX('AEA2012 update'!$K$6:$R$104,MATCH($T61&amp;$R61,'AEA2012 update'!$A$6:$A$104&amp;'AEA2012 update'!$B$6:$B$104,0),MATCH(Y$16,'AEA2012 update'!$S$4:$Z$4,0)),INDEX('AEA2012 update'!$K$6:$R$104,MATCH($T61&amp;$U61,'AEA2012 update'!$A$6:$A$104&amp;'AEA2012 update'!$B$6:$B$104,0),MATCH(Y$16,'AEA2012 update'!$S$4:$Z$4,0)))</f>
        <v>1675725.3359812722</v>
      </c>
      <c r="Z61" s="103">
        <f t="array" ref="Z61">IF(Z$18,INDEX('AEA2012 update'!$K$6:$R$104,MATCH($T61&amp;$R61,'AEA2012 update'!$A$6:$A$104&amp;'AEA2012 update'!$B$6:$B$104,0),MATCH(Z$16,'AEA2012 update'!$S$4:$Z$4,0)),INDEX('AEA2012 update'!$K$6:$R$104,MATCH($T61&amp;$U61,'AEA2012 update'!$A$6:$A$104&amp;'AEA2012 update'!$B$6:$B$104,0),MATCH(Z$16,'AEA2012 update'!$S$4:$Z$4,0)))</f>
        <v>1695117.6876140197</v>
      </c>
      <c r="AA61" s="103">
        <f t="array" ref="AA61">IF(AA$18,INDEX('AEA2012 update'!$K$6:$R$104,MATCH($T61&amp;$R61,'AEA2012 update'!$A$6:$A$104&amp;'AEA2012 update'!$B$6:$B$104,0),MATCH(AA$16,'AEA2012 update'!$S$4:$Z$4,0)),INDEX('AEA2012 update'!$K$6:$R$104,MATCH($T61&amp;$U61,'AEA2012 update'!$A$6:$A$104&amp;'AEA2012 update'!$B$6:$B$104,0),MATCH(AA$16,'AEA2012 update'!$S$4:$Z$4,0)))</f>
        <v>1714510.0392467668</v>
      </c>
      <c r="AB61" s="103">
        <f t="array" ref="AB61">IF(AB$18,INDEX('AEA2012 update'!$K$6:$R$104,MATCH($T61&amp;$R61,'AEA2012 update'!$A$6:$A$104&amp;'AEA2012 update'!$B$6:$B$104,0),MATCH(AB$16,'AEA2012 update'!$S$4:$Z$4,0)),INDEX('AEA2012 update'!$K$6:$R$104,MATCH($T61&amp;$U61,'AEA2012 update'!$A$6:$A$104&amp;'AEA2012 update'!$B$6:$B$104,0),MATCH(AB$16,'AEA2012 update'!$S$4:$Z$4,0)))</f>
        <v>1758785.822670358</v>
      </c>
      <c r="AC61" s="103" t="str">
        <f t="shared" si="5"/>
        <v>BRTHGN</v>
      </c>
      <c r="AD61" s="67">
        <f t="array" ref="AD61">INDEX('AEA2012 update'!$AC$6:$AG$104,MATCH($T61&amp;$U61,'AEA2012 update'!$A$6:$A$104&amp;'AEA2012 update'!$B$6:$B$104,0),MATCH(AD$16,'AEA2012 update'!$S$4:$Z$4,0))</f>
        <v>6.6335595473101172</v>
      </c>
      <c r="AE61" s="67">
        <f t="array" ref="AE61">IF($W$1,AD61*(1+INDEX(AE$1:AE$2,MATCH($O61,$AA$1:$AA$2,0)))^(AE$16-AD$16),INDEX('AEA2012 update'!$AC$6:$AG$104,MATCH($T61&amp;$U61,'AEA2012 update'!$A$6:$A$104&amp;'AEA2012 update'!$B$6:$B$104,0),MATCH(AE$16,'AEA2012 update'!$AC$4:$AG$4,0)))</f>
        <v>6.3092456864945925</v>
      </c>
      <c r="AF61" s="67">
        <f t="array" ref="AF61">IF($W$1,AE61*(1+INDEX(AF$1:AF$2,MATCH($O61,$AA$1:$AA$2,0)))^(AF$16-AE$16),INDEX('AEA2012 update'!$AC$6:$AG$104,MATCH($T61&amp;$U61,'AEA2012 update'!$A$6:$A$104&amp;'AEA2012 update'!$B$6:$B$104,0),MATCH(AF$16,'AEA2012 update'!$AC$4:$AG$4,0)))</f>
        <v>6.000787488022481</v>
      </c>
      <c r="AG61" s="67">
        <f t="array" ref="AG61">IF($W$1,AF61*(1+INDEX(AG$1:AG$2,MATCH($O61,$AA$1:$AA$2,0)))^(AG$16-AF$16),INDEX('AEA2012 update'!$AC$6:$AG$104,MATCH($T61&amp;$U61,'AEA2012 update'!$A$6:$A$104&amp;'AEA2012 update'!$B$6:$B$104,0),MATCH(AG$16,'AEA2012 update'!$AC$4:$AG$4,0)))</f>
        <v>5.7074097706304343</v>
      </c>
      <c r="AH61" s="67">
        <f t="array" ref="AH61">IF($W$1,AG61*(1+INDEX(AH$1:AH$2,MATCH($O61,$AA$1:$AA$2,0)))^(AH$16-AG$16),INDEX('AEA2012 update'!$AC$6:$AG$104,MATCH($T61&amp;$U61,'AEA2012 update'!$A$6:$A$104&amp;'AEA2012 update'!$B$6:$B$104,0),MATCH(AH$16,'AEA2012 update'!$AC$4:$AG$4,0)))</f>
        <v>5.4283752515659343</v>
      </c>
      <c r="AI61" s="67"/>
      <c r="AJ61" s="257">
        <f t="shared" si="6"/>
        <v>-4.8889869534228083E-3</v>
      </c>
      <c r="AK61" s="257">
        <f t="shared" si="7"/>
        <v>-4.6538602695101183E-3</v>
      </c>
      <c r="AQ61" s="61" t="str">
        <f t="shared" si="8"/>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1:49" x14ac:dyDescent="0.25">
      <c r="N62" s="61" t="s">
        <v>509</v>
      </c>
      <c r="O62" s="61" t="s">
        <v>613</v>
      </c>
      <c r="P62" s="61" t="s">
        <v>59</v>
      </c>
      <c r="Q62" s="61" t="str">
        <f t="shared" si="4"/>
        <v>BRT</v>
      </c>
      <c r="R62" s="61" t="s">
        <v>687</v>
      </c>
      <c r="S62" s="65"/>
      <c r="T62" s="256" t="s">
        <v>60</v>
      </c>
      <c r="U62" s="256" t="s">
        <v>700</v>
      </c>
      <c r="V62" s="103">
        <f t="array" ref="V62">IF(V$18,INDEX('AEA2012 update'!$K$6:$R$104,MATCH($T62&amp;$R62,'AEA2012 update'!$A$6:$A$104&amp;'AEA2012 update'!$B$6:$B$104,0),MATCH(V$16,'AEA2012 update'!$S$4:$Z$4,0)),INDEX('AEA2012 update'!$K$6:$R$104,MATCH($T62&amp;$U62,'AEA2012 update'!$A$6:$A$104&amp;'AEA2012 update'!$B$6:$B$104,0),MATCH(V$16,'AEA2012 update'!$S$4:$Z$4,0)))</f>
        <v>1662957.7926762076</v>
      </c>
      <c r="W62" s="103">
        <f t="array" ref="W62">IF(W$18,INDEX('AEA2012 update'!$K$6:$R$104,MATCH($T62&amp;$R62,'AEA2012 update'!$A$6:$A$104&amp;'AEA2012 update'!$B$6:$B$104,0),MATCH(W$16,'AEA2012 update'!$S$4:$Z$4,0)),INDEX('AEA2012 update'!$K$6:$R$104,MATCH($T62&amp;$U62,'AEA2012 update'!$A$6:$A$104&amp;'AEA2012 update'!$B$6:$B$104,0),MATCH(W$16,'AEA2012 update'!$S$4:$Z$4,0)))</f>
        <v>1712796.8806812237</v>
      </c>
      <c r="X62" s="103">
        <f t="array" ref="X62">IF(X$18,INDEX('AEA2012 update'!$K$6:$R$104,MATCH($T62&amp;$R62,'AEA2012 update'!$A$6:$A$104&amp;'AEA2012 update'!$B$6:$B$104,0),MATCH(X$16,'AEA2012 update'!$S$4:$Z$4,0)),INDEX('AEA2012 update'!$K$6:$R$104,MATCH($T62&amp;$U62,'AEA2012 update'!$A$6:$A$104&amp;'AEA2012 update'!$B$6:$B$104,0),MATCH(X$16,'AEA2012 update'!$S$4:$Z$4,0)))</f>
        <v>1730793.9448361397</v>
      </c>
      <c r="Y62" s="103">
        <f t="array" ref="Y62">IF(Y$18,INDEX('AEA2012 update'!$K$6:$R$104,MATCH($T62&amp;$R62,'AEA2012 update'!$A$6:$A$104&amp;'AEA2012 update'!$B$6:$B$104,0),MATCH(Y$16,'AEA2012 update'!$S$4:$Z$4,0)),INDEX('AEA2012 update'!$K$6:$R$104,MATCH($T62&amp;$U62,'AEA2012 update'!$A$6:$A$104&amp;'AEA2012 update'!$B$6:$B$104,0),MATCH(Y$16,'AEA2012 update'!$S$4:$Z$4,0)))</f>
        <v>1675725.3359812722</v>
      </c>
      <c r="Z62" s="103">
        <f t="array" ref="Z62">IF(Z$18,INDEX('AEA2012 update'!$K$6:$R$104,MATCH($T62&amp;$R62,'AEA2012 update'!$A$6:$A$104&amp;'AEA2012 update'!$B$6:$B$104,0),MATCH(Z$16,'AEA2012 update'!$S$4:$Z$4,0)),INDEX('AEA2012 update'!$K$6:$R$104,MATCH($T62&amp;$U62,'AEA2012 update'!$A$6:$A$104&amp;'AEA2012 update'!$B$6:$B$104,0),MATCH(Z$16,'AEA2012 update'!$S$4:$Z$4,0)))</f>
        <v>1695117.6876140197</v>
      </c>
      <c r="AA62" s="103">
        <f t="array" ref="AA62">IF(AA$18,INDEX('AEA2012 update'!$K$6:$R$104,MATCH($T62&amp;$R62,'AEA2012 update'!$A$6:$A$104&amp;'AEA2012 update'!$B$6:$B$104,0),MATCH(AA$16,'AEA2012 update'!$S$4:$Z$4,0)),INDEX('AEA2012 update'!$K$6:$R$104,MATCH($T62&amp;$U62,'AEA2012 update'!$A$6:$A$104&amp;'AEA2012 update'!$B$6:$B$104,0),MATCH(AA$16,'AEA2012 update'!$S$4:$Z$4,0)))</f>
        <v>1714510.0392467668</v>
      </c>
      <c r="AB62" s="103">
        <f t="array" ref="AB62">IF(AB$18,INDEX('AEA2012 update'!$K$6:$R$104,MATCH($T62&amp;$R62,'AEA2012 update'!$A$6:$A$104&amp;'AEA2012 update'!$B$6:$B$104,0),MATCH(AB$16,'AEA2012 update'!$S$4:$Z$4,0)),INDEX('AEA2012 update'!$K$6:$R$104,MATCH($T62&amp;$U62,'AEA2012 update'!$A$6:$A$104&amp;'AEA2012 update'!$B$6:$B$104,0),MATCH(AB$16,'AEA2012 update'!$S$4:$Z$4,0)))</f>
        <v>1758785.822670358</v>
      </c>
      <c r="AC62" s="103" t="str">
        <f t="shared" si="5"/>
        <v>BRTGAS</v>
      </c>
      <c r="AD62" s="67">
        <f t="array" ref="AD62">INDEX('AEA2012 update'!$AC$6:$AG$104,MATCH($T62&amp;$U62,'AEA2012 update'!$A$6:$A$104&amp;'AEA2012 update'!$B$6:$B$104,0),MATCH(AD$16,'AEA2012 update'!$S$4:$Z$4,0))</f>
        <v>16.093663963015352</v>
      </c>
      <c r="AE62" s="67">
        <f t="array" ref="AE62">IF($W$1,AD62*(1+INDEX(AE$1:AE$2,MATCH($O62,$AA$1:$AA$2,0)))^(AE$16-AD$16),INDEX('AEA2012 update'!$AC$6:$AG$104,MATCH($T62&amp;$U62,'AEA2012 update'!$A$6:$A$104&amp;'AEA2012 update'!$B$6:$B$104,0),MATCH(AE$16,'AEA2012 update'!$AC$4:$AG$4,0)))</f>
        <v>15.306846831535825</v>
      </c>
      <c r="AF62" s="67">
        <f t="array" ref="AF62">IF($W$1,AE62*(1+INDEX(AF$1:AF$2,MATCH($O62,$AA$1:$AA$2,0)))^(AF$16-AE$16),INDEX('AEA2012 update'!$AC$6:$AG$104,MATCH($T62&amp;$U62,'AEA2012 update'!$A$6:$A$104&amp;'AEA2012 update'!$B$6:$B$104,0),MATCH(AF$16,'AEA2012 update'!$AC$4:$AG$4,0)))</f>
        <v>14.558497086961626</v>
      </c>
      <c r="AG62" s="67">
        <f t="array" ref="AG62">IF($W$1,AF62*(1+INDEX(AG$1:AG$2,MATCH($O62,$AA$1:$AA$2,0)))^(AG$16-AF$16),INDEX('AEA2012 update'!$AC$6:$AG$104,MATCH($T62&amp;$U62,'AEA2012 update'!$A$6:$A$104&amp;'AEA2012 update'!$B$6:$B$104,0),MATCH(AG$16,'AEA2012 update'!$AC$4:$AG$4,0)))</f>
        <v>13.846734063765634</v>
      </c>
      <c r="AH62" s="67">
        <f t="array" ref="AH62">IF($W$1,AG62*(1+INDEX(AH$1:AH$2,MATCH($O62,$AA$1:$AA$2,0)))^(AH$16-AG$16),INDEX('AEA2012 update'!$AC$6:$AG$104,MATCH($T62&amp;$U62,'AEA2012 update'!$A$6:$A$104&amp;'AEA2012 update'!$B$6:$B$104,0),MATCH(AH$16,'AEA2012 update'!$AC$4:$AG$4,0)))</f>
        <v>13.169769041912982</v>
      </c>
      <c r="AI62" s="67"/>
      <c r="AJ62" s="257">
        <f t="shared" si="6"/>
        <v>-4.8889869534227979E-3</v>
      </c>
      <c r="AK62" s="257">
        <f t="shared" si="7"/>
        <v>-4.6538602695101192E-3</v>
      </c>
      <c r="AQ62" s="61" t="str">
        <f t="shared" si="8"/>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row>
    <row r="63" spans="11:49" x14ac:dyDescent="0.25">
      <c r="Q63" s="61" t="str">
        <f t="shared" si="4"/>
        <v/>
      </c>
      <c r="S63" s="65"/>
      <c r="T63" s="256"/>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5"/>
        <v/>
      </c>
      <c r="AD63" s="67" t="e">
        <f t="array" ref="AD63">INDEX('AEA2012 update'!$AC$6:$AG$104,MATCH($T63&amp;$U63,'AEA2012 update'!$A$6:$A$104&amp;'AEA2012 update'!$B$6:$B$104,0),MATCH(AD$16,'AEA2012 update'!$S$4:$Z$4,0))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57" t="e">
        <f t="shared" si="6"/>
        <v>#N/A</v>
      </c>
      <c r="AK63" s="257" t="e">
        <f t="shared" si="7"/>
        <v>#N/A</v>
      </c>
      <c r="AQ63" s="61" t="str">
        <f t="shared" si="8"/>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row>
    <row r="64" spans="11:49" x14ac:dyDescent="0.25">
      <c r="N64" s="61" t="s">
        <v>573</v>
      </c>
      <c r="O64" s="61" t="s">
        <v>653</v>
      </c>
      <c r="P64" s="61" t="s">
        <v>63</v>
      </c>
      <c r="Q64" s="61" t="str">
        <f t="shared" si="4"/>
        <v>LCV</v>
      </c>
      <c r="R64" s="61" t="s">
        <v>680</v>
      </c>
      <c r="S64" s="65"/>
      <c r="T64" s="256" t="s">
        <v>701</v>
      </c>
      <c r="U64" s="256" t="s">
        <v>680</v>
      </c>
      <c r="V64" s="103">
        <f t="array" ref="V64">IF(V$18,INDEX('AEA2012 update'!$K$6:$R$104,MATCH($T64&amp;$R64,'AEA2012 update'!$A$6:$A$104&amp;'AEA2012 update'!$B$6:$B$104,0),MATCH(V$16,'AEA2012 update'!$S$4:$Z$4,0)),INDEX('AEA2012 update'!$K$6:$R$104,MATCH($T64&amp;$U64,'AEA2012 update'!$A$6:$A$104&amp;'AEA2012 update'!$B$6:$B$104,0),MATCH(V$16,'AEA2012 update'!$S$4:$Z$4,0)))</f>
        <v>322554.53757929691</v>
      </c>
      <c r="W64" s="103">
        <f t="array" ref="W64">IF(W$18,INDEX('AEA2012 update'!$K$6:$R$104,MATCH($T64&amp;$R64,'AEA2012 update'!$A$6:$A$104&amp;'AEA2012 update'!$B$6:$B$104,0),MATCH(W$16,'AEA2012 update'!$S$4:$Z$4,0)),INDEX('AEA2012 update'!$K$6:$R$104,MATCH($T64&amp;$U64,'AEA2012 update'!$A$6:$A$104&amp;'AEA2012 update'!$B$6:$B$104,0),MATCH(W$16,'AEA2012 update'!$S$4:$Z$4,0)))</f>
        <v>350637.87759734597</v>
      </c>
      <c r="X64" s="103">
        <f t="array" ref="X64">IF(X$18,INDEX('AEA2012 update'!$K$6:$R$104,MATCH($T64&amp;$R64,'AEA2012 update'!$A$6:$A$104&amp;'AEA2012 update'!$B$6:$B$104,0),MATCH(X$16,'AEA2012 update'!$S$4:$Z$4,0)),INDEX('AEA2012 update'!$K$6:$R$104,MATCH($T64&amp;$U64,'AEA2012 update'!$A$6:$A$104&amp;'AEA2012 update'!$B$6:$B$104,0),MATCH(X$16,'AEA2012 update'!$S$4:$Z$4,0)))</f>
        <v>357099.62238446943</v>
      </c>
      <c r="Y64" s="103">
        <f t="array" ref="Y64">IF(Y$18,INDEX('AEA2012 update'!$K$6:$R$104,MATCH($T64&amp;$R64,'AEA2012 update'!$A$6:$A$104&amp;'AEA2012 update'!$B$6:$B$104,0),MATCH(Y$16,'AEA2012 update'!$S$4:$Z$4,0)),INDEX('AEA2012 update'!$K$6:$R$104,MATCH($T64&amp;$U64,'AEA2012 update'!$A$6:$A$104&amp;'AEA2012 update'!$B$6:$B$104,0),MATCH(Y$16,'AEA2012 update'!$S$4:$Z$4,0)))</f>
        <v>363561.36717159278</v>
      </c>
      <c r="Z64" s="103">
        <f t="array" ref="Z64">IF(Z$18,INDEX('AEA2012 update'!$K$6:$R$104,MATCH($T64&amp;$R64,'AEA2012 update'!$A$6:$A$104&amp;'AEA2012 update'!$B$6:$B$104,0),MATCH(Z$16,'AEA2012 update'!$S$4:$Z$4,0)),INDEX('AEA2012 update'!$K$6:$R$104,MATCH($T64&amp;$U64,'AEA2012 update'!$A$6:$A$104&amp;'AEA2012 update'!$B$6:$B$104,0),MATCH(Z$16,'AEA2012 update'!$S$4:$Z$4,0)))</f>
        <v>371500.85823323019</v>
      </c>
      <c r="AA64" s="103">
        <f t="array" ref="AA64">IF(AA$18,INDEX('AEA2012 update'!$K$6:$R$104,MATCH($T64&amp;$R64,'AEA2012 update'!$A$6:$A$104&amp;'AEA2012 update'!$B$6:$B$104,0),MATCH(AA$16,'AEA2012 update'!$S$4:$Z$4,0)),INDEX('AEA2012 update'!$K$6:$R$104,MATCH($T64&amp;$U64,'AEA2012 update'!$A$6:$A$104&amp;'AEA2012 update'!$B$6:$B$104,0),MATCH(AA$16,'AEA2012 update'!$S$4:$Z$4,0)))</f>
        <v>379440.3492948676</v>
      </c>
      <c r="AB64" s="103">
        <f t="array" ref="AB64">IF(AB$18,INDEX('AEA2012 update'!$K$6:$R$104,MATCH($T64&amp;$R64,'AEA2012 update'!$A$6:$A$104&amp;'AEA2012 update'!$B$6:$B$104,0),MATCH(AB$16,'AEA2012 update'!$S$4:$Z$4,0)),INDEX('AEA2012 update'!$K$6:$R$104,MATCH($T64&amp;$U64,'AEA2012 update'!$A$6:$A$104&amp;'AEA2012 update'!$B$6:$B$104,0),MATCH(AB$16,'AEA2012 update'!$S$4:$Z$4,0)))</f>
        <v>387396.22422821133</v>
      </c>
      <c r="AC64" s="103" t="str">
        <f t="shared" si="5"/>
        <v>LCVOGS</v>
      </c>
      <c r="AD64" s="67">
        <f t="array" ref="AD64">INDEX('AEA2012 update'!$AC$6:$AG$104,MATCH($T64&amp;$U64,'AEA2012 update'!$A$6:$A$104&amp;'AEA2012 update'!$B$6:$B$104,0),MATCH(AD$16,'AEA2012 update'!$S$4:$Z$4,0))</f>
        <v>2.8454207298952694</v>
      </c>
      <c r="AE64" s="67">
        <f t="array" ref="AE64">IF($W$1,AD64*(1+INDEX(AE$1:AE$2,MATCH($O64,$AA$1:$AA$2,0)))^(AE$16-AD$16),INDEX('AEA2012 update'!$AC$6:$AG$104,MATCH($T64&amp;$U64,'AEA2012 update'!$A$6:$A$104&amp;'AEA2012 update'!$B$6:$B$104,0),MATCH(AE$16,'AEA2012 update'!$AC$4:$AG$4,0)))</f>
        <v>2.8170942256754965</v>
      </c>
      <c r="AF64" s="67">
        <f t="array" ref="AF64">IF($W$1,AE64*(1+INDEX(AF$1:AF$2,MATCH($O64,$AA$1:$AA$2,0)))^(AF$16-AE$16),INDEX('AEA2012 update'!$AC$6:$AG$104,MATCH($T64&amp;$U64,'AEA2012 update'!$A$6:$A$104&amp;'AEA2012 update'!$B$6:$B$104,0),MATCH(AF$16,'AEA2012 update'!$AC$4:$AG$4,0)))</f>
        <v>2.7890497151984706</v>
      </c>
      <c r="AG64" s="67">
        <f t="array" ref="AG64">IF($W$1,AF64*(1+INDEX(AG$1:AG$2,MATCH($O64,$AA$1:$AA$2,0)))^(AG$16-AF$16),INDEX('AEA2012 update'!$AC$6:$AG$104,MATCH($T64&amp;$U64,'AEA2012 update'!$A$6:$A$104&amp;'AEA2012 update'!$B$6:$B$104,0),MATCH(AG$16,'AEA2012 update'!$AC$4:$AG$4,0)))</f>
        <v>2.7612843911827025</v>
      </c>
      <c r="AH64" s="67">
        <f t="array" ref="AH64">IF($W$1,AG64*(1+INDEX(AH$1:AH$2,MATCH($O64,$AA$1:$AA$2,0)))^(AH$16-AG$16),INDEX('AEA2012 update'!$AC$6:$AG$104,MATCH($T64&amp;$U64,'AEA2012 update'!$A$6:$A$104&amp;'AEA2012 update'!$B$6:$B$104,0),MATCH(AH$16,'AEA2012 update'!$AC$4:$AG$4,0)))</f>
        <v>2.7337954742935264</v>
      </c>
      <c r="AI64" s="67"/>
      <c r="AJ64" s="257">
        <f t="shared" si="6"/>
        <v>-9.9551197902517227E-4</v>
      </c>
      <c r="AK64" s="257">
        <f t="shared" si="7"/>
        <v>-9.8563442456379904E-4</v>
      </c>
      <c r="AQ64" s="61" t="str">
        <f t="shared" si="8"/>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W64" s="195">
        <f t="shared" ref="AW64" si="15">AI64/cv.petrol.hhv.MJL*100</f>
        <v>0</v>
      </c>
    </row>
    <row r="65" spans="14:49" x14ac:dyDescent="0.25">
      <c r="N65" s="61" t="s">
        <v>519</v>
      </c>
      <c r="O65" s="61" t="s">
        <v>653</v>
      </c>
      <c r="P65" s="61" t="s">
        <v>63</v>
      </c>
      <c r="Q65" s="61" t="str">
        <f t="shared" si="4"/>
        <v>LCV</v>
      </c>
      <c r="R65" s="61" t="s">
        <v>680</v>
      </c>
      <c r="S65" s="65"/>
      <c r="T65" s="256" t="s">
        <v>701</v>
      </c>
      <c r="U65" s="256" t="s">
        <v>688</v>
      </c>
      <c r="V65" s="103">
        <f t="array" ref="V65">IF(V$18,INDEX('AEA2012 update'!$K$6:$R$104,MATCH($T65&amp;$R65,'AEA2012 update'!$A$6:$A$104&amp;'AEA2012 update'!$B$6:$B$104,0),MATCH(V$16,'AEA2012 update'!$S$4:$Z$4,0)),INDEX('AEA2012 update'!$K$6:$R$104,MATCH($T65&amp;$U65,'AEA2012 update'!$A$6:$A$104&amp;'AEA2012 update'!$B$6:$B$104,0),MATCH(V$16,'AEA2012 update'!$S$4:$Z$4,0)))</f>
        <v>462611.03749439324</v>
      </c>
      <c r="W65" s="103">
        <f t="array" ref="W65">IF(W$18,INDEX('AEA2012 update'!$K$6:$R$104,MATCH($T65&amp;$R65,'AEA2012 update'!$A$6:$A$104&amp;'AEA2012 update'!$B$6:$B$104,0),MATCH(W$16,'AEA2012 update'!$S$4:$Z$4,0)),INDEX('AEA2012 update'!$K$6:$R$104,MATCH($T65&amp;$U65,'AEA2012 update'!$A$6:$A$104&amp;'AEA2012 update'!$B$6:$B$104,0),MATCH(W$16,'AEA2012 update'!$S$4:$Z$4,0)))</f>
        <v>450697.95583180117</v>
      </c>
      <c r="X65" s="103">
        <f t="array" ref="X65">IF(X$18,INDEX('AEA2012 update'!$K$6:$R$104,MATCH($T65&amp;$R65,'AEA2012 update'!$A$6:$A$104&amp;'AEA2012 update'!$B$6:$B$104,0),MATCH(X$16,'AEA2012 update'!$S$4:$Z$4,0)),INDEX('AEA2012 update'!$K$6:$R$104,MATCH($T65&amp;$U65,'AEA2012 update'!$A$6:$A$104&amp;'AEA2012 update'!$B$6:$B$104,0),MATCH(X$16,'AEA2012 update'!$S$4:$Z$4,0)))</f>
        <v>447834.90632433031</v>
      </c>
      <c r="Y65" s="103">
        <f t="array" ref="Y65">IF(Y$18,INDEX('AEA2012 update'!$K$6:$R$104,MATCH($T65&amp;$R65,'AEA2012 update'!$A$6:$A$104&amp;'AEA2012 update'!$B$6:$B$104,0),MATCH(Y$16,'AEA2012 update'!$S$4:$Z$4,0)),INDEX('AEA2012 update'!$K$6:$R$104,MATCH($T65&amp;$U65,'AEA2012 update'!$A$6:$A$104&amp;'AEA2012 update'!$B$6:$B$104,0),MATCH(Y$16,'AEA2012 update'!$S$4:$Z$4,0)))</f>
        <v>363561.36717159278</v>
      </c>
      <c r="Z65" s="103">
        <f t="array" ref="Z65">IF(Z$18,INDEX('AEA2012 update'!$K$6:$R$104,MATCH($T65&amp;$R65,'AEA2012 update'!$A$6:$A$104&amp;'AEA2012 update'!$B$6:$B$104,0),MATCH(Z$16,'AEA2012 update'!$S$4:$Z$4,0)),INDEX('AEA2012 update'!$K$6:$R$104,MATCH($T65&amp;$U65,'AEA2012 update'!$A$6:$A$104&amp;'AEA2012 update'!$B$6:$B$104,0),MATCH(Z$16,'AEA2012 update'!$S$4:$Z$4,0)))</f>
        <v>371500.85823323019</v>
      </c>
      <c r="AA65" s="103">
        <f t="array" ref="AA65">IF(AA$18,INDEX('AEA2012 update'!$K$6:$R$104,MATCH($T65&amp;$R65,'AEA2012 update'!$A$6:$A$104&amp;'AEA2012 update'!$B$6:$B$104,0),MATCH(AA$16,'AEA2012 update'!$S$4:$Z$4,0)),INDEX('AEA2012 update'!$K$6:$R$104,MATCH($T65&amp;$U65,'AEA2012 update'!$A$6:$A$104&amp;'AEA2012 update'!$B$6:$B$104,0),MATCH(AA$16,'AEA2012 update'!$S$4:$Z$4,0)))</f>
        <v>379440.3492948676</v>
      </c>
      <c r="AB65" s="103">
        <f t="array" ref="AB65">IF(AB$18,INDEX('AEA2012 update'!$K$6:$R$104,MATCH($T65&amp;$R65,'AEA2012 update'!$A$6:$A$104&amp;'AEA2012 update'!$B$6:$B$104,0),MATCH(AB$16,'AEA2012 update'!$S$4:$Z$4,0)),INDEX('AEA2012 update'!$K$6:$R$104,MATCH($T65&amp;$U65,'AEA2012 update'!$A$6:$A$104&amp;'AEA2012 update'!$B$6:$B$104,0),MATCH(AB$16,'AEA2012 update'!$S$4:$Z$4,0)))</f>
        <v>387396.22422821133</v>
      </c>
      <c r="AC65" s="103" t="str">
        <f t="shared" si="5"/>
        <v>LCVOGSH</v>
      </c>
      <c r="AD65" s="67">
        <f t="array" ref="AD65">INDEX('AEA2012 update'!$AC$6:$AG$104,MATCH($T65&amp;$U65,'AEA2012 update'!$A$6:$A$104&amp;'AEA2012 update'!$B$6:$B$104,0),MATCH(AD$16,'AEA2012 update'!$S$4:$Z$4,0))</f>
        <v>2.1741726994604185</v>
      </c>
      <c r="AE65" s="67">
        <f t="array" ref="AE65">IF($W$1,AD65*(1+INDEX(AE$1:AE$2,MATCH($O65,$AA$1:$AA$2,0)))^(AE$16-AD$16),INDEX('AEA2012 update'!$AC$6:$AG$104,MATCH($T65&amp;$U65,'AEA2012 update'!$A$6:$A$104&amp;'AEA2012 update'!$B$6:$B$104,0),MATCH(AE$16,'AEA2012 update'!$AC$4:$AG$4,0)))</f>
        <v>2.1525285497925952</v>
      </c>
      <c r="AF65" s="67">
        <f t="array" ref="AF65">IF($W$1,AE65*(1+INDEX(AF$1:AF$2,MATCH($O65,$AA$1:$AA$2,0)))^(AF$16-AE$16),INDEX('AEA2012 update'!$AC$6:$AG$104,MATCH($T65&amp;$U65,'AEA2012 update'!$A$6:$A$104&amp;'AEA2012 update'!$B$6:$B$104,0),MATCH(AF$16,'AEA2012 update'!$AC$4:$AG$4,0)))</f>
        <v>2.131099870227473</v>
      </c>
      <c r="AG65" s="67">
        <f t="array" ref="AG65">IF($W$1,AF65*(1+INDEX(AG$1:AG$2,MATCH($O65,$AA$1:$AA$2,0)))^(AG$16-AF$16),INDEX('AEA2012 update'!$AC$6:$AG$104,MATCH($T65&amp;$U65,'AEA2012 update'!$A$6:$A$104&amp;'AEA2012 update'!$B$6:$B$104,0),MATCH(AG$16,'AEA2012 update'!$AC$4:$AG$4,0)))</f>
        <v>2.1098845157343686</v>
      </c>
      <c r="AH65" s="67">
        <f t="array" ref="AH65">IF($W$1,AG65*(1+INDEX(AH$1:AH$2,MATCH($O65,$AA$1:$AA$2,0)))^(AH$16-AG$16),INDEX('AEA2012 update'!$AC$6:$AG$104,MATCH($T65&amp;$U65,'AEA2012 update'!$A$6:$A$104&amp;'AEA2012 update'!$B$6:$B$104,0),MATCH(AH$16,'AEA2012 update'!$AC$4:$AG$4,0)))</f>
        <v>2.0888803626366359</v>
      </c>
      <c r="AI65" s="67"/>
      <c r="AJ65" s="257">
        <f t="shared" si="6"/>
        <v>-9.9551197902516403E-4</v>
      </c>
      <c r="AK65" s="257">
        <f t="shared" si="7"/>
        <v>-9.8563442456380099E-4</v>
      </c>
      <c r="AQ65" s="61" t="str">
        <f t="shared" si="8"/>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W65" s="195">
        <f t="shared" ref="AW65" si="16">AI65/cv.petrol.hhv.MJL*100</f>
        <v>0</v>
      </c>
    </row>
    <row r="66" spans="14:49" x14ac:dyDescent="0.25">
      <c r="N66" s="61" t="s">
        <v>511</v>
      </c>
      <c r="O66" s="61" t="s">
        <v>653</v>
      </c>
      <c r="P66" s="61" t="s">
        <v>63</v>
      </c>
      <c r="Q66" s="61" t="str">
        <f t="shared" si="4"/>
        <v>LCV</v>
      </c>
      <c r="R66" s="61" t="s">
        <v>680</v>
      </c>
      <c r="S66" s="65"/>
      <c r="T66" s="256" t="s">
        <v>701</v>
      </c>
      <c r="U66" s="256" t="s">
        <v>687</v>
      </c>
      <c r="V66" s="103">
        <f t="array" ref="V66">IF(V$18,INDEX('AEA2012 update'!$K$6:$R$104,MATCH($T66&amp;$R66,'AEA2012 update'!$A$6:$A$104&amp;'AEA2012 update'!$B$6:$B$104,0),MATCH(V$16,'AEA2012 update'!$S$4:$Z$4,0)),INDEX('AEA2012 update'!$K$6:$R$104,MATCH($T66&amp;$U66,'AEA2012 update'!$A$6:$A$104&amp;'AEA2012 update'!$B$6:$B$104,0),MATCH(V$16,'AEA2012 update'!$S$4:$Z$4,0)))</f>
        <v>449299.91329948109</v>
      </c>
      <c r="W66" s="103">
        <f t="array" ref="W66">IF(W$18,INDEX('AEA2012 update'!$K$6:$R$104,MATCH($T66&amp;$R66,'AEA2012 update'!$A$6:$A$104&amp;'AEA2012 update'!$B$6:$B$104,0),MATCH(W$16,'AEA2012 update'!$S$4:$Z$4,0)),INDEX('AEA2012 update'!$K$6:$R$104,MATCH($T66&amp;$U66,'AEA2012 update'!$A$6:$A$104&amp;'AEA2012 update'!$B$6:$B$104,0),MATCH(W$16,'AEA2012 update'!$S$4:$Z$4,0)))</f>
        <v>496024.31464990409</v>
      </c>
      <c r="X66" s="103">
        <f t="array" ref="X66">IF(X$18,INDEX('AEA2012 update'!$K$6:$R$104,MATCH($T66&amp;$R66,'AEA2012 update'!$A$6:$A$104&amp;'AEA2012 update'!$B$6:$B$104,0),MATCH(X$16,'AEA2012 update'!$S$4:$Z$4,0)),INDEX('AEA2012 update'!$K$6:$R$104,MATCH($T66&amp;$U66,'AEA2012 update'!$A$6:$A$104&amp;'AEA2012 update'!$B$6:$B$104,0),MATCH(X$16,'AEA2012 update'!$S$4:$Z$4,0)))</f>
        <v>504862.6389695133</v>
      </c>
      <c r="Y66" s="103">
        <f t="array" ref="Y66">IF(Y$18,INDEX('AEA2012 update'!$K$6:$R$104,MATCH($T66&amp;$R66,'AEA2012 update'!$A$6:$A$104&amp;'AEA2012 update'!$B$6:$B$104,0),MATCH(Y$16,'AEA2012 update'!$S$4:$Z$4,0)),INDEX('AEA2012 update'!$K$6:$R$104,MATCH($T66&amp;$U66,'AEA2012 update'!$A$6:$A$104&amp;'AEA2012 update'!$B$6:$B$104,0),MATCH(Y$16,'AEA2012 update'!$S$4:$Z$4,0)))</f>
        <v>363561.36717159278</v>
      </c>
      <c r="Z66" s="103">
        <f t="array" ref="Z66">IF(Z$18,INDEX('AEA2012 update'!$K$6:$R$104,MATCH($T66&amp;$R66,'AEA2012 update'!$A$6:$A$104&amp;'AEA2012 update'!$B$6:$B$104,0),MATCH(Z$16,'AEA2012 update'!$S$4:$Z$4,0)),INDEX('AEA2012 update'!$K$6:$R$104,MATCH($T66&amp;$U66,'AEA2012 update'!$A$6:$A$104&amp;'AEA2012 update'!$B$6:$B$104,0),MATCH(Z$16,'AEA2012 update'!$S$4:$Z$4,0)))</f>
        <v>371500.85823323019</v>
      </c>
      <c r="AA66" s="103">
        <f t="array" ref="AA66">IF(AA$18,INDEX('AEA2012 update'!$K$6:$R$104,MATCH($T66&amp;$R66,'AEA2012 update'!$A$6:$A$104&amp;'AEA2012 update'!$B$6:$B$104,0),MATCH(AA$16,'AEA2012 update'!$S$4:$Z$4,0)),INDEX('AEA2012 update'!$K$6:$R$104,MATCH($T66&amp;$U66,'AEA2012 update'!$A$6:$A$104&amp;'AEA2012 update'!$B$6:$B$104,0),MATCH(AA$16,'AEA2012 update'!$S$4:$Z$4,0)))</f>
        <v>379440.3492948676</v>
      </c>
      <c r="AB66" s="103">
        <f t="array" ref="AB66">IF(AB$18,INDEX('AEA2012 update'!$K$6:$R$104,MATCH($T66&amp;$R66,'AEA2012 update'!$A$6:$A$104&amp;'AEA2012 update'!$B$6:$B$104,0),MATCH(AB$16,'AEA2012 update'!$S$4:$Z$4,0)),INDEX('AEA2012 update'!$K$6:$R$104,MATCH($T66&amp;$U66,'AEA2012 update'!$A$6:$A$104&amp;'AEA2012 update'!$B$6:$B$104,0),MATCH(AB$16,'AEA2012 update'!$S$4:$Z$4,0)))</f>
        <v>387396.22422821133</v>
      </c>
      <c r="AC66" s="103" t="str">
        <f t="shared" si="5"/>
        <v>LCVODS</v>
      </c>
      <c r="AD66" s="67">
        <f t="array" ref="AD66">INDEX('AEA2012 update'!$AC$6:$AG$104,MATCH($T66&amp;$U66,'AEA2012 update'!$A$6:$A$104&amp;'AEA2012 update'!$B$6:$B$104,0),MATCH(AD$16,'AEA2012 update'!$S$4:$Z$4,0))</f>
        <v>2.9031215330752671</v>
      </c>
      <c r="AE66" s="67">
        <f t="array" ref="AE66">IF($W$1,AD66*(1+INDEX(AE$1:AE$2,MATCH($O66,$AA$1:$AA$2,0)))^(AE$16-AD$16),INDEX('AEA2012 update'!$AC$6:$AG$104,MATCH($T66&amp;$U66,'AEA2012 update'!$A$6:$A$104&amp;'AEA2012 update'!$B$6:$B$104,0),MATCH(AE$16,'AEA2012 update'!$AC$4:$AG$4,0)))</f>
        <v>2.8742206104478436</v>
      </c>
      <c r="AF66" s="67">
        <f t="array" ref="AF66">IF($W$1,AE66*(1+INDEX(AF$1:AF$2,MATCH($O66,$AA$1:$AA$2,0)))^(AF$16-AE$16),INDEX('AEA2012 update'!$AC$6:$AG$104,MATCH($T66&amp;$U66,'AEA2012 update'!$A$6:$A$104&amp;'AEA2012 update'!$B$6:$B$104,0),MATCH(AF$16,'AEA2012 update'!$AC$4:$AG$4,0)))</f>
        <v>2.8456073999672249</v>
      </c>
      <c r="AG66" s="67">
        <f t="array" ref="AG66">IF($W$1,AF66*(1+INDEX(AG$1:AG$2,MATCH($O66,$AA$1:$AA$2,0)))^(AG$16-AF$16),INDEX('AEA2012 update'!$AC$6:$AG$104,MATCH($T66&amp;$U66,'AEA2012 update'!$A$6:$A$104&amp;'AEA2012 update'!$B$6:$B$104,0),MATCH(AG$16,'AEA2012 update'!$AC$4:$AG$4,0)))</f>
        <v>2.8172790374245245</v>
      </c>
      <c r="AH66" s="67">
        <f t="array" ref="AH66">IF($W$1,AG66*(1+INDEX(AH$1:AH$2,MATCH($O66,$AA$1:$AA$2,0)))^(AH$16-AG$16),INDEX('AEA2012 update'!$AC$6:$AG$104,MATCH($T66&amp;$U66,'AEA2012 update'!$A$6:$A$104&amp;'AEA2012 update'!$B$6:$B$104,0),MATCH(AH$16,'AEA2012 update'!$AC$4:$AG$4,0)))</f>
        <v>2.7892326871243984</v>
      </c>
      <c r="AI66" s="67"/>
      <c r="AJ66" s="257">
        <f t="shared" si="6"/>
        <v>-9.9551197902517184E-4</v>
      </c>
      <c r="AK66" s="257">
        <f t="shared" si="7"/>
        <v>-9.8563442456379947E-4</v>
      </c>
      <c r="AQ66" s="61" t="str">
        <f t="shared" si="8"/>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c r="AW66" s="195">
        <f t="shared" ref="AW66" si="17">AI66/cv.petrol.hhv.MJL*100</f>
        <v>0</v>
      </c>
    </row>
    <row r="67" spans="14:49" x14ac:dyDescent="0.25">
      <c r="N67" s="61" t="s">
        <v>521</v>
      </c>
      <c r="O67" s="61" t="s">
        <v>653</v>
      </c>
      <c r="P67" s="61" t="s">
        <v>63</v>
      </c>
      <c r="Q67" s="61" t="str">
        <f t="shared" si="4"/>
        <v>LCV</v>
      </c>
      <c r="R67" s="61" t="s">
        <v>680</v>
      </c>
      <c r="S67" s="65"/>
      <c r="T67" s="256" t="s">
        <v>701</v>
      </c>
      <c r="U67" s="256" t="s">
        <v>689</v>
      </c>
      <c r="V67" s="103">
        <f t="array" ref="V67">IF(V$18,INDEX('AEA2012 update'!$K$6:$R$104,MATCH($T67&amp;$R67,'AEA2012 update'!$A$6:$A$104&amp;'AEA2012 update'!$B$6:$B$104,0),MATCH(V$16,'AEA2012 update'!$S$4:$Z$4,0)),INDEX('AEA2012 update'!$K$6:$R$104,MATCH($T67&amp;$U67,'AEA2012 update'!$A$6:$A$104&amp;'AEA2012 update'!$B$6:$B$104,0),MATCH(V$16,'AEA2012 update'!$S$4:$Z$4,0)))</f>
        <v>684967.98910243902</v>
      </c>
      <c r="W67" s="103">
        <f t="array" ref="W67">IF(W$18,INDEX('AEA2012 update'!$K$6:$R$104,MATCH($T67&amp;$R67,'AEA2012 update'!$A$6:$A$104&amp;'AEA2012 update'!$B$6:$B$104,0),MATCH(W$16,'AEA2012 update'!$S$4:$Z$4,0)),INDEX('AEA2012 update'!$K$6:$R$104,MATCH($T67&amp;$U67,'AEA2012 update'!$A$6:$A$104&amp;'AEA2012 update'!$B$6:$B$104,0),MATCH(W$16,'AEA2012 update'!$S$4:$Z$4,0)))</f>
        <v>676046.93374770158</v>
      </c>
      <c r="X67" s="103">
        <f t="array" ref="X67">IF(X$18,INDEX('AEA2012 update'!$K$6:$R$104,MATCH($T67&amp;$R67,'AEA2012 update'!$A$6:$A$104&amp;'AEA2012 update'!$B$6:$B$104,0),MATCH(X$16,'AEA2012 update'!$S$4:$Z$4,0)),INDEX('AEA2012 update'!$K$6:$R$104,MATCH($T67&amp;$U67,'AEA2012 update'!$A$6:$A$104&amp;'AEA2012 update'!$B$6:$B$104,0),MATCH(X$16,'AEA2012 update'!$S$4:$Z$4,0)))</f>
        <v>671504.019880448</v>
      </c>
      <c r="Y67" s="103">
        <f t="array" ref="Y67">IF(Y$18,INDEX('AEA2012 update'!$K$6:$R$104,MATCH($T67&amp;$R67,'AEA2012 update'!$A$6:$A$104&amp;'AEA2012 update'!$B$6:$B$104,0),MATCH(Y$16,'AEA2012 update'!$S$4:$Z$4,0)),INDEX('AEA2012 update'!$K$6:$R$104,MATCH($T67&amp;$U67,'AEA2012 update'!$A$6:$A$104&amp;'AEA2012 update'!$B$6:$B$104,0),MATCH(Y$16,'AEA2012 update'!$S$4:$Z$4,0)))</f>
        <v>363561.36717159278</v>
      </c>
      <c r="Z67" s="103">
        <f t="array" ref="Z67">IF(Z$18,INDEX('AEA2012 update'!$K$6:$R$104,MATCH($T67&amp;$R67,'AEA2012 update'!$A$6:$A$104&amp;'AEA2012 update'!$B$6:$B$104,0),MATCH(Z$16,'AEA2012 update'!$S$4:$Z$4,0)),INDEX('AEA2012 update'!$K$6:$R$104,MATCH($T67&amp;$U67,'AEA2012 update'!$A$6:$A$104&amp;'AEA2012 update'!$B$6:$B$104,0),MATCH(Z$16,'AEA2012 update'!$S$4:$Z$4,0)))</f>
        <v>371500.85823323019</v>
      </c>
      <c r="AA67" s="103">
        <f t="array" ref="AA67">IF(AA$18,INDEX('AEA2012 update'!$K$6:$R$104,MATCH($T67&amp;$R67,'AEA2012 update'!$A$6:$A$104&amp;'AEA2012 update'!$B$6:$B$104,0),MATCH(AA$16,'AEA2012 update'!$S$4:$Z$4,0)),INDEX('AEA2012 update'!$K$6:$R$104,MATCH($T67&amp;$U67,'AEA2012 update'!$A$6:$A$104&amp;'AEA2012 update'!$B$6:$B$104,0),MATCH(AA$16,'AEA2012 update'!$S$4:$Z$4,0)))</f>
        <v>379440.3492948676</v>
      </c>
      <c r="AB67" s="103">
        <f t="array" ref="AB67">IF(AB$18,INDEX('AEA2012 update'!$K$6:$R$104,MATCH($T67&amp;$R67,'AEA2012 update'!$A$6:$A$104&amp;'AEA2012 update'!$B$6:$B$104,0),MATCH(AB$16,'AEA2012 update'!$S$4:$Z$4,0)),INDEX('AEA2012 update'!$K$6:$R$104,MATCH($T67&amp;$U67,'AEA2012 update'!$A$6:$A$104&amp;'AEA2012 update'!$B$6:$B$104,0),MATCH(AB$16,'AEA2012 update'!$S$4:$Z$4,0)))</f>
        <v>387396.22422821133</v>
      </c>
      <c r="AC67" s="103" t="str">
        <f t="shared" si="5"/>
        <v>LCVODSH</v>
      </c>
      <c r="AD67" s="67">
        <f t="array" ref="AD67">INDEX('AEA2012 update'!$AC$6:$AG$104,MATCH($T67&amp;$U67,'AEA2012 update'!$A$6:$A$104&amp;'AEA2012 update'!$B$6:$B$104,0),MATCH(AD$16,'AEA2012 update'!$S$4:$Z$4,0))</f>
        <v>2.4252993644945193</v>
      </c>
      <c r="AE67" s="67">
        <f t="array" ref="AE67">IF($W$1,AD67*(1+INDEX(AE$1:AE$2,MATCH($O67,$AA$1:$AA$2,0)))^(AE$16-AD$16),INDEX('AEA2012 update'!$AC$6:$AG$104,MATCH($T67&amp;$U67,'AEA2012 update'!$A$6:$A$104&amp;'AEA2012 update'!$B$6:$B$104,0),MATCH(AE$16,'AEA2012 update'!$AC$4:$AG$4,0)))</f>
        <v>2.4011552187937553</v>
      </c>
      <c r="AF67" s="67">
        <f t="array" ref="AF67">IF($W$1,AE67*(1+INDEX(AF$1:AF$2,MATCH($O67,$AA$1:$AA$2,0)))^(AF$16-AE$16),INDEX('AEA2012 update'!$AC$6:$AG$104,MATCH($T67&amp;$U67,'AEA2012 update'!$A$6:$A$104&amp;'AEA2012 update'!$B$6:$B$104,0),MATCH(AF$16,'AEA2012 update'!$AC$4:$AG$4,0)))</f>
        <v>2.3772514309556754</v>
      </c>
      <c r="AG67" s="67">
        <f t="array" ref="AG67">IF($W$1,AF67*(1+INDEX(AG$1:AG$2,MATCH($O67,$AA$1:$AA$2,0)))^(AG$16-AF$16),INDEX('AEA2012 update'!$AC$6:$AG$104,MATCH($T67&amp;$U67,'AEA2012 update'!$A$6:$A$104&amp;'AEA2012 update'!$B$6:$B$104,0),MATCH(AG$16,'AEA2012 update'!$AC$4:$AG$4,0)))</f>
        <v>2.3535856081889643</v>
      </c>
      <c r="AH67" s="67">
        <f t="array" ref="AH67">IF($W$1,AG67*(1+INDEX(AH$1:AH$2,MATCH($O67,$AA$1:$AA$2,0)))^(AH$16-AG$16),INDEX('AEA2012 update'!$AC$6:$AG$104,MATCH($T67&amp;$U67,'AEA2012 update'!$A$6:$A$104&amp;'AEA2012 update'!$B$6:$B$104,0),MATCH(AH$16,'AEA2012 update'!$AC$4:$AG$4,0)))</f>
        <v>2.3301553815228311</v>
      </c>
      <c r="AI67" s="67"/>
      <c r="AJ67" s="257">
        <f t="shared" si="6"/>
        <v>-9.9551197902516186E-4</v>
      </c>
      <c r="AK67" s="257">
        <f t="shared" si="7"/>
        <v>-9.8563442456379644E-4</v>
      </c>
      <c r="AQ67" s="61" t="str">
        <f t="shared" si="8"/>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c r="AW67" s="195">
        <f t="shared" ref="AW67" si="18">AI67/cv.petrol.hhv.MJL*100</f>
        <v>0</v>
      </c>
    </row>
    <row r="68" spans="14:49" x14ac:dyDescent="0.25">
      <c r="N68" s="61" t="s">
        <v>501</v>
      </c>
      <c r="O68" s="61" t="s">
        <v>653</v>
      </c>
      <c r="P68" s="61" t="s">
        <v>63</v>
      </c>
      <c r="Q68" s="61" t="str">
        <f t="shared" si="4"/>
        <v>LCV</v>
      </c>
      <c r="R68" s="61" t="s">
        <v>680</v>
      </c>
      <c r="S68" s="65"/>
      <c r="T68" s="256" t="s">
        <v>701</v>
      </c>
      <c r="U68" s="256" t="s">
        <v>692</v>
      </c>
      <c r="V68" s="103">
        <f t="array" ref="V68">IF(V$18,INDEX('AEA2012 update'!$K$6:$R$104,MATCH($T68&amp;$R68,'AEA2012 update'!$A$6:$A$104&amp;'AEA2012 update'!$B$6:$B$104,0),MATCH(V$16,'AEA2012 update'!$S$4:$Z$4,0)),INDEX('AEA2012 update'!$K$6:$R$104,MATCH($T68&amp;$U68,'AEA2012 update'!$A$6:$A$104&amp;'AEA2012 update'!$B$6:$B$104,0),MATCH(V$16,'AEA2012 update'!$S$4:$Z$4,0)))</f>
        <v>1200355.9594665694</v>
      </c>
      <c r="W68" s="103">
        <f t="array" ref="W68">IF(W$18,INDEX('AEA2012 update'!$K$6:$R$104,MATCH($T68&amp;$R68,'AEA2012 update'!$A$6:$A$104&amp;'AEA2012 update'!$B$6:$B$104,0),MATCH(W$16,'AEA2012 update'!$S$4:$Z$4,0)),INDEX('AEA2012 update'!$K$6:$R$104,MATCH($T68&amp;$U68,'AEA2012 update'!$A$6:$A$104&amp;'AEA2012 update'!$B$6:$B$104,0),MATCH(W$16,'AEA2012 update'!$S$4:$Z$4,0)))</f>
        <v>820963.00033176108</v>
      </c>
      <c r="X68" s="103">
        <f t="array" ref="X68">IF(X$18,INDEX('AEA2012 update'!$K$6:$R$104,MATCH($T68&amp;$R68,'AEA2012 update'!$A$6:$A$104&amp;'AEA2012 update'!$B$6:$B$104,0),MATCH(X$16,'AEA2012 update'!$S$4:$Z$4,0)),INDEX('AEA2012 update'!$K$6:$R$104,MATCH($T68&amp;$U68,'AEA2012 update'!$A$6:$A$104&amp;'AEA2012 update'!$B$6:$B$104,0),MATCH(X$16,'AEA2012 update'!$S$4:$Z$4,0)))</f>
        <v>755333.69376548787</v>
      </c>
      <c r="Y68" s="103">
        <f t="array" ref="Y68">IF(Y$18,INDEX('AEA2012 update'!$K$6:$R$104,MATCH($T68&amp;$R68,'AEA2012 update'!$A$6:$A$104&amp;'AEA2012 update'!$B$6:$B$104,0),MATCH(Y$16,'AEA2012 update'!$S$4:$Z$4,0)),INDEX('AEA2012 update'!$K$6:$R$104,MATCH($T68&amp;$U68,'AEA2012 update'!$A$6:$A$104&amp;'AEA2012 update'!$B$6:$B$104,0),MATCH(Y$16,'AEA2012 update'!$S$4:$Z$4,0)))</f>
        <v>363561.36717159278</v>
      </c>
      <c r="Z68" s="103">
        <f t="array" ref="Z68">IF(Z$18,INDEX('AEA2012 update'!$K$6:$R$104,MATCH($T68&amp;$R68,'AEA2012 update'!$A$6:$A$104&amp;'AEA2012 update'!$B$6:$B$104,0),MATCH(Z$16,'AEA2012 update'!$S$4:$Z$4,0)),INDEX('AEA2012 update'!$K$6:$R$104,MATCH($T68&amp;$U68,'AEA2012 update'!$A$6:$A$104&amp;'AEA2012 update'!$B$6:$B$104,0),MATCH(Z$16,'AEA2012 update'!$S$4:$Z$4,0)))</f>
        <v>371500.85823323019</v>
      </c>
      <c r="AA68" s="103">
        <f t="array" ref="AA68">IF(AA$18,INDEX('AEA2012 update'!$K$6:$R$104,MATCH($T68&amp;$R68,'AEA2012 update'!$A$6:$A$104&amp;'AEA2012 update'!$B$6:$B$104,0),MATCH(AA$16,'AEA2012 update'!$S$4:$Z$4,0)),INDEX('AEA2012 update'!$K$6:$R$104,MATCH($T68&amp;$U68,'AEA2012 update'!$A$6:$A$104&amp;'AEA2012 update'!$B$6:$B$104,0),MATCH(AA$16,'AEA2012 update'!$S$4:$Z$4,0)))</f>
        <v>379440.3492948676</v>
      </c>
      <c r="AB68" s="103">
        <f t="array" ref="AB68">IF(AB$18,INDEX('AEA2012 update'!$K$6:$R$104,MATCH($T68&amp;$R68,'AEA2012 update'!$A$6:$A$104&amp;'AEA2012 update'!$B$6:$B$104,0),MATCH(AB$16,'AEA2012 update'!$S$4:$Z$4,0)),INDEX('AEA2012 update'!$K$6:$R$104,MATCH($T68&amp;$U68,'AEA2012 update'!$A$6:$A$104&amp;'AEA2012 update'!$B$6:$B$104,0),MATCH(AB$16,'AEA2012 update'!$S$4:$Z$4,0)))</f>
        <v>387396.22422821133</v>
      </c>
      <c r="AC68" s="103" t="str">
        <f t="shared" si="5"/>
        <v>LCVELC</v>
      </c>
      <c r="AD68" s="67">
        <f t="array" ref="AD68">INDEX('AEA2012 update'!$AC$6:$AG$104,MATCH($T68&amp;$U68,'AEA2012 update'!$A$6:$A$104&amp;'AEA2012 update'!$B$6:$B$104,0),MATCH(AD$16,'AEA2012 update'!$S$4:$Z$4,0))</f>
        <v>0.71204570298567482</v>
      </c>
      <c r="AE68" s="67">
        <f t="array" ref="AE68">IF($W$1,AD68*(1+INDEX(AE$1:AE$2,MATCH($O68,$AA$1:$AA$2,0)))^(AE$16-AD$16),INDEX('AEA2012 update'!$AC$6:$AG$104,MATCH($T68&amp;$U68,'AEA2012 update'!$A$6:$A$104&amp;'AEA2012 update'!$B$6:$B$104,0),MATCH(AE$16,'AEA2012 update'!$AC$4:$AG$4,0)))</f>
        <v>0.70495720271631845</v>
      </c>
      <c r="AF68" s="67">
        <f t="array" ref="AF68">IF($W$1,AE68*(1+INDEX(AF$1:AF$2,MATCH($O68,$AA$1:$AA$2,0)))^(AF$16-AE$16),INDEX('AEA2012 update'!$AC$6:$AG$104,MATCH($T68&amp;$U68,'AEA2012 update'!$A$6:$A$104&amp;'AEA2012 update'!$B$6:$B$104,0),MATCH(AF$16,'AEA2012 update'!$AC$4:$AG$4,0)))</f>
        <v>0.69793926931627681</v>
      </c>
      <c r="AG68" s="67">
        <f t="array" ref="AG68">IF($W$1,AF68*(1+INDEX(AG$1:AG$2,MATCH($O68,$AA$1:$AA$2,0)))^(AG$16-AF$16),INDEX('AEA2012 update'!$AC$6:$AG$104,MATCH($T68&amp;$U68,'AEA2012 update'!$A$6:$A$104&amp;'AEA2012 update'!$B$6:$B$104,0),MATCH(AG$16,'AEA2012 update'!$AC$4:$AG$4,0)))</f>
        <v>0.69099120028391259</v>
      </c>
      <c r="AH68" s="67">
        <f t="array" ref="AH68">IF($W$1,AG68*(1+INDEX(AH$1:AH$2,MATCH($O68,$AA$1:$AA$2,0)))^(AH$16-AG$16),INDEX('AEA2012 update'!$AC$6:$AG$104,MATCH($T68&amp;$U68,'AEA2012 update'!$A$6:$A$104&amp;'AEA2012 update'!$B$6:$B$104,0),MATCH(AH$16,'AEA2012 update'!$AC$4:$AG$4,0)))</f>
        <v>0.68411230011107649</v>
      </c>
      <c r="AI68" s="67"/>
      <c r="AJ68" s="257">
        <f t="shared" si="6"/>
        <v>-9.9551197902516902E-4</v>
      </c>
      <c r="AK68" s="257">
        <f t="shared" si="7"/>
        <v>-9.8563442456379188E-4</v>
      </c>
      <c r="AQ68" s="61" t="str">
        <f t="shared" si="8"/>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c r="AW68" s="195">
        <f t="shared" ref="AW68" si="19">AI68/cv.petrol.hhv.MJL*100</f>
        <v>0</v>
      </c>
    </row>
    <row r="69" spans="14:49" x14ac:dyDescent="0.25">
      <c r="N69" s="61" t="s">
        <v>504</v>
      </c>
      <c r="O69" s="61" t="s">
        <v>653</v>
      </c>
      <c r="P69" s="61" t="s">
        <v>63</v>
      </c>
      <c r="Q69" s="61" t="str">
        <f t="shared" si="4"/>
        <v>LCV</v>
      </c>
      <c r="R69" s="61" t="s">
        <v>680</v>
      </c>
      <c r="S69" s="65"/>
      <c r="T69" s="256" t="s">
        <v>701</v>
      </c>
      <c r="U69" s="256" t="s">
        <v>699</v>
      </c>
      <c r="V69" s="103">
        <f t="array" ref="V69">IF(V$18,INDEX('AEA2012 update'!$K$6:$R$104,MATCH($T69&amp;$R69,'AEA2012 update'!$A$6:$A$104&amp;'AEA2012 update'!$B$6:$B$104,0),MATCH(V$16,'AEA2012 update'!$S$4:$Z$4,0)),INDEX('AEA2012 update'!$K$6:$R$104,MATCH($T69&amp;$U69,'AEA2012 update'!$A$6:$A$104&amp;'AEA2012 update'!$B$6:$B$104,0),MATCH(V$16,'AEA2012 update'!$S$4:$Z$4,0)))</f>
        <v>4486535.6914122794</v>
      </c>
      <c r="W69" s="103">
        <f t="array" ref="W69">IF(W$18,INDEX('AEA2012 update'!$K$6:$R$104,MATCH($T69&amp;$R69,'AEA2012 update'!$A$6:$A$104&amp;'AEA2012 update'!$B$6:$B$104,0),MATCH(W$16,'AEA2012 update'!$S$4:$Z$4,0)),INDEX('AEA2012 update'!$K$6:$R$104,MATCH($T69&amp;$U69,'AEA2012 update'!$A$6:$A$104&amp;'AEA2012 update'!$B$6:$B$104,0),MATCH(W$16,'AEA2012 update'!$S$4:$Z$4,0)))</f>
        <v>1793789.1316594642</v>
      </c>
      <c r="X69" s="103">
        <f t="array" ref="X69">IF(X$18,INDEX('AEA2012 update'!$K$6:$R$104,MATCH($T69&amp;$R69,'AEA2012 update'!$A$6:$A$104&amp;'AEA2012 update'!$B$6:$B$104,0),MATCH(X$16,'AEA2012 update'!$S$4:$Z$4,0)),INDEX('AEA2012 update'!$K$6:$R$104,MATCH($T69&amp;$U69,'AEA2012 update'!$A$6:$A$104&amp;'AEA2012 update'!$B$6:$B$104,0),MATCH(X$16,'AEA2012 update'!$S$4:$Z$4,0)))</f>
        <v>1377038.9964110029</v>
      </c>
      <c r="Y69" s="103">
        <f t="array" ref="Y69">IF(Y$18,INDEX('AEA2012 update'!$K$6:$R$104,MATCH($T69&amp;$R69,'AEA2012 update'!$A$6:$A$104&amp;'AEA2012 update'!$B$6:$B$104,0),MATCH(Y$16,'AEA2012 update'!$S$4:$Z$4,0)),INDEX('AEA2012 update'!$K$6:$R$104,MATCH($T69&amp;$U69,'AEA2012 update'!$A$6:$A$104&amp;'AEA2012 update'!$B$6:$B$104,0),MATCH(Y$16,'AEA2012 update'!$S$4:$Z$4,0)))</f>
        <v>363561.36717159278</v>
      </c>
      <c r="Z69" s="103">
        <f t="array" ref="Z69">IF(Z$18,INDEX('AEA2012 update'!$K$6:$R$104,MATCH($T69&amp;$R69,'AEA2012 update'!$A$6:$A$104&amp;'AEA2012 update'!$B$6:$B$104,0),MATCH(Z$16,'AEA2012 update'!$S$4:$Z$4,0)),INDEX('AEA2012 update'!$K$6:$R$104,MATCH($T69&amp;$U69,'AEA2012 update'!$A$6:$A$104&amp;'AEA2012 update'!$B$6:$B$104,0),MATCH(Z$16,'AEA2012 update'!$S$4:$Z$4,0)))</f>
        <v>371500.85823323019</v>
      </c>
      <c r="AA69" s="103">
        <f t="array" ref="AA69">IF(AA$18,INDEX('AEA2012 update'!$K$6:$R$104,MATCH($T69&amp;$R69,'AEA2012 update'!$A$6:$A$104&amp;'AEA2012 update'!$B$6:$B$104,0),MATCH(AA$16,'AEA2012 update'!$S$4:$Z$4,0)),INDEX('AEA2012 update'!$K$6:$R$104,MATCH($T69&amp;$U69,'AEA2012 update'!$A$6:$A$104&amp;'AEA2012 update'!$B$6:$B$104,0),MATCH(AA$16,'AEA2012 update'!$S$4:$Z$4,0)))</f>
        <v>379440.3492948676</v>
      </c>
      <c r="AB69" s="103">
        <f t="array" ref="AB69">IF(AB$18,INDEX('AEA2012 update'!$K$6:$R$104,MATCH($T69&amp;$R69,'AEA2012 update'!$A$6:$A$104&amp;'AEA2012 update'!$B$6:$B$104,0),MATCH(AB$16,'AEA2012 update'!$S$4:$Z$4,0)),INDEX('AEA2012 update'!$K$6:$R$104,MATCH($T69&amp;$U69,'AEA2012 update'!$A$6:$A$104&amp;'AEA2012 update'!$B$6:$B$104,0),MATCH(AB$16,'AEA2012 update'!$S$4:$Z$4,0)))</f>
        <v>387396.22422821133</v>
      </c>
      <c r="AC69" s="103" t="str">
        <f t="shared" si="5"/>
        <v>LCVHGN</v>
      </c>
      <c r="AD69" s="67">
        <f t="array" ref="AD69">INDEX('AEA2012 update'!$AC$6:$AG$104,MATCH($T69&amp;$U69,'AEA2012 update'!$A$6:$A$104&amp;'AEA2012 update'!$B$6:$B$104,0),MATCH(AD$16,'AEA2012 update'!$S$4:$Z$4,0))</f>
        <v>1.4019884160257075</v>
      </c>
      <c r="AE69" s="67">
        <f t="array" ref="AE69">IF($W$1,AD69*(1+INDEX(AE$1:AE$2,MATCH($O69,$AA$1:$AA$2,0)))^(AE$16-AD$16),INDEX('AEA2012 update'!$AC$6:$AG$104,MATCH($T69&amp;$U69,'AEA2012 update'!$A$6:$A$104&amp;'AEA2012 update'!$B$6:$B$104,0),MATCH(AE$16,'AEA2012 update'!$AC$4:$AG$4,0)))</f>
        <v>1.3880314533996263</v>
      </c>
      <c r="AF69" s="67">
        <f t="array" ref="AF69">IF($W$1,AE69*(1+INDEX(AF$1:AF$2,MATCH($O69,$AA$1:$AA$2,0)))^(AF$16-AE$16),INDEX('AEA2012 update'!$AC$6:$AG$104,MATCH($T69&amp;$U69,'AEA2012 update'!$A$6:$A$104&amp;'AEA2012 update'!$B$6:$B$104,0),MATCH(AF$16,'AEA2012 update'!$AC$4:$AG$4,0)))</f>
        <v>1.374213434008396</v>
      </c>
      <c r="AG69" s="67">
        <f t="array" ref="AG69">IF($W$1,AF69*(1+INDEX(AG$1:AG$2,MATCH($O69,$AA$1:$AA$2,0)))^(AG$16-AF$16),INDEX('AEA2012 update'!$AC$6:$AG$104,MATCH($T69&amp;$U69,'AEA2012 update'!$A$6:$A$104&amp;'AEA2012 update'!$B$6:$B$104,0),MATCH(AG$16,'AEA2012 update'!$AC$4:$AG$4,0)))</f>
        <v>1.3605329746554693</v>
      </c>
      <c r="AH69" s="67">
        <f t="array" ref="AH69">IF($W$1,AG69*(1+INDEX(AH$1:AH$2,MATCH($O69,$AA$1:$AA$2,0)))^(AH$16-AG$16),INDEX('AEA2012 update'!$AC$6:$AG$104,MATCH($T69&amp;$U69,'AEA2012 update'!$A$6:$A$104&amp;'AEA2012 update'!$B$6:$B$104,0),MATCH(AH$16,'AEA2012 update'!$AC$4:$AG$4,0)))</f>
        <v>1.3469887059141867</v>
      </c>
      <c r="AI69" s="67"/>
      <c r="AJ69" s="257">
        <f t="shared" si="6"/>
        <v>-9.9551197902516967E-4</v>
      </c>
      <c r="AK69" s="257">
        <f t="shared" si="7"/>
        <v>-9.8563442456379275E-4</v>
      </c>
      <c r="AQ69" s="61" t="str">
        <f t="shared" si="8"/>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c r="AW69" s="195">
        <f t="shared" ref="AW69" si="20">AI69/cv.petrol.hhv.MJL*100</f>
        <v>0</v>
      </c>
    </row>
    <row r="70" spans="14:49" x14ac:dyDescent="0.25">
      <c r="N70" s="61" t="s">
        <v>509</v>
      </c>
      <c r="O70" s="61" t="s">
        <v>653</v>
      </c>
      <c r="P70" s="61" t="s">
        <v>63</v>
      </c>
      <c r="Q70" s="61" t="str">
        <f t="shared" si="4"/>
        <v>LCV</v>
      </c>
      <c r="R70" s="61" t="s">
        <v>680</v>
      </c>
      <c r="S70" s="65"/>
      <c r="T70" s="256" t="s">
        <v>701</v>
      </c>
      <c r="U70" s="256" t="s">
        <v>700</v>
      </c>
      <c r="V70" s="103">
        <f t="array" ref="V70">IF(V$18,INDEX('AEA2012 update'!$K$6:$R$104,MATCH($T70&amp;$R70,'AEA2012 update'!$A$6:$A$104&amp;'AEA2012 update'!$B$6:$B$104,0),MATCH(V$16,'AEA2012 update'!$S$4:$Z$4,0)),INDEX('AEA2012 update'!$K$6:$R$104,MATCH($T70&amp;$U70,'AEA2012 update'!$A$6:$A$104&amp;'AEA2012 update'!$B$6:$B$104,0),MATCH(V$16,'AEA2012 update'!$S$4:$Z$4,0)))</f>
        <v>519120.41439989489</v>
      </c>
      <c r="W70" s="103">
        <f t="array" ref="W70">IF(W$18,INDEX('AEA2012 update'!$K$6:$R$104,MATCH($T70&amp;$R70,'AEA2012 update'!$A$6:$A$104&amp;'AEA2012 update'!$B$6:$B$104,0),MATCH(W$16,'AEA2012 update'!$S$4:$Z$4,0)),INDEX('AEA2012 update'!$K$6:$R$104,MATCH($T70&amp;$U70,'AEA2012 update'!$A$6:$A$104&amp;'AEA2012 update'!$B$6:$B$104,0),MATCH(W$16,'AEA2012 update'!$S$4:$Z$4,0)))</f>
        <v>545626.74611489451</v>
      </c>
      <c r="X70" s="103">
        <f t="array" ref="X70">IF(X$18,INDEX('AEA2012 update'!$K$6:$R$104,MATCH($T70&amp;$R70,'AEA2012 update'!$A$6:$A$104&amp;'AEA2012 update'!$B$6:$B$104,0),MATCH(X$16,'AEA2012 update'!$S$4:$Z$4,0)),INDEX('AEA2012 update'!$K$6:$R$104,MATCH($T70&amp;$U70,'AEA2012 update'!$A$6:$A$104&amp;'AEA2012 update'!$B$6:$B$104,0),MATCH(X$16,'AEA2012 update'!$S$4:$Z$4,0)))</f>
        <v>551370.12411759188</v>
      </c>
      <c r="Y70" s="103">
        <f t="array" ref="Y70">IF(Y$18,INDEX('AEA2012 update'!$K$6:$R$104,MATCH($T70&amp;$R70,'AEA2012 update'!$A$6:$A$104&amp;'AEA2012 update'!$B$6:$B$104,0),MATCH(Y$16,'AEA2012 update'!$S$4:$Z$4,0)),INDEX('AEA2012 update'!$K$6:$R$104,MATCH($T70&amp;$U70,'AEA2012 update'!$A$6:$A$104&amp;'AEA2012 update'!$B$6:$B$104,0),MATCH(Y$16,'AEA2012 update'!$S$4:$Z$4,0)))</f>
        <v>363561.36717159278</v>
      </c>
      <c r="Z70" s="103">
        <f t="array" ref="Z70">IF(Z$18,INDEX('AEA2012 update'!$K$6:$R$104,MATCH($T70&amp;$R70,'AEA2012 update'!$A$6:$A$104&amp;'AEA2012 update'!$B$6:$B$104,0),MATCH(Z$16,'AEA2012 update'!$S$4:$Z$4,0)),INDEX('AEA2012 update'!$K$6:$R$104,MATCH($T70&amp;$U70,'AEA2012 update'!$A$6:$A$104&amp;'AEA2012 update'!$B$6:$B$104,0),MATCH(Z$16,'AEA2012 update'!$S$4:$Z$4,0)))</f>
        <v>371500.85823323019</v>
      </c>
      <c r="AA70" s="103">
        <f t="array" ref="AA70">IF(AA$18,INDEX('AEA2012 update'!$K$6:$R$104,MATCH($T70&amp;$R70,'AEA2012 update'!$A$6:$A$104&amp;'AEA2012 update'!$B$6:$B$104,0),MATCH(AA$16,'AEA2012 update'!$S$4:$Z$4,0)),INDEX('AEA2012 update'!$K$6:$R$104,MATCH($T70&amp;$U70,'AEA2012 update'!$A$6:$A$104&amp;'AEA2012 update'!$B$6:$B$104,0),MATCH(AA$16,'AEA2012 update'!$S$4:$Z$4,0)))</f>
        <v>379440.3492948676</v>
      </c>
      <c r="AB70" s="103">
        <f t="array" ref="AB70">IF(AB$18,INDEX('AEA2012 update'!$K$6:$R$104,MATCH($T70&amp;$R70,'AEA2012 update'!$A$6:$A$104&amp;'AEA2012 update'!$B$6:$B$104,0),MATCH(AB$16,'AEA2012 update'!$S$4:$Z$4,0)),INDEX('AEA2012 update'!$K$6:$R$104,MATCH($T70&amp;$U70,'AEA2012 update'!$A$6:$A$104&amp;'AEA2012 update'!$B$6:$B$104,0),MATCH(AB$16,'AEA2012 update'!$S$4:$Z$4,0)))</f>
        <v>387396.22422821133</v>
      </c>
      <c r="AC70" s="103" t="str">
        <f t="shared" si="5"/>
        <v>LCVGAS</v>
      </c>
      <c r="AD70" s="67">
        <f t="array" ref="AD70">INDEX('AEA2012 update'!$AC$6:$AG$104,MATCH($T70&amp;$U70,'AEA2012 update'!$A$6:$A$104&amp;'AEA2012 update'!$B$6:$B$104,0),MATCH(AD$16,'AEA2012 update'!$S$4:$Z$4,0))</f>
        <v>3.3385897630365569</v>
      </c>
      <c r="AE70" s="67">
        <f t="array" ref="AE70">IF($W$1,AD70*(1+INDEX(AE$1:AE$2,MATCH($O70,$AA$1:$AA$2,0)))^(AE$16-AD$16),INDEX('AEA2012 update'!$AC$6:$AG$104,MATCH($T70&amp;$U70,'AEA2012 update'!$A$6:$A$104&amp;'AEA2012 update'!$B$6:$B$104,0),MATCH(AE$16,'AEA2012 update'!$AC$4:$AG$4,0)))</f>
        <v>3.3053537020150201</v>
      </c>
      <c r="AF70" s="67">
        <f t="array" ref="AF70">IF($W$1,AE70*(1+INDEX(AF$1:AF$2,MATCH($O70,$AA$1:$AA$2,0)))^(AF$16-AE$16),INDEX('AEA2012 update'!$AC$6:$AG$104,MATCH($T70&amp;$U70,'AEA2012 update'!$A$6:$A$104&amp;'AEA2012 update'!$B$6:$B$104,0),MATCH(AF$16,'AEA2012 update'!$AC$4:$AG$4,0)))</f>
        <v>3.2724485099623086</v>
      </c>
      <c r="AG70" s="67">
        <f t="array" ref="AG70">IF($W$1,AF70*(1+INDEX(AG$1:AG$2,MATCH($O70,$AA$1:$AA$2,0)))^(AG$16-AF$16),INDEX('AEA2012 update'!$AC$6:$AG$104,MATCH($T70&amp;$U70,'AEA2012 update'!$A$6:$A$104&amp;'AEA2012 update'!$B$6:$B$104,0),MATCH(AG$16,'AEA2012 update'!$AC$4:$AG$4,0)))</f>
        <v>3.2398708930382032</v>
      </c>
      <c r="AH70" s="67">
        <f t="array" ref="AH70">IF($W$1,AG70*(1+INDEX(AH$1:AH$2,MATCH($O70,$AA$1:$AA$2,0)))^(AH$16-AG$16),INDEX('AEA2012 update'!$AC$6:$AG$104,MATCH($T70&amp;$U70,'AEA2012 update'!$A$6:$A$104&amp;'AEA2012 update'!$B$6:$B$104,0),MATCH(AH$16,'AEA2012 update'!$AC$4:$AG$4,0)))</f>
        <v>3.2076175901930584</v>
      </c>
      <c r="AI70" s="67"/>
      <c r="AJ70" s="257">
        <f t="shared" si="6"/>
        <v>-9.9551197902516381E-4</v>
      </c>
      <c r="AK70" s="257">
        <f t="shared" si="7"/>
        <v>-9.856344245637973E-4</v>
      </c>
      <c r="AQ70" s="61" t="str">
        <f t="shared" si="8"/>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c r="AW70" s="195">
        <f t="shared" ref="AW70" si="21">AI70/cv.petrol.hhv.MJL*100</f>
        <v>0</v>
      </c>
    </row>
    <row r="71" spans="14:49" x14ac:dyDescent="0.25">
      <c r="O71" s="61" t="s">
        <v>653</v>
      </c>
      <c r="Q71" s="61" t="str">
        <f t="shared" si="4"/>
        <v/>
      </c>
      <c r="S71" s="65"/>
      <c r="T71" s="256"/>
      <c r="U71" s="260"/>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5"/>
        <v/>
      </c>
      <c r="AD71" s="67"/>
      <c r="AE71" s="67">
        <f t="array" ref="AE71">IF($W$1,AD71*(1+INDEX(AE$1:AE$2,MATCH($O71,$AA$1:$AA$2,0)))^(AE$16-AD$16),INDEX('AEA2012 update'!$AC$6:$AG$104,MATCH($T71&amp;$U71,'AEA2012 update'!$A$6:$A$104&amp;'AEA2012 update'!$B$6:$B$104,0),MATCH(AE$16,'AEA2012 update'!$AC$4:$AG$4,0)))</f>
        <v>0</v>
      </c>
      <c r="AF71" s="67">
        <f t="array" ref="AF71">IF($W$1,AE71*(1+INDEX(AF$1:AF$2,MATCH($O71,$AA$1:$AA$2,0)))^(AF$16-AE$16),INDEX('AEA2012 update'!$AC$6:$AG$104,MATCH($T71&amp;$U71,'AEA2012 update'!$A$6:$A$104&amp;'AEA2012 update'!$B$6:$B$104,0),MATCH(AF$16,'AEA2012 update'!$AC$4:$AG$4,0)))</f>
        <v>0</v>
      </c>
      <c r="AG71" s="67">
        <f t="array" ref="AG71">IF($W$1,AF71*(1+INDEX(AG$1:AG$2,MATCH($O71,$AA$1:$AA$2,0)))^(AG$16-AF$16),INDEX('AEA2012 update'!$AC$6:$AG$104,MATCH($T71&amp;$U71,'AEA2012 update'!$A$6:$A$104&amp;'AEA2012 update'!$B$6:$B$104,0),MATCH(AG$16,'AEA2012 update'!$AC$4:$AG$4,0)))</f>
        <v>0</v>
      </c>
      <c r="AH71" s="67">
        <f t="array" ref="AH71">IF($W$1,AG71*(1+INDEX(AH$1:AH$2,MATCH($O71,$AA$1:$AA$2,0)))^(AH$16-AG$16),INDEX('AEA2012 update'!$AC$6:$AG$104,MATCH($T71&amp;$U71,'AEA2012 update'!$A$6:$A$104&amp;'AEA2012 update'!$B$6:$B$104,0),MATCH(AH$16,'AEA2012 update'!$AC$4:$AG$4,0)))</f>
        <v>0</v>
      </c>
      <c r="AI71" s="67"/>
      <c r="AJ71" s="257" t="e">
        <f t="shared" si="6"/>
        <v>#DIV/0!</v>
      </c>
      <c r="AK71" s="257" t="e">
        <f t="shared" si="7"/>
        <v>#DIV/0!</v>
      </c>
      <c r="AQ71" s="61" t="str">
        <f t="shared" si="8"/>
        <v>-</v>
      </c>
      <c r="AR71" s="80" t="e" cm="1">
        <f t="array" aca="1" ref="AR71" ca="1">AD71/INDIRECT("cv."&amp;LEFT($U71,6)&amp;".hhv.MJL") * 100</f>
        <v>#REF!</v>
      </c>
      <c r="AS71" s="80" t="e" cm="1">
        <f t="array" aca="1" ref="AS71" ca="1">AE71/INDIRECT("cv."&amp;LEFT($U71,6)&amp;".hhv.MJL") * 100</f>
        <v>#REF!</v>
      </c>
      <c r="AT71" s="80" t="e" cm="1">
        <f t="array" aca="1" ref="AT71" ca="1">AF71/INDIRECT("cv."&amp;LEFT($U71,6)&amp;".hhv.MJL") * 100</f>
        <v>#REF!</v>
      </c>
      <c r="AU71" s="80" t="e" cm="1">
        <f t="array" aca="1" ref="AU71" ca="1">AG71/INDIRECT("cv."&amp;LEFT($U71,6)&amp;".hhv.MJL") * 100</f>
        <v>#REF!</v>
      </c>
      <c r="AV71" s="80" t="e" cm="1">
        <f t="array" aca="1" ref="AV71" ca="1">AH71/INDIRECT("cv."&amp;LEFT($U71,6)&amp;".hhv.MJL") * 100</f>
        <v>#REF!</v>
      </c>
      <c r="AW71" s="195">
        <f t="shared" ref="AW71" si="22">AI71/cv.petrol.hhv.MJL*100</f>
        <v>0</v>
      </c>
    </row>
    <row r="72" spans="14:49" x14ac:dyDescent="0.25">
      <c r="N72" s="61" t="s">
        <v>511</v>
      </c>
      <c r="O72" s="61" t="s">
        <v>653</v>
      </c>
      <c r="P72" s="61" t="s">
        <v>724</v>
      </c>
      <c r="Q72" s="61" t="str">
        <f t="shared" si="4"/>
        <v>CV1</v>
      </c>
      <c r="R72" s="61" t="s">
        <v>687</v>
      </c>
      <c r="S72" s="65"/>
      <c r="T72" s="256" t="s">
        <v>725</v>
      </c>
      <c r="U72" s="256" t="s">
        <v>687</v>
      </c>
      <c r="V72" s="103">
        <f t="array" ref="V72">IF(V$18,INDEX('AEA2012 update'!$K$6:$R$104,MATCH($T72&amp;$R72,'AEA2012 update'!$A$6:$A$104&amp;'AEA2012 update'!$B$6:$B$104,0),MATCH(V$16,'AEA2012 update'!$S$4:$Z$4,0)),INDEX('AEA2012 update'!$K$6:$R$104,MATCH($T72&amp;$U72,'AEA2012 update'!$A$6:$A$104&amp;'AEA2012 update'!$B$6:$B$104,0),MATCH(V$16,'AEA2012 update'!$S$4:$Z$4,0)))</f>
        <v>396204.1631410002</v>
      </c>
      <c r="W72" s="103">
        <f t="array" ref="W72">IF(W$18,INDEX('AEA2012 update'!$K$6:$R$104,MATCH($T72&amp;$R72,'AEA2012 update'!$A$6:$A$104&amp;'AEA2012 update'!$B$6:$B$104,0),MATCH(W$16,'AEA2012 update'!$S$4:$Z$4,0)),INDEX('AEA2012 update'!$K$6:$R$104,MATCH($T72&amp;$U72,'AEA2012 update'!$A$6:$A$104&amp;'AEA2012 update'!$B$6:$B$104,0),MATCH(W$16,'AEA2012 update'!$S$4:$Z$4,0)))</f>
        <v>476747.78352540621</v>
      </c>
      <c r="X72" s="103">
        <f t="array" ref="X72">IF(X$18,INDEX('AEA2012 update'!$K$6:$R$104,MATCH($T72&amp;$R72,'AEA2012 update'!$A$6:$A$104&amp;'AEA2012 update'!$B$6:$B$104,0),MATCH(X$16,'AEA2012 update'!$S$4:$Z$4,0)),INDEX('AEA2012 update'!$K$6:$R$104,MATCH($T72&amp;$U72,'AEA2012 update'!$A$6:$A$104&amp;'AEA2012 update'!$B$6:$B$104,0),MATCH(X$16,'AEA2012 update'!$S$4:$Z$4,0)))</f>
        <v>491831.97524024436</v>
      </c>
      <c r="Y72" s="103">
        <f t="array" ref="Y72">IF(Y$18,INDEX('AEA2012 update'!$K$6:$R$104,MATCH($T72&amp;$R72,'AEA2012 update'!$A$6:$A$104&amp;'AEA2012 update'!$B$6:$B$104,0),MATCH(Y$16,'AEA2012 update'!$S$4:$Z$4,0)),INDEX('AEA2012 update'!$K$6:$R$104,MATCH($T72&amp;$U72,'AEA2012 update'!$A$6:$A$104&amp;'AEA2012 update'!$B$6:$B$104,0),MATCH(Y$16,'AEA2012 update'!$S$4:$Z$4,0)))</f>
        <v>506916.16695508256</v>
      </c>
      <c r="Z72" s="103">
        <f t="array" ref="Z72">IF(Z$18,INDEX('AEA2012 update'!$K$6:$R$104,MATCH($T72&amp;$R72,'AEA2012 update'!$A$6:$A$104&amp;'AEA2012 update'!$B$6:$B$104,0),MATCH(Z$16,'AEA2012 update'!$S$4:$Z$4,0)),INDEX('AEA2012 update'!$K$6:$R$104,MATCH($T72&amp;$U72,'AEA2012 update'!$A$6:$A$104&amp;'AEA2012 update'!$B$6:$B$104,0),MATCH(Z$16,'AEA2012 update'!$S$4:$Z$4,0)))</f>
        <v>520424.31194208184</v>
      </c>
      <c r="AA72" s="103">
        <f t="array" ref="AA72">IF(AA$18,INDEX('AEA2012 update'!$K$6:$R$104,MATCH($T72&amp;$R72,'AEA2012 update'!$A$6:$A$104&amp;'AEA2012 update'!$B$6:$B$104,0),MATCH(AA$16,'AEA2012 update'!$S$4:$Z$4,0)),INDEX('AEA2012 update'!$K$6:$R$104,MATCH($T72&amp;$U72,'AEA2012 update'!$A$6:$A$104&amp;'AEA2012 update'!$B$6:$B$104,0),MATCH(AA$16,'AEA2012 update'!$S$4:$Z$4,0)))</f>
        <v>533932.45692908112</v>
      </c>
      <c r="AB72" s="103">
        <f t="array" ref="AB72">IF(AB$18,INDEX('AEA2012 update'!$K$6:$R$104,MATCH($T72&amp;$R72,'AEA2012 update'!$A$6:$A$104&amp;'AEA2012 update'!$B$6:$B$104,0),MATCH(AB$16,'AEA2012 update'!$S$4:$Z$4,0)),INDEX('AEA2012 update'!$K$6:$R$104,MATCH($T72&amp;$U72,'AEA2012 update'!$A$6:$A$104&amp;'AEA2012 update'!$B$6:$B$104,0),MATCH(AB$16,'AEA2012 update'!$S$4:$Z$4,0)))</f>
        <v>551671.18115070788</v>
      </c>
      <c r="AC72" s="103" t="str">
        <f t="shared" si="5"/>
        <v>CV1ODS</v>
      </c>
      <c r="AD72" s="67">
        <f t="array" ref="AD72">INDEX('AEA2012 update'!$AC$6:$AG$104,MATCH($T72&amp;$U72,'AEA2012 update'!$A$6:$A$104&amp;'AEA2012 update'!$B$6:$B$104,0),MATCH(AD$16,'AEA2012 update'!$S$4:$Z$4,0))</f>
        <v>9.3808428425650323</v>
      </c>
      <c r="AE72" s="67">
        <f t="array" ref="AE72">IF($W$1,AD72*(1+INDEX(AE$1:AE$2,MATCH($O72,$AA$1:$AA$2,0)))^(AE$16-AD$16),INDEX('AEA2012 update'!$AC$6:$AG$104,MATCH($T72&amp;$U72,'AEA2012 update'!$A$6:$A$104&amp;'AEA2012 update'!$B$6:$B$104,0),MATCH(AE$16,'AEA2012 update'!$AC$4:$AG$4,0)))</f>
        <v>9.2874554283337734</v>
      </c>
      <c r="AF72" s="67">
        <f t="array" ref="AF72">IF($W$1,AE72*(1+INDEX(AF$1:AF$2,MATCH($O72,$AA$1:$AA$2,0)))^(AF$16-AE$16),INDEX('AEA2012 update'!$AC$6:$AG$104,MATCH($T72&amp;$U72,'AEA2012 update'!$A$6:$A$104&amp;'AEA2012 update'!$B$6:$B$104,0),MATCH(AF$16,'AEA2012 update'!$AC$4:$AG$4,0)))</f>
        <v>9.1949976969980884</v>
      </c>
      <c r="AG72" s="67">
        <f t="array" ref="AG72">IF($W$1,AF72*(1+INDEX(AG$1:AG$2,MATCH($O72,$AA$1:$AA$2,0)))^(AG$16-AF$16),INDEX('AEA2012 update'!$AC$6:$AG$104,MATCH($T72&amp;$U72,'AEA2012 update'!$A$6:$A$104&amp;'AEA2012 update'!$B$6:$B$104,0),MATCH(AG$16,'AEA2012 update'!$AC$4:$AG$4,0)))</f>
        <v>9.1034603934533838</v>
      </c>
      <c r="AH72" s="67">
        <f t="array" ref="AH72">IF($W$1,AG72*(1+INDEX(AH$1:AH$2,MATCH($O72,$AA$1:$AA$2,0)))^(AH$16-AG$16),INDEX('AEA2012 update'!$AC$6:$AG$104,MATCH($T72&amp;$U72,'AEA2012 update'!$A$6:$A$104&amp;'AEA2012 update'!$B$6:$B$104,0),MATCH(AH$16,'AEA2012 update'!$AC$4:$AG$4,0)))</f>
        <v>9.0128343547307441</v>
      </c>
      <c r="AI72" s="67"/>
      <c r="AJ72" s="257">
        <f t="shared" si="6"/>
        <v>-9.9551197902515731E-4</v>
      </c>
      <c r="AK72" s="257">
        <f t="shared" si="7"/>
        <v>-9.8563442456379362E-4</v>
      </c>
      <c r="AQ72" s="61" t="str">
        <f t="shared" si="8"/>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c r="AW72" s="195">
        <f t="shared" ref="AW72" si="23">AI72/cv.petrol.hhv.MJL*100</f>
        <v>0</v>
      </c>
    </row>
    <row r="73" spans="14:49" x14ac:dyDescent="0.25">
      <c r="N73" s="61" t="s">
        <v>573</v>
      </c>
      <c r="O73" s="61" t="s">
        <v>653</v>
      </c>
      <c r="P73" s="61" t="s">
        <v>724</v>
      </c>
      <c r="Q73" s="61" t="str">
        <f t="shared" si="4"/>
        <v>CV1</v>
      </c>
      <c r="R73" s="61" t="s">
        <v>687</v>
      </c>
      <c r="S73" s="65"/>
      <c r="T73" s="256" t="s">
        <v>725</v>
      </c>
      <c r="U73" s="256" t="s">
        <v>680</v>
      </c>
      <c r="V73" s="103">
        <f t="array" ref="V73">IF(V$18,INDEX('AEA2012 update'!$K$6:$R$104,MATCH($T73&amp;$R73,'AEA2012 update'!$A$6:$A$104&amp;'AEA2012 update'!$B$6:$B$104,0),MATCH(V$16,'AEA2012 update'!$S$4:$Z$4,0)),INDEX('AEA2012 update'!$K$6:$R$104,MATCH($T73&amp;$U73,'AEA2012 update'!$A$6:$A$104&amp;'AEA2012 update'!$B$6:$B$104,0),MATCH(V$16,'AEA2012 update'!$S$4:$Z$4,0)))</f>
        <v>312164.0168491315</v>
      </c>
      <c r="W73" s="103">
        <f t="array" ref="W73">IF(W$18,INDEX('AEA2012 update'!$K$6:$R$104,MATCH($T73&amp;$R73,'AEA2012 update'!$A$6:$A$104&amp;'AEA2012 update'!$B$6:$B$104,0),MATCH(W$16,'AEA2012 update'!$S$4:$Z$4,0)),INDEX('AEA2012 update'!$K$6:$R$104,MATCH($T73&amp;$U73,'AEA2012 update'!$A$6:$A$104&amp;'AEA2012 update'!$B$6:$B$104,0),MATCH(W$16,'AEA2012 update'!$S$4:$Z$4,0)))</f>
        <v>375623.26945122989</v>
      </c>
      <c r="X73" s="103">
        <f t="array" ref="X73">IF(X$18,INDEX('AEA2012 update'!$K$6:$R$104,MATCH($T73&amp;$R73,'AEA2012 update'!$A$6:$A$104&amp;'AEA2012 update'!$B$6:$B$104,0),MATCH(X$16,'AEA2012 update'!$S$4:$Z$4,0)),INDEX('AEA2012 update'!$K$6:$R$104,MATCH($T73&amp;$U73,'AEA2012 update'!$A$6:$A$104&amp;'AEA2012 update'!$B$6:$B$104,0),MATCH(X$16,'AEA2012 update'!$S$4:$Z$4,0)))</f>
        <v>387507.90448206</v>
      </c>
      <c r="Y73" s="103">
        <f t="array" ref="Y73">IF(Y$18,INDEX('AEA2012 update'!$K$6:$R$104,MATCH($T73&amp;$R73,'AEA2012 update'!$A$6:$A$104&amp;'AEA2012 update'!$B$6:$B$104,0),MATCH(Y$16,'AEA2012 update'!$S$4:$Z$4,0)),INDEX('AEA2012 update'!$K$6:$R$104,MATCH($T73&amp;$U73,'AEA2012 update'!$A$6:$A$104&amp;'AEA2012 update'!$B$6:$B$104,0),MATCH(Y$16,'AEA2012 update'!$S$4:$Z$4,0)))</f>
        <v>506916.16695508256</v>
      </c>
      <c r="Z73" s="103">
        <f t="array" ref="Z73">IF(Z$18,INDEX('AEA2012 update'!$K$6:$R$104,MATCH($T73&amp;$R73,'AEA2012 update'!$A$6:$A$104&amp;'AEA2012 update'!$B$6:$B$104,0),MATCH(Z$16,'AEA2012 update'!$S$4:$Z$4,0)),INDEX('AEA2012 update'!$K$6:$R$104,MATCH($T73&amp;$U73,'AEA2012 update'!$A$6:$A$104&amp;'AEA2012 update'!$B$6:$B$104,0),MATCH(Z$16,'AEA2012 update'!$S$4:$Z$4,0)))</f>
        <v>520424.31194208184</v>
      </c>
      <c r="AA73" s="103">
        <f t="array" ref="AA73">IF(AA$18,INDEX('AEA2012 update'!$K$6:$R$104,MATCH($T73&amp;$R73,'AEA2012 update'!$A$6:$A$104&amp;'AEA2012 update'!$B$6:$B$104,0),MATCH(AA$16,'AEA2012 update'!$S$4:$Z$4,0)),INDEX('AEA2012 update'!$K$6:$R$104,MATCH($T73&amp;$U73,'AEA2012 update'!$A$6:$A$104&amp;'AEA2012 update'!$B$6:$B$104,0),MATCH(AA$16,'AEA2012 update'!$S$4:$Z$4,0)))</f>
        <v>533932.45692908112</v>
      </c>
      <c r="AB73" s="103">
        <f t="array" ref="AB73">IF(AB$18,INDEX('AEA2012 update'!$K$6:$R$104,MATCH($T73&amp;$R73,'AEA2012 update'!$A$6:$A$104&amp;'AEA2012 update'!$B$6:$B$104,0),MATCH(AB$16,'AEA2012 update'!$S$4:$Z$4,0)),INDEX('AEA2012 update'!$K$6:$R$104,MATCH($T73&amp;$U73,'AEA2012 update'!$A$6:$A$104&amp;'AEA2012 update'!$B$6:$B$104,0),MATCH(AB$16,'AEA2012 update'!$S$4:$Z$4,0)))</f>
        <v>551671.18115070788</v>
      </c>
      <c r="AC73" s="103" t="str">
        <f t="shared" si="5"/>
        <v>CV1OGS</v>
      </c>
      <c r="AD73" s="67">
        <f t="array" ref="AD73">INDEX('AEA2012 update'!$AC$6:$AG$104,MATCH($T73&amp;$U73,'AEA2012 update'!$A$6:$A$104&amp;'AEA2012 update'!$B$6:$B$104,0),MATCH(AD$16,'AEA2012 update'!$S$4:$Z$4,0))</f>
        <v>10.853867751728137</v>
      </c>
      <c r="AE73" s="67">
        <f t="array" ref="AE73">IF($W$1,AD73*(1+INDEX(AE$1:AE$2,MATCH($O73,$AA$1:$AA$2,0)))^(AE$16-AD$16),INDEX('AEA2012 update'!$AC$6:$AG$104,MATCH($T73&amp;$U73,'AEA2012 update'!$A$6:$A$104&amp;'AEA2012 update'!$B$6:$B$104,0),MATCH(AE$16,'AEA2012 update'!$AC$4:$AG$4,0)))</f>
        <v>10.745816198072134</v>
      </c>
      <c r="AF73" s="67">
        <f t="array" ref="AF73">IF($W$1,AE73*(1+INDEX(AF$1:AF$2,MATCH($O73,$AA$1:$AA$2,0)))^(AF$16-AE$16),INDEX('AEA2012 update'!$AC$6:$AG$104,MATCH($T73&amp;$U73,'AEA2012 update'!$A$6:$A$104&amp;'AEA2012 update'!$B$6:$B$104,0),MATCH(AF$16,'AEA2012 update'!$AC$4:$AG$4,0)))</f>
        <v>10.638840310576299</v>
      </c>
      <c r="AG73" s="67">
        <f t="array" ref="AG73">IF($W$1,AF73*(1+INDEX(AG$1:AG$2,MATCH($O73,$AA$1:$AA$2,0)))^(AG$16-AF$16),INDEX('AEA2012 update'!$AC$6:$AG$104,MATCH($T73&amp;$U73,'AEA2012 update'!$A$6:$A$104&amp;'AEA2012 update'!$B$6:$B$104,0),MATCH(AG$16,'AEA2012 update'!$AC$4:$AG$4,0)))</f>
        <v>10.532929380855153</v>
      </c>
      <c r="AH73" s="67">
        <f t="array" ref="AH73">IF($W$1,AG73*(1+INDEX(AH$1:AH$2,MATCH($O73,$AA$1:$AA$2,0)))^(AH$16-AG$16),INDEX('AEA2012 update'!$AC$6:$AG$104,MATCH($T73&amp;$U73,'AEA2012 update'!$A$6:$A$104&amp;'AEA2012 update'!$B$6:$B$104,0),MATCH(AH$16,'AEA2012 update'!$AC$4:$AG$4,0)))</f>
        <v>10.428072807126478</v>
      </c>
      <c r="AI73" s="67"/>
      <c r="AJ73" s="257">
        <f t="shared" si="6"/>
        <v>-9.9551197902516078E-4</v>
      </c>
      <c r="AK73" s="257">
        <f t="shared" si="7"/>
        <v>-9.8563442456380229E-4</v>
      </c>
      <c r="AQ73" s="61" t="str">
        <f t="shared" si="8"/>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c r="AW73" s="195">
        <f t="shared" ref="AW73" si="24">AI73/cv.petrol.hhv.MJL*100</f>
        <v>0</v>
      </c>
    </row>
    <row r="74" spans="14:49" x14ac:dyDescent="0.25">
      <c r="N74" s="61" t="s">
        <v>501</v>
      </c>
      <c r="O74" s="61" t="s">
        <v>653</v>
      </c>
      <c r="P74" s="61" t="s">
        <v>724</v>
      </c>
      <c r="Q74" s="61" t="str">
        <f t="shared" si="4"/>
        <v>CV1</v>
      </c>
      <c r="R74" s="61" t="s">
        <v>687</v>
      </c>
      <c r="S74" s="65"/>
      <c r="T74" s="256" t="s">
        <v>725</v>
      </c>
      <c r="U74" s="256" t="s">
        <v>692</v>
      </c>
      <c r="V74" s="103">
        <f t="array" ref="V74">IF(V$18,INDEX('AEA2012 update'!$K$6:$R$104,MATCH($T74&amp;$R74,'AEA2012 update'!$A$6:$A$104&amp;'AEA2012 update'!$B$6:$B$104,0),MATCH(V$16,'AEA2012 update'!$S$4:$Z$4,0)),INDEX('AEA2012 update'!$K$6:$R$104,MATCH($T74&amp;$U74,'AEA2012 update'!$A$6:$A$104&amp;'AEA2012 update'!$B$6:$B$104,0),MATCH(V$16,'AEA2012 update'!$S$4:$Z$4,0)))</f>
        <v>1327792.7757726812</v>
      </c>
      <c r="W74" s="103">
        <f t="array" ref="W74">IF(W$18,INDEX('AEA2012 update'!$K$6:$R$104,MATCH($T74&amp;$R74,'AEA2012 update'!$A$6:$A$104&amp;'AEA2012 update'!$B$6:$B$104,0),MATCH(W$16,'AEA2012 update'!$S$4:$Z$4,0)),INDEX('AEA2012 update'!$K$6:$R$104,MATCH($T74&amp;$U74,'AEA2012 update'!$A$6:$A$104&amp;'AEA2012 update'!$B$6:$B$104,0),MATCH(W$16,'AEA2012 update'!$S$4:$Z$4,0)))</f>
        <v>871544.47239677189</v>
      </c>
      <c r="X74" s="103">
        <f t="array" ref="X74">IF(X$18,INDEX('AEA2012 update'!$K$6:$R$104,MATCH($T74&amp;$R74,'AEA2012 update'!$A$6:$A$104&amp;'AEA2012 update'!$B$6:$B$104,0),MATCH(X$16,'AEA2012 update'!$S$4:$Z$4,0)),INDEX('AEA2012 update'!$K$6:$R$104,MATCH($T74&amp;$U74,'AEA2012 update'!$A$6:$A$104&amp;'AEA2012 update'!$B$6:$B$104,0),MATCH(X$16,'AEA2012 update'!$S$4:$Z$4,0)))</f>
        <v>791404.01330598292</v>
      </c>
      <c r="Y74" s="103">
        <f t="array" ref="Y74">IF(Y$18,INDEX('AEA2012 update'!$K$6:$R$104,MATCH($T74&amp;$R74,'AEA2012 update'!$A$6:$A$104&amp;'AEA2012 update'!$B$6:$B$104,0),MATCH(Y$16,'AEA2012 update'!$S$4:$Z$4,0)),INDEX('AEA2012 update'!$K$6:$R$104,MATCH($T74&amp;$U74,'AEA2012 update'!$A$6:$A$104&amp;'AEA2012 update'!$B$6:$B$104,0),MATCH(Y$16,'AEA2012 update'!$S$4:$Z$4,0)))</f>
        <v>506916.16695508256</v>
      </c>
      <c r="Z74" s="103">
        <f t="array" ref="Z74">IF(Z$18,INDEX('AEA2012 update'!$K$6:$R$104,MATCH($T74&amp;$R74,'AEA2012 update'!$A$6:$A$104&amp;'AEA2012 update'!$B$6:$B$104,0),MATCH(Z$16,'AEA2012 update'!$S$4:$Z$4,0)),INDEX('AEA2012 update'!$K$6:$R$104,MATCH($T74&amp;$U74,'AEA2012 update'!$A$6:$A$104&amp;'AEA2012 update'!$B$6:$B$104,0),MATCH(Z$16,'AEA2012 update'!$S$4:$Z$4,0)))</f>
        <v>520424.31194208184</v>
      </c>
      <c r="AA74" s="103">
        <f t="array" ref="AA74">IF(AA$18,INDEX('AEA2012 update'!$K$6:$R$104,MATCH($T74&amp;$R74,'AEA2012 update'!$A$6:$A$104&amp;'AEA2012 update'!$B$6:$B$104,0),MATCH(AA$16,'AEA2012 update'!$S$4:$Z$4,0)),INDEX('AEA2012 update'!$K$6:$R$104,MATCH($T74&amp;$U74,'AEA2012 update'!$A$6:$A$104&amp;'AEA2012 update'!$B$6:$B$104,0),MATCH(AA$16,'AEA2012 update'!$S$4:$Z$4,0)))</f>
        <v>533932.45692908112</v>
      </c>
      <c r="AB74" s="103">
        <f t="array" ref="AB74">IF(AB$18,INDEX('AEA2012 update'!$K$6:$R$104,MATCH($T74&amp;$R74,'AEA2012 update'!$A$6:$A$104&amp;'AEA2012 update'!$B$6:$B$104,0),MATCH(AB$16,'AEA2012 update'!$S$4:$Z$4,0)),INDEX('AEA2012 update'!$K$6:$R$104,MATCH($T74&amp;$U74,'AEA2012 update'!$A$6:$A$104&amp;'AEA2012 update'!$B$6:$B$104,0),MATCH(AB$16,'AEA2012 update'!$S$4:$Z$4,0)))</f>
        <v>551671.18115070788</v>
      </c>
      <c r="AC74" s="103" t="str">
        <f t="shared" si="5"/>
        <v>CV1ELC</v>
      </c>
      <c r="AD74" s="67">
        <f t="array" ref="AD74">INDEX('AEA2012 update'!$AC$6:$AG$104,MATCH($T74&amp;$U74,'AEA2012 update'!$A$6:$A$104&amp;'AEA2012 update'!$B$6:$B$104,0),MATCH(AD$16,'AEA2012 update'!$S$4:$Z$4,0))</f>
        <v>2.8650268656617239</v>
      </c>
      <c r="AE74" s="67">
        <f t="array" ref="AE74">IF($W$1,AD74*(1+INDEX(AE$1:AE$2,MATCH($O74,$AA$1:$AA$2,0)))^(AE$16-AD$16),INDEX('AEA2012 update'!$AC$6:$AG$104,MATCH($T74&amp;$U74,'AEA2012 update'!$A$6:$A$104&amp;'AEA2012 update'!$B$6:$B$104,0),MATCH(AE$16,'AEA2012 update'!$AC$4:$AG$4,0)))</f>
        <v>2.8365051800117724</v>
      </c>
      <c r="AF74" s="67">
        <f t="array" ref="AF74">IF($W$1,AE74*(1+INDEX(AF$1:AF$2,MATCH($O74,$AA$1:$AA$2,0)))^(AF$16-AE$16),INDEX('AEA2012 update'!$AC$6:$AG$104,MATCH($T74&amp;$U74,'AEA2012 update'!$A$6:$A$104&amp;'AEA2012 update'!$B$6:$B$104,0),MATCH(AF$16,'AEA2012 update'!$AC$4:$AG$4,0)))</f>
        <v>2.8082674311590861</v>
      </c>
      <c r="AG74" s="67">
        <f t="array" ref="AG74">IF($W$1,AF74*(1+INDEX(AG$1:AG$2,MATCH($O74,$AA$1:$AA$2,0)))^(AG$16-AF$16),INDEX('AEA2012 update'!$AC$6:$AG$104,MATCH($T74&amp;$U74,'AEA2012 update'!$A$6:$A$104&amp;'AEA2012 update'!$B$6:$B$104,0),MATCH(AG$16,'AEA2012 update'!$AC$4:$AG$4,0)))</f>
        <v>2.7803107924788351</v>
      </c>
      <c r="AH74" s="67">
        <f t="array" ref="AH74">IF($W$1,AG74*(1+INDEX(AH$1:AH$2,MATCH($O74,$AA$1:$AA$2,0)))^(AH$16-AG$16),INDEX('AEA2012 update'!$AC$6:$AG$104,MATCH($T74&amp;$U74,'AEA2012 update'!$A$6:$A$104&amp;'AEA2012 update'!$B$6:$B$104,0),MATCH(AH$16,'AEA2012 update'!$AC$4:$AG$4,0)))</f>
        <v>2.7526324654855787</v>
      </c>
      <c r="AI74" s="67"/>
      <c r="AJ74" s="257">
        <f t="shared" si="6"/>
        <v>-9.9551197902515861E-4</v>
      </c>
      <c r="AK74" s="257">
        <f t="shared" si="7"/>
        <v>-9.8563442456379383E-4</v>
      </c>
      <c r="AQ74" s="61" t="str">
        <f t="shared" si="8"/>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c r="AW74" s="195">
        <f t="shared" ref="AW74" si="25">AI74/cv.petrol.hhv.MJL*100</f>
        <v>0</v>
      </c>
    </row>
    <row r="75" spans="14:49" x14ac:dyDescent="0.25">
      <c r="N75" s="61" t="s">
        <v>504</v>
      </c>
      <c r="O75" s="61" t="s">
        <v>653</v>
      </c>
      <c r="P75" s="61" t="s">
        <v>724</v>
      </c>
      <c r="Q75" s="61" t="str">
        <f t="shared" si="4"/>
        <v>CV1</v>
      </c>
      <c r="R75" s="61" t="s">
        <v>687</v>
      </c>
      <c r="S75" s="65"/>
      <c r="T75" s="256" t="s">
        <v>725</v>
      </c>
      <c r="U75" s="256" t="s">
        <v>699</v>
      </c>
      <c r="V75" s="103">
        <f t="array" ref="V75">IF(V$18,INDEX('AEA2012 update'!$K$6:$R$104,MATCH($T75&amp;$R75,'AEA2012 update'!$A$6:$A$104&amp;'AEA2012 update'!$B$6:$B$104,0),MATCH(V$16,'AEA2012 update'!$S$4:$Z$4,0)),INDEX('AEA2012 update'!$K$6:$R$104,MATCH($T75&amp;$U75,'AEA2012 update'!$A$6:$A$104&amp;'AEA2012 update'!$B$6:$B$104,0),MATCH(V$16,'AEA2012 update'!$S$4:$Z$4,0)))</f>
        <v>2522990.6381765995</v>
      </c>
      <c r="W75" s="103">
        <f t="array" ref="W75">IF(W$18,INDEX('AEA2012 update'!$K$6:$R$104,MATCH($T75&amp;$R75,'AEA2012 update'!$A$6:$A$104&amp;'AEA2012 update'!$B$6:$B$104,0),MATCH(W$16,'AEA2012 update'!$S$4:$Z$4,0)),INDEX('AEA2012 update'!$K$6:$R$104,MATCH($T75&amp;$U75,'AEA2012 update'!$A$6:$A$104&amp;'AEA2012 update'!$B$6:$B$104,0),MATCH(W$16,'AEA2012 update'!$S$4:$Z$4,0)))</f>
        <v>1080982.7502171779</v>
      </c>
      <c r="X75" s="103">
        <f t="array" ref="X75">IF(X$18,INDEX('AEA2012 update'!$K$6:$R$104,MATCH($T75&amp;$R75,'AEA2012 update'!$A$6:$A$104&amp;'AEA2012 update'!$B$6:$B$104,0),MATCH(X$16,'AEA2012 update'!$S$4:$Z$4,0)),INDEX('AEA2012 update'!$K$6:$R$104,MATCH($T75&amp;$U75,'AEA2012 update'!$A$6:$A$104&amp;'AEA2012 update'!$B$6:$B$104,0),MATCH(X$16,'AEA2012 update'!$S$4:$Z$4,0)))</f>
        <v>851672.91194386315</v>
      </c>
      <c r="Y75" s="103">
        <f t="array" ref="Y75">IF(Y$18,INDEX('AEA2012 update'!$K$6:$R$104,MATCH($T75&amp;$R75,'AEA2012 update'!$A$6:$A$104&amp;'AEA2012 update'!$B$6:$B$104,0),MATCH(Y$16,'AEA2012 update'!$S$4:$Z$4,0)),INDEX('AEA2012 update'!$K$6:$R$104,MATCH($T75&amp;$U75,'AEA2012 update'!$A$6:$A$104&amp;'AEA2012 update'!$B$6:$B$104,0),MATCH(Y$16,'AEA2012 update'!$S$4:$Z$4,0)))</f>
        <v>506916.16695508256</v>
      </c>
      <c r="Z75" s="103">
        <f t="array" ref="Z75">IF(Z$18,INDEX('AEA2012 update'!$K$6:$R$104,MATCH($T75&amp;$R75,'AEA2012 update'!$A$6:$A$104&amp;'AEA2012 update'!$B$6:$B$104,0),MATCH(Z$16,'AEA2012 update'!$S$4:$Z$4,0)),INDEX('AEA2012 update'!$K$6:$R$104,MATCH($T75&amp;$U75,'AEA2012 update'!$A$6:$A$104&amp;'AEA2012 update'!$B$6:$B$104,0),MATCH(Z$16,'AEA2012 update'!$S$4:$Z$4,0)))</f>
        <v>520424.31194208184</v>
      </c>
      <c r="AA75" s="103">
        <f t="array" ref="AA75">IF(AA$18,INDEX('AEA2012 update'!$K$6:$R$104,MATCH($T75&amp;$R75,'AEA2012 update'!$A$6:$A$104&amp;'AEA2012 update'!$B$6:$B$104,0),MATCH(AA$16,'AEA2012 update'!$S$4:$Z$4,0)),INDEX('AEA2012 update'!$K$6:$R$104,MATCH($T75&amp;$U75,'AEA2012 update'!$A$6:$A$104&amp;'AEA2012 update'!$B$6:$B$104,0),MATCH(AA$16,'AEA2012 update'!$S$4:$Z$4,0)))</f>
        <v>533932.45692908112</v>
      </c>
      <c r="AB75" s="103">
        <f t="array" ref="AB75">IF(AB$18,INDEX('AEA2012 update'!$K$6:$R$104,MATCH($T75&amp;$R75,'AEA2012 update'!$A$6:$A$104&amp;'AEA2012 update'!$B$6:$B$104,0),MATCH(AB$16,'AEA2012 update'!$S$4:$Z$4,0)),INDEX('AEA2012 update'!$K$6:$R$104,MATCH($T75&amp;$U75,'AEA2012 update'!$A$6:$A$104&amp;'AEA2012 update'!$B$6:$B$104,0),MATCH(AB$16,'AEA2012 update'!$S$4:$Z$4,0)))</f>
        <v>551671.18115070788</v>
      </c>
      <c r="AC75" s="103" t="str">
        <f t="shared" si="5"/>
        <v>CV1HGN</v>
      </c>
      <c r="AD75" s="67">
        <f t="array" ref="AD75">INDEX('AEA2012 update'!$AC$6:$AG$104,MATCH($T75&amp;$U75,'AEA2012 update'!$A$6:$A$104&amp;'AEA2012 update'!$B$6:$B$104,0),MATCH(AD$16,'AEA2012 update'!$S$4:$Z$4,0))</f>
        <v>4.4231993715479234</v>
      </c>
      <c r="AE75" s="67">
        <f t="array" ref="AE75">IF($W$1,AD75*(1+INDEX(AE$1:AE$2,MATCH($O75,$AA$1:$AA$2,0)))^(AE$16-AD$16),INDEX('AEA2012 update'!$AC$6:$AG$104,MATCH($T75&amp;$U75,'AEA2012 update'!$A$6:$A$104&amp;'AEA2012 update'!$B$6:$B$104,0),MATCH(AE$16,'AEA2012 update'!$AC$4:$AG$4,0)))</f>
        <v>4.3791658919479977</v>
      </c>
      <c r="AF75" s="67">
        <f t="array" ref="AF75">IF($W$1,AE75*(1+INDEX(AF$1:AF$2,MATCH($O75,$AA$1:$AA$2,0)))^(AF$16-AE$16),INDEX('AEA2012 update'!$AC$6:$AG$104,MATCH($T75&amp;$U75,'AEA2012 update'!$A$6:$A$104&amp;'AEA2012 update'!$B$6:$B$104,0),MATCH(AF$16,'AEA2012 update'!$AC$4:$AG$4,0)))</f>
        <v>4.3355707709122715</v>
      </c>
      <c r="AG75" s="67">
        <f t="array" ref="AG75">IF($W$1,AF75*(1+INDEX(AG$1:AG$2,MATCH($O75,$AA$1:$AA$2,0)))^(AG$16-AF$16),INDEX('AEA2012 update'!$AC$6:$AG$104,MATCH($T75&amp;$U75,'AEA2012 update'!$A$6:$A$104&amp;'AEA2012 update'!$B$6:$B$104,0),MATCH(AG$16,'AEA2012 update'!$AC$4:$AG$4,0)))</f>
        <v>4.2924096445287265</v>
      </c>
      <c r="AH75" s="67">
        <f t="array" ref="AH75">IF($W$1,AG75*(1+INDEX(AH$1:AH$2,MATCH($O75,$AA$1:$AA$2,0)))^(AH$16-AG$16),INDEX('AEA2012 update'!$AC$6:$AG$104,MATCH($T75&amp;$U75,'AEA2012 update'!$A$6:$A$104&amp;'AEA2012 update'!$B$6:$B$104,0),MATCH(AH$16,'AEA2012 update'!$AC$4:$AG$4,0)))</f>
        <v>4.2496781923286111</v>
      </c>
      <c r="AI75" s="67"/>
      <c r="AJ75" s="257">
        <f t="shared" si="6"/>
        <v>-9.9551197902517335E-4</v>
      </c>
      <c r="AK75" s="257">
        <f t="shared" si="7"/>
        <v>-9.8563442456379253E-4</v>
      </c>
      <c r="AQ75" s="61" t="str">
        <f t="shared" si="8"/>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c r="AW75" s="195">
        <f t="shared" ref="AW75" si="26">AI75/cv.petrol.hhv.MJL*100</f>
        <v>0</v>
      </c>
    </row>
    <row r="76" spans="14:49" x14ac:dyDescent="0.25">
      <c r="N76" s="61" t="s">
        <v>509</v>
      </c>
      <c r="O76" s="61" t="s">
        <v>653</v>
      </c>
      <c r="P76" s="61" t="s">
        <v>724</v>
      </c>
      <c r="Q76" s="61" t="str">
        <f t="shared" si="4"/>
        <v>CV1</v>
      </c>
      <c r="R76" s="61" t="s">
        <v>687</v>
      </c>
      <c r="S76" s="65"/>
      <c r="T76" s="256" t="s">
        <v>725</v>
      </c>
      <c r="U76" s="256" t="s">
        <v>700</v>
      </c>
      <c r="V76" s="103">
        <f t="array" ref="V76">IF(V$18,INDEX('AEA2012 update'!$K$6:$R$104,MATCH($T76&amp;$R76,'AEA2012 update'!$A$6:$A$104&amp;'AEA2012 update'!$B$6:$B$104,0),MATCH(V$16,'AEA2012 update'!$S$4:$Z$4,0)),INDEX('AEA2012 update'!$K$6:$R$104,MATCH($T76&amp;$U76,'AEA2012 update'!$A$6:$A$104&amp;'AEA2012 update'!$B$6:$B$104,0),MATCH(V$16,'AEA2012 update'!$S$4:$Z$4,0)))</f>
        <v>598309.30679972272</v>
      </c>
      <c r="W76" s="103">
        <f t="array" ref="W76">IF(W$18,INDEX('AEA2012 update'!$K$6:$R$104,MATCH($T76&amp;$R76,'AEA2012 update'!$A$6:$A$104&amp;'AEA2012 update'!$B$6:$B$104,0),MATCH(W$16,'AEA2012 update'!$S$4:$Z$4,0)),INDEX('AEA2012 update'!$K$6:$R$104,MATCH($T76&amp;$U76,'AEA2012 update'!$A$6:$A$104&amp;'AEA2012 update'!$B$6:$B$104,0),MATCH(W$16,'AEA2012 update'!$S$4:$Z$4,0)))</f>
        <v>588990.88834881992</v>
      </c>
      <c r="X76" s="103">
        <f t="array" ref="X76">IF(X$18,INDEX('AEA2012 update'!$K$6:$R$104,MATCH($T76&amp;$R76,'AEA2012 update'!$A$6:$A$104&amp;'AEA2012 update'!$B$6:$B$104,0),MATCH(X$16,'AEA2012 update'!$S$4:$Z$4,0)),INDEX('AEA2012 update'!$K$6:$R$104,MATCH($T76&amp;$U76,'AEA2012 update'!$A$6:$A$104&amp;'AEA2012 update'!$B$6:$B$104,0),MATCH(X$16,'AEA2012 update'!$S$4:$Z$4,0)))</f>
        <v>591035.13773094804</v>
      </c>
      <c r="Y76" s="103">
        <f t="array" ref="Y76">IF(Y$18,INDEX('AEA2012 update'!$K$6:$R$104,MATCH($T76&amp;$R76,'AEA2012 update'!$A$6:$A$104&amp;'AEA2012 update'!$B$6:$B$104,0),MATCH(Y$16,'AEA2012 update'!$S$4:$Z$4,0)),INDEX('AEA2012 update'!$K$6:$R$104,MATCH($T76&amp;$U76,'AEA2012 update'!$A$6:$A$104&amp;'AEA2012 update'!$B$6:$B$104,0),MATCH(Y$16,'AEA2012 update'!$S$4:$Z$4,0)))</f>
        <v>506916.16695508256</v>
      </c>
      <c r="Z76" s="103">
        <f t="array" ref="Z76">IF(Z$18,INDEX('AEA2012 update'!$K$6:$R$104,MATCH($T76&amp;$R76,'AEA2012 update'!$A$6:$A$104&amp;'AEA2012 update'!$B$6:$B$104,0),MATCH(Z$16,'AEA2012 update'!$S$4:$Z$4,0)),INDEX('AEA2012 update'!$K$6:$R$104,MATCH($T76&amp;$U76,'AEA2012 update'!$A$6:$A$104&amp;'AEA2012 update'!$B$6:$B$104,0),MATCH(Z$16,'AEA2012 update'!$S$4:$Z$4,0)))</f>
        <v>520424.31194208184</v>
      </c>
      <c r="AA76" s="103">
        <f t="array" ref="AA76">IF(AA$18,INDEX('AEA2012 update'!$K$6:$R$104,MATCH($T76&amp;$R76,'AEA2012 update'!$A$6:$A$104&amp;'AEA2012 update'!$B$6:$B$104,0),MATCH(AA$16,'AEA2012 update'!$S$4:$Z$4,0)),INDEX('AEA2012 update'!$K$6:$R$104,MATCH($T76&amp;$U76,'AEA2012 update'!$A$6:$A$104&amp;'AEA2012 update'!$B$6:$B$104,0),MATCH(AA$16,'AEA2012 update'!$S$4:$Z$4,0)))</f>
        <v>533932.45692908112</v>
      </c>
      <c r="AB76" s="103">
        <f t="array" ref="AB76">IF(AB$18,INDEX('AEA2012 update'!$K$6:$R$104,MATCH($T76&amp;$R76,'AEA2012 update'!$A$6:$A$104&amp;'AEA2012 update'!$B$6:$B$104,0),MATCH(AB$16,'AEA2012 update'!$S$4:$Z$4,0)),INDEX('AEA2012 update'!$K$6:$R$104,MATCH($T76&amp;$U76,'AEA2012 update'!$A$6:$A$104&amp;'AEA2012 update'!$B$6:$B$104,0),MATCH(AB$16,'AEA2012 update'!$S$4:$Z$4,0)))</f>
        <v>551671.18115070788</v>
      </c>
      <c r="AC76" s="103" t="str">
        <f t="shared" si="5"/>
        <v>CV1GAS</v>
      </c>
      <c r="AD76" s="67">
        <f t="array" ref="AD76">INDEX('AEA2012 update'!$AC$6:$AG$104,MATCH($T76&amp;$U76,'AEA2012 update'!$A$6:$A$104&amp;'AEA2012 update'!$B$6:$B$104,0),MATCH(AD$16,'AEA2012 update'!$S$4:$Z$4,0))</f>
        <v>10.787969268949785</v>
      </c>
      <c r="AE76" s="67">
        <f t="array" ref="AE76">IF($W$1,AD76*(1+INDEX(AE$1:AE$2,MATCH($O76,$AA$1:$AA$2,0)))^(AE$16-AD$16),INDEX('AEA2012 update'!$AC$6:$AG$104,MATCH($T76&amp;$U76,'AEA2012 update'!$A$6:$A$104&amp;'AEA2012 update'!$B$6:$B$104,0),MATCH(AE$16,'AEA2012 update'!$AC$4:$AG$4,0)))</f>
        <v>10.680573742583837</v>
      </c>
      <c r="AF76" s="67">
        <f t="array" ref="AF76">IF($W$1,AE76*(1+INDEX(AF$1:AF$2,MATCH($O76,$AA$1:$AA$2,0)))^(AF$16-AE$16),INDEX('AEA2012 update'!$AC$6:$AG$104,MATCH($T76&amp;$U76,'AEA2012 update'!$A$6:$A$104&amp;'AEA2012 update'!$B$6:$B$104,0),MATCH(AF$16,'AEA2012 update'!$AC$4:$AG$4,0)))</f>
        <v>10.574247351547799</v>
      </c>
      <c r="AG76" s="67">
        <f t="array" ref="AG76">IF($W$1,AF76*(1+INDEX(AG$1:AG$2,MATCH($O76,$AA$1:$AA$2,0)))^(AG$16-AF$16),INDEX('AEA2012 update'!$AC$6:$AG$104,MATCH($T76&amp;$U76,'AEA2012 update'!$A$6:$A$104&amp;'AEA2012 update'!$B$6:$B$104,0),MATCH(AG$16,'AEA2012 update'!$AC$4:$AG$4,0)))</f>
        <v>10.468979452471389</v>
      </c>
      <c r="AH76" s="67">
        <f t="array" ref="AH76">IF($W$1,AG76*(1+INDEX(AH$1:AH$2,MATCH($O76,$AA$1:$AA$2,0)))^(AH$16-AG$16),INDEX('AEA2012 update'!$AC$6:$AG$104,MATCH($T76&amp;$U76,'AEA2012 update'!$A$6:$A$104&amp;'AEA2012 update'!$B$6:$B$104,0),MATCH(AH$16,'AEA2012 update'!$AC$4:$AG$4,0)))</f>
        <v>10.364759507940354</v>
      </c>
      <c r="AI76" s="67"/>
      <c r="AJ76" s="257">
        <f t="shared" si="6"/>
        <v>-9.9551197902516381E-4</v>
      </c>
      <c r="AK76" s="257">
        <f t="shared" si="7"/>
        <v>-9.8563442456379166E-4</v>
      </c>
      <c r="AQ76" s="61" t="str">
        <f t="shared" si="8"/>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c r="AW76" s="195">
        <f t="shared" ref="AW76" si="27">AI76/cv.petrol.hhv.MJL*100</f>
        <v>0</v>
      </c>
    </row>
    <row r="77" spans="14:49" x14ac:dyDescent="0.25">
      <c r="O77" s="61" t="s">
        <v>653</v>
      </c>
      <c r="Q77" s="61" t="str">
        <f t="shared" si="4"/>
        <v/>
      </c>
      <c r="S77" s="65"/>
      <c r="T77" s="256"/>
      <c r="U77" s="260"/>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5"/>
        <v/>
      </c>
      <c r="AD77" s="67"/>
      <c r="AE77" s="67">
        <f t="array" ref="AE77">IF($W$1,AD77*(1+INDEX(AE$1:AE$2,MATCH($O77,$AA$1:$AA$2,0)))^(AE$16-AD$16),INDEX('AEA2012 update'!$AC$6:$AG$104,MATCH($T77&amp;$U77,'AEA2012 update'!$A$6:$A$104&amp;'AEA2012 update'!$B$6:$B$104,0),MATCH(AE$16,'AEA2012 update'!$AC$4:$AG$4,0)))</f>
        <v>0</v>
      </c>
      <c r="AF77" s="67">
        <f t="array" ref="AF77">IF($W$1,AE77*(1+INDEX(AF$1:AF$2,MATCH($O77,$AA$1:$AA$2,0)))^(AF$16-AE$16),INDEX('AEA2012 update'!$AC$6:$AG$104,MATCH($T77&amp;$U77,'AEA2012 update'!$A$6:$A$104&amp;'AEA2012 update'!$B$6:$B$104,0),MATCH(AF$16,'AEA2012 update'!$AC$4:$AG$4,0)))</f>
        <v>0</v>
      </c>
      <c r="AG77" s="67">
        <f t="array" ref="AG77">IF($W$1,AF77*(1+INDEX(AG$1:AG$2,MATCH($O77,$AA$1:$AA$2,0)))^(AG$16-AF$16),INDEX('AEA2012 update'!$AC$6:$AG$104,MATCH($T77&amp;$U77,'AEA2012 update'!$A$6:$A$104&amp;'AEA2012 update'!$B$6:$B$104,0),MATCH(AG$16,'AEA2012 update'!$AC$4:$AG$4,0)))</f>
        <v>0</v>
      </c>
      <c r="AH77" s="67">
        <f t="array" ref="AH77">IF($W$1,AG77*(1+INDEX(AH$1:AH$2,MATCH($O77,$AA$1:$AA$2,0)))^(AH$16-AG$16),INDEX('AEA2012 update'!$AC$6:$AG$104,MATCH($T77&amp;$U77,'AEA2012 update'!$A$6:$A$104&amp;'AEA2012 update'!$B$6:$B$104,0),MATCH(AH$16,'AEA2012 update'!$AC$4:$AG$4,0)))</f>
        <v>0</v>
      </c>
      <c r="AI77" s="67"/>
      <c r="AJ77" s="257" t="e">
        <f t="shared" si="6"/>
        <v>#DIV/0!</v>
      </c>
      <c r="AK77" s="257" t="e">
        <f t="shared" si="7"/>
        <v>#DIV/0!</v>
      </c>
      <c r="AQ77" s="61" t="str">
        <f t="shared" si="8"/>
        <v>-</v>
      </c>
      <c r="AR77" s="80" t="e" cm="1">
        <f t="array" aca="1" ref="AR77" ca="1">AD77/INDIRECT("cv."&amp;LEFT($U77,6)&amp;".hhv.MJL") * 100</f>
        <v>#REF!</v>
      </c>
      <c r="AS77" s="80" t="e" cm="1">
        <f t="array" aca="1" ref="AS77" ca="1">AE77/INDIRECT("cv."&amp;LEFT($U77,6)&amp;".hhv.MJL") * 100</f>
        <v>#REF!</v>
      </c>
      <c r="AT77" s="80" t="e" cm="1">
        <f t="array" aca="1" ref="AT77" ca="1">AF77/INDIRECT("cv."&amp;LEFT($U77,6)&amp;".hhv.MJL") * 100</f>
        <v>#REF!</v>
      </c>
      <c r="AU77" s="80" t="e" cm="1">
        <f t="array" aca="1" ref="AU77" ca="1">AG77/INDIRECT("cv."&amp;LEFT($U77,6)&amp;".hhv.MJL") * 100</f>
        <v>#REF!</v>
      </c>
      <c r="AV77" s="80" t="e" cm="1">
        <f t="array" aca="1" ref="AV77" ca="1">AH77/INDIRECT("cv."&amp;LEFT($U77,6)&amp;".hhv.MJL") * 100</f>
        <v>#REF!</v>
      </c>
    </row>
    <row r="78" spans="14:49" x14ac:dyDescent="0.25">
      <c r="N78" s="61" t="s">
        <v>511</v>
      </c>
      <c r="O78" s="61" t="s">
        <v>653</v>
      </c>
      <c r="P78" s="61" t="s">
        <v>728</v>
      </c>
      <c r="Q78" s="61" t="str">
        <f t="shared" si="4"/>
        <v>CV2</v>
      </c>
      <c r="R78" s="61" t="s">
        <v>687</v>
      </c>
      <c r="S78" s="65"/>
      <c r="T78" s="256" t="s">
        <v>725</v>
      </c>
      <c r="U78" s="256" t="s">
        <v>687</v>
      </c>
      <c r="V78" s="103">
        <f t="array" ref="V78">IF(V$18,INDEX('AEA2012 update'!$K$6:$R$104,MATCH($T78&amp;$R78,'AEA2012 update'!$A$6:$A$104&amp;'AEA2012 update'!$B$6:$B$104,0),MATCH(V$16,'AEA2012 update'!$S$4:$Z$4,0)),INDEX('AEA2012 update'!$K$6:$R$104,MATCH($T78&amp;$U78,'AEA2012 update'!$A$6:$A$104&amp;'AEA2012 update'!$B$6:$B$104,0),MATCH(V$16,'AEA2012 update'!$S$4:$Z$4,0)))</f>
        <v>396204.1631410002</v>
      </c>
      <c r="W78" s="103">
        <f t="array" ref="W78">IF(W$18,INDEX('AEA2012 update'!$K$6:$R$104,MATCH($T78&amp;$R78,'AEA2012 update'!$A$6:$A$104&amp;'AEA2012 update'!$B$6:$B$104,0),MATCH(W$16,'AEA2012 update'!$S$4:$Z$4,0)),INDEX('AEA2012 update'!$K$6:$R$104,MATCH($T78&amp;$U78,'AEA2012 update'!$A$6:$A$104&amp;'AEA2012 update'!$B$6:$B$104,0),MATCH(W$16,'AEA2012 update'!$S$4:$Z$4,0)))</f>
        <v>476747.78352540621</v>
      </c>
      <c r="X78" s="103">
        <f t="array" ref="X78">IF(X$18,INDEX('AEA2012 update'!$K$6:$R$104,MATCH($T78&amp;$R78,'AEA2012 update'!$A$6:$A$104&amp;'AEA2012 update'!$B$6:$B$104,0),MATCH(X$16,'AEA2012 update'!$S$4:$Z$4,0)),INDEX('AEA2012 update'!$K$6:$R$104,MATCH($T78&amp;$U78,'AEA2012 update'!$A$6:$A$104&amp;'AEA2012 update'!$B$6:$B$104,0),MATCH(X$16,'AEA2012 update'!$S$4:$Z$4,0)))</f>
        <v>491831.97524024436</v>
      </c>
      <c r="Y78" s="103">
        <f t="array" ref="Y78">IF(Y$18,INDEX('AEA2012 update'!$K$6:$R$104,MATCH($T78&amp;$R78,'AEA2012 update'!$A$6:$A$104&amp;'AEA2012 update'!$B$6:$B$104,0),MATCH(Y$16,'AEA2012 update'!$S$4:$Z$4,0)),INDEX('AEA2012 update'!$K$6:$R$104,MATCH($T78&amp;$U78,'AEA2012 update'!$A$6:$A$104&amp;'AEA2012 update'!$B$6:$B$104,0),MATCH(Y$16,'AEA2012 update'!$S$4:$Z$4,0)))</f>
        <v>506916.16695508256</v>
      </c>
      <c r="Z78" s="103">
        <f t="array" ref="Z78">IF(Z$18,INDEX('AEA2012 update'!$K$6:$R$104,MATCH($T78&amp;$R78,'AEA2012 update'!$A$6:$A$104&amp;'AEA2012 update'!$B$6:$B$104,0),MATCH(Z$16,'AEA2012 update'!$S$4:$Z$4,0)),INDEX('AEA2012 update'!$K$6:$R$104,MATCH($T78&amp;$U78,'AEA2012 update'!$A$6:$A$104&amp;'AEA2012 update'!$B$6:$B$104,0),MATCH(Z$16,'AEA2012 update'!$S$4:$Z$4,0)))</f>
        <v>520424.31194208184</v>
      </c>
      <c r="AA78" s="103">
        <f t="array" ref="AA78">IF(AA$18,INDEX('AEA2012 update'!$K$6:$R$104,MATCH($T78&amp;$R78,'AEA2012 update'!$A$6:$A$104&amp;'AEA2012 update'!$B$6:$B$104,0),MATCH(AA$16,'AEA2012 update'!$S$4:$Z$4,0)),INDEX('AEA2012 update'!$K$6:$R$104,MATCH($T78&amp;$U78,'AEA2012 update'!$A$6:$A$104&amp;'AEA2012 update'!$B$6:$B$104,0),MATCH(AA$16,'AEA2012 update'!$S$4:$Z$4,0)))</f>
        <v>533932.45692908112</v>
      </c>
      <c r="AB78" s="103">
        <f t="array" ref="AB78">IF(AB$18,INDEX('AEA2012 update'!$K$6:$R$104,MATCH($T78&amp;$R78,'AEA2012 update'!$A$6:$A$104&amp;'AEA2012 update'!$B$6:$B$104,0),MATCH(AB$16,'AEA2012 update'!$S$4:$Z$4,0)),INDEX('AEA2012 update'!$K$6:$R$104,MATCH($T78&amp;$U78,'AEA2012 update'!$A$6:$A$104&amp;'AEA2012 update'!$B$6:$B$104,0),MATCH(AB$16,'AEA2012 update'!$S$4:$Z$4,0)))</f>
        <v>551671.18115070788</v>
      </c>
      <c r="AC78" s="103" t="str">
        <f t="shared" si="5"/>
        <v>CV2ODS</v>
      </c>
      <c r="AD78" s="67">
        <f t="array" ref="AD78">INDEX('AEA2012 update'!$AC$6:$AG$104,MATCH($T78&amp;$U78,'AEA2012 update'!$A$6:$A$104&amp;'AEA2012 update'!$B$6:$B$104,0),MATCH(AD$16,'AEA2012 update'!$S$4:$Z$4,0))</f>
        <v>9.3808428425650323</v>
      </c>
      <c r="AE78" s="67">
        <f t="array" ref="AE78">IF($W$1,AD78*(1+INDEX(AE$1:AE$2,MATCH($O78,$AA$1:$AA$2,0)))^(AE$16-AD$16),INDEX('AEA2012 update'!$AC$6:$AG$104,MATCH($T78&amp;$U78,'AEA2012 update'!$A$6:$A$104&amp;'AEA2012 update'!$B$6:$B$104,0),MATCH(AE$16,'AEA2012 update'!$AC$4:$AG$4,0)))</f>
        <v>9.2874554283337734</v>
      </c>
      <c r="AF78" s="67">
        <f t="array" ref="AF78">IF($W$1,AE78*(1+INDEX(AF$1:AF$2,MATCH($O78,$AA$1:$AA$2,0)))^(AF$16-AE$16),INDEX('AEA2012 update'!$AC$6:$AG$104,MATCH($T78&amp;$U78,'AEA2012 update'!$A$6:$A$104&amp;'AEA2012 update'!$B$6:$B$104,0),MATCH(AF$16,'AEA2012 update'!$AC$4:$AG$4,0)))</f>
        <v>9.1949976969980884</v>
      </c>
      <c r="AG78" s="67">
        <f t="array" ref="AG78">IF($W$1,AF78*(1+INDEX(AG$1:AG$2,MATCH($O78,$AA$1:$AA$2,0)))^(AG$16-AF$16),INDEX('AEA2012 update'!$AC$6:$AG$104,MATCH($T78&amp;$U78,'AEA2012 update'!$A$6:$A$104&amp;'AEA2012 update'!$B$6:$B$104,0),MATCH(AG$16,'AEA2012 update'!$AC$4:$AG$4,0)))</f>
        <v>9.1034603934533838</v>
      </c>
      <c r="AH78" s="67">
        <f t="array" ref="AH78">IF($W$1,AG78*(1+INDEX(AH$1:AH$2,MATCH($O78,$AA$1:$AA$2,0)))^(AH$16-AG$16),INDEX('AEA2012 update'!$AC$6:$AG$104,MATCH($T78&amp;$U78,'AEA2012 update'!$A$6:$A$104&amp;'AEA2012 update'!$B$6:$B$104,0),MATCH(AH$16,'AEA2012 update'!$AC$4:$AG$4,0)))</f>
        <v>9.0128343547307441</v>
      </c>
      <c r="AI78" s="67"/>
      <c r="AJ78" s="257">
        <f t="shared" si="6"/>
        <v>-9.9551197902515731E-4</v>
      </c>
      <c r="AK78" s="257">
        <f t="shared" si="7"/>
        <v>-9.8563442456379362E-4</v>
      </c>
      <c r="AQ78" s="61" t="str">
        <f t="shared" si="8"/>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4:49" x14ac:dyDescent="0.25">
      <c r="N79" s="61" t="s">
        <v>501</v>
      </c>
      <c r="O79" s="61" t="s">
        <v>653</v>
      </c>
      <c r="P79" s="61" t="s">
        <v>728</v>
      </c>
      <c r="Q79" s="61" t="str">
        <f t="shared" si="4"/>
        <v>CV2</v>
      </c>
      <c r="R79" s="61" t="s">
        <v>687</v>
      </c>
      <c r="S79" s="65"/>
      <c r="T79" s="256" t="s">
        <v>725</v>
      </c>
      <c r="U79" s="256" t="s">
        <v>692</v>
      </c>
      <c r="V79" s="103">
        <f t="array" ref="V79">IF(V$18,INDEX('AEA2012 update'!$K$6:$R$104,MATCH($T79&amp;$R79,'AEA2012 update'!$A$6:$A$104&amp;'AEA2012 update'!$B$6:$B$104,0),MATCH(V$16,'AEA2012 update'!$S$4:$Z$4,0)),INDEX('AEA2012 update'!$K$6:$R$104,MATCH($T79&amp;$U79,'AEA2012 update'!$A$6:$A$104&amp;'AEA2012 update'!$B$6:$B$104,0),MATCH(V$16,'AEA2012 update'!$S$4:$Z$4,0)))</f>
        <v>1327792.7757726812</v>
      </c>
      <c r="W79" s="103">
        <f t="array" ref="W79">IF(W$18,INDEX('AEA2012 update'!$K$6:$R$104,MATCH($T79&amp;$R79,'AEA2012 update'!$A$6:$A$104&amp;'AEA2012 update'!$B$6:$B$104,0),MATCH(W$16,'AEA2012 update'!$S$4:$Z$4,0)),INDEX('AEA2012 update'!$K$6:$R$104,MATCH($T79&amp;$U79,'AEA2012 update'!$A$6:$A$104&amp;'AEA2012 update'!$B$6:$B$104,0),MATCH(W$16,'AEA2012 update'!$S$4:$Z$4,0)))</f>
        <v>871544.47239677189</v>
      </c>
      <c r="X79" s="103">
        <f t="array" ref="X79">IF(X$18,INDEX('AEA2012 update'!$K$6:$R$104,MATCH($T79&amp;$R79,'AEA2012 update'!$A$6:$A$104&amp;'AEA2012 update'!$B$6:$B$104,0),MATCH(X$16,'AEA2012 update'!$S$4:$Z$4,0)),INDEX('AEA2012 update'!$K$6:$R$104,MATCH($T79&amp;$U79,'AEA2012 update'!$A$6:$A$104&amp;'AEA2012 update'!$B$6:$B$104,0),MATCH(X$16,'AEA2012 update'!$S$4:$Z$4,0)))</f>
        <v>791404.01330598292</v>
      </c>
      <c r="Y79" s="103">
        <f t="array" ref="Y79">IF(Y$18,INDEX('AEA2012 update'!$K$6:$R$104,MATCH($T79&amp;$R79,'AEA2012 update'!$A$6:$A$104&amp;'AEA2012 update'!$B$6:$B$104,0),MATCH(Y$16,'AEA2012 update'!$S$4:$Z$4,0)),INDEX('AEA2012 update'!$K$6:$R$104,MATCH($T79&amp;$U79,'AEA2012 update'!$A$6:$A$104&amp;'AEA2012 update'!$B$6:$B$104,0),MATCH(Y$16,'AEA2012 update'!$S$4:$Z$4,0)))</f>
        <v>506916.16695508256</v>
      </c>
      <c r="Z79" s="103">
        <f t="array" ref="Z79">IF(Z$18,INDEX('AEA2012 update'!$K$6:$R$104,MATCH($T79&amp;$R79,'AEA2012 update'!$A$6:$A$104&amp;'AEA2012 update'!$B$6:$B$104,0),MATCH(Z$16,'AEA2012 update'!$S$4:$Z$4,0)),INDEX('AEA2012 update'!$K$6:$R$104,MATCH($T79&amp;$U79,'AEA2012 update'!$A$6:$A$104&amp;'AEA2012 update'!$B$6:$B$104,0),MATCH(Z$16,'AEA2012 update'!$S$4:$Z$4,0)))</f>
        <v>520424.31194208184</v>
      </c>
      <c r="AA79" s="103">
        <f t="array" ref="AA79">IF(AA$18,INDEX('AEA2012 update'!$K$6:$R$104,MATCH($T79&amp;$R79,'AEA2012 update'!$A$6:$A$104&amp;'AEA2012 update'!$B$6:$B$104,0),MATCH(AA$16,'AEA2012 update'!$S$4:$Z$4,0)),INDEX('AEA2012 update'!$K$6:$R$104,MATCH($T79&amp;$U79,'AEA2012 update'!$A$6:$A$104&amp;'AEA2012 update'!$B$6:$B$104,0),MATCH(AA$16,'AEA2012 update'!$S$4:$Z$4,0)))</f>
        <v>533932.45692908112</v>
      </c>
      <c r="AB79" s="103">
        <f t="array" ref="AB79">IF(AB$18,INDEX('AEA2012 update'!$K$6:$R$104,MATCH($T79&amp;$R79,'AEA2012 update'!$A$6:$A$104&amp;'AEA2012 update'!$B$6:$B$104,0),MATCH(AB$16,'AEA2012 update'!$S$4:$Z$4,0)),INDEX('AEA2012 update'!$K$6:$R$104,MATCH($T79&amp;$U79,'AEA2012 update'!$A$6:$A$104&amp;'AEA2012 update'!$B$6:$B$104,0),MATCH(AB$16,'AEA2012 update'!$S$4:$Z$4,0)))</f>
        <v>551671.18115070788</v>
      </c>
      <c r="AC79" s="103" t="str">
        <f t="shared" si="5"/>
        <v>CV2ELC</v>
      </c>
      <c r="AD79" s="67">
        <f t="array" ref="AD79">INDEX('AEA2012 update'!$AC$6:$AG$104,MATCH($T79&amp;$U79,'AEA2012 update'!$A$6:$A$104&amp;'AEA2012 update'!$B$6:$B$104,0),MATCH(AD$16,'AEA2012 update'!$S$4:$Z$4,0))</f>
        <v>2.8650268656617239</v>
      </c>
      <c r="AE79" s="67">
        <f t="array" ref="AE79">IF($W$1,AD79*(1+INDEX(AE$1:AE$2,MATCH($O79,$AA$1:$AA$2,0)))^(AE$16-AD$16),INDEX('AEA2012 update'!$AC$6:$AG$104,MATCH($T79&amp;$U79,'AEA2012 update'!$A$6:$A$104&amp;'AEA2012 update'!$B$6:$B$104,0),MATCH(AE$16,'AEA2012 update'!$AC$4:$AG$4,0)))</f>
        <v>2.8365051800117724</v>
      </c>
      <c r="AF79" s="67">
        <f t="array" ref="AF79">IF($W$1,AE79*(1+INDEX(AF$1:AF$2,MATCH($O79,$AA$1:$AA$2,0)))^(AF$16-AE$16),INDEX('AEA2012 update'!$AC$6:$AG$104,MATCH($T79&amp;$U79,'AEA2012 update'!$A$6:$A$104&amp;'AEA2012 update'!$B$6:$B$104,0),MATCH(AF$16,'AEA2012 update'!$AC$4:$AG$4,0)))</f>
        <v>2.8082674311590861</v>
      </c>
      <c r="AG79" s="67">
        <f t="array" ref="AG79">IF($W$1,AF79*(1+INDEX(AG$1:AG$2,MATCH($O79,$AA$1:$AA$2,0)))^(AG$16-AF$16),INDEX('AEA2012 update'!$AC$6:$AG$104,MATCH($T79&amp;$U79,'AEA2012 update'!$A$6:$A$104&amp;'AEA2012 update'!$B$6:$B$104,0),MATCH(AG$16,'AEA2012 update'!$AC$4:$AG$4,0)))</f>
        <v>2.7803107924788351</v>
      </c>
      <c r="AH79" s="67">
        <f t="array" ref="AH79">IF($W$1,AG79*(1+INDEX(AH$1:AH$2,MATCH($O79,$AA$1:$AA$2,0)))^(AH$16-AG$16),INDEX('AEA2012 update'!$AC$6:$AG$104,MATCH($T79&amp;$U79,'AEA2012 update'!$A$6:$A$104&amp;'AEA2012 update'!$B$6:$B$104,0),MATCH(AH$16,'AEA2012 update'!$AC$4:$AG$4,0)))</f>
        <v>2.7526324654855787</v>
      </c>
      <c r="AI79" s="67"/>
      <c r="AJ79" s="257">
        <f t="shared" si="6"/>
        <v>-9.9551197902515861E-4</v>
      </c>
      <c r="AK79" s="257">
        <f t="shared" si="7"/>
        <v>-9.8563442456379383E-4</v>
      </c>
      <c r="AQ79" s="61" t="str">
        <f t="shared" si="8"/>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4:49" x14ac:dyDescent="0.25">
      <c r="N80" s="61" t="s">
        <v>504</v>
      </c>
      <c r="O80" s="61" t="s">
        <v>653</v>
      </c>
      <c r="P80" s="61" t="s">
        <v>728</v>
      </c>
      <c r="Q80" s="61" t="str">
        <f t="shared" si="4"/>
        <v>CV2</v>
      </c>
      <c r="R80" s="61" t="s">
        <v>687</v>
      </c>
      <c r="S80" s="65"/>
      <c r="T80" s="256" t="s">
        <v>725</v>
      </c>
      <c r="U80" s="256" t="s">
        <v>699</v>
      </c>
      <c r="V80" s="103">
        <f t="array" ref="V80">IF(V$18,INDEX('AEA2012 update'!$K$6:$R$104,MATCH($T80&amp;$R80,'AEA2012 update'!$A$6:$A$104&amp;'AEA2012 update'!$B$6:$B$104,0),MATCH(V$16,'AEA2012 update'!$S$4:$Z$4,0)),INDEX('AEA2012 update'!$K$6:$R$104,MATCH($T80&amp;$U80,'AEA2012 update'!$A$6:$A$104&amp;'AEA2012 update'!$B$6:$B$104,0),MATCH(V$16,'AEA2012 update'!$S$4:$Z$4,0)))</f>
        <v>2522990.6381765995</v>
      </c>
      <c r="W80" s="103">
        <f t="array" ref="W80">IF(W$18,INDEX('AEA2012 update'!$K$6:$R$104,MATCH($T80&amp;$R80,'AEA2012 update'!$A$6:$A$104&amp;'AEA2012 update'!$B$6:$B$104,0),MATCH(W$16,'AEA2012 update'!$S$4:$Z$4,0)),INDEX('AEA2012 update'!$K$6:$R$104,MATCH($T80&amp;$U80,'AEA2012 update'!$A$6:$A$104&amp;'AEA2012 update'!$B$6:$B$104,0),MATCH(W$16,'AEA2012 update'!$S$4:$Z$4,0)))</f>
        <v>1080982.7502171779</v>
      </c>
      <c r="X80" s="103">
        <f t="array" ref="X80">IF(X$18,INDEX('AEA2012 update'!$K$6:$R$104,MATCH($T80&amp;$R80,'AEA2012 update'!$A$6:$A$104&amp;'AEA2012 update'!$B$6:$B$104,0),MATCH(X$16,'AEA2012 update'!$S$4:$Z$4,0)),INDEX('AEA2012 update'!$K$6:$R$104,MATCH($T80&amp;$U80,'AEA2012 update'!$A$6:$A$104&amp;'AEA2012 update'!$B$6:$B$104,0),MATCH(X$16,'AEA2012 update'!$S$4:$Z$4,0)))</f>
        <v>851672.91194386315</v>
      </c>
      <c r="Y80" s="103">
        <f t="array" ref="Y80">IF(Y$18,INDEX('AEA2012 update'!$K$6:$R$104,MATCH($T80&amp;$R80,'AEA2012 update'!$A$6:$A$104&amp;'AEA2012 update'!$B$6:$B$104,0),MATCH(Y$16,'AEA2012 update'!$S$4:$Z$4,0)),INDEX('AEA2012 update'!$K$6:$R$104,MATCH($T80&amp;$U80,'AEA2012 update'!$A$6:$A$104&amp;'AEA2012 update'!$B$6:$B$104,0),MATCH(Y$16,'AEA2012 update'!$S$4:$Z$4,0)))</f>
        <v>506916.16695508256</v>
      </c>
      <c r="Z80" s="103">
        <f t="array" ref="Z80">IF(Z$18,INDEX('AEA2012 update'!$K$6:$R$104,MATCH($T80&amp;$R80,'AEA2012 update'!$A$6:$A$104&amp;'AEA2012 update'!$B$6:$B$104,0),MATCH(Z$16,'AEA2012 update'!$S$4:$Z$4,0)),INDEX('AEA2012 update'!$K$6:$R$104,MATCH($T80&amp;$U80,'AEA2012 update'!$A$6:$A$104&amp;'AEA2012 update'!$B$6:$B$104,0),MATCH(Z$16,'AEA2012 update'!$S$4:$Z$4,0)))</f>
        <v>520424.31194208184</v>
      </c>
      <c r="AA80" s="103">
        <f t="array" ref="AA80">IF(AA$18,INDEX('AEA2012 update'!$K$6:$R$104,MATCH($T80&amp;$R80,'AEA2012 update'!$A$6:$A$104&amp;'AEA2012 update'!$B$6:$B$104,0),MATCH(AA$16,'AEA2012 update'!$S$4:$Z$4,0)),INDEX('AEA2012 update'!$K$6:$R$104,MATCH($T80&amp;$U80,'AEA2012 update'!$A$6:$A$104&amp;'AEA2012 update'!$B$6:$B$104,0),MATCH(AA$16,'AEA2012 update'!$S$4:$Z$4,0)))</f>
        <v>533932.45692908112</v>
      </c>
      <c r="AB80" s="103">
        <f t="array" ref="AB80">IF(AB$18,INDEX('AEA2012 update'!$K$6:$R$104,MATCH($T80&amp;$R80,'AEA2012 update'!$A$6:$A$104&amp;'AEA2012 update'!$B$6:$B$104,0),MATCH(AB$16,'AEA2012 update'!$S$4:$Z$4,0)),INDEX('AEA2012 update'!$K$6:$R$104,MATCH($T80&amp;$U80,'AEA2012 update'!$A$6:$A$104&amp;'AEA2012 update'!$B$6:$B$104,0),MATCH(AB$16,'AEA2012 update'!$S$4:$Z$4,0)))</f>
        <v>551671.18115070788</v>
      </c>
      <c r="AC80" s="103" t="str">
        <f t="shared" si="5"/>
        <v>CV2HGN</v>
      </c>
      <c r="AD80" s="67">
        <f t="array" ref="AD80">INDEX('AEA2012 update'!$AC$6:$AG$104,MATCH($T80&amp;$U80,'AEA2012 update'!$A$6:$A$104&amp;'AEA2012 update'!$B$6:$B$104,0),MATCH(AD$16,'AEA2012 update'!$S$4:$Z$4,0))</f>
        <v>4.4231993715479234</v>
      </c>
      <c r="AE80" s="67">
        <f t="array" ref="AE80">IF($W$1,AD80*(1+INDEX(AE$1:AE$2,MATCH($O80,$AA$1:$AA$2,0)))^(AE$16-AD$16),INDEX('AEA2012 update'!$AC$6:$AG$104,MATCH($T80&amp;$U80,'AEA2012 update'!$A$6:$A$104&amp;'AEA2012 update'!$B$6:$B$104,0),MATCH(AE$16,'AEA2012 update'!$AC$4:$AG$4,0)))</f>
        <v>4.3791658919479977</v>
      </c>
      <c r="AF80" s="67">
        <f t="array" ref="AF80">IF($W$1,AE80*(1+INDEX(AF$1:AF$2,MATCH($O80,$AA$1:$AA$2,0)))^(AF$16-AE$16),INDEX('AEA2012 update'!$AC$6:$AG$104,MATCH($T80&amp;$U80,'AEA2012 update'!$A$6:$A$104&amp;'AEA2012 update'!$B$6:$B$104,0),MATCH(AF$16,'AEA2012 update'!$AC$4:$AG$4,0)))</f>
        <v>4.3355707709122715</v>
      </c>
      <c r="AG80" s="67">
        <f t="array" ref="AG80">IF($W$1,AF80*(1+INDEX(AG$1:AG$2,MATCH($O80,$AA$1:$AA$2,0)))^(AG$16-AF$16),INDEX('AEA2012 update'!$AC$6:$AG$104,MATCH($T80&amp;$U80,'AEA2012 update'!$A$6:$A$104&amp;'AEA2012 update'!$B$6:$B$104,0),MATCH(AG$16,'AEA2012 update'!$AC$4:$AG$4,0)))</f>
        <v>4.2924096445287265</v>
      </c>
      <c r="AH80" s="67">
        <f t="array" ref="AH80">IF($W$1,AG80*(1+INDEX(AH$1:AH$2,MATCH($O80,$AA$1:$AA$2,0)))^(AH$16-AG$16),INDEX('AEA2012 update'!$AC$6:$AG$104,MATCH($T80&amp;$U80,'AEA2012 update'!$A$6:$A$104&amp;'AEA2012 update'!$B$6:$B$104,0),MATCH(AH$16,'AEA2012 update'!$AC$4:$AG$4,0)))</f>
        <v>4.2496781923286111</v>
      </c>
      <c r="AI80" s="67"/>
      <c r="AJ80" s="257">
        <f t="shared" si="6"/>
        <v>-9.9551197902517335E-4</v>
      </c>
      <c r="AK80" s="257">
        <f t="shared" si="7"/>
        <v>-9.8563442456379253E-4</v>
      </c>
      <c r="AQ80" s="61" t="str">
        <f t="shared" si="8"/>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48" x14ac:dyDescent="0.25">
      <c r="N81" s="61" t="s">
        <v>509</v>
      </c>
      <c r="O81" s="61" t="s">
        <v>653</v>
      </c>
      <c r="P81" s="61" t="s">
        <v>728</v>
      </c>
      <c r="Q81" s="61" t="str">
        <f t="shared" si="4"/>
        <v>CV2</v>
      </c>
      <c r="R81" s="61" t="s">
        <v>687</v>
      </c>
      <c r="S81" s="65"/>
      <c r="T81" s="256" t="s">
        <v>725</v>
      </c>
      <c r="U81" s="256" t="s">
        <v>700</v>
      </c>
      <c r="V81" s="103">
        <f t="array" ref="V81">IF(V$18,INDEX('AEA2012 update'!$K$6:$R$104,MATCH($T81&amp;$R81,'AEA2012 update'!$A$6:$A$104&amp;'AEA2012 update'!$B$6:$B$104,0),MATCH(V$16,'AEA2012 update'!$S$4:$Z$4,0)),INDEX('AEA2012 update'!$K$6:$R$104,MATCH($T81&amp;$U81,'AEA2012 update'!$A$6:$A$104&amp;'AEA2012 update'!$B$6:$B$104,0),MATCH(V$16,'AEA2012 update'!$S$4:$Z$4,0)))</f>
        <v>598309.30679972272</v>
      </c>
      <c r="W81" s="103">
        <f t="array" ref="W81">IF(W$18,INDEX('AEA2012 update'!$K$6:$R$104,MATCH($T81&amp;$R81,'AEA2012 update'!$A$6:$A$104&amp;'AEA2012 update'!$B$6:$B$104,0),MATCH(W$16,'AEA2012 update'!$S$4:$Z$4,0)),INDEX('AEA2012 update'!$K$6:$R$104,MATCH($T81&amp;$U81,'AEA2012 update'!$A$6:$A$104&amp;'AEA2012 update'!$B$6:$B$104,0),MATCH(W$16,'AEA2012 update'!$S$4:$Z$4,0)))</f>
        <v>588990.88834881992</v>
      </c>
      <c r="X81" s="103">
        <f t="array" ref="X81">IF(X$18,INDEX('AEA2012 update'!$K$6:$R$104,MATCH($T81&amp;$R81,'AEA2012 update'!$A$6:$A$104&amp;'AEA2012 update'!$B$6:$B$104,0),MATCH(X$16,'AEA2012 update'!$S$4:$Z$4,0)),INDEX('AEA2012 update'!$K$6:$R$104,MATCH($T81&amp;$U81,'AEA2012 update'!$A$6:$A$104&amp;'AEA2012 update'!$B$6:$B$104,0),MATCH(X$16,'AEA2012 update'!$S$4:$Z$4,0)))</f>
        <v>591035.13773094804</v>
      </c>
      <c r="Y81" s="103">
        <f t="array" ref="Y81">IF(Y$18,INDEX('AEA2012 update'!$K$6:$R$104,MATCH($T81&amp;$R81,'AEA2012 update'!$A$6:$A$104&amp;'AEA2012 update'!$B$6:$B$104,0),MATCH(Y$16,'AEA2012 update'!$S$4:$Z$4,0)),INDEX('AEA2012 update'!$K$6:$R$104,MATCH($T81&amp;$U81,'AEA2012 update'!$A$6:$A$104&amp;'AEA2012 update'!$B$6:$B$104,0),MATCH(Y$16,'AEA2012 update'!$S$4:$Z$4,0)))</f>
        <v>506916.16695508256</v>
      </c>
      <c r="Z81" s="103">
        <f t="array" ref="Z81">IF(Z$18,INDEX('AEA2012 update'!$K$6:$R$104,MATCH($T81&amp;$R81,'AEA2012 update'!$A$6:$A$104&amp;'AEA2012 update'!$B$6:$B$104,0),MATCH(Z$16,'AEA2012 update'!$S$4:$Z$4,0)),INDEX('AEA2012 update'!$K$6:$R$104,MATCH($T81&amp;$U81,'AEA2012 update'!$A$6:$A$104&amp;'AEA2012 update'!$B$6:$B$104,0),MATCH(Z$16,'AEA2012 update'!$S$4:$Z$4,0)))</f>
        <v>520424.31194208184</v>
      </c>
      <c r="AA81" s="103">
        <f t="array" ref="AA81">IF(AA$18,INDEX('AEA2012 update'!$K$6:$R$104,MATCH($T81&amp;$R81,'AEA2012 update'!$A$6:$A$104&amp;'AEA2012 update'!$B$6:$B$104,0),MATCH(AA$16,'AEA2012 update'!$S$4:$Z$4,0)),INDEX('AEA2012 update'!$K$6:$R$104,MATCH($T81&amp;$U81,'AEA2012 update'!$A$6:$A$104&amp;'AEA2012 update'!$B$6:$B$104,0),MATCH(AA$16,'AEA2012 update'!$S$4:$Z$4,0)))</f>
        <v>533932.45692908112</v>
      </c>
      <c r="AB81" s="103">
        <f t="array" ref="AB81">IF(AB$18,INDEX('AEA2012 update'!$K$6:$R$104,MATCH($T81&amp;$R81,'AEA2012 update'!$A$6:$A$104&amp;'AEA2012 update'!$B$6:$B$104,0),MATCH(AB$16,'AEA2012 update'!$S$4:$Z$4,0)),INDEX('AEA2012 update'!$K$6:$R$104,MATCH($T81&amp;$U81,'AEA2012 update'!$A$6:$A$104&amp;'AEA2012 update'!$B$6:$B$104,0),MATCH(AB$16,'AEA2012 update'!$S$4:$Z$4,0)))</f>
        <v>551671.18115070788</v>
      </c>
      <c r="AC81" s="103" t="str">
        <f t="shared" si="5"/>
        <v>CV2GAS</v>
      </c>
      <c r="AD81" s="67">
        <f t="array" ref="AD81">INDEX('AEA2012 update'!$AC$6:$AG$104,MATCH($T81&amp;$U81,'AEA2012 update'!$A$6:$A$104&amp;'AEA2012 update'!$B$6:$B$104,0),MATCH(AD$16,'AEA2012 update'!$S$4:$Z$4,0))</f>
        <v>10.787969268949785</v>
      </c>
      <c r="AE81" s="67">
        <f t="array" ref="AE81">IF($W$1,AD81*(1+INDEX(AE$1:AE$2,MATCH($O81,$AA$1:$AA$2,0)))^(AE$16-AD$16),INDEX('AEA2012 update'!$AC$6:$AG$104,MATCH($T81&amp;$U81,'AEA2012 update'!$A$6:$A$104&amp;'AEA2012 update'!$B$6:$B$104,0),MATCH(AE$16,'AEA2012 update'!$AC$4:$AG$4,0)))</f>
        <v>10.680573742583837</v>
      </c>
      <c r="AF81" s="67">
        <f t="array" ref="AF81">IF($W$1,AE81*(1+INDEX(AF$1:AF$2,MATCH($O81,$AA$1:$AA$2,0)))^(AF$16-AE$16),INDEX('AEA2012 update'!$AC$6:$AG$104,MATCH($T81&amp;$U81,'AEA2012 update'!$A$6:$A$104&amp;'AEA2012 update'!$B$6:$B$104,0),MATCH(AF$16,'AEA2012 update'!$AC$4:$AG$4,0)))</f>
        <v>10.574247351547799</v>
      </c>
      <c r="AG81" s="67">
        <f t="array" ref="AG81">IF($W$1,AF81*(1+INDEX(AG$1:AG$2,MATCH($O81,$AA$1:$AA$2,0)))^(AG$16-AF$16),INDEX('AEA2012 update'!$AC$6:$AG$104,MATCH($T81&amp;$U81,'AEA2012 update'!$A$6:$A$104&amp;'AEA2012 update'!$B$6:$B$104,0),MATCH(AG$16,'AEA2012 update'!$AC$4:$AG$4,0)))</f>
        <v>10.468979452471389</v>
      </c>
      <c r="AH81" s="67">
        <f t="array" ref="AH81">IF($W$1,AG81*(1+INDEX(AH$1:AH$2,MATCH($O81,$AA$1:$AA$2,0)))^(AH$16-AG$16),INDEX('AEA2012 update'!$AC$6:$AG$104,MATCH($T81&amp;$U81,'AEA2012 update'!$A$6:$A$104&amp;'AEA2012 update'!$B$6:$B$104,0),MATCH(AH$16,'AEA2012 update'!$AC$4:$AG$4,0)))</f>
        <v>10.364759507940354</v>
      </c>
      <c r="AI81" s="67"/>
      <c r="AJ81" s="257">
        <f t="shared" si="6"/>
        <v>-9.9551197902516381E-4</v>
      </c>
      <c r="AK81" s="257">
        <f t="shared" si="7"/>
        <v>-9.8563442456379166E-4</v>
      </c>
      <c r="AQ81" s="61" t="str">
        <f t="shared" si="8"/>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48" x14ac:dyDescent="0.25">
      <c r="O82" s="61" t="s">
        <v>653</v>
      </c>
      <c r="Q82" s="61" t="str">
        <f t="shared" si="4"/>
        <v/>
      </c>
      <c r="S82" s="65"/>
      <c r="T82" s="256"/>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5"/>
        <v/>
      </c>
      <c r="AD82" s="67" t="e">
        <f t="array" ref="AD82">INDEX('AEA2012 update'!$AC$6:$AG$104,MATCH($T82&amp;$U82,'AEA2012 update'!$A$6:$A$104&amp;'AEA2012 update'!$B$6:$B$104,0),MATCH(AD$16,'AEA2012 update'!$S$4:$Z$4,0))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57" t="e">
        <f t="shared" si="6"/>
        <v>#N/A</v>
      </c>
      <c r="AK82" s="257" t="e">
        <f t="shared" si="7"/>
        <v>#N/A</v>
      </c>
      <c r="AQ82" s="61" t="str">
        <f t="shared" si="8"/>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48" x14ac:dyDescent="0.25">
      <c r="N83" s="61" t="s">
        <v>511</v>
      </c>
      <c r="O83" s="61" t="s">
        <v>653</v>
      </c>
      <c r="P83" s="61" t="s">
        <v>731</v>
      </c>
      <c r="Q83" s="61" t="str">
        <f t="shared" si="4"/>
        <v>CV3</v>
      </c>
      <c r="R83" s="61" t="s">
        <v>687</v>
      </c>
      <c r="S83" s="65"/>
      <c r="T83" s="256" t="s">
        <v>725</v>
      </c>
      <c r="U83" s="256" t="s">
        <v>687</v>
      </c>
      <c r="V83" s="103">
        <f t="array" ref="V83">IF(V$18,INDEX('AEA2012 update'!$K$6:$R$104,MATCH($T83&amp;$R83,'AEA2012 update'!$A$6:$A$104&amp;'AEA2012 update'!$B$6:$B$104,0),MATCH(V$16,'AEA2012 update'!$S$4:$Z$4,0)),INDEX('AEA2012 update'!$K$6:$R$104,MATCH($T83&amp;$U83,'AEA2012 update'!$A$6:$A$104&amp;'AEA2012 update'!$B$6:$B$104,0),MATCH(V$16,'AEA2012 update'!$S$4:$Z$4,0)))</f>
        <v>396204.1631410002</v>
      </c>
      <c r="W83" s="103">
        <f t="array" ref="W83">IF(W$18,INDEX('AEA2012 update'!$K$6:$R$104,MATCH($T83&amp;$R83,'AEA2012 update'!$A$6:$A$104&amp;'AEA2012 update'!$B$6:$B$104,0),MATCH(W$16,'AEA2012 update'!$S$4:$Z$4,0)),INDEX('AEA2012 update'!$K$6:$R$104,MATCH($T83&amp;$U83,'AEA2012 update'!$A$6:$A$104&amp;'AEA2012 update'!$B$6:$B$104,0),MATCH(W$16,'AEA2012 update'!$S$4:$Z$4,0)))</f>
        <v>476747.78352540621</v>
      </c>
      <c r="X83" s="103">
        <f t="array" ref="X83">IF(X$18,INDEX('AEA2012 update'!$K$6:$R$104,MATCH($T83&amp;$R83,'AEA2012 update'!$A$6:$A$104&amp;'AEA2012 update'!$B$6:$B$104,0),MATCH(X$16,'AEA2012 update'!$S$4:$Z$4,0)),INDEX('AEA2012 update'!$K$6:$R$104,MATCH($T83&amp;$U83,'AEA2012 update'!$A$6:$A$104&amp;'AEA2012 update'!$B$6:$B$104,0),MATCH(X$16,'AEA2012 update'!$S$4:$Z$4,0)))</f>
        <v>491831.97524024436</v>
      </c>
      <c r="Y83" s="103">
        <f t="array" ref="Y83">IF(Y$18,INDEX('AEA2012 update'!$K$6:$R$104,MATCH($T83&amp;$R83,'AEA2012 update'!$A$6:$A$104&amp;'AEA2012 update'!$B$6:$B$104,0),MATCH(Y$16,'AEA2012 update'!$S$4:$Z$4,0)),INDEX('AEA2012 update'!$K$6:$R$104,MATCH($T83&amp;$U83,'AEA2012 update'!$A$6:$A$104&amp;'AEA2012 update'!$B$6:$B$104,0),MATCH(Y$16,'AEA2012 update'!$S$4:$Z$4,0)))</f>
        <v>506916.16695508256</v>
      </c>
      <c r="Z83" s="103">
        <f t="array" ref="Z83">IF(Z$18,INDEX('AEA2012 update'!$K$6:$R$104,MATCH($T83&amp;$R83,'AEA2012 update'!$A$6:$A$104&amp;'AEA2012 update'!$B$6:$B$104,0),MATCH(Z$16,'AEA2012 update'!$S$4:$Z$4,0)),INDEX('AEA2012 update'!$K$6:$R$104,MATCH($T83&amp;$U83,'AEA2012 update'!$A$6:$A$104&amp;'AEA2012 update'!$B$6:$B$104,0),MATCH(Z$16,'AEA2012 update'!$S$4:$Z$4,0)))</f>
        <v>520424.31194208184</v>
      </c>
      <c r="AA83" s="103">
        <f t="array" ref="AA83">IF(AA$18,INDEX('AEA2012 update'!$K$6:$R$104,MATCH($T83&amp;$R83,'AEA2012 update'!$A$6:$A$104&amp;'AEA2012 update'!$B$6:$B$104,0),MATCH(AA$16,'AEA2012 update'!$S$4:$Z$4,0)),INDEX('AEA2012 update'!$K$6:$R$104,MATCH($T83&amp;$U83,'AEA2012 update'!$A$6:$A$104&amp;'AEA2012 update'!$B$6:$B$104,0),MATCH(AA$16,'AEA2012 update'!$S$4:$Z$4,0)))</f>
        <v>533932.45692908112</v>
      </c>
      <c r="AB83" s="103">
        <f t="array" ref="AB83">IF(AB$18,INDEX('AEA2012 update'!$K$6:$R$104,MATCH($T83&amp;$R83,'AEA2012 update'!$A$6:$A$104&amp;'AEA2012 update'!$B$6:$B$104,0),MATCH(AB$16,'AEA2012 update'!$S$4:$Z$4,0)),INDEX('AEA2012 update'!$K$6:$R$104,MATCH($T83&amp;$U83,'AEA2012 update'!$A$6:$A$104&amp;'AEA2012 update'!$B$6:$B$104,0),MATCH(AB$16,'AEA2012 update'!$S$4:$Z$4,0)))</f>
        <v>551671.18115070788</v>
      </c>
      <c r="AC83" s="103" t="str">
        <f t="shared" si="5"/>
        <v>CV3ODS</v>
      </c>
      <c r="AD83" s="67">
        <f t="array" ref="AD83">INDEX('AEA2012 update'!$AC$6:$AG$104,MATCH($T83&amp;$U83,'AEA2012 update'!$A$6:$A$104&amp;'AEA2012 update'!$B$6:$B$104,0),MATCH(AD$16,'AEA2012 update'!$S$4:$Z$4,0))</f>
        <v>9.3808428425650323</v>
      </c>
      <c r="AE83" s="67">
        <f t="array" ref="AE83">IF($W$1,AD83*(1+INDEX(AE$1:AE$2,MATCH($O83,$AA$1:$AA$2,0)))^(AE$16-AD$16),INDEX('AEA2012 update'!$AC$6:$AG$104,MATCH($T83&amp;$U83,'AEA2012 update'!$A$6:$A$104&amp;'AEA2012 update'!$B$6:$B$104,0),MATCH(AE$16,'AEA2012 update'!$AC$4:$AG$4,0)))</f>
        <v>9.2874554283337734</v>
      </c>
      <c r="AF83" s="67">
        <f t="array" ref="AF83">IF($W$1,AE83*(1+INDEX(AF$1:AF$2,MATCH($O83,$AA$1:$AA$2,0)))^(AF$16-AE$16),INDEX('AEA2012 update'!$AC$6:$AG$104,MATCH($T83&amp;$U83,'AEA2012 update'!$A$6:$A$104&amp;'AEA2012 update'!$B$6:$B$104,0),MATCH(AF$16,'AEA2012 update'!$AC$4:$AG$4,0)))</f>
        <v>9.1949976969980884</v>
      </c>
      <c r="AG83" s="67">
        <f t="array" ref="AG83">IF($W$1,AF83*(1+INDEX(AG$1:AG$2,MATCH($O83,$AA$1:$AA$2,0)))^(AG$16-AF$16),INDEX('AEA2012 update'!$AC$6:$AG$104,MATCH($T83&amp;$U83,'AEA2012 update'!$A$6:$A$104&amp;'AEA2012 update'!$B$6:$B$104,0),MATCH(AG$16,'AEA2012 update'!$AC$4:$AG$4,0)))</f>
        <v>9.1034603934533838</v>
      </c>
      <c r="AH83" s="67">
        <f t="array" ref="AH83">IF($W$1,AG83*(1+INDEX(AH$1:AH$2,MATCH($O83,$AA$1:$AA$2,0)))^(AH$16-AG$16),INDEX('AEA2012 update'!$AC$6:$AG$104,MATCH($T83&amp;$U83,'AEA2012 update'!$A$6:$A$104&amp;'AEA2012 update'!$B$6:$B$104,0),MATCH(AH$16,'AEA2012 update'!$AC$4:$AG$4,0)))</f>
        <v>9.0128343547307441</v>
      </c>
      <c r="AI83" s="67"/>
      <c r="AJ83" s="257">
        <f t="shared" si="6"/>
        <v>-9.9551197902515731E-4</v>
      </c>
      <c r="AK83" s="257">
        <f t="shared" si="7"/>
        <v>-9.8563442456379362E-4</v>
      </c>
      <c r="AQ83" s="61" t="str">
        <f t="shared" si="8"/>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48" x14ac:dyDescent="0.25">
      <c r="N84" s="61" t="s">
        <v>501</v>
      </c>
      <c r="O84" s="61" t="s">
        <v>653</v>
      </c>
      <c r="P84" s="61" t="s">
        <v>731</v>
      </c>
      <c r="Q84" s="61" t="str">
        <f t="shared" si="4"/>
        <v>CV3</v>
      </c>
      <c r="R84" s="61" t="s">
        <v>687</v>
      </c>
      <c r="S84" s="65"/>
      <c r="T84" s="256" t="s">
        <v>725</v>
      </c>
      <c r="U84" s="256" t="s">
        <v>692</v>
      </c>
      <c r="V84" s="103">
        <f t="array" ref="V84">IF(V$18,INDEX('AEA2012 update'!$K$6:$R$104,MATCH($T84&amp;$R84,'AEA2012 update'!$A$6:$A$104&amp;'AEA2012 update'!$B$6:$B$104,0),MATCH(V$16,'AEA2012 update'!$S$4:$Z$4,0)),INDEX('AEA2012 update'!$K$6:$R$104,MATCH($T84&amp;$U84,'AEA2012 update'!$A$6:$A$104&amp;'AEA2012 update'!$B$6:$B$104,0),MATCH(V$16,'AEA2012 update'!$S$4:$Z$4,0)))</f>
        <v>1327792.7757726812</v>
      </c>
      <c r="W84" s="103">
        <f t="array" ref="W84">IF(W$18,INDEX('AEA2012 update'!$K$6:$R$104,MATCH($T84&amp;$R84,'AEA2012 update'!$A$6:$A$104&amp;'AEA2012 update'!$B$6:$B$104,0),MATCH(W$16,'AEA2012 update'!$S$4:$Z$4,0)),INDEX('AEA2012 update'!$K$6:$R$104,MATCH($T84&amp;$U84,'AEA2012 update'!$A$6:$A$104&amp;'AEA2012 update'!$B$6:$B$104,0),MATCH(W$16,'AEA2012 update'!$S$4:$Z$4,0)))</f>
        <v>871544.47239677189</v>
      </c>
      <c r="X84" s="103">
        <f t="array" ref="X84">IF(X$18,INDEX('AEA2012 update'!$K$6:$R$104,MATCH($T84&amp;$R84,'AEA2012 update'!$A$6:$A$104&amp;'AEA2012 update'!$B$6:$B$104,0),MATCH(X$16,'AEA2012 update'!$S$4:$Z$4,0)),INDEX('AEA2012 update'!$K$6:$R$104,MATCH($T84&amp;$U84,'AEA2012 update'!$A$6:$A$104&amp;'AEA2012 update'!$B$6:$B$104,0),MATCH(X$16,'AEA2012 update'!$S$4:$Z$4,0)))</f>
        <v>791404.01330598292</v>
      </c>
      <c r="Y84" s="103">
        <f t="array" ref="Y84">IF(Y$18,INDEX('AEA2012 update'!$K$6:$R$104,MATCH($T84&amp;$R84,'AEA2012 update'!$A$6:$A$104&amp;'AEA2012 update'!$B$6:$B$104,0),MATCH(Y$16,'AEA2012 update'!$S$4:$Z$4,0)),INDEX('AEA2012 update'!$K$6:$R$104,MATCH($T84&amp;$U84,'AEA2012 update'!$A$6:$A$104&amp;'AEA2012 update'!$B$6:$B$104,0),MATCH(Y$16,'AEA2012 update'!$S$4:$Z$4,0)))</f>
        <v>506916.16695508256</v>
      </c>
      <c r="Z84" s="103">
        <f t="array" ref="Z84">IF(Z$18,INDEX('AEA2012 update'!$K$6:$R$104,MATCH($T84&amp;$R84,'AEA2012 update'!$A$6:$A$104&amp;'AEA2012 update'!$B$6:$B$104,0),MATCH(Z$16,'AEA2012 update'!$S$4:$Z$4,0)),INDEX('AEA2012 update'!$K$6:$R$104,MATCH($T84&amp;$U84,'AEA2012 update'!$A$6:$A$104&amp;'AEA2012 update'!$B$6:$B$104,0),MATCH(Z$16,'AEA2012 update'!$S$4:$Z$4,0)))</f>
        <v>520424.31194208184</v>
      </c>
      <c r="AA84" s="103">
        <f t="array" ref="AA84">IF(AA$18,INDEX('AEA2012 update'!$K$6:$R$104,MATCH($T84&amp;$R84,'AEA2012 update'!$A$6:$A$104&amp;'AEA2012 update'!$B$6:$B$104,0),MATCH(AA$16,'AEA2012 update'!$S$4:$Z$4,0)),INDEX('AEA2012 update'!$K$6:$R$104,MATCH($T84&amp;$U84,'AEA2012 update'!$A$6:$A$104&amp;'AEA2012 update'!$B$6:$B$104,0),MATCH(AA$16,'AEA2012 update'!$S$4:$Z$4,0)))</f>
        <v>533932.45692908112</v>
      </c>
      <c r="AB84" s="103">
        <f t="array" ref="AB84">IF(AB$18,INDEX('AEA2012 update'!$K$6:$R$104,MATCH($T84&amp;$R84,'AEA2012 update'!$A$6:$A$104&amp;'AEA2012 update'!$B$6:$B$104,0),MATCH(AB$16,'AEA2012 update'!$S$4:$Z$4,0)),INDEX('AEA2012 update'!$K$6:$R$104,MATCH($T84&amp;$U84,'AEA2012 update'!$A$6:$A$104&amp;'AEA2012 update'!$B$6:$B$104,0),MATCH(AB$16,'AEA2012 update'!$S$4:$Z$4,0)))</f>
        <v>551671.18115070788</v>
      </c>
      <c r="AC84" s="103" t="str">
        <f t="shared" si="5"/>
        <v>CV3ELC</v>
      </c>
      <c r="AD84" s="67">
        <f t="array" ref="AD84">INDEX('AEA2012 update'!$AC$6:$AG$104,MATCH($T84&amp;$U84,'AEA2012 update'!$A$6:$A$104&amp;'AEA2012 update'!$B$6:$B$104,0),MATCH(AD$16,'AEA2012 update'!$S$4:$Z$4,0))</f>
        <v>2.8650268656617239</v>
      </c>
      <c r="AE84" s="67">
        <f t="array" ref="AE84">IF($W$1,AD84*(1+INDEX(AE$1:AE$2,MATCH($O84,$AA$1:$AA$2,0)))^(AE$16-AD$16),INDEX('AEA2012 update'!$AC$6:$AG$104,MATCH($T84&amp;$U84,'AEA2012 update'!$A$6:$A$104&amp;'AEA2012 update'!$B$6:$B$104,0),MATCH(AE$16,'AEA2012 update'!$AC$4:$AG$4,0)))</f>
        <v>2.8365051800117724</v>
      </c>
      <c r="AF84" s="67">
        <f t="array" ref="AF84">IF($W$1,AE84*(1+INDEX(AF$1:AF$2,MATCH($O84,$AA$1:$AA$2,0)))^(AF$16-AE$16),INDEX('AEA2012 update'!$AC$6:$AG$104,MATCH($T84&amp;$U84,'AEA2012 update'!$A$6:$A$104&amp;'AEA2012 update'!$B$6:$B$104,0),MATCH(AF$16,'AEA2012 update'!$AC$4:$AG$4,0)))</f>
        <v>2.8082674311590861</v>
      </c>
      <c r="AG84" s="67">
        <f t="array" ref="AG84">IF($W$1,AF84*(1+INDEX(AG$1:AG$2,MATCH($O84,$AA$1:$AA$2,0)))^(AG$16-AF$16),INDEX('AEA2012 update'!$AC$6:$AG$104,MATCH($T84&amp;$U84,'AEA2012 update'!$A$6:$A$104&amp;'AEA2012 update'!$B$6:$B$104,0),MATCH(AG$16,'AEA2012 update'!$AC$4:$AG$4,0)))</f>
        <v>2.7803107924788351</v>
      </c>
      <c r="AH84" s="67">
        <f t="array" ref="AH84">IF($W$1,AG84*(1+INDEX(AH$1:AH$2,MATCH($O84,$AA$1:$AA$2,0)))^(AH$16-AG$16),INDEX('AEA2012 update'!$AC$6:$AG$104,MATCH($T84&amp;$U84,'AEA2012 update'!$A$6:$A$104&amp;'AEA2012 update'!$B$6:$B$104,0),MATCH(AH$16,'AEA2012 update'!$AC$4:$AG$4,0)))</f>
        <v>2.7526324654855787</v>
      </c>
      <c r="AI84" s="67"/>
      <c r="AJ84" s="257">
        <f t="shared" si="6"/>
        <v>-9.9551197902515861E-4</v>
      </c>
      <c r="AK84" s="257">
        <f t="shared" si="7"/>
        <v>-9.8563442456379383E-4</v>
      </c>
      <c r="AQ84" s="61" t="str">
        <f t="shared" si="8"/>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48" x14ac:dyDescent="0.25">
      <c r="N85" s="61" t="s">
        <v>504</v>
      </c>
      <c r="O85" s="61" t="s">
        <v>653</v>
      </c>
      <c r="P85" s="61" t="s">
        <v>731</v>
      </c>
      <c r="Q85" s="61" t="str">
        <f t="shared" si="4"/>
        <v>CV3</v>
      </c>
      <c r="R85" s="61" t="s">
        <v>687</v>
      </c>
      <c r="S85" s="65"/>
      <c r="T85" s="256" t="s">
        <v>725</v>
      </c>
      <c r="U85" s="256" t="s">
        <v>699</v>
      </c>
      <c r="V85" s="103">
        <f t="array" ref="V85">IF(V$18,INDEX('AEA2012 update'!$K$6:$R$104,MATCH($T85&amp;$R85,'AEA2012 update'!$A$6:$A$104&amp;'AEA2012 update'!$B$6:$B$104,0),MATCH(V$16,'AEA2012 update'!$S$4:$Z$4,0)),INDEX('AEA2012 update'!$K$6:$R$104,MATCH($T85&amp;$U85,'AEA2012 update'!$A$6:$A$104&amp;'AEA2012 update'!$B$6:$B$104,0),MATCH(V$16,'AEA2012 update'!$S$4:$Z$4,0)))</f>
        <v>2522990.6381765995</v>
      </c>
      <c r="W85" s="103">
        <f t="array" ref="W85">IF(W$18,INDEX('AEA2012 update'!$K$6:$R$104,MATCH($T85&amp;$R85,'AEA2012 update'!$A$6:$A$104&amp;'AEA2012 update'!$B$6:$B$104,0),MATCH(W$16,'AEA2012 update'!$S$4:$Z$4,0)),INDEX('AEA2012 update'!$K$6:$R$104,MATCH($T85&amp;$U85,'AEA2012 update'!$A$6:$A$104&amp;'AEA2012 update'!$B$6:$B$104,0),MATCH(W$16,'AEA2012 update'!$S$4:$Z$4,0)))</f>
        <v>1080982.7502171779</v>
      </c>
      <c r="X85" s="103">
        <f t="array" ref="X85">IF(X$18,INDEX('AEA2012 update'!$K$6:$R$104,MATCH($T85&amp;$R85,'AEA2012 update'!$A$6:$A$104&amp;'AEA2012 update'!$B$6:$B$104,0),MATCH(X$16,'AEA2012 update'!$S$4:$Z$4,0)),INDEX('AEA2012 update'!$K$6:$R$104,MATCH($T85&amp;$U85,'AEA2012 update'!$A$6:$A$104&amp;'AEA2012 update'!$B$6:$B$104,0),MATCH(X$16,'AEA2012 update'!$S$4:$Z$4,0)))</f>
        <v>851672.91194386315</v>
      </c>
      <c r="Y85" s="103">
        <f t="array" ref="Y85">IF(Y$18,INDEX('AEA2012 update'!$K$6:$R$104,MATCH($T85&amp;$R85,'AEA2012 update'!$A$6:$A$104&amp;'AEA2012 update'!$B$6:$B$104,0),MATCH(Y$16,'AEA2012 update'!$S$4:$Z$4,0)),INDEX('AEA2012 update'!$K$6:$R$104,MATCH($T85&amp;$U85,'AEA2012 update'!$A$6:$A$104&amp;'AEA2012 update'!$B$6:$B$104,0),MATCH(Y$16,'AEA2012 update'!$S$4:$Z$4,0)))</f>
        <v>506916.16695508256</v>
      </c>
      <c r="Z85" s="103">
        <f t="array" ref="Z85">IF(Z$18,INDEX('AEA2012 update'!$K$6:$R$104,MATCH($T85&amp;$R85,'AEA2012 update'!$A$6:$A$104&amp;'AEA2012 update'!$B$6:$B$104,0),MATCH(Z$16,'AEA2012 update'!$S$4:$Z$4,0)),INDEX('AEA2012 update'!$K$6:$R$104,MATCH($T85&amp;$U85,'AEA2012 update'!$A$6:$A$104&amp;'AEA2012 update'!$B$6:$B$104,0),MATCH(Z$16,'AEA2012 update'!$S$4:$Z$4,0)))</f>
        <v>520424.31194208184</v>
      </c>
      <c r="AA85" s="103">
        <f t="array" ref="AA85">IF(AA$18,INDEX('AEA2012 update'!$K$6:$R$104,MATCH($T85&amp;$R85,'AEA2012 update'!$A$6:$A$104&amp;'AEA2012 update'!$B$6:$B$104,0),MATCH(AA$16,'AEA2012 update'!$S$4:$Z$4,0)),INDEX('AEA2012 update'!$K$6:$R$104,MATCH($T85&amp;$U85,'AEA2012 update'!$A$6:$A$104&amp;'AEA2012 update'!$B$6:$B$104,0),MATCH(AA$16,'AEA2012 update'!$S$4:$Z$4,0)))</f>
        <v>533932.45692908112</v>
      </c>
      <c r="AB85" s="103">
        <f t="array" ref="AB85">IF(AB$18,INDEX('AEA2012 update'!$K$6:$R$104,MATCH($T85&amp;$R85,'AEA2012 update'!$A$6:$A$104&amp;'AEA2012 update'!$B$6:$B$104,0),MATCH(AB$16,'AEA2012 update'!$S$4:$Z$4,0)),INDEX('AEA2012 update'!$K$6:$R$104,MATCH($T85&amp;$U85,'AEA2012 update'!$A$6:$A$104&amp;'AEA2012 update'!$B$6:$B$104,0),MATCH(AB$16,'AEA2012 update'!$S$4:$Z$4,0)))</f>
        <v>551671.18115070788</v>
      </c>
      <c r="AC85" s="103" t="str">
        <f t="shared" ref="AC85:AC110" si="28">Q85&amp;N85</f>
        <v>CV3HGN</v>
      </c>
      <c r="AD85" s="67">
        <f t="array" ref="AD85">INDEX('AEA2012 update'!$AC$6:$AG$104,MATCH($T85&amp;$U85,'AEA2012 update'!$A$6:$A$104&amp;'AEA2012 update'!$B$6:$B$104,0),MATCH(AD$16,'AEA2012 update'!$S$4:$Z$4,0))</f>
        <v>4.4231993715479234</v>
      </c>
      <c r="AE85" s="67">
        <f t="array" ref="AE85">IF($W$1,AD85*(1+INDEX(AE$1:AE$2,MATCH($O85,$AA$1:$AA$2,0)))^(AE$16-AD$16),INDEX('AEA2012 update'!$AC$6:$AG$104,MATCH($T85&amp;$U85,'AEA2012 update'!$A$6:$A$104&amp;'AEA2012 update'!$B$6:$B$104,0),MATCH(AE$16,'AEA2012 update'!$AC$4:$AG$4,0)))</f>
        <v>4.3791658919479977</v>
      </c>
      <c r="AF85" s="67">
        <f t="array" ref="AF85">IF($W$1,AE85*(1+INDEX(AF$1:AF$2,MATCH($O85,$AA$1:$AA$2,0)))^(AF$16-AE$16),INDEX('AEA2012 update'!$AC$6:$AG$104,MATCH($T85&amp;$U85,'AEA2012 update'!$A$6:$A$104&amp;'AEA2012 update'!$B$6:$B$104,0),MATCH(AF$16,'AEA2012 update'!$AC$4:$AG$4,0)))</f>
        <v>4.3355707709122715</v>
      </c>
      <c r="AG85" s="67">
        <f t="array" ref="AG85">IF($W$1,AF85*(1+INDEX(AG$1:AG$2,MATCH($O85,$AA$1:$AA$2,0)))^(AG$16-AF$16),INDEX('AEA2012 update'!$AC$6:$AG$104,MATCH($T85&amp;$U85,'AEA2012 update'!$A$6:$A$104&amp;'AEA2012 update'!$B$6:$B$104,0),MATCH(AG$16,'AEA2012 update'!$AC$4:$AG$4,0)))</f>
        <v>4.2924096445287265</v>
      </c>
      <c r="AH85" s="67">
        <f t="array" ref="AH85">IF($W$1,AG85*(1+INDEX(AH$1:AH$2,MATCH($O85,$AA$1:$AA$2,0)))^(AH$16-AG$16),INDEX('AEA2012 update'!$AC$6:$AG$104,MATCH($T85&amp;$U85,'AEA2012 update'!$A$6:$A$104&amp;'AEA2012 update'!$B$6:$B$104,0),MATCH(AH$16,'AEA2012 update'!$AC$4:$AG$4,0)))</f>
        <v>4.2496781923286111</v>
      </c>
      <c r="AI85" s="67"/>
      <c r="AJ85" s="257">
        <f t="shared" si="6"/>
        <v>-9.9551197902517335E-4</v>
      </c>
      <c r="AK85" s="257">
        <f t="shared" si="7"/>
        <v>-9.8563442456379253E-4</v>
      </c>
      <c r="AQ85" s="61" t="str">
        <f t="shared" ref="AQ85:AQ110" si="29">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48" x14ac:dyDescent="0.25">
      <c r="N86" s="61" t="s">
        <v>509</v>
      </c>
      <c r="O86" s="61" t="s">
        <v>653</v>
      </c>
      <c r="P86" s="61" t="s">
        <v>731</v>
      </c>
      <c r="Q86" s="61" t="str">
        <f t="shared" si="4"/>
        <v>CV3</v>
      </c>
      <c r="R86" s="61" t="s">
        <v>687</v>
      </c>
      <c r="S86" s="65"/>
      <c r="T86" s="256" t="s">
        <v>725</v>
      </c>
      <c r="U86" s="256" t="s">
        <v>700</v>
      </c>
      <c r="V86" s="103">
        <f t="array" ref="V86">IF(V$18,INDEX('AEA2012 update'!$K$6:$R$104,MATCH($T86&amp;$R86,'AEA2012 update'!$A$6:$A$104&amp;'AEA2012 update'!$B$6:$B$104,0),MATCH(V$16,'AEA2012 update'!$S$4:$Z$4,0)),INDEX('AEA2012 update'!$K$6:$R$104,MATCH($T86&amp;$U86,'AEA2012 update'!$A$6:$A$104&amp;'AEA2012 update'!$B$6:$B$104,0),MATCH(V$16,'AEA2012 update'!$S$4:$Z$4,0)))</f>
        <v>598309.30679972272</v>
      </c>
      <c r="W86" s="103">
        <f t="array" ref="W86">IF(W$18,INDEX('AEA2012 update'!$K$6:$R$104,MATCH($T86&amp;$R86,'AEA2012 update'!$A$6:$A$104&amp;'AEA2012 update'!$B$6:$B$104,0),MATCH(W$16,'AEA2012 update'!$S$4:$Z$4,0)),INDEX('AEA2012 update'!$K$6:$R$104,MATCH($T86&amp;$U86,'AEA2012 update'!$A$6:$A$104&amp;'AEA2012 update'!$B$6:$B$104,0),MATCH(W$16,'AEA2012 update'!$S$4:$Z$4,0)))</f>
        <v>588990.88834881992</v>
      </c>
      <c r="X86" s="103">
        <f t="array" ref="X86">IF(X$18,INDEX('AEA2012 update'!$K$6:$R$104,MATCH($T86&amp;$R86,'AEA2012 update'!$A$6:$A$104&amp;'AEA2012 update'!$B$6:$B$104,0),MATCH(X$16,'AEA2012 update'!$S$4:$Z$4,0)),INDEX('AEA2012 update'!$K$6:$R$104,MATCH($T86&amp;$U86,'AEA2012 update'!$A$6:$A$104&amp;'AEA2012 update'!$B$6:$B$104,0),MATCH(X$16,'AEA2012 update'!$S$4:$Z$4,0)))</f>
        <v>591035.13773094804</v>
      </c>
      <c r="Y86" s="103">
        <f t="array" ref="Y86">IF(Y$18,INDEX('AEA2012 update'!$K$6:$R$104,MATCH($T86&amp;$R86,'AEA2012 update'!$A$6:$A$104&amp;'AEA2012 update'!$B$6:$B$104,0),MATCH(Y$16,'AEA2012 update'!$S$4:$Z$4,0)),INDEX('AEA2012 update'!$K$6:$R$104,MATCH($T86&amp;$U86,'AEA2012 update'!$A$6:$A$104&amp;'AEA2012 update'!$B$6:$B$104,0),MATCH(Y$16,'AEA2012 update'!$S$4:$Z$4,0)))</f>
        <v>506916.16695508256</v>
      </c>
      <c r="Z86" s="103">
        <f t="array" ref="Z86">IF(Z$18,INDEX('AEA2012 update'!$K$6:$R$104,MATCH($T86&amp;$R86,'AEA2012 update'!$A$6:$A$104&amp;'AEA2012 update'!$B$6:$B$104,0),MATCH(Z$16,'AEA2012 update'!$S$4:$Z$4,0)),INDEX('AEA2012 update'!$K$6:$R$104,MATCH($T86&amp;$U86,'AEA2012 update'!$A$6:$A$104&amp;'AEA2012 update'!$B$6:$B$104,0),MATCH(Z$16,'AEA2012 update'!$S$4:$Z$4,0)))</f>
        <v>520424.31194208184</v>
      </c>
      <c r="AA86" s="103">
        <f t="array" ref="AA86">IF(AA$18,INDEX('AEA2012 update'!$K$6:$R$104,MATCH($T86&amp;$R86,'AEA2012 update'!$A$6:$A$104&amp;'AEA2012 update'!$B$6:$B$104,0),MATCH(AA$16,'AEA2012 update'!$S$4:$Z$4,0)),INDEX('AEA2012 update'!$K$6:$R$104,MATCH($T86&amp;$U86,'AEA2012 update'!$A$6:$A$104&amp;'AEA2012 update'!$B$6:$B$104,0),MATCH(AA$16,'AEA2012 update'!$S$4:$Z$4,0)))</f>
        <v>533932.45692908112</v>
      </c>
      <c r="AB86" s="103">
        <f t="array" ref="AB86">IF(AB$18,INDEX('AEA2012 update'!$K$6:$R$104,MATCH($T86&amp;$R86,'AEA2012 update'!$A$6:$A$104&amp;'AEA2012 update'!$B$6:$B$104,0),MATCH(AB$16,'AEA2012 update'!$S$4:$Z$4,0)),INDEX('AEA2012 update'!$K$6:$R$104,MATCH($T86&amp;$U86,'AEA2012 update'!$A$6:$A$104&amp;'AEA2012 update'!$B$6:$B$104,0),MATCH(AB$16,'AEA2012 update'!$S$4:$Z$4,0)))</f>
        <v>551671.18115070788</v>
      </c>
      <c r="AC86" s="103" t="str">
        <f t="shared" si="28"/>
        <v>CV3GAS</v>
      </c>
      <c r="AD86" s="67">
        <f t="array" ref="AD86">INDEX('AEA2012 update'!$AC$6:$AG$104,MATCH($T86&amp;$U86,'AEA2012 update'!$A$6:$A$104&amp;'AEA2012 update'!$B$6:$B$104,0),MATCH(AD$16,'AEA2012 update'!$S$4:$Z$4,0))</f>
        <v>10.787969268949785</v>
      </c>
      <c r="AE86" s="67">
        <f t="array" ref="AE86">IF($W$1,AD86*(1+INDEX(AE$1:AE$2,MATCH($O86,$AA$1:$AA$2,0)))^(AE$16-AD$16),INDEX('AEA2012 update'!$AC$6:$AG$104,MATCH($T86&amp;$U86,'AEA2012 update'!$A$6:$A$104&amp;'AEA2012 update'!$B$6:$B$104,0),MATCH(AE$16,'AEA2012 update'!$AC$4:$AG$4,0)))</f>
        <v>10.680573742583837</v>
      </c>
      <c r="AF86" s="67">
        <f t="array" ref="AF86">IF($W$1,AE86*(1+INDEX(AF$1:AF$2,MATCH($O86,$AA$1:$AA$2,0)))^(AF$16-AE$16),INDEX('AEA2012 update'!$AC$6:$AG$104,MATCH($T86&amp;$U86,'AEA2012 update'!$A$6:$A$104&amp;'AEA2012 update'!$B$6:$B$104,0),MATCH(AF$16,'AEA2012 update'!$AC$4:$AG$4,0)))</f>
        <v>10.574247351547799</v>
      </c>
      <c r="AG86" s="67">
        <f t="array" ref="AG86">IF($W$1,AF86*(1+INDEX(AG$1:AG$2,MATCH($O86,$AA$1:$AA$2,0)))^(AG$16-AF$16),INDEX('AEA2012 update'!$AC$6:$AG$104,MATCH($T86&amp;$U86,'AEA2012 update'!$A$6:$A$104&amp;'AEA2012 update'!$B$6:$B$104,0),MATCH(AG$16,'AEA2012 update'!$AC$4:$AG$4,0)))</f>
        <v>10.468979452471389</v>
      </c>
      <c r="AH86" s="67">
        <f t="array" ref="AH86">IF($W$1,AG86*(1+INDEX(AH$1:AH$2,MATCH($O86,$AA$1:$AA$2,0)))^(AH$16-AG$16),INDEX('AEA2012 update'!$AC$6:$AG$104,MATCH($T86&amp;$U86,'AEA2012 update'!$A$6:$A$104&amp;'AEA2012 update'!$B$6:$B$104,0),MATCH(AH$16,'AEA2012 update'!$AC$4:$AG$4,0)))</f>
        <v>10.364759507940354</v>
      </c>
      <c r="AI86" s="67"/>
      <c r="AJ86" s="257">
        <f t="shared" si="6"/>
        <v>-9.9551197902516381E-4</v>
      </c>
      <c r="AK86" s="257">
        <f t="shared" si="7"/>
        <v>-9.8563442456379166E-4</v>
      </c>
      <c r="AQ86" s="61" t="str">
        <f t="shared" si="29"/>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48" x14ac:dyDescent="0.25">
      <c r="O87" s="61" t="s">
        <v>653</v>
      </c>
      <c r="Q87" s="61" t="str">
        <f t="shared" si="4"/>
        <v/>
      </c>
      <c r="S87" s="65"/>
      <c r="T87" s="256"/>
      <c r="U87" s="260"/>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28"/>
        <v/>
      </c>
      <c r="AD87" s="67"/>
      <c r="AE87" s="67">
        <f t="array" ref="AE87">IF($W$1,AD87*(1+INDEX(AE$1:AE$2,MATCH($O87,$AA$1:$AA$2,0)))^(AE$16-AD$16),INDEX('AEA2012 update'!$AC$6:$AG$104,MATCH($T87&amp;$U87,'AEA2012 update'!$A$6:$A$104&amp;'AEA2012 update'!$B$6:$B$104,0),MATCH(AE$16,'AEA2012 update'!$AC$4:$AG$4,0)))</f>
        <v>0</v>
      </c>
      <c r="AF87" s="67">
        <f t="array" ref="AF87">IF($W$1,AE87*(1+INDEX(AF$1:AF$2,MATCH($O87,$AA$1:$AA$2,0)))^(AF$16-AE$16),INDEX('AEA2012 update'!$AC$6:$AG$104,MATCH($T87&amp;$U87,'AEA2012 update'!$A$6:$A$104&amp;'AEA2012 update'!$B$6:$B$104,0),MATCH(AF$16,'AEA2012 update'!$AC$4:$AG$4,0)))</f>
        <v>0</v>
      </c>
      <c r="AG87" s="67">
        <f t="array" ref="AG87">IF($W$1,AF87*(1+INDEX(AG$1:AG$2,MATCH($O87,$AA$1:$AA$2,0)))^(AG$16-AF$16),INDEX('AEA2012 update'!$AC$6:$AG$104,MATCH($T87&amp;$U87,'AEA2012 update'!$A$6:$A$104&amp;'AEA2012 update'!$B$6:$B$104,0),MATCH(AG$16,'AEA2012 update'!$AC$4:$AG$4,0)))</f>
        <v>0</v>
      </c>
      <c r="AH87" s="67">
        <f t="array" ref="AH87">IF($W$1,AG87*(1+INDEX(AH$1:AH$2,MATCH($O87,$AA$1:$AA$2,0)))^(AH$16-AG$16),INDEX('AEA2012 update'!$AC$6:$AG$104,MATCH($T87&amp;$U87,'AEA2012 update'!$A$6:$A$104&amp;'AEA2012 update'!$B$6:$B$104,0),MATCH(AH$16,'AEA2012 update'!$AC$4:$AG$4,0)))</f>
        <v>0</v>
      </c>
      <c r="AI87" s="67"/>
      <c r="AJ87" s="257" t="e">
        <f t="shared" si="6"/>
        <v>#DIV/0!</v>
      </c>
      <c r="AK87" s="257" t="e">
        <f t="shared" si="7"/>
        <v>#DIV/0!</v>
      </c>
      <c r="AQ87" s="61" t="str">
        <f t="shared" si="29"/>
        <v>-</v>
      </c>
      <c r="AR87" s="80" t="e" cm="1">
        <f t="array" aca="1" ref="AR87" ca="1">AD87/INDIRECT("cv."&amp;LEFT($U87,6)&amp;".hhv.MJL") * 100</f>
        <v>#REF!</v>
      </c>
      <c r="AS87" s="80" t="e" cm="1">
        <f t="array" aca="1" ref="AS87" ca="1">AE87/INDIRECT("cv."&amp;LEFT($U87,6)&amp;".hhv.MJL") * 100</f>
        <v>#REF!</v>
      </c>
      <c r="AT87" s="80" t="e" cm="1">
        <f t="array" aca="1" ref="AT87" ca="1">AF87/INDIRECT("cv."&amp;LEFT($U87,6)&amp;".hhv.MJL") * 100</f>
        <v>#REF!</v>
      </c>
      <c r="AU87" s="80" t="e" cm="1">
        <f t="array" aca="1" ref="AU87" ca="1">AG87/INDIRECT("cv."&amp;LEFT($U87,6)&amp;".hhv.MJL") * 100</f>
        <v>#REF!</v>
      </c>
      <c r="AV87" s="80" t="e" cm="1">
        <f t="array" aca="1" ref="AV87" ca="1">AH87/INDIRECT("cv."&amp;LEFT($U87,6)&amp;".hhv.MJL") * 100</f>
        <v>#REF!</v>
      </c>
    </row>
    <row r="88" spans="14:48" x14ac:dyDescent="0.25">
      <c r="N88" s="61" t="s">
        <v>511</v>
      </c>
      <c r="O88" s="61" t="s">
        <v>653</v>
      </c>
      <c r="P88" s="61" t="s">
        <v>732</v>
      </c>
      <c r="Q88" s="61" t="str">
        <f t="shared" si="4"/>
        <v>CV4</v>
      </c>
      <c r="R88" s="61" t="s">
        <v>687</v>
      </c>
      <c r="S88" s="65"/>
      <c r="T88" s="256" t="s">
        <v>733</v>
      </c>
      <c r="U88" s="256" t="s">
        <v>687</v>
      </c>
      <c r="V88" s="103">
        <f t="array" ref="V88">IF(V$18,INDEX('AEA2012 update'!$K$6:$R$104,MATCH($T88&amp;$R88,'AEA2012 update'!$A$6:$A$104&amp;'AEA2012 update'!$B$6:$B$104,0),MATCH(V$16,'AEA2012 update'!$S$4:$Z$4,0)),INDEX('AEA2012 update'!$K$6:$R$104,MATCH($T88&amp;$U88,'AEA2012 update'!$A$6:$A$104&amp;'AEA2012 update'!$B$6:$B$104,0),MATCH(V$16,'AEA2012 update'!$S$4:$Z$4,0)))</f>
        <v>715690.83454664785</v>
      </c>
      <c r="W88" s="103">
        <f t="array" ref="W88">IF(W$18,INDEX('AEA2012 update'!$K$6:$R$104,MATCH($T88&amp;$R88,'AEA2012 update'!$A$6:$A$104&amp;'AEA2012 update'!$B$6:$B$104,0),MATCH(W$16,'AEA2012 update'!$S$4:$Z$4,0)),INDEX('AEA2012 update'!$K$6:$R$104,MATCH($T88&amp;$U88,'AEA2012 update'!$A$6:$A$104&amp;'AEA2012 update'!$B$6:$B$104,0),MATCH(W$16,'AEA2012 update'!$S$4:$Z$4,0)))</f>
        <v>870657.84692986368</v>
      </c>
      <c r="X88" s="103">
        <f t="array" ref="X88">IF(X$18,INDEX('AEA2012 update'!$K$6:$R$104,MATCH($T88&amp;$R88,'AEA2012 update'!$A$6:$A$104&amp;'AEA2012 update'!$B$6:$B$104,0),MATCH(X$16,'AEA2012 update'!$S$4:$Z$4,0)),INDEX('AEA2012 update'!$K$6:$R$104,MATCH($T88&amp;$U88,'AEA2012 update'!$A$6:$A$104&amp;'AEA2012 update'!$B$6:$B$104,0),MATCH(X$16,'AEA2012 update'!$S$4:$Z$4,0)))</f>
        <v>894652.34635689482</v>
      </c>
      <c r="Y88" s="103">
        <f t="array" ref="Y88">IF(Y$18,INDEX('AEA2012 update'!$K$6:$R$104,MATCH($T88&amp;$R88,'AEA2012 update'!$A$6:$A$104&amp;'AEA2012 update'!$B$6:$B$104,0),MATCH(Y$16,'AEA2012 update'!$S$4:$Z$4,0)),INDEX('AEA2012 update'!$K$6:$R$104,MATCH($T88&amp;$U88,'AEA2012 update'!$A$6:$A$104&amp;'AEA2012 update'!$B$6:$B$104,0),MATCH(Y$16,'AEA2012 update'!$S$4:$Z$4,0)))</f>
        <v>918646.84578392608</v>
      </c>
      <c r="Z88" s="103">
        <f t="array" ref="Z88">IF(Z$18,INDEX('AEA2012 update'!$K$6:$R$104,MATCH($T88&amp;$R88,'AEA2012 update'!$A$6:$A$104&amp;'AEA2012 update'!$B$6:$B$104,0),MATCH(Z$16,'AEA2012 update'!$S$4:$Z$4,0)),INDEX('AEA2012 update'!$K$6:$R$104,MATCH($T88&amp;$U88,'AEA2012 update'!$A$6:$A$104&amp;'AEA2012 update'!$B$6:$B$104,0),MATCH(Z$16,'AEA2012 update'!$S$4:$Z$4,0)))</f>
        <v>938124.95950684301</v>
      </c>
      <c r="AA88" s="103">
        <f t="array" ref="AA88">IF(AA$18,INDEX('AEA2012 update'!$K$6:$R$104,MATCH($T88&amp;$R88,'AEA2012 update'!$A$6:$A$104&amp;'AEA2012 update'!$B$6:$B$104,0),MATCH(AA$16,'AEA2012 update'!$S$4:$Z$4,0)),INDEX('AEA2012 update'!$K$6:$R$104,MATCH($T88&amp;$U88,'AEA2012 update'!$A$6:$A$104&amp;'AEA2012 update'!$B$6:$B$104,0),MATCH(AA$16,'AEA2012 update'!$S$4:$Z$4,0)))</f>
        <v>957603.07322975982</v>
      </c>
      <c r="AB88" s="103">
        <f t="array" ref="AB88">IF(AB$18,INDEX('AEA2012 update'!$K$6:$R$104,MATCH($T88&amp;$R88,'AEA2012 update'!$A$6:$A$104&amp;'AEA2012 update'!$B$6:$B$104,0),MATCH(AB$16,'AEA2012 update'!$S$4:$Z$4,0)),INDEX('AEA2012 update'!$K$6:$R$104,MATCH($T88&amp;$U88,'AEA2012 update'!$A$6:$A$104&amp;'AEA2012 update'!$B$6:$B$104,0),MATCH(AB$16,'AEA2012 update'!$S$4:$Z$4,0)))</f>
        <v>993485.23967858823</v>
      </c>
      <c r="AC88" s="103" t="str">
        <f t="shared" si="28"/>
        <v>CV4ODS</v>
      </c>
      <c r="AD88" s="67">
        <f t="array" ref="AD88">INDEX('AEA2012 update'!$AC$6:$AG$104,MATCH($T88&amp;$U88,'AEA2012 update'!$A$6:$A$104&amp;'AEA2012 update'!$B$6:$B$104,0),MATCH(AD$16,'AEA2012 update'!$S$4:$Z$4,0))</f>
        <v>13.15733229927832</v>
      </c>
      <c r="AE88" s="67">
        <f t="array" ref="AE88">IF($W$1,AD88*(1+INDEX(AE$1:AE$2,MATCH($O88,$AA$1:$AA$2,0)))^(AE$16-AD$16),INDEX('AEA2012 update'!$AC$6:$AG$104,MATCH($T88&amp;$U88,'AEA2012 update'!$A$6:$A$104&amp;'AEA2012 update'!$B$6:$B$104,0),MATCH(AE$16,'AEA2012 update'!$AC$4:$AG$4,0)))</f>
        <v>13.026349480118856</v>
      </c>
      <c r="AF88" s="67">
        <f t="array" ref="AF88">IF($W$1,AE88*(1+INDEX(AF$1:AF$2,MATCH($O88,$AA$1:$AA$2,0)))^(AF$16-AE$16),INDEX('AEA2012 update'!$AC$6:$AG$104,MATCH($T88&amp;$U88,'AEA2012 update'!$A$6:$A$104&amp;'AEA2012 update'!$B$6:$B$104,0),MATCH(AF$16,'AEA2012 update'!$AC$4:$AG$4,0)))</f>
        <v>12.89667061061459</v>
      </c>
      <c r="AG88" s="67">
        <f t="array" ref="AG88">IF($W$1,AF88*(1+INDEX(AG$1:AG$2,MATCH($O88,$AA$1:$AA$2,0)))^(AG$16-AF$16),INDEX('AEA2012 update'!$AC$6:$AG$104,MATCH($T88&amp;$U88,'AEA2012 update'!$A$6:$A$104&amp;'AEA2012 update'!$B$6:$B$104,0),MATCH(AG$16,'AEA2012 update'!$AC$4:$AG$4,0)))</f>
        <v>12.768282709790505</v>
      </c>
      <c r="AH88" s="67">
        <f t="array" ref="AH88">IF($W$1,AG88*(1+INDEX(AH$1:AH$2,MATCH($O88,$AA$1:$AA$2,0)))^(AH$16-AG$16),INDEX('AEA2012 update'!$AC$6:$AG$104,MATCH($T88&amp;$U88,'AEA2012 update'!$A$6:$A$104&amp;'AEA2012 update'!$B$6:$B$104,0),MATCH(AH$16,'AEA2012 update'!$AC$4:$AG$4,0)))</f>
        <v>12.641172925898742</v>
      </c>
      <c r="AI88" s="67"/>
      <c r="AJ88" s="257">
        <f t="shared" si="6"/>
        <v>-9.9551197902516858E-4</v>
      </c>
      <c r="AK88" s="257">
        <f t="shared" si="7"/>
        <v>-9.8563442456379362E-4</v>
      </c>
      <c r="AQ88" s="61" t="str">
        <f t="shared" si="29"/>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48" x14ac:dyDescent="0.25">
      <c r="N89" s="61" t="s">
        <v>504</v>
      </c>
      <c r="O89" s="61" t="s">
        <v>653</v>
      </c>
      <c r="P89" s="61" t="s">
        <v>732</v>
      </c>
      <c r="Q89" s="61" t="str">
        <f t="shared" si="4"/>
        <v>CV4</v>
      </c>
      <c r="R89" s="61" t="s">
        <v>687</v>
      </c>
      <c r="S89" s="65"/>
      <c r="T89" s="256" t="s">
        <v>733</v>
      </c>
      <c r="U89" s="256" t="s">
        <v>699</v>
      </c>
      <c r="V89" s="103">
        <f t="array" ref="V89">IF(V$18,INDEX('AEA2012 update'!$K$6:$R$104,MATCH($T89&amp;$R89,'AEA2012 update'!$A$6:$A$104&amp;'AEA2012 update'!$B$6:$B$104,0),MATCH(V$16,'AEA2012 update'!$S$4:$Z$4,0)),INDEX('AEA2012 update'!$K$6:$R$104,MATCH($T89&amp;$U89,'AEA2012 update'!$A$6:$A$104&amp;'AEA2012 update'!$B$6:$B$104,0),MATCH(V$16,'AEA2012 update'!$S$4:$Z$4,0)))</f>
        <v>4002189.5351525573</v>
      </c>
      <c r="W89" s="103">
        <f t="array" ref="W89">IF(W$18,INDEX('AEA2012 update'!$K$6:$R$104,MATCH($T89&amp;$R89,'AEA2012 update'!$A$6:$A$104&amp;'AEA2012 update'!$B$6:$B$104,0),MATCH(W$16,'AEA2012 update'!$S$4:$Z$4,0)),INDEX('AEA2012 update'!$K$6:$R$104,MATCH($T89&amp;$U89,'AEA2012 update'!$A$6:$A$104&amp;'AEA2012 update'!$B$6:$B$104,0),MATCH(W$16,'AEA2012 update'!$S$4:$Z$4,0)))</f>
        <v>1781373.718472468</v>
      </c>
      <c r="X89" s="103">
        <f t="array" ref="X89">IF(X$18,INDEX('AEA2012 update'!$K$6:$R$104,MATCH($T89&amp;$R89,'AEA2012 update'!$A$6:$A$104&amp;'AEA2012 update'!$B$6:$B$104,0),MATCH(X$16,'AEA2012 update'!$S$4:$Z$4,0)),INDEX('AEA2012 update'!$K$6:$R$104,MATCH($T89&amp;$U89,'AEA2012 update'!$A$6:$A$104&amp;'AEA2012 update'!$B$6:$B$104,0),MATCH(X$16,'AEA2012 update'!$S$4:$Z$4,0)))</f>
        <v>1429905.8145549258</v>
      </c>
      <c r="Y89" s="103">
        <f t="array" ref="Y89">IF(Y$18,INDEX('AEA2012 update'!$K$6:$R$104,MATCH($T89&amp;$R89,'AEA2012 update'!$A$6:$A$104&amp;'AEA2012 update'!$B$6:$B$104,0),MATCH(Y$16,'AEA2012 update'!$S$4:$Z$4,0)),INDEX('AEA2012 update'!$K$6:$R$104,MATCH($T89&amp;$U89,'AEA2012 update'!$A$6:$A$104&amp;'AEA2012 update'!$B$6:$B$104,0),MATCH(Y$16,'AEA2012 update'!$S$4:$Z$4,0)))</f>
        <v>918646.84578392608</v>
      </c>
      <c r="Z89" s="103">
        <f t="array" ref="Z89">IF(Z$18,INDEX('AEA2012 update'!$K$6:$R$104,MATCH($T89&amp;$R89,'AEA2012 update'!$A$6:$A$104&amp;'AEA2012 update'!$B$6:$B$104,0),MATCH(Z$16,'AEA2012 update'!$S$4:$Z$4,0)),INDEX('AEA2012 update'!$K$6:$R$104,MATCH($T89&amp;$U89,'AEA2012 update'!$A$6:$A$104&amp;'AEA2012 update'!$B$6:$B$104,0),MATCH(Z$16,'AEA2012 update'!$S$4:$Z$4,0)))</f>
        <v>938124.95950684301</v>
      </c>
      <c r="AA89" s="103">
        <f t="array" ref="AA89">IF(AA$18,INDEX('AEA2012 update'!$K$6:$R$104,MATCH($T89&amp;$R89,'AEA2012 update'!$A$6:$A$104&amp;'AEA2012 update'!$B$6:$B$104,0),MATCH(AA$16,'AEA2012 update'!$S$4:$Z$4,0)),INDEX('AEA2012 update'!$K$6:$R$104,MATCH($T89&amp;$U89,'AEA2012 update'!$A$6:$A$104&amp;'AEA2012 update'!$B$6:$B$104,0),MATCH(AA$16,'AEA2012 update'!$S$4:$Z$4,0)))</f>
        <v>957603.07322975982</v>
      </c>
      <c r="AB89" s="103">
        <f t="array" ref="AB89">IF(AB$18,INDEX('AEA2012 update'!$K$6:$R$104,MATCH($T89&amp;$R89,'AEA2012 update'!$A$6:$A$104&amp;'AEA2012 update'!$B$6:$B$104,0),MATCH(AB$16,'AEA2012 update'!$S$4:$Z$4,0)),INDEX('AEA2012 update'!$K$6:$R$104,MATCH($T89&amp;$U89,'AEA2012 update'!$A$6:$A$104&amp;'AEA2012 update'!$B$6:$B$104,0),MATCH(AB$16,'AEA2012 update'!$S$4:$Z$4,0)))</f>
        <v>993485.23967858823</v>
      </c>
      <c r="AC89" s="103" t="str">
        <f t="shared" si="28"/>
        <v>CV4HGN</v>
      </c>
      <c r="AD89" s="67">
        <f t="array" ref="AD89">INDEX('AEA2012 update'!$AC$6:$AG$104,MATCH($T89&amp;$U89,'AEA2012 update'!$A$6:$A$104&amp;'AEA2012 update'!$B$6:$B$104,0),MATCH(AD$16,'AEA2012 update'!$S$4:$Z$4,0))</f>
        <v>6.2365059907747922</v>
      </c>
      <c r="AE89" s="67">
        <f t="array" ref="AE89">IF($W$1,AD89*(1+INDEX(AE$1:AE$2,MATCH($O89,$AA$1:$AA$2,0)))^(AE$16-AD$16),INDEX('AEA2012 update'!$AC$6:$AG$104,MATCH($T89&amp;$U89,'AEA2012 update'!$A$6:$A$104&amp;'AEA2012 update'!$B$6:$B$104,0),MATCH(AE$16,'AEA2012 update'!$AC$4:$AG$4,0)))</f>
        <v>6.174420826564007</v>
      </c>
      <c r="AF89" s="67">
        <f t="array" ref="AF89">IF($W$1,AE89*(1+INDEX(AF$1:AF$2,MATCH($O89,$AA$1:$AA$2,0)))^(AF$16-AE$16),INDEX('AEA2012 update'!$AC$6:$AG$104,MATCH($T89&amp;$U89,'AEA2012 update'!$A$6:$A$104&amp;'AEA2012 update'!$B$6:$B$104,0),MATCH(AF$16,'AEA2012 update'!$AC$4:$AG$4,0)))</f>
        <v>6.1129537276001376</v>
      </c>
      <c r="AG89" s="67">
        <f t="array" ref="AG89">IF($W$1,AF89*(1+INDEX(AG$1:AG$2,MATCH($O89,$AA$1:$AA$2,0)))^(AG$16-AF$16),INDEX('AEA2012 update'!$AC$6:$AG$104,MATCH($T89&amp;$U89,'AEA2012 update'!$A$6:$A$104&amp;'AEA2012 update'!$B$6:$B$104,0),MATCH(AG$16,'AEA2012 update'!$AC$4:$AG$4,0)))</f>
        <v>6.0520985409696131</v>
      </c>
      <c r="AH89" s="67">
        <f t="array" ref="AH89">IF($W$1,AG89*(1+INDEX(AH$1:AH$2,MATCH($O89,$AA$1:$AA$2,0)))^(AH$16-AG$16),INDEX('AEA2012 update'!$AC$6:$AG$104,MATCH($T89&amp;$U89,'AEA2012 update'!$A$6:$A$104&amp;'AEA2012 update'!$B$6:$B$104,0),MATCH(AH$16,'AEA2012 update'!$AC$4:$AG$4,0)))</f>
        <v>5.9918491750118532</v>
      </c>
      <c r="AI89" s="67"/>
      <c r="AJ89" s="257">
        <f t="shared" si="6"/>
        <v>-9.9551197902516555E-4</v>
      </c>
      <c r="AK89" s="257">
        <f t="shared" si="7"/>
        <v>-9.8563442456379513E-4</v>
      </c>
      <c r="AQ89" s="61" t="str">
        <f t="shared" si="29"/>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48" x14ac:dyDescent="0.25">
      <c r="N90" s="61" t="s">
        <v>509</v>
      </c>
      <c r="O90" s="61" t="s">
        <v>653</v>
      </c>
      <c r="P90" s="61" t="s">
        <v>732</v>
      </c>
      <c r="Q90" s="61" t="str">
        <f t="shared" ref="Q90:Q110" si="30">RIGHT(P90,3)</f>
        <v>CV4</v>
      </c>
      <c r="R90" s="61" t="s">
        <v>687</v>
      </c>
      <c r="S90" s="65"/>
      <c r="T90" s="256" t="s">
        <v>733</v>
      </c>
      <c r="U90" s="256" t="s">
        <v>700</v>
      </c>
      <c r="V90" s="103">
        <f t="array" ref="V90">IF(V$18,INDEX('AEA2012 update'!$K$6:$R$104,MATCH($T90&amp;$R90,'AEA2012 update'!$A$6:$A$104&amp;'AEA2012 update'!$B$6:$B$104,0),MATCH(V$16,'AEA2012 update'!$S$4:$Z$4,0)),INDEX('AEA2012 update'!$K$6:$R$104,MATCH($T90&amp;$U90,'AEA2012 update'!$A$6:$A$104&amp;'AEA2012 update'!$B$6:$B$104,0),MATCH(V$16,'AEA2012 update'!$S$4:$Z$4,0)))</f>
        <v>1022416.0439057859</v>
      </c>
      <c r="W90" s="103">
        <f t="array" ref="W90">IF(W$18,INDEX('AEA2012 update'!$K$6:$R$104,MATCH($T90&amp;$R90,'AEA2012 update'!$A$6:$A$104&amp;'AEA2012 update'!$B$6:$B$104,0),MATCH(W$16,'AEA2012 update'!$S$4:$Z$4,0)),INDEX('AEA2012 update'!$K$6:$R$104,MATCH($T90&amp;$U90,'AEA2012 update'!$A$6:$A$104&amp;'AEA2012 update'!$B$6:$B$104,0),MATCH(W$16,'AEA2012 update'!$S$4:$Z$4,0)))</f>
        <v>1047637.8756772528</v>
      </c>
      <c r="X90" s="103">
        <f t="array" ref="X90">IF(X$18,INDEX('AEA2012 update'!$K$6:$R$104,MATCH($T90&amp;$R90,'AEA2012 update'!$A$6:$A$104&amp;'AEA2012 update'!$B$6:$B$104,0),MATCH(X$16,'AEA2012 update'!$S$4:$Z$4,0)),INDEX('AEA2012 update'!$K$6:$R$104,MATCH($T90&amp;$U90,'AEA2012 update'!$A$6:$A$104&amp;'AEA2012 update'!$B$6:$B$104,0),MATCH(X$16,'AEA2012 update'!$S$4:$Z$4,0)))</f>
        <v>1050009.7772323459</v>
      </c>
      <c r="Y90" s="103">
        <f t="array" ref="Y90">IF(Y$18,INDEX('AEA2012 update'!$K$6:$R$104,MATCH($T90&amp;$R90,'AEA2012 update'!$A$6:$A$104&amp;'AEA2012 update'!$B$6:$B$104,0),MATCH(Y$16,'AEA2012 update'!$S$4:$Z$4,0)),INDEX('AEA2012 update'!$K$6:$R$104,MATCH($T90&amp;$U90,'AEA2012 update'!$A$6:$A$104&amp;'AEA2012 update'!$B$6:$B$104,0),MATCH(Y$16,'AEA2012 update'!$S$4:$Z$4,0)))</f>
        <v>918646.84578392608</v>
      </c>
      <c r="Z90" s="103">
        <f t="array" ref="Z90">IF(Z$18,INDEX('AEA2012 update'!$K$6:$R$104,MATCH($T90&amp;$R90,'AEA2012 update'!$A$6:$A$104&amp;'AEA2012 update'!$B$6:$B$104,0),MATCH(Z$16,'AEA2012 update'!$S$4:$Z$4,0)),INDEX('AEA2012 update'!$K$6:$R$104,MATCH($T90&amp;$U90,'AEA2012 update'!$A$6:$A$104&amp;'AEA2012 update'!$B$6:$B$104,0),MATCH(Z$16,'AEA2012 update'!$S$4:$Z$4,0)))</f>
        <v>938124.95950684301</v>
      </c>
      <c r="AA90" s="103">
        <f t="array" ref="AA90">IF(AA$18,INDEX('AEA2012 update'!$K$6:$R$104,MATCH($T90&amp;$R90,'AEA2012 update'!$A$6:$A$104&amp;'AEA2012 update'!$B$6:$B$104,0),MATCH(AA$16,'AEA2012 update'!$S$4:$Z$4,0)),INDEX('AEA2012 update'!$K$6:$R$104,MATCH($T90&amp;$U90,'AEA2012 update'!$A$6:$A$104&amp;'AEA2012 update'!$B$6:$B$104,0),MATCH(AA$16,'AEA2012 update'!$S$4:$Z$4,0)))</f>
        <v>957603.07322975982</v>
      </c>
      <c r="AB90" s="103">
        <f t="array" ref="AB90">IF(AB$18,INDEX('AEA2012 update'!$K$6:$R$104,MATCH($T90&amp;$R90,'AEA2012 update'!$A$6:$A$104&amp;'AEA2012 update'!$B$6:$B$104,0),MATCH(AB$16,'AEA2012 update'!$S$4:$Z$4,0)),INDEX('AEA2012 update'!$K$6:$R$104,MATCH($T90&amp;$U90,'AEA2012 update'!$A$6:$A$104&amp;'AEA2012 update'!$B$6:$B$104,0),MATCH(AB$16,'AEA2012 update'!$S$4:$Z$4,0)))</f>
        <v>993485.23967858823</v>
      </c>
      <c r="AC90" s="103" t="str">
        <f t="shared" si="28"/>
        <v>CV4GAS</v>
      </c>
      <c r="AD90" s="67">
        <f t="array" ref="AD90">INDEX('AEA2012 update'!$AC$6:$AG$104,MATCH($T90&amp;$U90,'AEA2012 update'!$A$6:$A$104&amp;'AEA2012 update'!$B$6:$B$104,0),MATCH(AD$16,'AEA2012 update'!$S$4:$Z$4,0))</f>
        <v>15.130932144170067</v>
      </c>
      <c r="AE90" s="67">
        <f t="array" ref="AE90">IF($W$1,AD90*(1+INDEX(AE$1:AE$2,MATCH($O90,$AA$1:$AA$2,0)))^(AE$16-AD$16),INDEX('AEA2012 update'!$AC$6:$AG$104,MATCH($T90&amp;$U90,'AEA2012 update'!$A$6:$A$104&amp;'AEA2012 update'!$B$6:$B$104,0),MATCH(AE$16,'AEA2012 update'!$AC$4:$AG$4,0)))</f>
        <v>14.980301902136684</v>
      </c>
      <c r="AF90" s="67">
        <f t="array" ref="AF90">IF($W$1,AE90*(1+INDEX(AF$1:AF$2,MATCH($O90,$AA$1:$AA$2,0)))^(AF$16-AE$16),INDEX('AEA2012 update'!$AC$6:$AG$104,MATCH($T90&amp;$U90,'AEA2012 update'!$A$6:$A$104&amp;'AEA2012 update'!$B$6:$B$104,0),MATCH(AF$16,'AEA2012 update'!$AC$4:$AG$4,0)))</f>
        <v>14.831171202206779</v>
      </c>
      <c r="AG90" s="67">
        <f t="array" ref="AG90">IF($W$1,AF90*(1+INDEX(AG$1:AG$2,MATCH($O90,$AA$1:$AA$2,0)))^(AG$16-AF$16),INDEX('AEA2012 update'!$AC$6:$AG$104,MATCH($T90&amp;$U90,'AEA2012 update'!$A$6:$A$104&amp;'AEA2012 update'!$B$6:$B$104,0),MATCH(AG$16,'AEA2012 update'!$AC$4:$AG$4,0)))</f>
        <v>14.68352511625908</v>
      </c>
      <c r="AH90" s="67">
        <f t="array" ref="AH90">IF($W$1,AG90*(1+INDEX(AH$1:AH$2,MATCH($O90,$AA$1:$AA$2,0)))^(AH$16-AG$16),INDEX('AEA2012 update'!$AC$6:$AG$104,MATCH($T90&amp;$U90,'AEA2012 update'!$A$6:$A$104&amp;'AEA2012 update'!$B$6:$B$104,0),MATCH(AH$16,'AEA2012 update'!$AC$4:$AG$4,0)))</f>
        <v>14.537348864783553</v>
      </c>
      <c r="AI90" s="67"/>
      <c r="AJ90" s="257">
        <f t="shared" ref="AJ90:AJ111" si="31">-((AD90-AE90)/($AE$16-$AD$16))/AD90</f>
        <v>-9.9551197902517097E-4</v>
      </c>
      <c r="AK90" s="257">
        <f t="shared" ref="AK90:AK110" si="32">-((AE90-AH90)/($AH$16-$AE$16))/AE90</f>
        <v>-9.8563442456379275E-4</v>
      </c>
      <c r="AQ90" s="61" t="str">
        <f t="shared" si="29"/>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48" x14ac:dyDescent="0.25">
      <c r="O91" s="61" t="s">
        <v>653</v>
      </c>
      <c r="Q91" s="61" t="str">
        <f t="shared" si="30"/>
        <v/>
      </c>
      <c r="S91" s="65"/>
      <c r="T91" s="256"/>
      <c r="U91" s="260"/>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28"/>
        <v/>
      </c>
      <c r="AD91" s="67"/>
      <c r="AE91" s="67">
        <f t="array" ref="AE91">IF($W$1,AD91*(1+INDEX(AE$1:AE$2,MATCH($O91,$AA$1:$AA$2,0)))^(AE$16-AD$16),INDEX('AEA2012 update'!$AC$6:$AG$104,MATCH($T91&amp;$U91,'AEA2012 update'!$A$6:$A$104&amp;'AEA2012 update'!$B$6:$B$104,0),MATCH(AE$16,'AEA2012 update'!$AC$4:$AG$4,0)))</f>
        <v>0</v>
      </c>
      <c r="AF91" s="67">
        <f t="array" ref="AF91">IF($W$1,AE91*(1+INDEX(AF$1:AF$2,MATCH($O91,$AA$1:$AA$2,0)))^(AF$16-AE$16),INDEX('AEA2012 update'!$AC$6:$AG$104,MATCH($T91&amp;$U91,'AEA2012 update'!$A$6:$A$104&amp;'AEA2012 update'!$B$6:$B$104,0),MATCH(AF$16,'AEA2012 update'!$AC$4:$AG$4,0)))</f>
        <v>0</v>
      </c>
      <c r="AG91" s="67">
        <f t="array" ref="AG91">IF($W$1,AF91*(1+INDEX(AG$1:AG$2,MATCH($O91,$AA$1:$AA$2,0)))^(AG$16-AF$16),INDEX('AEA2012 update'!$AC$6:$AG$104,MATCH($T91&amp;$U91,'AEA2012 update'!$A$6:$A$104&amp;'AEA2012 update'!$B$6:$B$104,0),MATCH(AG$16,'AEA2012 update'!$AC$4:$AG$4,0)))</f>
        <v>0</v>
      </c>
      <c r="AH91" s="67">
        <f t="array" ref="AH91">IF($W$1,AG91*(1+INDEX(AH$1:AH$2,MATCH($O91,$AA$1:$AA$2,0)))^(AH$16-AG$16),INDEX('AEA2012 update'!$AC$6:$AG$104,MATCH($T91&amp;$U91,'AEA2012 update'!$A$6:$A$104&amp;'AEA2012 update'!$B$6:$B$104,0),MATCH(AH$16,'AEA2012 update'!$AC$4:$AG$4,0)))</f>
        <v>0</v>
      </c>
      <c r="AI91" s="67"/>
      <c r="AJ91" s="257" t="e">
        <f t="shared" si="31"/>
        <v>#DIV/0!</v>
      </c>
      <c r="AK91" s="257" t="e">
        <f t="shared" si="32"/>
        <v>#DIV/0!</v>
      </c>
      <c r="AQ91" s="61" t="str">
        <f t="shared" si="29"/>
        <v>-</v>
      </c>
      <c r="AR91" s="80" t="e" cm="1">
        <f t="array" aca="1" ref="AR91" ca="1">AD91/INDIRECT("cv."&amp;LEFT($U91,6)&amp;".hhv.MJL") * 100</f>
        <v>#REF!</v>
      </c>
      <c r="AS91" s="80" t="e" cm="1">
        <f t="array" aca="1" ref="AS91" ca="1">AE91/INDIRECT("cv."&amp;LEFT($U91,6)&amp;".hhv.MJL") * 100</f>
        <v>#REF!</v>
      </c>
      <c r="AT91" s="80" t="e" cm="1">
        <f t="array" aca="1" ref="AT91" ca="1">AF91/INDIRECT("cv."&amp;LEFT($U91,6)&amp;".hhv.MJL") * 100</f>
        <v>#REF!</v>
      </c>
      <c r="AU91" s="80" t="e" cm="1">
        <f t="array" aca="1" ref="AU91" ca="1">AG91/INDIRECT("cv."&amp;LEFT($U91,6)&amp;".hhv.MJL") * 100</f>
        <v>#REF!</v>
      </c>
      <c r="AV91" s="80" t="e" cm="1">
        <f t="array" aca="1" ref="AV91" ca="1">AH91/INDIRECT("cv."&amp;LEFT($U91,6)&amp;".hhv.MJL") * 100</f>
        <v>#REF!</v>
      </c>
    </row>
    <row r="92" spans="14:48" x14ac:dyDescent="0.25">
      <c r="N92" s="61" t="s">
        <v>511</v>
      </c>
      <c r="O92" s="61" t="s">
        <v>653</v>
      </c>
      <c r="P92" s="61" t="s">
        <v>734</v>
      </c>
      <c r="Q92" s="61" t="str">
        <f t="shared" si="30"/>
        <v>CV5</v>
      </c>
      <c r="R92" s="61" t="s">
        <v>687</v>
      </c>
      <c r="S92" s="65"/>
      <c r="T92" s="256" t="s">
        <v>735</v>
      </c>
      <c r="U92" s="256" t="s">
        <v>687</v>
      </c>
      <c r="V92" s="103">
        <f t="array" ref="V92">IF(V$18,INDEX('AEA2012 update'!$K$6:$R$104,MATCH($T92&amp;$R92,'AEA2012 update'!$A$6:$A$104&amp;'AEA2012 update'!$B$6:$B$104,0),MATCH(V$16,'AEA2012 update'!$S$4:$Z$4,0)),INDEX('AEA2012 update'!$K$6:$R$104,MATCH($T92&amp;$U92,'AEA2012 update'!$A$6:$A$104&amp;'AEA2012 update'!$B$6:$B$104,0),MATCH(V$16,'AEA2012 update'!$S$4:$Z$4,0)))</f>
        <v>685854.55456102896</v>
      </c>
      <c r="W92" s="103">
        <f t="array" ref="W92">IF(W$18,INDEX('AEA2012 update'!$K$6:$R$104,MATCH($T92&amp;$R92,'AEA2012 update'!$A$6:$A$104&amp;'AEA2012 update'!$B$6:$B$104,0),MATCH(W$16,'AEA2012 update'!$S$4:$Z$4,0)),INDEX('AEA2012 update'!$K$6:$R$104,MATCH($T92&amp;$U92,'AEA2012 update'!$A$6:$A$104&amp;'AEA2012 update'!$B$6:$B$104,0),MATCH(W$16,'AEA2012 update'!$S$4:$Z$4,0)))</f>
        <v>827727.74685699318</v>
      </c>
      <c r="X92" s="103">
        <f t="array" ref="X92">IF(X$18,INDEX('AEA2012 update'!$K$6:$R$104,MATCH($T92&amp;$R92,'AEA2012 update'!$A$6:$A$104&amp;'AEA2012 update'!$B$6:$B$104,0),MATCH(X$16,'AEA2012 update'!$S$4:$Z$4,0)),INDEX('AEA2012 update'!$K$6:$R$104,MATCH($T92&amp;$U92,'AEA2012 update'!$A$6:$A$104&amp;'AEA2012 update'!$B$6:$B$104,0),MATCH(X$16,'AEA2012 update'!$S$4:$Z$4,0)))</f>
        <v>854497.09320833592</v>
      </c>
      <c r="Y92" s="103">
        <f t="array" ref="Y92">IF(Y$18,INDEX('AEA2012 update'!$K$6:$R$104,MATCH($T92&amp;$R92,'AEA2012 update'!$A$6:$A$104&amp;'AEA2012 update'!$B$6:$B$104,0),MATCH(Y$16,'AEA2012 update'!$S$4:$Z$4,0)),INDEX('AEA2012 update'!$K$6:$R$104,MATCH($T92&amp;$U92,'AEA2012 update'!$A$6:$A$104&amp;'AEA2012 update'!$B$6:$B$104,0),MATCH(Y$16,'AEA2012 update'!$S$4:$Z$4,0)))</f>
        <v>881266.43955967901</v>
      </c>
      <c r="Z92" s="103">
        <f t="array" ref="Z92">IF(Z$18,INDEX('AEA2012 update'!$K$6:$R$104,MATCH($T92&amp;$R92,'AEA2012 update'!$A$6:$A$104&amp;'AEA2012 update'!$B$6:$B$104,0),MATCH(Z$16,'AEA2012 update'!$S$4:$Z$4,0)),INDEX('AEA2012 update'!$K$6:$R$104,MATCH($T92&amp;$U92,'AEA2012 update'!$A$6:$A$104&amp;'AEA2012 update'!$B$6:$B$104,0),MATCH(Z$16,'AEA2012 update'!$S$4:$Z$4,0)))</f>
        <v>898447.87511458865</v>
      </c>
      <c r="AA92" s="103">
        <f t="array" ref="AA92">IF(AA$18,INDEX('AEA2012 update'!$K$6:$R$104,MATCH($T92&amp;$R92,'AEA2012 update'!$A$6:$A$104&amp;'AEA2012 update'!$B$6:$B$104,0),MATCH(AA$16,'AEA2012 update'!$S$4:$Z$4,0)),INDEX('AEA2012 update'!$K$6:$R$104,MATCH($T92&amp;$U92,'AEA2012 update'!$A$6:$A$104&amp;'AEA2012 update'!$B$6:$B$104,0),MATCH(AA$16,'AEA2012 update'!$S$4:$Z$4,0)))</f>
        <v>915629.31066949805</v>
      </c>
      <c r="AB92" s="103">
        <f t="array" ref="AB92">IF(AB$18,INDEX('AEA2012 update'!$K$6:$R$104,MATCH($T92&amp;$R92,'AEA2012 update'!$A$6:$A$104&amp;'AEA2012 update'!$B$6:$B$104,0),MATCH(AB$16,'AEA2012 update'!$S$4:$Z$4,0)),INDEX('AEA2012 update'!$K$6:$R$104,MATCH($T92&amp;$U92,'AEA2012 update'!$A$6:$A$104&amp;'AEA2012 update'!$B$6:$B$104,0),MATCH(AB$16,'AEA2012 update'!$S$4:$Z$4,0)))</f>
        <v>945215.87798179325</v>
      </c>
      <c r="AC92" s="103" t="str">
        <f t="shared" si="28"/>
        <v>CV5ODS</v>
      </c>
      <c r="AD92" s="67">
        <f t="array" ref="AD92">INDEX('AEA2012 update'!$AC$6:$AG$104,MATCH($T92&amp;$U92,'AEA2012 update'!$A$6:$A$104&amp;'AEA2012 update'!$B$6:$B$104,0),MATCH(AD$16,'AEA2012 update'!$S$4:$Z$4,0))</f>
        <v>12.405066687804799</v>
      </c>
      <c r="AE92" s="67">
        <f t="array" ref="AE92">IF($W$1,AD92*(1+INDEX(AE$1:AE$2,MATCH($O92,$AA$1:$AA$2,0)))^(AE$16-AD$16),INDEX('AEA2012 update'!$AC$6:$AG$104,MATCH($T92&amp;$U92,'AEA2012 update'!$A$6:$A$104&amp;'AEA2012 update'!$B$6:$B$104,0),MATCH(AE$16,'AEA2012 update'!$AC$4:$AG$4,0)))</f>
        <v>12.281572762921643</v>
      </c>
      <c r="AF92" s="67">
        <f t="array" ref="AF92">IF($W$1,AE92*(1+INDEX(AF$1:AF$2,MATCH($O92,$AA$1:$AA$2,0)))^(AF$16-AE$16),INDEX('AEA2012 update'!$AC$6:$AG$104,MATCH($T92&amp;$U92,'AEA2012 update'!$A$6:$A$104&amp;'AEA2012 update'!$B$6:$B$104,0),MATCH(AF$16,'AEA2012 update'!$AC$4:$AG$4,0)))</f>
        <v>12.159308234854066</v>
      </c>
      <c r="AG92" s="67">
        <f t="array" ref="AG92">IF($W$1,AF92*(1+INDEX(AG$1:AG$2,MATCH($O92,$AA$1:$AA$2,0)))^(AG$16-AF$16),INDEX('AEA2012 update'!$AC$6:$AG$104,MATCH($T92&amp;$U92,'AEA2012 update'!$A$6:$A$104&amp;'AEA2012 update'!$B$6:$B$104,0),MATCH(AG$16,'AEA2012 update'!$AC$4:$AG$4,0)))</f>
        <v>12.0382608648095</v>
      </c>
      <c r="AH92" s="67">
        <f t="array" ref="AH92">IF($W$1,AG92*(1+INDEX(AH$1:AH$2,MATCH($O92,$AA$1:$AA$2,0)))^(AH$16-AG$16),INDEX('AEA2012 update'!$AC$6:$AG$104,MATCH($T92&amp;$U92,'AEA2012 update'!$A$6:$A$104&amp;'AEA2012 update'!$B$6:$B$104,0),MATCH(AH$16,'AEA2012 update'!$AC$4:$AG$4,0)))</f>
        <v>11.918418535834023</v>
      </c>
      <c r="AI92" s="67"/>
      <c r="AJ92" s="257">
        <f t="shared" si="31"/>
        <v>-9.9551197902516121E-4</v>
      </c>
      <c r="AK92" s="257">
        <f t="shared" si="32"/>
        <v>-9.8563442456379513E-4</v>
      </c>
      <c r="AQ92" s="61" t="str">
        <f t="shared" si="29"/>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48" x14ac:dyDescent="0.25">
      <c r="N93" s="61" t="s">
        <v>504</v>
      </c>
      <c r="O93" s="61" t="s">
        <v>653</v>
      </c>
      <c r="P93" s="61" t="s">
        <v>734</v>
      </c>
      <c r="Q93" s="61" t="str">
        <f t="shared" si="30"/>
        <v>CV5</v>
      </c>
      <c r="R93" s="61" t="s">
        <v>687</v>
      </c>
      <c r="S93" s="65"/>
      <c r="T93" s="256" t="s">
        <v>735</v>
      </c>
      <c r="U93" s="256" t="s">
        <v>699</v>
      </c>
      <c r="V93" s="103">
        <f t="array" ref="V93">IF(V$18,INDEX('AEA2012 update'!$K$6:$R$104,MATCH($T93&amp;$R93,'AEA2012 update'!$A$6:$A$104&amp;'AEA2012 update'!$B$6:$B$104,0),MATCH(V$16,'AEA2012 update'!$S$4:$Z$4,0)),INDEX('AEA2012 update'!$K$6:$R$104,MATCH($T93&amp;$U93,'AEA2012 update'!$A$6:$A$104&amp;'AEA2012 update'!$B$6:$B$104,0),MATCH(V$16,'AEA2012 update'!$S$4:$Z$4,0)))</f>
        <v>4181375.5668412126</v>
      </c>
      <c r="W93" s="103">
        <f t="array" ref="W93">IF(W$18,INDEX('AEA2012 update'!$K$6:$R$104,MATCH($T93&amp;$R93,'AEA2012 update'!$A$6:$A$104&amp;'AEA2012 update'!$B$6:$B$104,0),MATCH(W$16,'AEA2012 update'!$S$4:$Z$4,0)),INDEX('AEA2012 update'!$K$6:$R$104,MATCH($T93&amp;$U93,'AEA2012 update'!$A$6:$A$104&amp;'AEA2012 update'!$B$6:$B$104,0),MATCH(W$16,'AEA2012 update'!$S$4:$Z$4,0)))</f>
        <v>1813107.7355248218</v>
      </c>
      <c r="X93" s="103">
        <f t="array" ref="X93">IF(X$18,INDEX('AEA2012 update'!$K$6:$R$104,MATCH($T93&amp;$R93,'AEA2012 update'!$A$6:$A$104&amp;'AEA2012 update'!$B$6:$B$104,0),MATCH(X$16,'AEA2012 update'!$S$4:$Z$4,0)),INDEX('AEA2012 update'!$K$6:$R$104,MATCH($T93&amp;$U93,'AEA2012 update'!$A$6:$A$104&amp;'AEA2012 update'!$B$6:$B$104,0),MATCH(X$16,'AEA2012 update'!$S$4:$Z$4,0)))</f>
        <v>1437160.6416999607</v>
      </c>
      <c r="Y93" s="103">
        <f t="array" ref="Y93">IF(Y$18,INDEX('AEA2012 update'!$K$6:$R$104,MATCH($T93&amp;$R93,'AEA2012 update'!$A$6:$A$104&amp;'AEA2012 update'!$B$6:$B$104,0),MATCH(Y$16,'AEA2012 update'!$S$4:$Z$4,0)),INDEX('AEA2012 update'!$K$6:$R$104,MATCH($T93&amp;$U93,'AEA2012 update'!$A$6:$A$104&amp;'AEA2012 update'!$B$6:$B$104,0),MATCH(Y$16,'AEA2012 update'!$S$4:$Z$4,0)))</f>
        <v>881266.43955967901</v>
      </c>
      <c r="Z93" s="103">
        <f t="array" ref="Z93">IF(Z$18,INDEX('AEA2012 update'!$K$6:$R$104,MATCH($T93&amp;$R93,'AEA2012 update'!$A$6:$A$104&amp;'AEA2012 update'!$B$6:$B$104,0),MATCH(Z$16,'AEA2012 update'!$S$4:$Z$4,0)),INDEX('AEA2012 update'!$K$6:$R$104,MATCH($T93&amp;$U93,'AEA2012 update'!$A$6:$A$104&amp;'AEA2012 update'!$B$6:$B$104,0),MATCH(Z$16,'AEA2012 update'!$S$4:$Z$4,0)))</f>
        <v>898447.87511458865</v>
      </c>
      <c r="AA93" s="103">
        <f t="array" ref="AA93">IF(AA$18,INDEX('AEA2012 update'!$K$6:$R$104,MATCH($T93&amp;$R93,'AEA2012 update'!$A$6:$A$104&amp;'AEA2012 update'!$B$6:$B$104,0),MATCH(AA$16,'AEA2012 update'!$S$4:$Z$4,0)),INDEX('AEA2012 update'!$K$6:$R$104,MATCH($T93&amp;$U93,'AEA2012 update'!$A$6:$A$104&amp;'AEA2012 update'!$B$6:$B$104,0),MATCH(AA$16,'AEA2012 update'!$S$4:$Z$4,0)))</f>
        <v>915629.31066949805</v>
      </c>
      <c r="AB93" s="103">
        <f t="array" ref="AB93">IF(AB$18,INDEX('AEA2012 update'!$K$6:$R$104,MATCH($T93&amp;$R93,'AEA2012 update'!$A$6:$A$104&amp;'AEA2012 update'!$B$6:$B$104,0),MATCH(AB$16,'AEA2012 update'!$S$4:$Z$4,0)),INDEX('AEA2012 update'!$K$6:$R$104,MATCH($T93&amp;$U93,'AEA2012 update'!$A$6:$A$104&amp;'AEA2012 update'!$B$6:$B$104,0),MATCH(AB$16,'AEA2012 update'!$S$4:$Z$4,0)))</f>
        <v>945215.87798179325</v>
      </c>
      <c r="AC93" s="103" t="str">
        <f t="shared" si="28"/>
        <v>CV5HGN</v>
      </c>
      <c r="AD93" s="67">
        <f t="array" ref="AD93">INDEX('AEA2012 update'!$AC$6:$AG$104,MATCH($T93&amp;$U93,'AEA2012 update'!$A$6:$A$104&amp;'AEA2012 update'!$B$6:$B$104,0),MATCH(AD$16,'AEA2012 update'!$S$4:$Z$4,0))</f>
        <v>5.8799360656642294</v>
      </c>
      <c r="AE93" s="67">
        <f t="array" ref="AE93">IF($W$1,AD93*(1+INDEX(AE$1:AE$2,MATCH($O93,$AA$1:$AA$2,0)))^(AE$16-AD$16),INDEX('AEA2012 update'!$AC$6:$AG$104,MATCH($T93&amp;$U93,'AEA2012 update'!$A$6:$A$104&amp;'AEA2012 update'!$B$6:$B$104,0),MATCH(AE$16,'AEA2012 update'!$AC$4:$AG$4,0)))</f>
        <v>5.8214005977715209</v>
      </c>
      <c r="AF93" s="67">
        <f t="array" ref="AF93">IF($W$1,AE93*(1+INDEX(AF$1:AF$2,MATCH($O93,$AA$1:$AA$2,0)))^(AF$16-AE$16),INDEX('AEA2012 update'!$AC$6:$AG$104,MATCH($T93&amp;$U93,'AEA2012 update'!$A$6:$A$104&amp;'AEA2012 update'!$B$6:$B$104,0),MATCH(AF$16,'AEA2012 update'!$AC$4:$AG$4,0)))</f>
        <v>5.7634478574736629</v>
      </c>
      <c r="AG93" s="67">
        <f t="array" ref="AG93">IF($W$1,AF93*(1+INDEX(AG$1:AG$2,MATCH($O93,$AA$1:$AA$2,0)))^(AG$16-AF$16),INDEX('AEA2012 update'!$AC$6:$AG$104,MATCH($T93&amp;$U93,'AEA2012 update'!$A$6:$A$104&amp;'AEA2012 update'!$B$6:$B$104,0),MATCH(AG$16,'AEA2012 update'!$AC$4:$AG$4,0)))</f>
        <v>5.7060720436476435</v>
      </c>
      <c r="AH93" s="67">
        <f t="array" ref="AH93">IF($W$1,AG93*(1+INDEX(AH$1:AH$2,MATCH($O93,$AA$1:$AA$2,0)))^(AH$16-AG$16),INDEX('AEA2012 update'!$AC$6:$AG$104,MATCH($T93&amp;$U93,'AEA2012 update'!$A$6:$A$104&amp;'AEA2012 update'!$B$6:$B$104,0),MATCH(AH$16,'AEA2012 update'!$AC$4:$AG$4,0)))</f>
        <v>5.6492674129213256</v>
      </c>
      <c r="AI93" s="67"/>
      <c r="AJ93" s="257">
        <f t="shared" si="31"/>
        <v>-9.9551197902516815E-4</v>
      </c>
      <c r="AK93" s="257">
        <f t="shared" si="32"/>
        <v>-9.8563442456379101E-4</v>
      </c>
      <c r="AQ93" s="61" t="str">
        <f t="shared" si="29"/>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48" x14ac:dyDescent="0.25">
      <c r="N94" s="61" t="s">
        <v>509</v>
      </c>
      <c r="O94" s="61" t="s">
        <v>653</v>
      </c>
      <c r="P94" s="61" t="s">
        <v>734</v>
      </c>
      <c r="Q94" s="61" t="str">
        <f t="shared" si="30"/>
        <v>CV5</v>
      </c>
      <c r="R94" s="61" t="s">
        <v>687</v>
      </c>
      <c r="S94" s="65"/>
      <c r="T94" s="256" t="s">
        <v>735</v>
      </c>
      <c r="U94" s="256" t="s">
        <v>700</v>
      </c>
      <c r="V94" s="103">
        <f t="array" ref="V94">IF(V$18,INDEX('AEA2012 update'!$K$6:$R$104,MATCH($T94&amp;$R94,'AEA2012 update'!$A$6:$A$104&amp;'AEA2012 update'!$B$6:$B$104,0),MATCH(V$16,'AEA2012 update'!$S$4:$Z$4,0)),INDEX('AEA2012 update'!$K$6:$R$104,MATCH($T94&amp;$U94,'AEA2012 update'!$A$6:$A$104&amp;'AEA2012 update'!$B$6:$B$104,0),MATCH(V$16,'AEA2012 update'!$S$4:$Z$4,0)))</f>
        <v>935580.03017164103</v>
      </c>
      <c r="W94" s="103">
        <f t="array" ref="W94">IF(W$18,INDEX('AEA2012 update'!$K$6:$R$104,MATCH($T94&amp;$R94,'AEA2012 update'!$A$6:$A$104&amp;'AEA2012 update'!$B$6:$B$104,0),MATCH(W$16,'AEA2012 update'!$S$4:$Z$4,0)),INDEX('AEA2012 update'!$K$6:$R$104,MATCH($T94&amp;$U94,'AEA2012 update'!$A$6:$A$104&amp;'AEA2012 update'!$B$6:$B$104,0),MATCH(W$16,'AEA2012 update'!$S$4:$Z$4,0)))</f>
        <v>955910.20610261254</v>
      </c>
      <c r="X94" s="103">
        <f t="array" ref="X94">IF(X$18,INDEX('AEA2012 update'!$K$6:$R$104,MATCH($T94&amp;$R94,'AEA2012 update'!$A$6:$A$104&amp;'AEA2012 update'!$B$6:$B$104,0),MATCH(X$16,'AEA2012 update'!$S$4:$Z$4,0)),INDEX('AEA2012 update'!$K$6:$R$104,MATCH($T94&amp;$U94,'AEA2012 update'!$A$6:$A$104&amp;'AEA2012 update'!$B$6:$B$104,0),MATCH(X$16,'AEA2012 update'!$S$4:$Z$4,0)))</f>
        <v>961413.7558443757</v>
      </c>
      <c r="Y94" s="103">
        <f t="array" ref="Y94">IF(Y$18,INDEX('AEA2012 update'!$K$6:$R$104,MATCH($T94&amp;$R94,'AEA2012 update'!$A$6:$A$104&amp;'AEA2012 update'!$B$6:$B$104,0),MATCH(Y$16,'AEA2012 update'!$S$4:$Z$4,0)),INDEX('AEA2012 update'!$K$6:$R$104,MATCH($T94&amp;$U94,'AEA2012 update'!$A$6:$A$104&amp;'AEA2012 update'!$B$6:$B$104,0),MATCH(Y$16,'AEA2012 update'!$S$4:$Z$4,0)))</f>
        <v>881266.43955967901</v>
      </c>
      <c r="Z94" s="103">
        <f t="array" ref="Z94">IF(Z$18,INDEX('AEA2012 update'!$K$6:$R$104,MATCH($T94&amp;$R94,'AEA2012 update'!$A$6:$A$104&amp;'AEA2012 update'!$B$6:$B$104,0),MATCH(Z$16,'AEA2012 update'!$S$4:$Z$4,0)),INDEX('AEA2012 update'!$K$6:$R$104,MATCH($T94&amp;$U94,'AEA2012 update'!$A$6:$A$104&amp;'AEA2012 update'!$B$6:$B$104,0),MATCH(Z$16,'AEA2012 update'!$S$4:$Z$4,0)))</f>
        <v>898447.87511458865</v>
      </c>
      <c r="AA94" s="103">
        <f t="array" ref="AA94">IF(AA$18,INDEX('AEA2012 update'!$K$6:$R$104,MATCH($T94&amp;$R94,'AEA2012 update'!$A$6:$A$104&amp;'AEA2012 update'!$B$6:$B$104,0),MATCH(AA$16,'AEA2012 update'!$S$4:$Z$4,0)),INDEX('AEA2012 update'!$K$6:$R$104,MATCH($T94&amp;$U94,'AEA2012 update'!$A$6:$A$104&amp;'AEA2012 update'!$B$6:$B$104,0),MATCH(AA$16,'AEA2012 update'!$S$4:$Z$4,0)))</f>
        <v>915629.31066949805</v>
      </c>
      <c r="AB94" s="103">
        <f t="array" ref="AB94">IF(AB$18,INDEX('AEA2012 update'!$K$6:$R$104,MATCH($T94&amp;$R94,'AEA2012 update'!$A$6:$A$104&amp;'AEA2012 update'!$B$6:$B$104,0),MATCH(AB$16,'AEA2012 update'!$S$4:$Z$4,0)),INDEX('AEA2012 update'!$K$6:$R$104,MATCH($T94&amp;$U94,'AEA2012 update'!$A$6:$A$104&amp;'AEA2012 update'!$B$6:$B$104,0),MATCH(AB$16,'AEA2012 update'!$S$4:$Z$4,0)))</f>
        <v>945215.87798179325</v>
      </c>
      <c r="AC94" s="103" t="str">
        <f t="shared" si="28"/>
        <v>CV5GAS</v>
      </c>
      <c r="AD94" s="67">
        <f t="array" ref="AD94">INDEX('AEA2012 update'!$AC$6:$AG$104,MATCH($T94&amp;$U94,'AEA2012 update'!$A$6:$A$104&amp;'AEA2012 update'!$B$6:$B$104,0),MATCH(AD$16,'AEA2012 update'!$S$4:$Z$4,0))</f>
        <v>14.265826690975519</v>
      </c>
      <c r="AE94" s="67">
        <f t="array" ref="AE94">IF($W$1,AD94*(1+INDEX(AE$1:AE$2,MATCH($O94,$AA$1:$AA$2,0)))^(AE$16-AD$16),INDEX('AEA2012 update'!$AC$6:$AG$104,MATCH($T94&amp;$U94,'AEA2012 update'!$A$6:$A$104&amp;'AEA2012 update'!$B$6:$B$104,0),MATCH(AE$16,'AEA2012 update'!$AC$4:$AG$4,0)))</f>
        <v>14.123808677359888</v>
      </c>
      <c r="AF94" s="67">
        <f t="array" ref="AF94">IF($W$1,AE94*(1+INDEX(AF$1:AF$2,MATCH($O94,$AA$1:$AA$2,0)))^(AF$16-AE$16),INDEX('AEA2012 update'!$AC$6:$AG$104,MATCH($T94&amp;$U94,'AEA2012 update'!$A$6:$A$104&amp;'AEA2012 update'!$B$6:$B$104,0),MATCH(AF$16,'AEA2012 update'!$AC$4:$AG$4,0)))</f>
        <v>13.983204470082175</v>
      </c>
      <c r="AG94" s="67">
        <f t="array" ref="AG94">IF($W$1,AF94*(1+INDEX(AG$1:AG$2,MATCH($O94,$AA$1:$AA$2,0)))^(AG$16-AF$16),INDEX('AEA2012 update'!$AC$6:$AG$104,MATCH($T94&amp;$U94,'AEA2012 update'!$A$6:$A$104&amp;'AEA2012 update'!$B$6:$B$104,0),MATCH(AG$16,'AEA2012 update'!$AC$4:$AG$4,0)))</f>
        <v>13.843999994530924</v>
      </c>
      <c r="AH94" s="67">
        <f t="array" ref="AH94">IF($W$1,AG94*(1+INDEX(AH$1:AH$2,MATCH($O94,$AA$1:$AA$2,0)))^(AH$16-AG$16),INDEX('AEA2012 update'!$AC$6:$AG$104,MATCH($T94&amp;$U94,'AEA2012 update'!$A$6:$A$104&amp;'AEA2012 update'!$B$6:$B$104,0),MATCH(AH$16,'AEA2012 update'!$AC$4:$AG$4,0)))</f>
        <v>13.706181316209125</v>
      </c>
      <c r="AI94" s="67"/>
      <c r="AJ94" s="257">
        <f t="shared" si="31"/>
        <v>-9.9551197902517118E-4</v>
      </c>
      <c r="AK94" s="257">
        <f t="shared" si="32"/>
        <v>-9.8563442456379448E-4</v>
      </c>
      <c r="AQ94" s="61" t="str">
        <f t="shared" si="29"/>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48" x14ac:dyDescent="0.25">
      <c r="O95" s="61" t="s">
        <v>653</v>
      </c>
      <c r="Q95" s="61" t="str">
        <f t="shared" si="30"/>
        <v/>
      </c>
      <c r="S95" s="65"/>
      <c r="T95" s="256"/>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8"/>
        <v/>
      </c>
      <c r="AD95" s="67" t="e">
        <f t="array" ref="AD95">INDEX('AEA2012 update'!$AC$6:$AG$104,MATCH($T95&amp;$U95,'AEA2012 update'!$A$6:$A$104&amp;'AEA2012 update'!$B$6:$B$104,0),MATCH(AD$16,'AEA2012 update'!$S$4:$Z$4,0))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57" t="e">
        <f t="shared" si="31"/>
        <v>#N/A</v>
      </c>
      <c r="AK95" s="257" t="e">
        <f t="shared" si="32"/>
        <v>#N/A</v>
      </c>
      <c r="AQ95" s="61" t="str">
        <f t="shared" si="29"/>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48" x14ac:dyDescent="0.25">
      <c r="N96" s="61" t="s">
        <v>511</v>
      </c>
      <c r="O96" s="61" t="s">
        <v>653</v>
      </c>
      <c r="P96" s="61" t="s">
        <v>741</v>
      </c>
      <c r="Q96" s="61" t="str">
        <f t="shared" si="30"/>
        <v>CV6</v>
      </c>
      <c r="R96" s="61" t="s">
        <v>687</v>
      </c>
      <c r="S96" s="65"/>
      <c r="T96" s="256" t="s">
        <v>735</v>
      </c>
      <c r="U96" s="256" t="s">
        <v>687</v>
      </c>
      <c r="V96" s="103">
        <f t="array" ref="V96">IF(V$18,INDEX('AEA2012 update'!$K$6:$R$104,MATCH($T96&amp;$R96,'AEA2012 update'!$A$6:$A$104&amp;'AEA2012 update'!$B$6:$B$104,0),MATCH(V$16,'AEA2012 update'!$S$4:$Z$4,0)),INDEX('AEA2012 update'!$K$6:$R$104,MATCH($T96&amp;$U96,'AEA2012 update'!$A$6:$A$104&amp;'AEA2012 update'!$B$6:$B$104,0),MATCH(V$16,'AEA2012 update'!$S$4:$Z$4,0)))</f>
        <v>685854.55456102896</v>
      </c>
      <c r="W96" s="103">
        <f t="array" ref="W96">IF(W$18,INDEX('AEA2012 update'!$K$6:$R$104,MATCH($T96&amp;$R96,'AEA2012 update'!$A$6:$A$104&amp;'AEA2012 update'!$B$6:$B$104,0),MATCH(W$16,'AEA2012 update'!$S$4:$Z$4,0)),INDEX('AEA2012 update'!$K$6:$R$104,MATCH($T96&amp;$U96,'AEA2012 update'!$A$6:$A$104&amp;'AEA2012 update'!$B$6:$B$104,0),MATCH(W$16,'AEA2012 update'!$S$4:$Z$4,0)))</f>
        <v>827727.74685699318</v>
      </c>
      <c r="X96" s="103">
        <f t="array" ref="X96">IF(X$18,INDEX('AEA2012 update'!$K$6:$R$104,MATCH($T96&amp;$R96,'AEA2012 update'!$A$6:$A$104&amp;'AEA2012 update'!$B$6:$B$104,0),MATCH(X$16,'AEA2012 update'!$S$4:$Z$4,0)),INDEX('AEA2012 update'!$K$6:$R$104,MATCH($T96&amp;$U96,'AEA2012 update'!$A$6:$A$104&amp;'AEA2012 update'!$B$6:$B$104,0),MATCH(X$16,'AEA2012 update'!$S$4:$Z$4,0)))</f>
        <v>854497.09320833592</v>
      </c>
      <c r="Y96" s="103">
        <f t="array" ref="Y96">IF(Y$18,INDEX('AEA2012 update'!$K$6:$R$104,MATCH($T96&amp;$R96,'AEA2012 update'!$A$6:$A$104&amp;'AEA2012 update'!$B$6:$B$104,0),MATCH(Y$16,'AEA2012 update'!$S$4:$Z$4,0)),INDEX('AEA2012 update'!$K$6:$R$104,MATCH($T96&amp;$U96,'AEA2012 update'!$A$6:$A$104&amp;'AEA2012 update'!$B$6:$B$104,0),MATCH(Y$16,'AEA2012 update'!$S$4:$Z$4,0)))</f>
        <v>881266.43955967901</v>
      </c>
      <c r="Z96" s="103">
        <f t="array" ref="Z96">IF(Z$18,INDEX('AEA2012 update'!$K$6:$R$104,MATCH($T96&amp;$R96,'AEA2012 update'!$A$6:$A$104&amp;'AEA2012 update'!$B$6:$B$104,0),MATCH(Z$16,'AEA2012 update'!$S$4:$Z$4,0)),INDEX('AEA2012 update'!$K$6:$R$104,MATCH($T96&amp;$U96,'AEA2012 update'!$A$6:$A$104&amp;'AEA2012 update'!$B$6:$B$104,0),MATCH(Z$16,'AEA2012 update'!$S$4:$Z$4,0)))</f>
        <v>898447.87511458865</v>
      </c>
      <c r="AA96" s="103">
        <f t="array" ref="AA96">IF(AA$18,INDEX('AEA2012 update'!$K$6:$R$104,MATCH($T96&amp;$R96,'AEA2012 update'!$A$6:$A$104&amp;'AEA2012 update'!$B$6:$B$104,0),MATCH(AA$16,'AEA2012 update'!$S$4:$Z$4,0)),INDEX('AEA2012 update'!$K$6:$R$104,MATCH($T96&amp;$U96,'AEA2012 update'!$A$6:$A$104&amp;'AEA2012 update'!$B$6:$B$104,0),MATCH(AA$16,'AEA2012 update'!$S$4:$Z$4,0)))</f>
        <v>915629.31066949805</v>
      </c>
      <c r="AB96" s="103">
        <f t="array" ref="AB96">IF(AB$18,INDEX('AEA2012 update'!$K$6:$R$104,MATCH($T96&amp;$R96,'AEA2012 update'!$A$6:$A$104&amp;'AEA2012 update'!$B$6:$B$104,0),MATCH(AB$16,'AEA2012 update'!$S$4:$Z$4,0)),INDEX('AEA2012 update'!$K$6:$R$104,MATCH($T96&amp;$U96,'AEA2012 update'!$A$6:$A$104&amp;'AEA2012 update'!$B$6:$B$104,0),MATCH(AB$16,'AEA2012 update'!$S$4:$Z$4,0)))</f>
        <v>945215.87798179325</v>
      </c>
      <c r="AC96" s="103" t="str">
        <f t="shared" si="28"/>
        <v>CV6ODS</v>
      </c>
      <c r="AD96" s="67">
        <f t="array" ref="AD96">INDEX('AEA2012 update'!$AC$6:$AG$104,MATCH($T96&amp;$U96,'AEA2012 update'!$A$6:$A$104&amp;'AEA2012 update'!$B$6:$B$104,0),MATCH(AD$16,'AEA2012 update'!$S$4:$Z$4,0))</f>
        <v>12.405066687804799</v>
      </c>
      <c r="AE96" s="67">
        <f t="array" ref="AE96">IF($W$1,AD96*(1+INDEX(AE$1:AE$2,MATCH($O96,$AA$1:$AA$2,0)))^(AE$16-AD$16),INDEX('AEA2012 update'!$AC$6:$AG$104,MATCH($T96&amp;$U96,'AEA2012 update'!$A$6:$A$104&amp;'AEA2012 update'!$B$6:$B$104,0),MATCH(AE$16,'AEA2012 update'!$AC$4:$AG$4,0)))</f>
        <v>12.281572762921643</v>
      </c>
      <c r="AF96" s="67">
        <f t="array" ref="AF96">IF($W$1,AE96*(1+INDEX(AF$1:AF$2,MATCH($O96,$AA$1:$AA$2,0)))^(AF$16-AE$16),INDEX('AEA2012 update'!$AC$6:$AG$104,MATCH($T96&amp;$U96,'AEA2012 update'!$A$6:$A$104&amp;'AEA2012 update'!$B$6:$B$104,0),MATCH(AF$16,'AEA2012 update'!$AC$4:$AG$4,0)))</f>
        <v>12.159308234854066</v>
      </c>
      <c r="AG96" s="67">
        <f t="array" ref="AG96">IF($W$1,AF96*(1+INDEX(AG$1:AG$2,MATCH($O96,$AA$1:$AA$2,0)))^(AG$16-AF$16),INDEX('AEA2012 update'!$AC$6:$AG$104,MATCH($T96&amp;$U96,'AEA2012 update'!$A$6:$A$104&amp;'AEA2012 update'!$B$6:$B$104,0),MATCH(AG$16,'AEA2012 update'!$AC$4:$AG$4,0)))</f>
        <v>12.0382608648095</v>
      </c>
      <c r="AH96" s="67">
        <f t="array" ref="AH96">IF($W$1,AG96*(1+INDEX(AH$1:AH$2,MATCH($O96,$AA$1:$AA$2,0)))^(AH$16-AG$16),INDEX('AEA2012 update'!$AC$6:$AG$104,MATCH($T96&amp;$U96,'AEA2012 update'!$A$6:$A$104&amp;'AEA2012 update'!$B$6:$B$104,0),MATCH(AH$16,'AEA2012 update'!$AC$4:$AG$4,0)))</f>
        <v>11.918418535834023</v>
      </c>
      <c r="AI96" s="67"/>
      <c r="AJ96" s="257">
        <f t="shared" si="31"/>
        <v>-9.9551197902516121E-4</v>
      </c>
      <c r="AK96" s="257">
        <f t="shared" si="32"/>
        <v>-9.8563442456379513E-4</v>
      </c>
      <c r="AQ96" s="61" t="str">
        <f t="shared" si="29"/>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4:51" x14ac:dyDescent="0.25">
      <c r="N97" s="61" t="s">
        <v>504</v>
      </c>
      <c r="O97" s="61" t="s">
        <v>653</v>
      </c>
      <c r="P97" s="61" t="s">
        <v>741</v>
      </c>
      <c r="Q97" s="61" t="str">
        <f t="shared" si="30"/>
        <v>CV6</v>
      </c>
      <c r="R97" s="61" t="s">
        <v>687</v>
      </c>
      <c r="S97" s="65"/>
      <c r="T97" s="256" t="s">
        <v>735</v>
      </c>
      <c r="U97" s="256" t="s">
        <v>699</v>
      </c>
      <c r="V97" s="103">
        <f t="array" ref="V97">IF(V$18,INDEX('AEA2012 update'!$K$6:$R$104,MATCH($T97&amp;$R97,'AEA2012 update'!$A$6:$A$104&amp;'AEA2012 update'!$B$6:$B$104,0),MATCH(V$16,'AEA2012 update'!$S$4:$Z$4,0)),INDEX('AEA2012 update'!$K$6:$R$104,MATCH($T97&amp;$U97,'AEA2012 update'!$A$6:$A$104&amp;'AEA2012 update'!$B$6:$B$104,0),MATCH(V$16,'AEA2012 update'!$S$4:$Z$4,0)))</f>
        <v>4181375.5668412126</v>
      </c>
      <c r="W97" s="103">
        <f t="array" ref="W97">IF(W$18,INDEX('AEA2012 update'!$K$6:$R$104,MATCH($T97&amp;$R97,'AEA2012 update'!$A$6:$A$104&amp;'AEA2012 update'!$B$6:$B$104,0),MATCH(W$16,'AEA2012 update'!$S$4:$Z$4,0)),INDEX('AEA2012 update'!$K$6:$R$104,MATCH($T97&amp;$U97,'AEA2012 update'!$A$6:$A$104&amp;'AEA2012 update'!$B$6:$B$104,0),MATCH(W$16,'AEA2012 update'!$S$4:$Z$4,0)))</f>
        <v>1813107.7355248218</v>
      </c>
      <c r="X97" s="103">
        <f t="array" ref="X97">IF(X$18,INDEX('AEA2012 update'!$K$6:$R$104,MATCH($T97&amp;$R97,'AEA2012 update'!$A$6:$A$104&amp;'AEA2012 update'!$B$6:$B$104,0),MATCH(X$16,'AEA2012 update'!$S$4:$Z$4,0)),INDEX('AEA2012 update'!$K$6:$R$104,MATCH($T97&amp;$U97,'AEA2012 update'!$A$6:$A$104&amp;'AEA2012 update'!$B$6:$B$104,0),MATCH(X$16,'AEA2012 update'!$S$4:$Z$4,0)))</f>
        <v>1437160.6416999607</v>
      </c>
      <c r="Y97" s="103">
        <f t="array" ref="Y97">IF(Y$18,INDEX('AEA2012 update'!$K$6:$R$104,MATCH($T97&amp;$R97,'AEA2012 update'!$A$6:$A$104&amp;'AEA2012 update'!$B$6:$B$104,0),MATCH(Y$16,'AEA2012 update'!$S$4:$Z$4,0)),INDEX('AEA2012 update'!$K$6:$R$104,MATCH($T97&amp;$U97,'AEA2012 update'!$A$6:$A$104&amp;'AEA2012 update'!$B$6:$B$104,0),MATCH(Y$16,'AEA2012 update'!$S$4:$Z$4,0)))</f>
        <v>881266.43955967901</v>
      </c>
      <c r="Z97" s="103">
        <f t="array" ref="Z97">IF(Z$18,INDEX('AEA2012 update'!$K$6:$R$104,MATCH($T97&amp;$R97,'AEA2012 update'!$A$6:$A$104&amp;'AEA2012 update'!$B$6:$B$104,0),MATCH(Z$16,'AEA2012 update'!$S$4:$Z$4,0)),INDEX('AEA2012 update'!$K$6:$R$104,MATCH($T97&amp;$U97,'AEA2012 update'!$A$6:$A$104&amp;'AEA2012 update'!$B$6:$B$104,0),MATCH(Z$16,'AEA2012 update'!$S$4:$Z$4,0)))</f>
        <v>898447.87511458865</v>
      </c>
      <c r="AA97" s="103">
        <f t="array" ref="AA97">IF(AA$18,INDEX('AEA2012 update'!$K$6:$R$104,MATCH($T97&amp;$R97,'AEA2012 update'!$A$6:$A$104&amp;'AEA2012 update'!$B$6:$B$104,0),MATCH(AA$16,'AEA2012 update'!$S$4:$Z$4,0)),INDEX('AEA2012 update'!$K$6:$R$104,MATCH($T97&amp;$U97,'AEA2012 update'!$A$6:$A$104&amp;'AEA2012 update'!$B$6:$B$104,0),MATCH(AA$16,'AEA2012 update'!$S$4:$Z$4,0)))</f>
        <v>915629.31066949805</v>
      </c>
      <c r="AB97" s="103">
        <f t="array" ref="AB97">IF(AB$18,INDEX('AEA2012 update'!$K$6:$R$104,MATCH($T97&amp;$R97,'AEA2012 update'!$A$6:$A$104&amp;'AEA2012 update'!$B$6:$B$104,0),MATCH(AB$16,'AEA2012 update'!$S$4:$Z$4,0)),INDEX('AEA2012 update'!$K$6:$R$104,MATCH($T97&amp;$U97,'AEA2012 update'!$A$6:$A$104&amp;'AEA2012 update'!$B$6:$B$104,0),MATCH(AB$16,'AEA2012 update'!$S$4:$Z$4,0)))</f>
        <v>945215.87798179325</v>
      </c>
      <c r="AC97" s="103" t="str">
        <f t="shared" si="28"/>
        <v>CV6HGN</v>
      </c>
      <c r="AD97" s="67">
        <f t="array" ref="AD97">INDEX('AEA2012 update'!$AC$6:$AG$104,MATCH($T97&amp;$U97,'AEA2012 update'!$A$6:$A$104&amp;'AEA2012 update'!$B$6:$B$104,0),MATCH(AD$16,'AEA2012 update'!$S$4:$Z$4,0))</f>
        <v>5.8799360656642294</v>
      </c>
      <c r="AE97" s="67">
        <f t="array" ref="AE97">IF($W$1,AD97*(1+INDEX(AE$1:AE$2,MATCH($O97,$AA$1:$AA$2,0)))^(AE$16-AD$16),INDEX('AEA2012 update'!$AC$6:$AG$104,MATCH($T97&amp;$U97,'AEA2012 update'!$A$6:$A$104&amp;'AEA2012 update'!$B$6:$B$104,0),MATCH(AE$16,'AEA2012 update'!$AC$4:$AG$4,0)))</f>
        <v>5.8214005977715209</v>
      </c>
      <c r="AF97" s="67">
        <f t="array" ref="AF97">IF($W$1,AE97*(1+INDEX(AF$1:AF$2,MATCH($O97,$AA$1:$AA$2,0)))^(AF$16-AE$16),INDEX('AEA2012 update'!$AC$6:$AG$104,MATCH($T97&amp;$U97,'AEA2012 update'!$A$6:$A$104&amp;'AEA2012 update'!$B$6:$B$104,0),MATCH(AF$16,'AEA2012 update'!$AC$4:$AG$4,0)))</f>
        <v>5.7634478574736629</v>
      </c>
      <c r="AG97" s="67">
        <f t="array" ref="AG97">IF($W$1,AF97*(1+INDEX(AG$1:AG$2,MATCH($O97,$AA$1:$AA$2,0)))^(AG$16-AF$16),INDEX('AEA2012 update'!$AC$6:$AG$104,MATCH($T97&amp;$U97,'AEA2012 update'!$A$6:$A$104&amp;'AEA2012 update'!$B$6:$B$104,0),MATCH(AG$16,'AEA2012 update'!$AC$4:$AG$4,0)))</f>
        <v>5.7060720436476435</v>
      </c>
      <c r="AH97" s="67">
        <f t="array" ref="AH97">IF($W$1,AG97*(1+INDEX(AH$1:AH$2,MATCH($O97,$AA$1:$AA$2,0)))^(AH$16-AG$16),INDEX('AEA2012 update'!$AC$6:$AG$104,MATCH($T97&amp;$U97,'AEA2012 update'!$A$6:$A$104&amp;'AEA2012 update'!$B$6:$B$104,0),MATCH(AH$16,'AEA2012 update'!$AC$4:$AG$4,0)))</f>
        <v>5.6492674129213256</v>
      </c>
      <c r="AI97" s="67"/>
      <c r="AJ97" s="257">
        <f t="shared" si="31"/>
        <v>-9.9551197902516815E-4</v>
      </c>
      <c r="AK97" s="257">
        <f t="shared" si="32"/>
        <v>-9.8563442456379101E-4</v>
      </c>
      <c r="AQ97" s="61" t="str">
        <f t="shared" si="29"/>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4:51" x14ac:dyDescent="0.25">
      <c r="N98" s="61" t="s">
        <v>509</v>
      </c>
      <c r="O98" s="61" t="s">
        <v>653</v>
      </c>
      <c r="P98" s="61" t="s">
        <v>741</v>
      </c>
      <c r="Q98" s="61" t="str">
        <f t="shared" si="30"/>
        <v>CV6</v>
      </c>
      <c r="R98" s="61" t="s">
        <v>687</v>
      </c>
      <c r="S98" s="65"/>
      <c r="T98" s="256" t="s">
        <v>735</v>
      </c>
      <c r="U98" s="256" t="s">
        <v>700</v>
      </c>
      <c r="V98" s="103">
        <f t="array" ref="V98">IF(V$18,INDEX('AEA2012 update'!$K$6:$R$104,MATCH($T98&amp;$R98,'AEA2012 update'!$A$6:$A$104&amp;'AEA2012 update'!$B$6:$B$104,0),MATCH(V$16,'AEA2012 update'!$S$4:$Z$4,0)),INDEX('AEA2012 update'!$K$6:$R$104,MATCH($T98&amp;$U98,'AEA2012 update'!$A$6:$A$104&amp;'AEA2012 update'!$B$6:$B$104,0),MATCH(V$16,'AEA2012 update'!$S$4:$Z$4,0)))</f>
        <v>935580.03017164103</v>
      </c>
      <c r="W98" s="103">
        <f t="array" ref="W98">IF(W$18,INDEX('AEA2012 update'!$K$6:$R$104,MATCH($T98&amp;$R98,'AEA2012 update'!$A$6:$A$104&amp;'AEA2012 update'!$B$6:$B$104,0),MATCH(W$16,'AEA2012 update'!$S$4:$Z$4,0)),INDEX('AEA2012 update'!$K$6:$R$104,MATCH($T98&amp;$U98,'AEA2012 update'!$A$6:$A$104&amp;'AEA2012 update'!$B$6:$B$104,0),MATCH(W$16,'AEA2012 update'!$S$4:$Z$4,0)))</f>
        <v>955910.20610261254</v>
      </c>
      <c r="X98" s="103">
        <f t="array" ref="X98">IF(X$18,INDEX('AEA2012 update'!$K$6:$R$104,MATCH($T98&amp;$R98,'AEA2012 update'!$A$6:$A$104&amp;'AEA2012 update'!$B$6:$B$104,0),MATCH(X$16,'AEA2012 update'!$S$4:$Z$4,0)),INDEX('AEA2012 update'!$K$6:$R$104,MATCH($T98&amp;$U98,'AEA2012 update'!$A$6:$A$104&amp;'AEA2012 update'!$B$6:$B$104,0),MATCH(X$16,'AEA2012 update'!$S$4:$Z$4,0)))</f>
        <v>961413.7558443757</v>
      </c>
      <c r="Y98" s="103">
        <f t="array" ref="Y98">IF(Y$18,INDEX('AEA2012 update'!$K$6:$R$104,MATCH($T98&amp;$R98,'AEA2012 update'!$A$6:$A$104&amp;'AEA2012 update'!$B$6:$B$104,0),MATCH(Y$16,'AEA2012 update'!$S$4:$Z$4,0)),INDEX('AEA2012 update'!$K$6:$R$104,MATCH($T98&amp;$U98,'AEA2012 update'!$A$6:$A$104&amp;'AEA2012 update'!$B$6:$B$104,0),MATCH(Y$16,'AEA2012 update'!$S$4:$Z$4,0)))</f>
        <v>881266.43955967901</v>
      </c>
      <c r="Z98" s="103">
        <f t="array" ref="Z98">IF(Z$18,INDEX('AEA2012 update'!$K$6:$R$104,MATCH($T98&amp;$R98,'AEA2012 update'!$A$6:$A$104&amp;'AEA2012 update'!$B$6:$B$104,0),MATCH(Z$16,'AEA2012 update'!$S$4:$Z$4,0)),INDEX('AEA2012 update'!$K$6:$R$104,MATCH($T98&amp;$U98,'AEA2012 update'!$A$6:$A$104&amp;'AEA2012 update'!$B$6:$B$104,0),MATCH(Z$16,'AEA2012 update'!$S$4:$Z$4,0)))</f>
        <v>898447.87511458865</v>
      </c>
      <c r="AA98" s="103">
        <f t="array" ref="AA98">IF(AA$18,INDEX('AEA2012 update'!$K$6:$R$104,MATCH($T98&amp;$R98,'AEA2012 update'!$A$6:$A$104&amp;'AEA2012 update'!$B$6:$B$104,0),MATCH(AA$16,'AEA2012 update'!$S$4:$Z$4,0)),INDEX('AEA2012 update'!$K$6:$R$104,MATCH($T98&amp;$U98,'AEA2012 update'!$A$6:$A$104&amp;'AEA2012 update'!$B$6:$B$104,0),MATCH(AA$16,'AEA2012 update'!$S$4:$Z$4,0)))</f>
        <v>915629.31066949805</v>
      </c>
      <c r="AB98" s="103">
        <f t="array" ref="AB98">IF(AB$18,INDEX('AEA2012 update'!$K$6:$R$104,MATCH($T98&amp;$R98,'AEA2012 update'!$A$6:$A$104&amp;'AEA2012 update'!$B$6:$B$104,0),MATCH(AB$16,'AEA2012 update'!$S$4:$Z$4,0)),INDEX('AEA2012 update'!$K$6:$R$104,MATCH($T98&amp;$U98,'AEA2012 update'!$A$6:$A$104&amp;'AEA2012 update'!$B$6:$B$104,0),MATCH(AB$16,'AEA2012 update'!$S$4:$Z$4,0)))</f>
        <v>945215.87798179325</v>
      </c>
      <c r="AC98" s="103" t="str">
        <f t="shared" si="28"/>
        <v>CV6GAS</v>
      </c>
      <c r="AD98" s="67">
        <f t="array" ref="AD98">INDEX('AEA2012 update'!$AC$6:$AG$104,MATCH($T98&amp;$U98,'AEA2012 update'!$A$6:$A$104&amp;'AEA2012 update'!$B$6:$B$104,0),MATCH(AD$16,'AEA2012 update'!$S$4:$Z$4,0))</f>
        <v>14.265826690975519</v>
      </c>
      <c r="AE98" s="67">
        <f t="array" ref="AE98">IF($W$1,AD98*(1+INDEX(AE$1:AE$2,MATCH($O98,$AA$1:$AA$2,0)))^(AE$16-AD$16),INDEX('AEA2012 update'!$AC$6:$AG$104,MATCH($T98&amp;$U98,'AEA2012 update'!$A$6:$A$104&amp;'AEA2012 update'!$B$6:$B$104,0),MATCH(AE$16,'AEA2012 update'!$AC$4:$AG$4,0)))</f>
        <v>14.123808677359888</v>
      </c>
      <c r="AF98" s="67">
        <f t="array" ref="AF98">IF($W$1,AE98*(1+INDEX(AF$1:AF$2,MATCH($O98,$AA$1:$AA$2,0)))^(AF$16-AE$16),INDEX('AEA2012 update'!$AC$6:$AG$104,MATCH($T98&amp;$U98,'AEA2012 update'!$A$6:$A$104&amp;'AEA2012 update'!$B$6:$B$104,0),MATCH(AF$16,'AEA2012 update'!$AC$4:$AG$4,0)))</f>
        <v>13.983204470082175</v>
      </c>
      <c r="AG98" s="67">
        <f t="array" ref="AG98">IF($W$1,AF98*(1+INDEX(AG$1:AG$2,MATCH($O98,$AA$1:$AA$2,0)))^(AG$16-AF$16),INDEX('AEA2012 update'!$AC$6:$AG$104,MATCH($T98&amp;$U98,'AEA2012 update'!$A$6:$A$104&amp;'AEA2012 update'!$B$6:$B$104,0),MATCH(AG$16,'AEA2012 update'!$AC$4:$AG$4,0)))</f>
        <v>13.843999994530924</v>
      </c>
      <c r="AH98" s="67">
        <f t="array" ref="AH98">IF($W$1,AG98*(1+INDEX(AH$1:AH$2,MATCH($O98,$AA$1:$AA$2,0)))^(AH$16-AG$16),INDEX('AEA2012 update'!$AC$6:$AG$104,MATCH($T98&amp;$U98,'AEA2012 update'!$A$6:$A$104&amp;'AEA2012 update'!$B$6:$B$104,0),MATCH(AH$16,'AEA2012 update'!$AC$4:$AG$4,0)))</f>
        <v>13.706181316209125</v>
      </c>
      <c r="AI98" s="67"/>
      <c r="AJ98" s="257">
        <f t="shared" si="31"/>
        <v>-9.9551197902517118E-4</v>
      </c>
      <c r="AK98" s="257">
        <f t="shared" si="32"/>
        <v>-9.8563442456379448E-4</v>
      </c>
      <c r="AQ98" s="61" t="str">
        <f t="shared" si="29"/>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4:51" x14ac:dyDescent="0.25">
      <c r="O99" s="61" t="s">
        <v>653</v>
      </c>
      <c r="Q99" s="61" t="str">
        <f t="shared" si="30"/>
        <v/>
      </c>
      <c r="S99" s="65"/>
      <c r="T99" s="256"/>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8"/>
        <v/>
      </c>
      <c r="AD99" s="67" t="e">
        <f t="array" ref="AD99">INDEX('AEA2012 update'!$AC$6:$AG$104,MATCH($T99&amp;$U99,'AEA2012 update'!$A$6:$A$104&amp;'AEA2012 update'!$B$6:$B$104,0),MATCH(AD$16,'AEA2012 update'!$S$4:$Z$4,0))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57" t="e">
        <f t="shared" si="31"/>
        <v>#N/A</v>
      </c>
      <c r="AK99" s="257" t="e">
        <f t="shared" si="32"/>
        <v>#N/A</v>
      </c>
      <c r="AQ99" s="61" t="str">
        <f t="shared" si="29"/>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4:51" x14ac:dyDescent="0.25">
      <c r="N100" s="61" t="s">
        <v>511</v>
      </c>
      <c r="O100" s="61" t="s">
        <v>653</v>
      </c>
      <c r="P100" s="61" t="s">
        <v>746</v>
      </c>
      <c r="Q100" s="61" t="str">
        <f t="shared" si="30"/>
        <v>CV7</v>
      </c>
      <c r="R100" s="61" t="s">
        <v>687</v>
      </c>
      <c r="S100" s="65"/>
      <c r="T100" s="256" t="s">
        <v>747</v>
      </c>
      <c r="U100" s="256" t="s">
        <v>687</v>
      </c>
      <c r="V100" s="103">
        <f t="array" ref="V100">IF(V$18,INDEX('AEA2012 update'!$K$6:$R$104,MATCH($T100&amp;$R100,'AEA2012 update'!$A$6:$A$104&amp;'AEA2012 update'!$B$6:$B$104,0),MATCH(V$16,'AEA2012 update'!$S$4:$Z$4,0)),INDEX('AEA2012 update'!$K$6:$R$104,MATCH($T100&amp;$U100,'AEA2012 update'!$A$6:$A$104&amp;'AEA2012 update'!$B$6:$B$104,0),MATCH(V$16,'AEA2012 update'!$S$4:$Z$4,0)))</f>
        <v>877700.13388008508</v>
      </c>
      <c r="W100" s="103">
        <f t="array" ref="W100">IF(W$18,INDEX('AEA2012 update'!$K$6:$R$104,MATCH($T100&amp;$R100,'AEA2012 update'!$A$6:$A$104&amp;'AEA2012 update'!$B$6:$B$104,0),MATCH(W$16,'AEA2012 update'!$S$4:$Z$4,0)),INDEX('AEA2012 update'!$K$6:$R$104,MATCH($T100&amp;$U100,'AEA2012 update'!$A$6:$A$104&amp;'AEA2012 update'!$B$6:$B$104,0),MATCH(W$16,'AEA2012 update'!$S$4:$Z$4,0)))</f>
        <v>1088428.6604757041</v>
      </c>
      <c r="X100" s="103">
        <f t="array" ref="X100">IF(X$18,INDEX('AEA2012 update'!$K$6:$R$104,MATCH($T100&amp;$R100,'AEA2012 update'!$A$6:$A$104&amp;'AEA2012 update'!$B$6:$B$104,0),MATCH(X$16,'AEA2012 update'!$S$4:$Z$4,0)),INDEX('AEA2012 update'!$K$6:$R$104,MATCH($T100&amp;$U100,'AEA2012 update'!$A$6:$A$104&amp;'AEA2012 update'!$B$6:$B$104,0),MATCH(X$16,'AEA2012 update'!$S$4:$Z$4,0)))</f>
        <v>1116561.6285591619</v>
      </c>
      <c r="Y100" s="103">
        <f t="array" ref="Y100">IF(Y$18,INDEX('AEA2012 update'!$K$6:$R$104,MATCH($T100&amp;$R100,'AEA2012 update'!$A$6:$A$104&amp;'AEA2012 update'!$B$6:$B$104,0),MATCH(Y$16,'AEA2012 update'!$S$4:$Z$4,0)),INDEX('AEA2012 update'!$K$6:$R$104,MATCH($T100&amp;$U100,'AEA2012 update'!$A$6:$A$104&amp;'AEA2012 update'!$B$6:$B$104,0),MATCH(Y$16,'AEA2012 update'!$S$4:$Z$4,0)))</f>
        <v>1144694.5966426195</v>
      </c>
      <c r="Z100" s="103">
        <f t="array" ref="Z100">IF(Z$18,INDEX('AEA2012 update'!$K$6:$R$104,MATCH($T100&amp;$R100,'AEA2012 update'!$A$6:$A$104&amp;'AEA2012 update'!$B$6:$B$104,0),MATCH(Z$16,'AEA2012 update'!$S$4:$Z$4,0)),INDEX('AEA2012 update'!$K$6:$R$104,MATCH($T100&amp;$U100,'AEA2012 update'!$A$6:$A$104&amp;'AEA2012 update'!$B$6:$B$104,0),MATCH(Z$16,'AEA2012 update'!$S$4:$Z$4,0)))</f>
        <v>1166651.8949681348</v>
      </c>
      <c r="AA100" s="103">
        <f t="array" ref="AA100">IF(AA$18,INDEX('AEA2012 update'!$K$6:$R$104,MATCH($T100&amp;$R100,'AEA2012 update'!$A$6:$A$104&amp;'AEA2012 update'!$B$6:$B$104,0),MATCH(AA$16,'AEA2012 update'!$S$4:$Z$4,0)),INDEX('AEA2012 update'!$K$6:$R$104,MATCH($T100&amp;$U100,'AEA2012 update'!$A$6:$A$104&amp;'AEA2012 update'!$B$6:$B$104,0),MATCH(AA$16,'AEA2012 update'!$S$4:$Z$4,0)))</f>
        <v>1188609.1932936499</v>
      </c>
      <c r="AB100" s="103">
        <f t="array" ref="AB100">IF(AB$18,INDEX('AEA2012 update'!$K$6:$R$104,MATCH($T100&amp;$R100,'AEA2012 update'!$A$6:$A$104&amp;'AEA2012 update'!$B$6:$B$104,0),MATCH(AB$16,'AEA2012 update'!$S$4:$Z$4,0)),INDEX('AEA2012 update'!$K$6:$R$104,MATCH($T100&amp;$U100,'AEA2012 update'!$A$6:$A$104&amp;'AEA2012 update'!$B$6:$B$104,0),MATCH(AB$16,'AEA2012 update'!$S$4:$Z$4,0)))</f>
        <v>1215891.7526997081</v>
      </c>
      <c r="AC100" s="103" t="str">
        <f t="shared" si="28"/>
        <v>CV7ODS</v>
      </c>
      <c r="AD100" s="67">
        <f t="array" ref="AD100">INDEX('AEA2012 update'!$AC$6:$AG$104,MATCH($T100&amp;$U100,'AEA2012 update'!$A$6:$A$104&amp;'AEA2012 update'!$B$6:$B$104,0),MATCH(AD$16,'AEA2012 update'!$S$4:$Z$4,0))</f>
        <v>13.986475102643237</v>
      </c>
      <c r="AE100" s="67">
        <f t="array" ref="AE100">IF($W$1,AD100*(1+INDEX(AE$1:AE$2,MATCH($O100,$AA$1:$AA$2,0)))^(AE$16-AD$16),INDEX('AEA2012 update'!$AC$6:$AG$104,MATCH($T100&amp;$U100,'AEA2012 update'!$A$6:$A$104&amp;'AEA2012 update'!$B$6:$B$104,0),MATCH(AE$16,'AEA2012 update'!$AC$4:$AG$4,0)))</f>
        <v>13.84723806755305</v>
      </c>
      <c r="AF100" s="67">
        <f t="array" ref="AF100">IF($W$1,AE100*(1+INDEX(AF$1:AF$2,MATCH($O100,$AA$1:$AA$2,0)))^(AF$16-AE$16),INDEX('AEA2012 update'!$AC$6:$AG$104,MATCH($T100&amp;$U100,'AEA2012 update'!$A$6:$A$104&amp;'AEA2012 update'!$B$6:$B$104,0),MATCH(AF$16,'AEA2012 update'!$AC$4:$AG$4,0)))</f>
        <v>13.709387153826427</v>
      </c>
      <c r="AG100" s="67">
        <f t="array" ref="AG100">IF($W$1,AF100*(1+INDEX(AG$1:AG$2,MATCH($O100,$AA$1:$AA$2,0)))^(AG$16-AF$16),INDEX('AEA2012 update'!$AC$6:$AG$104,MATCH($T100&amp;$U100,'AEA2012 update'!$A$6:$A$104&amp;'AEA2012 update'!$B$6:$B$104,0),MATCH(AG$16,'AEA2012 update'!$AC$4:$AG$4,0)))</f>
        <v>13.572908562459148</v>
      </c>
      <c r="AH100" s="67">
        <f t="array" ref="AH100">IF($W$1,AG100*(1+INDEX(AH$1:AH$2,MATCH($O100,$AA$1:$AA$2,0)))^(AH$16-AG$16),INDEX('AEA2012 update'!$AC$6:$AG$104,MATCH($T100&amp;$U100,'AEA2012 update'!$A$6:$A$104&amp;'AEA2012 update'!$B$6:$B$104,0),MATCH(AH$16,'AEA2012 update'!$AC$4:$AG$4,0)))</f>
        <v>13.437788631817735</v>
      </c>
      <c r="AI100" s="67"/>
      <c r="AJ100" s="257">
        <f t="shared" si="31"/>
        <v>-9.955119790251701E-4</v>
      </c>
      <c r="AK100" s="257">
        <f t="shared" si="32"/>
        <v>-9.8563442456379275E-4</v>
      </c>
      <c r="AQ100" s="61" t="str">
        <f t="shared" si="29"/>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4:51" ht="16.5" customHeight="1" x14ac:dyDescent="0.25">
      <c r="N101" s="61" t="s">
        <v>504</v>
      </c>
      <c r="O101" s="61" t="s">
        <v>653</v>
      </c>
      <c r="P101" s="61" t="s">
        <v>746</v>
      </c>
      <c r="Q101" s="61" t="str">
        <f t="shared" si="30"/>
        <v>CV7</v>
      </c>
      <c r="R101" s="61" t="s">
        <v>687</v>
      </c>
      <c r="S101" s="65"/>
      <c r="T101" s="256" t="s">
        <v>747</v>
      </c>
      <c r="U101" s="256" t="s">
        <v>699</v>
      </c>
      <c r="V101" s="103">
        <f t="array" ref="V101">IF(V$18,INDEX('AEA2012 update'!$K$6:$R$104,MATCH($T101&amp;$R101,'AEA2012 update'!$A$6:$A$104&amp;'AEA2012 update'!$B$6:$B$104,0),MATCH(V$16,'AEA2012 update'!$S$4:$Z$4,0)),INDEX('AEA2012 update'!$K$6:$R$104,MATCH($T101&amp;$U101,'AEA2012 update'!$A$6:$A$104&amp;'AEA2012 update'!$B$6:$B$104,0),MATCH(V$16,'AEA2012 update'!$S$4:$Z$4,0)))</f>
        <v>5872968.0361672165</v>
      </c>
      <c r="W101" s="103">
        <f t="array" ref="W101">IF(W$18,INDEX('AEA2012 update'!$K$6:$R$104,MATCH($T101&amp;$R101,'AEA2012 update'!$A$6:$A$104&amp;'AEA2012 update'!$B$6:$B$104,0),MATCH(W$16,'AEA2012 update'!$S$4:$Z$4,0)),INDEX('AEA2012 update'!$K$6:$R$104,MATCH($T101&amp;$U101,'AEA2012 update'!$A$6:$A$104&amp;'AEA2012 update'!$B$6:$B$104,0),MATCH(W$16,'AEA2012 update'!$S$4:$Z$4,0)))</f>
        <v>2464487.1540335203</v>
      </c>
      <c r="X101" s="103">
        <f t="array" ref="X101">IF(X$18,INDEX('AEA2012 update'!$K$6:$R$104,MATCH($T101&amp;$R101,'AEA2012 update'!$A$6:$A$104&amp;'AEA2012 update'!$B$6:$B$104,0),MATCH(X$16,'AEA2012 update'!$S$4:$Z$4,0)),INDEX('AEA2012 update'!$K$6:$R$104,MATCH($T101&amp;$U101,'AEA2012 update'!$A$6:$A$104&amp;'AEA2012 update'!$B$6:$B$104,0),MATCH(X$16,'AEA2012 update'!$S$4:$Z$4,0)))</f>
        <v>1930209.4138028375</v>
      </c>
      <c r="Y101" s="103">
        <f t="array" ref="Y101">IF(Y$18,INDEX('AEA2012 update'!$K$6:$R$104,MATCH($T101&amp;$R101,'AEA2012 update'!$A$6:$A$104&amp;'AEA2012 update'!$B$6:$B$104,0),MATCH(Y$16,'AEA2012 update'!$S$4:$Z$4,0)),INDEX('AEA2012 update'!$K$6:$R$104,MATCH($T101&amp;$U101,'AEA2012 update'!$A$6:$A$104&amp;'AEA2012 update'!$B$6:$B$104,0),MATCH(Y$16,'AEA2012 update'!$S$4:$Z$4,0)))</f>
        <v>1144694.5966426195</v>
      </c>
      <c r="Z101" s="103">
        <f t="array" ref="Z101">IF(Z$18,INDEX('AEA2012 update'!$K$6:$R$104,MATCH($T101&amp;$R101,'AEA2012 update'!$A$6:$A$104&amp;'AEA2012 update'!$B$6:$B$104,0),MATCH(Z$16,'AEA2012 update'!$S$4:$Z$4,0)),INDEX('AEA2012 update'!$K$6:$R$104,MATCH($T101&amp;$U101,'AEA2012 update'!$A$6:$A$104&amp;'AEA2012 update'!$B$6:$B$104,0),MATCH(Z$16,'AEA2012 update'!$S$4:$Z$4,0)))</f>
        <v>1166651.8949681348</v>
      </c>
      <c r="AA101" s="103">
        <f t="array" ref="AA101">IF(AA$18,INDEX('AEA2012 update'!$K$6:$R$104,MATCH($T101&amp;$R101,'AEA2012 update'!$A$6:$A$104&amp;'AEA2012 update'!$B$6:$B$104,0),MATCH(AA$16,'AEA2012 update'!$S$4:$Z$4,0)),INDEX('AEA2012 update'!$K$6:$R$104,MATCH($T101&amp;$U101,'AEA2012 update'!$A$6:$A$104&amp;'AEA2012 update'!$B$6:$B$104,0),MATCH(AA$16,'AEA2012 update'!$S$4:$Z$4,0)))</f>
        <v>1188609.1932936499</v>
      </c>
      <c r="AB101" s="103">
        <f t="array" ref="AB101">IF(AB$18,INDEX('AEA2012 update'!$K$6:$R$104,MATCH($T101&amp;$R101,'AEA2012 update'!$A$6:$A$104&amp;'AEA2012 update'!$B$6:$B$104,0),MATCH(AB$16,'AEA2012 update'!$S$4:$Z$4,0)),INDEX('AEA2012 update'!$K$6:$R$104,MATCH($T101&amp;$U101,'AEA2012 update'!$A$6:$A$104&amp;'AEA2012 update'!$B$6:$B$104,0),MATCH(AB$16,'AEA2012 update'!$S$4:$Z$4,0)))</f>
        <v>1215891.7526997081</v>
      </c>
      <c r="AC101" s="103" t="str">
        <f t="shared" si="28"/>
        <v>CV7HGN</v>
      </c>
      <c r="AD101" s="67">
        <f t="array" ref="AD101">INDEX('AEA2012 update'!$AC$6:$AG$104,MATCH($T101&amp;$U101,'AEA2012 update'!$A$6:$A$104&amp;'AEA2012 update'!$B$6:$B$104,0),MATCH(AD$16,'AEA2012 update'!$S$4:$Z$4,0))</f>
        <v>6.6431339955944022</v>
      </c>
      <c r="AE101" s="67">
        <f t="array" ref="AE101">IF($W$1,AD101*(1+INDEX(AE$1:AE$2,MATCH($O101,$AA$1:$AA$2,0)))^(AE$16-AD$16),INDEX('AEA2012 update'!$AC$6:$AG$104,MATCH($T101&amp;$U101,'AEA2012 update'!$A$6:$A$104&amp;'AEA2012 update'!$B$6:$B$104,0),MATCH(AE$16,'AEA2012 update'!$AC$4:$AG$4,0)))</f>
        <v>6.5770008008855667</v>
      </c>
      <c r="AF101" s="67">
        <f t="array" ref="AF101">IF($W$1,AE101*(1+INDEX(AF$1:AF$2,MATCH($O101,$AA$1:$AA$2,0)))^(AF$16-AE$16),INDEX('AEA2012 update'!$AC$6:$AG$104,MATCH($T101&amp;$U101,'AEA2012 update'!$A$6:$A$104&amp;'AEA2012 update'!$B$6:$B$104,0),MATCH(AF$16,'AEA2012 update'!$AC$4:$AG$4,0)))</f>
        <v>6.5115259700521699</v>
      </c>
      <c r="AG101" s="67">
        <f t="array" ref="AG101">IF($W$1,AF101*(1+INDEX(AG$1:AG$2,MATCH($O101,$AA$1:$AA$2,0)))^(AG$16-AF$16),INDEX('AEA2012 update'!$AC$6:$AG$104,MATCH($T101&amp;$U101,'AEA2012 update'!$A$6:$A$104&amp;'AEA2012 update'!$B$6:$B$104,0),MATCH(AG$16,'AEA2012 update'!$AC$4:$AG$4,0)))</f>
        <v>6.4467029490029661</v>
      </c>
      <c r="AH101" s="67">
        <f t="array" ref="AH101">IF($W$1,AG101*(1+INDEX(AH$1:AH$2,MATCH($O101,$AA$1:$AA$2,0)))^(AH$16-AG$16),INDEX('AEA2012 update'!$AC$6:$AG$104,MATCH($T101&amp;$U101,'AEA2012 update'!$A$6:$A$104&amp;'AEA2012 update'!$B$6:$B$104,0),MATCH(AH$16,'AEA2012 update'!$AC$4:$AG$4,0)))</f>
        <v>6.3825252488934732</v>
      </c>
      <c r="AI101" s="67"/>
      <c r="AJ101" s="257">
        <f t="shared" si="31"/>
        <v>-9.9551197902516706E-4</v>
      </c>
      <c r="AK101" s="257">
        <f t="shared" si="32"/>
        <v>-9.8563442456379297E-4</v>
      </c>
      <c r="AQ101" s="61" t="str">
        <f t="shared" si="29"/>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4:51" x14ac:dyDescent="0.25">
      <c r="N102" s="61" t="s">
        <v>509</v>
      </c>
      <c r="O102" s="61" t="s">
        <v>653</v>
      </c>
      <c r="P102" s="61" t="s">
        <v>746</v>
      </c>
      <c r="Q102" s="61" t="str">
        <f t="shared" si="30"/>
        <v>CV7</v>
      </c>
      <c r="R102" s="61" t="s">
        <v>687</v>
      </c>
      <c r="S102" s="65"/>
      <c r="T102" s="256" t="s">
        <v>747</v>
      </c>
      <c r="U102" s="256" t="s">
        <v>700</v>
      </c>
      <c r="V102" s="103">
        <f t="array" ref="V102">IF(V$18,INDEX('AEA2012 update'!$K$6:$R$104,MATCH($T102&amp;$R102,'AEA2012 update'!$A$6:$A$104&amp;'AEA2012 update'!$B$6:$B$104,0),MATCH(V$16,'AEA2012 update'!$S$4:$Z$4,0)),INDEX('AEA2012 update'!$K$6:$R$104,MATCH($T102&amp;$U102,'AEA2012 update'!$A$6:$A$104&amp;'AEA2012 update'!$B$6:$B$104,0),MATCH(V$16,'AEA2012 update'!$S$4:$Z$4,0)))</f>
        <v>1216871.9571458176</v>
      </c>
      <c r="W102" s="103">
        <f t="array" ref="W102">IF(W$18,INDEX('AEA2012 update'!$K$6:$R$104,MATCH($T102&amp;$R102,'AEA2012 update'!$A$6:$A$104&amp;'AEA2012 update'!$B$6:$B$104,0),MATCH(W$16,'AEA2012 update'!$S$4:$Z$4,0)),INDEX('AEA2012 update'!$K$6:$R$104,MATCH($T102&amp;$U102,'AEA2012 update'!$A$6:$A$104&amp;'AEA2012 update'!$B$6:$B$104,0),MATCH(W$16,'AEA2012 update'!$S$4:$Z$4,0)))</f>
        <v>1262276.8438934449</v>
      </c>
      <c r="X102" s="103">
        <f t="array" ref="X102">IF(X$18,INDEX('AEA2012 update'!$K$6:$R$104,MATCH($T102&amp;$R102,'AEA2012 update'!$A$6:$A$104&amp;'AEA2012 update'!$B$6:$B$104,0),MATCH(X$16,'AEA2012 update'!$S$4:$Z$4,0)),INDEX('AEA2012 update'!$K$6:$R$104,MATCH($T102&amp;$U102,'AEA2012 update'!$A$6:$A$104&amp;'AEA2012 update'!$B$6:$B$104,0),MATCH(X$16,'AEA2012 update'!$S$4:$Z$4,0)))</f>
        <v>1258634.2158304008</v>
      </c>
      <c r="Y102" s="103">
        <f t="array" ref="Y102">IF(Y$18,INDEX('AEA2012 update'!$K$6:$R$104,MATCH($T102&amp;$R102,'AEA2012 update'!$A$6:$A$104&amp;'AEA2012 update'!$B$6:$B$104,0),MATCH(Y$16,'AEA2012 update'!$S$4:$Z$4,0)),INDEX('AEA2012 update'!$K$6:$R$104,MATCH($T102&amp;$U102,'AEA2012 update'!$A$6:$A$104&amp;'AEA2012 update'!$B$6:$B$104,0),MATCH(Y$16,'AEA2012 update'!$S$4:$Z$4,0)))</f>
        <v>1144694.5966426195</v>
      </c>
      <c r="Z102" s="103">
        <f t="array" ref="Z102">IF(Z$18,INDEX('AEA2012 update'!$K$6:$R$104,MATCH($T102&amp;$R102,'AEA2012 update'!$A$6:$A$104&amp;'AEA2012 update'!$B$6:$B$104,0),MATCH(Z$16,'AEA2012 update'!$S$4:$Z$4,0)),INDEX('AEA2012 update'!$K$6:$R$104,MATCH($T102&amp;$U102,'AEA2012 update'!$A$6:$A$104&amp;'AEA2012 update'!$B$6:$B$104,0),MATCH(Z$16,'AEA2012 update'!$S$4:$Z$4,0)))</f>
        <v>1166651.8949681348</v>
      </c>
      <c r="AA102" s="103">
        <f t="array" ref="AA102">IF(AA$18,INDEX('AEA2012 update'!$K$6:$R$104,MATCH($T102&amp;$R102,'AEA2012 update'!$A$6:$A$104&amp;'AEA2012 update'!$B$6:$B$104,0),MATCH(AA$16,'AEA2012 update'!$S$4:$Z$4,0)),INDEX('AEA2012 update'!$K$6:$R$104,MATCH($T102&amp;$U102,'AEA2012 update'!$A$6:$A$104&amp;'AEA2012 update'!$B$6:$B$104,0),MATCH(AA$16,'AEA2012 update'!$S$4:$Z$4,0)))</f>
        <v>1188609.1932936499</v>
      </c>
      <c r="AB102" s="103">
        <f t="array" ref="AB102">IF(AB$18,INDEX('AEA2012 update'!$K$6:$R$104,MATCH($T102&amp;$R102,'AEA2012 update'!$A$6:$A$104&amp;'AEA2012 update'!$B$6:$B$104,0),MATCH(AB$16,'AEA2012 update'!$S$4:$Z$4,0)),INDEX('AEA2012 update'!$K$6:$R$104,MATCH($T102&amp;$U102,'AEA2012 update'!$A$6:$A$104&amp;'AEA2012 update'!$B$6:$B$104,0),MATCH(AB$16,'AEA2012 update'!$S$4:$Z$4,0)))</f>
        <v>1215891.7526997081</v>
      </c>
      <c r="AC102" s="103" t="str">
        <f t="shared" si="28"/>
        <v>CV7GAS</v>
      </c>
      <c r="AD102" s="67">
        <f t="array" ref="AD102">INDEX('AEA2012 update'!$AC$6:$AG$104,MATCH($T102&amp;$U102,'AEA2012 update'!$A$6:$A$104&amp;'AEA2012 update'!$B$6:$B$104,0),MATCH(AD$16,'AEA2012 update'!$S$4:$Z$4,0))</f>
        <v>16.084446368039721</v>
      </c>
      <c r="AE102" s="67">
        <f t="array" ref="AE102">IF($W$1,AD102*(1+INDEX(AE$1:AE$2,MATCH($O102,$AA$1:$AA$2,0)))^(AE$16-AD$16),INDEX('AEA2012 update'!$AC$6:$AG$104,MATCH($T102&amp;$U102,'AEA2012 update'!$A$6:$A$104&amp;'AEA2012 update'!$B$6:$B$104,0),MATCH(AE$16,'AEA2012 update'!$AC$4:$AG$4,0)))</f>
        <v>15.924323777686007</v>
      </c>
      <c r="AF102" s="67">
        <f t="array" ref="AF102">IF($W$1,AE102*(1+INDEX(AF$1:AF$2,MATCH($O102,$AA$1:$AA$2,0)))^(AF$16-AE$16),INDEX('AEA2012 update'!$AC$6:$AG$104,MATCH($T102&amp;$U102,'AEA2012 update'!$A$6:$A$104&amp;'AEA2012 update'!$B$6:$B$104,0),MATCH(AF$16,'AEA2012 update'!$AC$4:$AG$4,0)))</f>
        <v>15.765795226900391</v>
      </c>
      <c r="AG102" s="67">
        <f t="array" ref="AG102">IF($W$1,AF102*(1+INDEX(AG$1:AG$2,MATCH($O102,$AA$1:$AA$2,0)))^(AG$16-AF$16),INDEX('AEA2012 update'!$AC$6:$AG$104,MATCH($T102&amp;$U102,'AEA2012 update'!$A$6:$A$104&amp;'AEA2012 update'!$B$6:$B$104,0),MATCH(AG$16,'AEA2012 update'!$AC$4:$AG$4,0)))</f>
        <v>15.608844846828019</v>
      </c>
      <c r="AH102" s="67">
        <f t="array" ref="AH102">IF($W$1,AG102*(1+INDEX(AH$1:AH$2,MATCH($O102,$AA$1:$AA$2,0)))^(AH$16-AG$16),INDEX('AEA2012 update'!$AC$6:$AG$104,MATCH($T102&amp;$U102,'AEA2012 update'!$A$6:$A$104&amp;'AEA2012 update'!$B$6:$B$104,0),MATCH(AH$16,'AEA2012 update'!$AC$4:$AG$4,0)))</f>
        <v>15.453456926590393</v>
      </c>
      <c r="AI102" s="67"/>
      <c r="AJ102" s="257">
        <f t="shared" si="31"/>
        <v>-9.9551197902516685E-4</v>
      </c>
      <c r="AK102" s="257">
        <f t="shared" si="32"/>
        <v>-9.8563442456379752E-4</v>
      </c>
      <c r="AQ102" s="61" t="str">
        <f t="shared" si="29"/>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4:51" x14ac:dyDescent="0.25">
      <c r="O103" s="61" t="s">
        <v>653</v>
      </c>
      <c r="Q103" s="61" t="str">
        <f t="shared" si="30"/>
        <v/>
      </c>
      <c r="S103" s="65"/>
      <c r="T103" s="256"/>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8"/>
        <v/>
      </c>
      <c r="AD103" s="67" t="e">
        <f t="array" ref="AD103">INDEX('AEA2012 update'!$AC$6:$AG$104,MATCH($T103&amp;$U103,'AEA2012 update'!$A$6:$A$104&amp;'AEA2012 update'!$B$6:$B$104,0),MATCH(AD$16,'AEA2012 update'!$S$4:$Z$4,0))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57" t="e">
        <f t="shared" si="31"/>
        <v>#N/A</v>
      </c>
      <c r="AK103" s="257" t="e">
        <f t="shared" si="32"/>
        <v>#N/A</v>
      </c>
      <c r="AQ103" s="61" t="str">
        <f t="shared" si="29"/>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4:51" x14ac:dyDescent="0.25">
      <c r="N104" s="61" t="s">
        <v>511</v>
      </c>
      <c r="O104" s="61" t="s">
        <v>653</v>
      </c>
      <c r="P104" s="61" t="s">
        <v>750</v>
      </c>
      <c r="Q104" s="61" t="str">
        <f t="shared" si="30"/>
        <v>CV8</v>
      </c>
      <c r="R104" s="61" t="s">
        <v>687</v>
      </c>
      <c r="S104" s="65"/>
      <c r="T104" s="256" t="s">
        <v>747</v>
      </c>
      <c r="U104" s="256" t="s">
        <v>687</v>
      </c>
      <c r="V104" s="103">
        <f t="array" ref="V104">IF(V$18,INDEX('AEA2012 update'!$K$6:$R$104,MATCH($T104&amp;$R104,'AEA2012 update'!$A$6:$A$104&amp;'AEA2012 update'!$B$6:$B$104,0),MATCH(V$16,'AEA2012 update'!$S$4:$Z$4,0)),INDEX('AEA2012 update'!$K$6:$R$104,MATCH($T104&amp;$U104,'AEA2012 update'!$A$6:$A$104&amp;'AEA2012 update'!$B$6:$B$104,0),MATCH(V$16,'AEA2012 update'!$S$4:$Z$4,0)))</f>
        <v>877700.13388008508</v>
      </c>
      <c r="W104" s="103">
        <f t="array" ref="W104">IF(W$18,INDEX('AEA2012 update'!$K$6:$R$104,MATCH($T104&amp;$R104,'AEA2012 update'!$A$6:$A$104&amp;'AEA2012 update'!$B$6:$B$104,0),MATCH(W$16,'AEA2012 update'!$S$4:$Z$4,0)),INDEX('AEA2012 update'!$K$6:$R$104,MATCH($T104&amp;$U104,'AEA2012 update'!$A$6:$A$104&amp;'AEA2012 update'!$B$6:$B$104,0),MATCH(W$16,'AEA2012 update'!$S$4:$Z$4,0)))</f>
        <v>1088428.6604757041</v>
      </c>
      <c r="X104" s="103">
        <f t="array" ref="X104">IF(X$18,INDEX('AEA2012 update'!$K$6:$R$104,MATCH($T104&amp;$R104,'AEA2012 update'!$A$6:$A$104&amp;'AEA2012 update'!$B$6:$B$104,0),MATCH(X$16,'AEA2012 update'!$S$4:$Z$4,0)),INDEX('AEA2012 update'!$K$6:$R$104,MATCH($T104&amp;$U104,'AEA2012 update'!$A$6:$A$104&amp;'AEA2012 update'!$B$6:$B$104,0),MATCH(X$16,'AEA2012 update'!$S$4:$Z$4,0)))</f>
        <v>1116561.6285591619</v>
      </c>
      <c r="Y104" s="103">
        <f t="array" ref="Y104">IF(Y$18,INDEX('AEA2012 update'!$K$6:$R$104,MATCH($T104&amp;$R104,'AEA2012 update'!$A$6:$A$104&amp;'AEA2012 update'!$B$6:$B$104,0),MATCH(Y$16,'AEA2012 update'!$S$4:$Z$4,0)),INDEX('AEA2012 update'!$K$6:$R$104,MATCH($T104&amp;$U104,'AEA2012 update'!$A$6:$A$104&amp;'AEA2012 update'!$B$6:$B$104,0),MATCH(Y$16,'AEA2012 update'!$S$4:$Z$4,0)))</f>
        <v>1144694.5966426195</v>
      </c>
      <c r="Z104" s="103">
        <f t="array" ref="Z104">IF(Z$18,INDEX('AEA2012 update'!$K$6:$R$104,MATCH($T104&amp;$R104,'AEA2012 update'!$A$6:$A$104&amp;'AEA2012 update'!$B$6:$B$104,0),MATCH(Z$16,'AEA2012 update'!$S$4:$Z$4,0)),INDEX('AEA2012 update'!$K$6:$R$104,MATCH($T104&amp;$U104,'AEA2012 update'!$A$6:$A$104&amp;'AEA2012 update'!$B$6:$B$104,0),MATCH(Z$16,'AEA2012 update'!$S$4:$Z$4,0)))</f>
        <v>1166651.8949681348</v>
      </c>
      <c r="AA104" s="103">
        <f t="array" ref="AA104">IF(AA$18,INDEX('AEA2012 update'!$K$6:$R$104,MATCH($T104&amp;$R104,'AEA2012 update'!$A$6:$A$104&amp;'AEA2012 update'!$B$6:$B$104,0),MATCH(AA$16,'AEA2012 update'!$S$4:$Z$4,0)),INDEX('AEA2012 update'!$K$6:$R$104,MATCH($T104&amp;$U104,'AEA2012 update'!$A$6:$A$104&amp;'AEA2012 update'!$B$6:$B$104,0),MATCH(AA$16,'AEA2012 update'!$S$4:$Z$4,0)))</f>
        <v>1188609.1932936499</v>
      </c>
      <c r="AB104" s="103">
        <f t="array" ref="AB104">IF(AB$18,INDEX('AEA2012 update'!$K$6:$R$104,MATCH($T104&amp;$R104,'AEA2012 update'!$A$6:$A$104&amp;'AEA2012 update'!$B$6:$B$104,0),MATCH(AB$16,'AEA2012 update'!$S$4:$Z$4,0)),INDEX('AEA2012 update'!$K$6:$R$104,MATCH($T104&amp;$U104,'AEA2012 update'!$A$6:$A$104&amp;'AEA2012 update'!$B$6:$B$104,0),MATCH(AB$16,'AEA2012 update'!$S$4:$Z$4,0)))</f>
        <v>1215891.7526997081</v>
      </c>
      <c r="AC104" s="103" t="str">
        <f t="shared" si="28"/>
        <v>CV8ODS</v>
      </c>
      <c r="AD104" s="67">
        <f t="array" ref="AD104">INDEX('AEA2012 update'!$AC$6:$AG$104,MATCH($T104&amp;$U104,'AEA2012 update'!$A$6:$A$104&amp;'AEA2012 update'!$B$6:$B$104,0),MATCH(AD$16,'AEA2012 update'!$S$4:$Z$4,0))</f>
        <v>13.986475102643237</v>
      </c>
      <c r="AE104" s="67">
        <f t="array" ref="AE104">IF($W$1,AD104*(1+INDEX(AE$1:AE$2,MATCH($O104,$AA$1:$AA$2,0)))^(AE$16-AD$16),INDEX('AEA2012 update'!$AC$6:$AG$104,MATCH($T104&amp;$U104,'AEA2012 update'!$A$6:$A$104&amp;'AEA2012 update'!$B$6:$B$104,0),MATCH(AE$16,'AEA2012 update'!$AC$4:$AG$4,0)))</f>
        <v>13.84723806755305</v>
      </c>
      <c r="AF104" s="67">
        <f t="array" ref="AF104">IF($W$1,AE104*(1+INDEX(AF$1:AF$2,MATCH($O104,$AA$1:$AA$2,0)))^(AF$16-AE$16),INDEX('AEA2012 update'!$AC$6:$AG$104,MATCH($T104&amp;$U104,'AEA2012 update'!$A$6:$A$104&amp;'AEA2012 update'!$B$6:$B$104,0),MATCH(AF$16,'AEA2012 update'!$AC$4:$AG$4,0)))</f>
        <v>13.709387153826427</v>
      </c>
      <c r="AG104" s="67">
        <f t="array" ref="AG104">IF($W$1,AF104*(1+INDEX(AG$1:AG$2,MATCH($O104,$AA$1:$AA$2,0)))^(AG$16-AF$16),INDEX('AEA2012 update'!$AC$6:$AG$104,MATCH($T104&amp;$U104,'AEA2012 update'!$A$6:$A$104&amp;'AEA2012 update'!$B$6:$B$104,0),MATCH(AG$16,'AEA2012 update'!$AC$4:$AG$4,0)))</f>
        <v>13.572908562459148</v>
      </c>
      <c r="AH104" s="67">
        <f t="array" ref="AH104">IF($W$1,AG104*(1+INDEX(AH$1:AH$2,MATCH($O104,$AA$1:$AA$2,0)))^(AH$16-AG$16),INDEX('AEA2012 update'!$AC$6:$AG$104,MATCH($T104&amp;$U104,'AEA2012 update'!$A$6:$A$104&amp;'AEA2012 update'!$B$6:$B$104,0),MATCH(AH$16,'AEA2012 update'!$AC$4:$AG$4,0)))</f>
        <v>13.437788631817735</v>
      </c>
      <c r="AI104" s="67"/>
      <c r="AJ104" s="257">
        <f t="shared" si="31"/>
        <v>-9.955119790251701E-4</v>
      </c>
      <c r="AK104" s="257">
        <f t="shared" si="32"/>
        <v>-9.8563442456379275E-4</v>
      </c>
      <c r="AQ104" s="61" t="str">
        <f t="shared" si="29"/>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4:51" x14ac:dyDescent="0.25">
      <c r="N105" s="61" t="s">
        <v>504</v>
      </c>
      <c r="O105" s="61" t="s">
        <v>653</v>
      </c>
      <c r="P105" s="61" t="s">
        <v>750</v>
      </c>
      <c r="Q105" s="61" t="str">
        <f t="shared" si="30"/>
        <v>CV8</v>
      </c>
      <c r="R105" s="61" t="s">
        <v>687</v>
      </c>
      <c r="S105" s="65"/>
      <c r="T105" s="256" t="s">
        <v>747</v>
      </c>
      <c r="U105" s="256" t="s">
        <v>699</v>
      </c>
      <c r="V105" s="103">
        <f t="array" ref="V105">IF(V$18,INDEX('AEA2012 update'!$K$6:$R$104,MATCH($T105&amp;$R105,'AEA2012 update'!$A$6:$A$104&amp;'AEA2012 update'!$B$6:$B$104,0),MATCH(V$16,'AEA2012 update'!$S$4:$Z$4,0)),INDEX('AEA2012 update'!$K$6:$R$104,MATCH($T105&amp;$U105,'AEA2012 update'!$A$6:$A$104&amp;'AEA2012 update'!$B$6:$B$104,0),MATCH(V$16,'AEA2012 update'!$S$4:$Z$4,0)))</f>
        <v>5872968.0361672165</v>
      </c>
      <c r="W105" s="103">
        <f t="array" ref="W105">IF(W$18,INDEX('AEA2012 update'!$K$6:$R$104,MATCH($T105&amp;$R105,'AEA2012 update'!$A$6:$A$104&amp;'AEA2012 update'!$B$6:$B$104,0),MATCH(W$16,'AEA2012 update'!$S$4:$Z$4,0)),INDEX('AEA2012 update'!$K$6:$R$104,MATCH($T105&amp;$U105,'AEA2012 update'!$A$6:$A$104&amp;'AEA2012 update'!$B$6:$B$104,0),MATCH(W$16,'AEA2012 update'!$S$4:$Z$4,0)))</f>
        <v>2464487.1540335203</v>
      </c>
      <c r="X105" s="103">
        <f t="array" ref="X105">IF(X$18,INDEX('AEA2012 update'!$K$6:$R$104,MATCH($T105&amp;$R105,'AEA2012 update'!$A$6:$A$104&amp;'AEA2012 update'!$B$6:$B$104,0),MATCH(X$16,'AEA2012 update'!$S$4:$Z$4,0)),INDEX('AEA2012 update'!$K$6:$R$104,MATCH($T105&amp;$U105,'AEA2012 update'!$A$6:$A$104&amp;'AEA2012 update'!$B$6:$B$104,0),MATCH(X$16,'AEA2012 update'!$S$4:$Z$4,0)))</f>
        <v>1930209.4138028375</v>
      </c>
      <c r="Y105" s="103">
        <f t="array" ref="Y105">IF(Y$18,INDEX('AEA2012 update'!$K$6:$R$104,MATCH($T105&amp;$R105,'AEA2012 update'!$A$6:$A$104&amp;'AEA2012 update'!$B$6:$B$104,0),MATCH(Y$16,'AEA2012 update'!$S$4:$Z$4,0)),INDEX('AEA2012 update'!$K$6:$R$104,MATCH($T105&amp;$U105,'AEA2012 update'!$A$6:$A$104&amp;'AEA2012 update'!$B$6:$B$104,0),MATCH(Y$16,'AEA2012 update'!$S$4:$Z$4,0)))</f>
        <v>1144694.5966426195</v>
      </c>
      <c r="Z105" s="103">
        <f t="array" ref="Z105">IF(Z$18,INDEX('AEA2012 update'!$K$6:$R$104,MATCH($T105&amp;$R105,'AEA2012 update'!$A$6:$A$104&amp;'AEA2012 update'!$B$6:$B$104,0),MATCH(Z$16,'AEA2012 update'!$S$4:$Z$4,0)),INDEX('AEA2012 update'!$K$6:$R$104,MATCH($T105&amp;$U105,'AEA2012 update'!$A$6:$A$104&amp;'AEA2012 update'!$B$6:$B$104,0),MATCH(Z$16,'AEA2012 update'!$S$4:$Z$4,0)))</f>
        <v>1166651.8949681348</v>
      </c>
      <c r="AA105" s="103">
        <f t="array" ref="AA105">IF(AA$18,INDEX('AEA2012 update'!$K$6:$R$104,MATCH($T105&amp;$R105,'AEA2012 update'!$A$6:$A$104&amp;'AEA2012 update'!$B$6:$B$104,0),MATCH(AA$16,'AEA2012 update'!$S$4:$Z$4,0)),INDEX('AEA2012 update'!$K$6:$R$104,MATCH($T105&amp;$U105,'AEA2012 update'!$A$6:$A$104&amp;'AEA2012 update'!$B$6:$B$104,0),MATCH(AA$16,'AEA2012 update'!$S$4:$Z$4,0)))</f>
        <v>1188609.1932936499</v>
      </c>
      <c r="AB105" s="103">
        <f t="array" ref="AB105">IF(AB$18,INDEX('AEA2012 update'!$K$6:$R$104,MATCH($T105&amp;$R105,'AEA2012 update'!$A$6:$A$104&amp;'AEA2012 update'!$B$6:$B$104,0),MATCH(AB$16,'AEA2012 update'!$S$4:$Z$4,0)),INDEX('AEA2012 update'!$K$6:$R$104,MATCH($T105&amp;$U105,'AEA2012 update'!$A$6:$A$104&amp;'AEA2012 update'!$B$6:$B$104,0),MATCH(AB$16,'AEA2012 update'!$S$4:$Z$4,0)))</f>
        <v>1215891.7526997081</v>
      </c>
      <c r="AC105" s="103" t="str">
        <f t="shared" si="28"/>
        <v>CV8HGN</v>
      </c>
      <c r="AD105" s="67">
        <f t="array" ref="AD105">INDEX('AEA2012 update'!$AC$6:$AG$104,MATCH($T105&amp;$U105,'AEA2012 update'!$A$6:$A$104&amp;'AEA2012 update'!$B$6:$B$104,0),MATCH(AD$16,'AEA2012 update'!$S$4:$Z$4,0))</f>
        <v>6.6431339955944022</v>
      </c>
      <c r="AE105" s="67">
        <f t="array" ref="AE105">IF($W$1,AD105*(1+INDEX(AE$1:AE$2,MATCH($O105,$AA$1:$AA$2,0)))^(AE$16-AD$16),INDEX('AEA2012 update'!$AC$6:$AG$104,MATCH($T105&amp;$U105,'AEA2012 update'!$A$6:$A$104&amp;'AEA2012 update'!$B$6:$B$104,0),MATCH(AE$16,'AEA2012 update'!$AC$4:$AG$4,0)))</f>
        <v>6.5770008008855667</v>
      </c>
      <c r="AF105" s="67">
        <f t="array" ref="AF105">IF($W$1,AE105*(1+INDEX(AF$1:AF$2,MATCH($O105,$AA$1:$AA$2,0)))^(AF$16-AE$16),INDEX('AEA2012 update'!$AC$6:$AG$104,MATCH($T105&amp;$U105,'AEA2012 update'!$A$6:$A$104&amp;'AEA2012 update'!$B$6:$B$104,0),MATCH(AF$16,'AEA2012 update'!$AC$4:$AG$4,0)))</f>
        <v>6.5115259700521699</v>
      </c>
      <c r="AG105" s="67">
        <f t="array" ref="AG105">IF($W$1,AF105*(1+INDEX(AG$1:AG$2,MATCH($O105,$AA$1:$AA$2,0)))^(AG$16-AF$16),INDEX('AEA2012 update'!$AC$6:$AG$104,MATCH($T105&amp;$U105,'AEA2012 update'!$A$6:$A$104&amp;'AEA2012 update'!$B$6:$B$104,0),MATCH(AG$16,'AEA2012 update'!$AC$4:$AG$4,0)))</f>
        <v>6.4467029490029661</v>
      </c>
      <c r="AH105" s="67">
        <f t="array" ref="AH105">IF($W$1,AG105*(1+INDEX(AH$1:AH$2,MATCH($O105,$AA$1:$AA$2,0)))^(AH$16-AG$16),INDEX('AEA2012 update'!$AC$6:$AG$104,MATCH($T105&amp;$U105,'AEA2012 update'!$A$6:$A$104&amp;'AEA2012 update'!$B$6:$B$104,0),MATCH(AH$16,'AEA2012 update'!$AC$4:$AG$4,0)))</f>
        <v>6.3825252488934732</v>
      </c>
      <c r="AI105" s="67"/>
      <c r="AJ105" s="257">
        <f t="shared" si="31"/>
        <v>-9.9551197902516706E-4</v>
      </c>
      <c r="AK105" s="257">
        <f t="shared" si="32"/>
        <v>-9.8563442456379297E-4</v>
      </c>
      <c r="AQ105" s="61" t="str">
        <f t="shared" si="29"/>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4:51" x14ac:dyDescent="0.25">
      <c r="N106" s="61" t="s">
        <v>509</v>
      </c>
      <c r="O106" s="61" t="s">
        <v>653</v>
      </c>
      <c r="P106" s="61" t="s">
        <v>750</v>
      </c>
      <c r="Q106" s="61" t="str">
        <f t="shared" si="30"/>
        <v>CV8</v>
      </c>
      <c r="R106" s="61" t="s">
        <v>687</v>
      </c>
      <c r="S106" s="65"/>
      <c r="T106" s="256" t="s">
        <v>747</v>
      </c>
      <c r="U106" s="256" t="s">
        <v>700</v>
      </c>
      <c r="V106" s="103">
        <f t="array" ref="V106">IF(V$18,INDEX('AEA2012 update'!$K$6:$R$104,MATCH($T106&amp;$R106,'AEA2012 update'!$A$6:$A$104&amp;'AEA2012 update'!$B$6:$B$104,0),MATCH(V$16,'AEA2012 update'!$S$4:$Z$4,0)),INDEX('AEA2012 update'!$K$6:$R$104,MATCH($T106&amp;$U106,'AEA2012 update'!$A$6:$A$104&amp;'AEA2012 update'!$B$6:$B$104,0),MATCH(V$16,'AEA2012 update'!$S$4:$Z$4,0)))</f>
        <v>1216871.9571458176</v>
      </c>
      <c r="W106" s="103">
        <f t="array" ref="W106">IF(W$18,INDEX('AEA2012 update'!$K$6:$R$104,MATCH($T106&amp;$R106,'AEA2012 update'!$A$6:$A$104&amp;'AEA2012 update'!$B$6:$B$104,0),MATCH(W$16,'AEA2012 update'!$S$4:$Z$4,0)),INDEX('AEA2012 update'!$K$6:$R$104,MATCH($T106&amp;$U106,'AEA2012 update'!$A$6:$A$104&amp;'AEA2012 update'!$B$6:$B$104,0),MATCH(W$16,'AEA2012 update'!$S$4:$Z$4,0)))</f>
        <v>1262276.8438934449</v>
      </c>
      <c r="X106" s="103">
        <f t="array" ref="X106">IF(X$18,INDEX('AEA2012 update'!$K$6:$R$104,MATCH($T106&amp;$R106,'AEA2012 update'!$A$6:$A$104&amp;'AEA2012 update'!$B$6:$B$104,0),MATCH(X$16,'AEA2012 update'!$S$4:$Z$4,0)),INDEX('AEA2012 update'!$K$6:$R$104,MATCH($T106&amp;$U106,'AEA2012 update'!$A$6:$A$104&amp;'AEA2012 update'!$B$6:$B$104,0),MATCH(X$16,'AEA2012 update'!$S$4:$Z$4,0)))</f>
        <v>1258634.2158304008</v>
      </c>
      <c r="Y106" s="103">
        <f t="array" ref="Y106">IF(Y$18,INDEX('AEA2012 update'!$K$6:$R$104,MATCH($T106&amp;$R106,'AEA2012 update'!$A$6:$A$104&amp;'AEA2012 update'!$B$6:$B$104,0),MATCH(Y$16,'AEA2012 update'!$S$4:$Z$4,0)),INDEX('AEA2012 update'!$K$6:$R$104,MATCH($T106&amp;$U106,'AEA2012 update'!$A$6:$A$104&amp;'AEA2012 update'!$B$6:$B$104,0),MATCH(Y$16,'AEA2012 update'!$S$4:$Z$4,0)))</f>
        <v>1144694.5966426195</v>
      </c>
      <c r="Z106" s="103">
        <f t="array" ref="Z106">IF(Z$18,INDEX('AEA2012 update'!$K$6:$R$104,MATCH($T106&amp;$R106,'AEA2012 update'!$A$6:$A$104&amp;'AEA2012 update'!$B$6:$B$104,0),MATCH(Z$16,'AEA2012 update'!$S$4:$Z$4,0)),INDEX('AEA2012 update'!$K$6:$R$104,MATCH($T106&amp;$U106,'AEA2012 update'!$A$6:$A$104&amp;'AEA2012 update'!$B$6:$B$104,0),MATCH(Z$16,'AEA2012 update'!$S$4:$Z$4,0)))</f>
        <v>1166651.8949681348</v>
      </c>
      <c r="AA106" s="103">
        <f t="array" ref="AA106">IF(AA$18,INDEX('AEA2012 update'!$K$6:$R$104,MATCH($T106&amp;$R106,'AEA2012 update'!$A$6:$A$104&amp;'AEA2012 update'!$B$6:$B$104,0),MATCH(AA$16,'AEA2012 update'!$S$4:$Z$4,0)),INDEX('AEA2012 update'!$K$6:$R$104,MATCH($T106&amp;$U106,'AEA2012 update'!$A$6:$A$104&amp;'AEA2012 update'!$B$6:$B$104,0),MATCH(AA$16,'AEA2012 update'!$S$4:$Z$4,0)))</f>
        <v>1188609.1932936499</v>
      </c>
      <c r="AB106" s="103">
        <f t="array" ref="AB106">IF(AB$18,INDEX('AEA2012 update'!$K$6:$R$104,MATCH($T106&amp;$R106,'AEA2012 update'!$A$6:$A$104&amp;'AEA2012 update'!$B$6:$B$104,0),MATCH(AB$16,'AEA2012 update'!$S$4:$Z$4,0)),INDEX('AEA2012 update'!$K$6:$R$104,MATCH($T106&amp;$U106,'AEA2012 update'!$A$6:$A$104&amp;'AEA2012 update'!$B$6:$B$104,0),MATCH(AB$16,'AEA2012 update'!$S$4:$Z$4,0)))</f>
        <v>1215891.7526997081</v>
      </c>
      <c r="AC106" s="103" t="str">
        <f t="shared" si="28"/>
        <v>CV8GAS</v>
      </c>
      <c r="AD106" s="67">
        <f t="array" ref="AD106">INDEX('AEA2012 update'!$AC$6:$AG$104,MATCH($T106&amp;$U106,'AEA2012 update'!$A$6:$A$104&amp;'AEA2012 update'!$B$6:$B$104,0),MATCH(AD$16,'AEA2012 update'!$S$4:$Z$4,0))</f>
        <v>16.084446368039721</v>
      </c>
      <c r="AE106" s="67">
        <f t="array" ref="AE106">IF($W$1,AD106*(1+INDEX(AE$1:AE$2,MATCH($O106,$AA$1:$AA$2,0)))^(AE$16-AD$16),INDEX('AEA2012 update'!$AC$6:$AG$104,MATCH($T106&amp;$U106,'AEA2012 update'!$A$6:$A$104&amp;'AEA2012 update'!$B$6:$B$104,0),MATCH(AE$16,'AEA2012 update'!$AC$4:$AG$4,0)))</f>
        <v>15.924323777686007</v>
      </c>
      <c r="AF106" s="67">
        <f t="array" ref="AF106">IF($W$1,AE106*(1+INDEX(AF$1:AF$2,MATCH($O106,$AA$1:$AA$2,0)))^(AF$16-AE$16),INDEX('AEA2012 update'!$AC$6:$AG$104,MATCH($T106&amp;$U106,'AEA2012 update'!$A$6:$A$104&amp;'AEA2012 update'!$B$6:$B$104,0),MATCH(AF$16,'AEA2012 update'!$AC$4:$AG$4,0)))</f>
        <v>15.765795226900391</v>
      </c>
      <c r="AG106" s="67">
        <f t="array" ref="AG106">IF($W$1,AF106*(1+INDEX(AG$1:AG$2,MATCH($O106,$AA$1:$AA$2,0)))^(AG$16-AF$16),INDEX('AEA2012 update'!$AC$6:$AG$104,MATCH($T106&amp;$U106,'AEA2012 update'!$A$6:$A$104&amp;'AEA2012 update'!$B$6:$B$104,0),MATCH(AG$16,'AEA2012 update'!$AC$4:$AG$4,0)))</f>
        <v>15.608844846828019</v>
      </c>
      <c r="AH106" s="67">
        <f t="array" ref="AH106">IF($W$1,AG106*(1+INDEX(AH$1:AH$2,MATCH($O106,$AA$1:$AA$2,0)))^(AH$16-AG$16),INDEX('AEA2012 update'!$AC$6:$AG$104,MATCH($T106&amp;$U106,'AEA2012 update'!$A$6:$A$104&amp;'AEA2012 update'!$B$6:$B$104,0),MATCH(AH$16,'AEA2012 update'!$AC$4:$AG$4,0)))</f>
        <v>15.453456926590393</v>
      </c>
      <c r="AI106" s="67"/>
      <c r="AJ106" s="257">
        <f t="shared" si="31"/>
        <v>-9.9551197902516685E-4</v>
      </c>
      <c r="AK106" s="257">
        <f t="shared" si="32"/>
        <v>-9.8563442456379752E-4</v>
      </c>
      <c r="AQ106" s="61" t="str">
        <f t="shared" si="29"/>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4:51" x14ac:dyDescent="0.25">
      <c r="O107" s="61" t="s">
        <v>653</v>
      </c>
      <c r="P107"/>
      <c r="Q107" s="61" t="str">
        <f t="shared" si="30"/>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8"/>
        <v/>
      </c>
      <c r="AE107" s="67">
        <f t="array" ref="AE107">IF($W$1,AD107*(1+INDEX(AE$1:AE$2,MATCH($O107,$AA$1:$AA$2,0)))^(AE$16-AD$16),INDEX('AEA2012 update'!$AC$6:$AG$104,MATCH($T107&amp;$U107,'AEA2012 update'!$A$6:$A$104&amp;'AEA2012 update'!$B$6:$B$104,0),MATCH(AE$16,'AEA2012 update'!$AC$4:$AG$4,0)))</f>
        <v>0</v>
      </c>
      <c r="AF107" s="67">
        <f t="array" ref="AF107">IF($W$1,AE107*(1+INDEX(AF$1:AF$2,MATCH($O107,$AA$1:$AA$2,0)))^(AF$16-AE$16),INDEX('AEA2012 update'!$AC$6:$AG$104,MATCH($T107&amp;$U107,'AEA2012 update'!$A$6:$A$104&amp;'AEA2012 update'!$B$6:$B$104,0),MATCH(AF$16,'AEA2012 update'!$AC$4:$AG$4,0)))</f>
        <v>0</v>
      </c>
      <c r="AG107" s="67">
        <f t="array" ref="AG107">IF($W$1,AF107*(1+INDEX(AG$1:AG$2,MATCH($O107,$AA$1:$AA$2,0)))^(AG$16-AF$16),INDEX('AEA2012 update'!$AC$6:$AG$104,MATCH($T107&amp;$U107,'AEA2012 update'!$A$6:$A$104&amp;'AEA2012 update'!$B$6:$B$104,0),MATCH(AG$16,'AEA2012 update'!$AC$4:$AG$4,0)))</f>
        <v>0</v>
      </c>
      <c r="AH107" s="67">
        <f t="array" ref="AH107">IF($W$1,AG107*(1+INDEX(AH$1:AH$2,MATCH($O107,$AA$1:$AA$2,0)))^(AH$16-AG$16),INDEX('AEA2012 update'!$AC$6:$AG$104,MATCH($T107&amp;$U107,'AEA2012 update'!$A$6:$A$104&amp;'AEA2012 update'!$B$6:$B$104,0),MATCH(AH$16,'AEA2012 update'!$AC$4:$AG$4,0)))</f>
        <v>0</v>
      </c>
      <c r="AI107" s="67"/>
      <c r="AJ107" s="257" t="e">
        <f t="shared" si="31"/>
        <v>#DIV/0!</v>
      </c>
      <c r="AK107" s="257" t="e">
        <f t="shared" si="32"/>
        <v>#DIV/0!</v>
      </c>
      <c r="AL107"/>
      <c r="AO107"/>
      <c r="AP107"/>
      <c r="AQ107" s="61" t="str">
        <f t="shared" si="29"/>
        <v>-</v>
      </c>
      <c r="AR107" s="80" t="e" cm="1">
        <f t="array" aca="1" ref="AR107" ca="1">AD107/INDIRECT("cv."&amp;LEFT($U107,6)&amp;".hhv.MJL") * 100</f>
        <v>#REF!</v>
      </c>
      <c r="AS107" s="80" t="e" cm="1">
        <f t="array" aca="1" ref="AS107" ca="1">AE107/INDIRECT("cv."&amp;LEFT($U107,6)&amp;".hhv.MJL") * 100</f>
        <v>#REF!</v>
      </c>
      <c r="AT107" s="80" t="e" cm="1">
        <f t="array" aca="1" ref="AT107" ca="1">AF107/INDIRECT("cv."&amp;LEFT($U107,6)&amp;".hhv.MJL") * 100</f>
        <v>#REF!</v>
      </c>
      <c r="AU107" s="80" t="e" cm="1">
        <f t="array" aca="1" ref="AU107" ca="1">AG107/INDIRECT("cv."&amp;LEFT($U107,6)&amp;".hhv.MJL") * 100</f>
        <v>#REF!</v>
      </c>
      <c r="AV107" s="80" t="e" cm="1">
        <f t="array" aca="1" ref="AV107" ca="1">AH107/INDIRECT("cv."&amp;LEFT($U107,6)&amp;".hhv.MJL") * 100</f>
        <v>#REF!</v>
      </c>
      <c r="AY107"/>
    </row>
    <row r="108" spans="14:51" x14ac:dyDescent="0.25">
      <c r="N108" s="61" t="s">
        <v>511</v>
      </c>
      <c r="O108" s="61" t="s">
        <v>653</v>
      </c>
      <c r="P108" s="61" t="s">
        <v>757</v>
      </c>
      <c r="Q108" s="61" t="str">
        <f t="shared" si="30"/>
        <v>CV9</v>
      </c>
      <c r="R108" s="61" t="s">
        <v>687</v>
      </c>
      <c r="S108" s="65"/>
      <c r="T108" s="256" t="s">
        <v>747</v>
      </c>
      <c r="U108" s="256" t="s">
        <v>687</v>
      </c>
      <c r="V108" s="103">
        <f t="array" ref="V108">IF(V$18,INDEX('AEA2012 update'!$K$6:$R$104,MATCH($T108&amp;$R108,'AEA2012 update'!$A$6:$A$104&amp;'AEA2012 update'!$B$6:$B$104,0),MATCH(V$16,'AEA2012 update'!$S$4:$Z$4,0)),INDEX('AEA2012 update'!$K$6:$R$104,MATCH($T108&amp;$U108,'AEA2012 update'!$A$6:$A$104&amp;'AEA2012 update'!$B$6:$B$104,0),MATCH(V$16,'AEA2012 update'!$S$4:$Z$4,0)))</f>
        <v>877700.13388008508</v>
      </c>
      <c r="W108" s="103">
        <f t="array" ref="W108">IF(W$18,INDEX('AEA2012 update'!$K$6:$R$104,MATCH($T108&amp;$R108,'AEA2012 update'!$A$6:$A$104&amp;'AEA2012 update'!$B$6:$B$104,0),MATCH(W$16,'AEA2012 update'!$S$4:$Z$4,0)),INDEX('AEA2012 update'!$K$6:$R$104,MATCH($T108&amp;$U108,'AEA2012 update'!$A$6:$A$104&amp;'AEA2012 update'!$B$6:$B$104,0),MATCH(W$16,'AEA2012 update'!$S$4:$Z$4,0)))</f>
        <v>1088428.6604757041</v>
      </c>
      <c r="X108" s="103">
        <f t="array" ref="X108">IF(X$18,INDEX('AEA2012 update'!$K$6:$R$104,MATCH($T108&amp;$R108,'AEA2012 update'!$A$6:$A$104&amp;'AEA2012 update'!$B$6:$B$104,0),MATCH(X$16,'AEA2012 update'!$S$4:$Z$4,0)),INDEX('AEA2012 update'!$K$6:$R$104,MATCH($T108&amp;$U108,'AEA2012 update'!$A$6:$A$104&amp;'AEA2012 update'!$B$6:$B$104,0),MATCH(X$16,'AEA2012 update'!$S$4:$Z$4,0)))</f>
        <v>1116561.6285591619</v>
      </c>
      <c r="Y108" s="103">
        <f t="array" ref="Y108">IF(Y$18,INDEX('AEA2012 update'!$K$6:$R$104,MATCH($T108&amp;$R108,'AEA2012 update'!$A$6:$A$104&amp;'AEA2012 update'!$B$6:$B$104,0),MATCH(Y$16,'AEA2012 update'!$S$4:$Z$4,0)),INDEX('AEA2012 update'!$K$6:$R$104,MATCH($T108&amp;$U108,'AEA2012 update'!$A$6:$A$104&amp;'AEA2012 update'!$B$6:$B$104,0),MATCH(Y$16,'AEA2012 update'!$S$4:$Z$4,0)))</f>
        <v>1144694.5966426195</v>
      </c>
      <c r="Z108" s="103">
        <f t="array" ref="Z108">IF(Z$18,INDEX('AEA2012 update'!$K$6:$R$104,MATCH($T108&amp;$R108,'AEA2012 update'!$A$6:$A$104&amp;'AEA2012 update'!$B$6:$B$104,0),MATCH(Z$16,'AEA2012 update'!$S$4:$Z$4,0)),INDEX('AEA2012 update'!$K$6:$R$104,MATCH($T108&amp;$U108,'AEA2012 update'!$A$6:$A$104&amp;'AEA2012 update'!$B$6:$B$104,0),MATCH(Z$16,'AEA2012 update'!$S$4:$Z$4,0)))</f>
        <v>1166651.8949681348</v>
      </c>
      <c r="AA108" s="103">
        <f t="array" ref="AA108">IF(AA$18,INDEX('AEA2012 update'!$K$6:$R$104,MATCH($T108&amp;$R108,'AEA2012 update'!$A$6:$A$104&amp;'AEA2012 update'!$B$6:$B$104,0),MATCH(AA$16,'AEA2012 update'!$S$4:$Z$4,0)),INDEX('AEA2012 update'!$K$6:$R$104,MATCH($T108&amp;$U108,'AEA2012 update'!$A$6:$A$104&amp;'AEA2012 update'!$B$6:$B$104,0),MATCH(AA$16,'AEA2012 update'!$S$4:$Z$4,0)))</f>
        <v>1188609.1932936499</v>
      </c>
      <c r="AB108" s="103">
        <f t="array" ref="AB108">IF(AB$18,INDEX('AEA2012 update'!$K$6:$R$104,MATCH($T108&amp;$R108,'AEA2012 update'!$A$6:$A$104&amp;'AEA2012 update'!$B$6:$B$104,0),MATCH(AB$16,'AEA2012 update'!$S$4:$Z$4,0)),INDEX('AEA2012 update'!$K$6:$R$104,MATCH($T108&amp;$U108,'AEA2012 update'!$A$6:$A$104&amp;'AEA2012 update'!$B$6:$B$104,0),MATCH(AB$16,'AEA2012 update'!$S$4:$Z$4,0)))</f>
        <v>1215891.7526997081</v>
      </c>
      <c r="AC108" s="103" t="str">
        <f t="shared" si="28"/>
        <v>CV9ODS</v>
      </c>
      <c r="AD108" s="67">
        <f t="array" ref="AD108">INDEX('AEA2012 update'!$AC$6:$AG$104,MATCH($T108&amp;$U108,'AEA2012 update'!$A$6:$A$104&amp;'AEA2012 update'!$B$6:$B$104,0),MATCH(AD$16,'AEA2012 update'!$S$4:$Z$4,0))</f>
        <v>13.986475102643237</v>
      </c>
      <c r="AE108" s="67">
        <f t="array" ref="AE108">IF($W$1,AD108*(1+INDEX(AE$1:AE$2,MATCH($O108,$AA$1:$AA$2,0)))^(AE$16-AD$16),INDEX('AEA2012 update'!$AC$6:$AG$104,MATCH($T108&amp;$U108,'AEA2012 update'!$A$6:$A$104&amp;'AEA2012 update'!$B$6:$B$104,0),MATCH(AE$16,'AEA2012 update'!$AC$4:$AG$4,0)))</f>
        <v>13.84723806755305</v>
      </c>
      <c r="AF108" s="67">
        <f t="array" ref="AF108">IF($W$1,AE108*(1+INDEX(AF$1:AF$2,MATCH($O108,$AA$1:$AA$2,0)))^(AF$16-AE$16),INDEX('AEA2012 update'!$AC$6:$AG$104,MATCH($T108&amp;$U108,'AEA2012 update'!$A$6:$A$104&amp;'AEA2012 update'!$B$6:$B$104,0),MATCH(AF$16,'AEA2012 update'!$AC$4:$AG$4,0)))</f>
        <v>13.709387153826427</v>
      </c>
      <c r="AG108" s="67">
        <f t="array" ref="AG108">IF($W$1,AF108*(1+INDEX(AG$1:AG$2,MATCH($O108,$AA$1:$AA$2,0)))^(AG$16-AF$16),INDEX('AEA2012 update'!$AC$6:$AG$104,MATCH($T108&amp;$U108,'AEA2012 update'!$A$6:$A$104&amp;'AEA2012 update'!$B$6:$B$104,0),MATCH(AG$16,'AEA2012 update'!$AC$4:$AG$4,0)))</f>
        <v>13.572908562459148</v>
      </c>
      <c r="AH108" s="67">
        <f t="array" ref="AH108">IF($W$1,AG108*(1+INDEX(AH$1:AH$2,MATCH($O108,$AA$1:$AA$2,0)))^(AH$16-AG$16),INDEX('AEA2012 update'!$AC$6:$AG$104,MATCH($T108&amp;$U108,'AEA2012 update'!$A$6:$A$104&amp;'AEA2012 update'!$B$6:$B$104,0),MATCH(AH$16,'AEA2012 update'!$AC$4:$AG$4,0)))</f>
        <v>13.437788631817735</v>
      </c>
      <c r="AI108" s="67"/>
      <c r="AJ108" s="257">
        <f t="shared" si="31"/>
        <v>-9.955119790251701E-4</v>
      </c>
      <c r="AK108" s="257">
        <f t="shared" si="32"/>
        <v>-9.8563442456379275E-4</v>
      </c>
      <c r="AL108"/>
      <c r="AO108"/>
      <c r="AP108"/>
      <c r="AQ108" s="61" t="str">
        <f t="shared" si="29"/>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4:51" x14ac:dyDescent="0.25">
      <c r="N109" s="61" t="s">
        <v>504</v>
      </c>
      <c r="O109" s="61" t="s">
        <v>653</v>
      </c>
      <c r="P109" s="61" t="s">
        <v>757</v>
      </c>
      <c r="Q109" s="61" t="str">
        <f t="shared" si="30"/>
        <v>CV9</v>
      </c>
      <c r="R109" s="61" t="s">
        <v>687</v>
      </c>
      <c r="S109" s="65"/>
      <c r="T109" s="256" t="s">
        <v>747</v>
      </c>
      <c r="U109" s="256" t="s">
        <v>699</v>
      </c>
      <c r="V109" s="103">
        <f t="array" ref="V109">IF(V$18,INDEX('AEA2012 update'!$K$6:$R$104,MATCH($T109&amp;$R109,'AEA2012 update'!$A$6:$A$104&amp;'AEA2012 update'!$B$6:$B$104,0),MATCH(V$16,'AEA2012 update'!$S$4:$Z$4,0)),INDEX('AEA2012 update'!$K$6:$R$104,MATCH($T109&amp;$U109,'AEA2012 update'!$A$6:$A$104&amp;'AEA2012 update'!$B$6:$B$104,0),MATCH(V$16,'AEA2012 update'!$S$4:$Z$4,0)))</f>
        <v>5872968.0361672165</v>
      </c>
      <c r="W109" s="103">
        <f t="array" ref="W109">IF(W$18,INDEX('AEA2012 update'!$K$6:$R$104,MATCH($T109&amp;$R109,'AEA2012 update'!$A$6:$A$104&amp;'AEA2012 update'!$B$6:$B$104,0),MATCH(W$16,'AEA2012 update'!$S$4:$Z$4,0)),INDEX('AEA2012 update'!$K$6:$R$104,MATCH($T109&amp;$U109,'AEA2012 update'!$A$6:$A$104&amp;'AEA2012 update'!$B$6:$B$104,0),MATCH(W$16,'AEA2012 update'!$S$4:$Z$4,0)))</f>
        <v>2464487.1540335203</v>
      </c>
      <c r="X109" s="103">
        <f t="array" ref="X109">IF(X$18,INDEX('AEA2012 update'!$K$6:$R$104,MATCH($T109&amp;$R109,'AEA2012 update'!$A$6:$A$104&amp;'AEA2012 update'!$B$6:$B$104,0),MATCH(X$16,'AEA2012 update'!$S$4:$Z$4,0)),INDEX('AEA2012 update'!$K$6:$R$104,MATCH($T109&amp;$U109,'AEA2012 update'!$A$6:$A$104&amp;'AEA2012 update'!$B$6:$B$104,0),MATCH(X$16,'AEA2012 update'!$S$4:$Z$4,0)))</f>
        <v>1930209.4138028375</v>
      </c>
      <c r="Y109" s="103">
        <f t="array" ref="Y109">IF(Y$18,INDEX('AEA2012 update'!$K$6:$R$104,MATCH($T109&amp;$R109,'AEA2012 update'!$A$6:$A$104&amp;'AEA2012 update'!$B$6:$B$104,0),MATCH(Y$16,'AEA2012 update'!$S$4:$Z$4,0)),INDEX('AEA2012 update'!$K$6:$R$104,MATCH($T109&amp;$U109,'AEA2012 update'!$A$6:$A$104&amp;'AEA2012 update'!$B$6:$B$104,0),MATCH(Y$16,'AEA2012 update'!$S$4:$Z$4,0)))</f>
        <v>1144694.5966426195</v>
      </c>
      <c r="Z109" s="103">
        <f t="array" ref="Z109">IF(Z$18,INDEX('AEA2012 update'!$K$6:$R$104,MATCH($T109&amp;$R109,'AEA2012 update'!$A$6:$A$104&amp;'AEA2012 update'!$B$6:$B$104,0),MATCH(Z$16,'AEA2012 update'!$S$4:$Z$4,0)),INDEX('AEA2012 update'!$K$6:$R$104,MATCH($T109&amp;$U109,'AEA2012 update'!$A$6:$A$104&amp;'AEA2012 update'!$B$6:$B$104,0),MATCH(Z$16,'AEA2012 update'!$S$4:$Z$4,0)))</f>
        <v>1166651.8949681348</v>
      </c>
      <c r="AA109" s="103">
        <f t="array" ref="AA109">IF(AA$18,INDEX('AEA2012 update'!$K$6:$R$104,MATCH($T109&amp;$R109,'AEA2012 update'!$A$6:$A$104&amp;'AEA2012 update'!$B$6:$B$104,0),MATCH(AA$16,'AEA2012 update'!$S$4:$Z$4,0)),INDEX('AEA2012 update'!$K$6:$R$104,MATCH($T109&amp;$U109,'AEA2012 update'!$A$6:$A$104&amp;'AEA2012 update'!$B$6:$B$104,0),MATCH(AA$16,'AEA2012 update'!$S$4:$Z$4,0)))</f>
        <v>1188609.1932936499</v>
      </c>
      <c r="AB109" s="103">
        <f t="array" ref="AB109">IF(AB$18,INDEX('AEA2012 update'!$K$6:$R$104,MATCH($T109&amp;$R109,'AEA2012 update'!$A$6:$A$104&amp;'AEA2012 update'!$B$6:$B$104,0),MATCH(AB$16,'AEA2012 update'!$S$4:$Z$4,0)),INDEX('AEA2012 update'!$K$6:$R$104,MATCH($T109&amp;$U109,'AEA2012 update'!$A$6:$A$104&amp;'AEA2012 update'!$B$6:$B$104,0),MATCH(AB$16,'AEA2012 update'!$S$4:$Z$4,0)))</f>
        <v>1215891.7526997081</v>
      </c>
      <c r="AC109" s="103" t="str">
        <f t="shared" si="28"/>
        <v>CV9HGN</v>
      </c>
      <c r="AD109" s="67">
        <f t="array" ref="AD109">INDEX('AEA2012 update'!$AC$6:$AG$104,MATCH($T109&amp;$U109,'AEA2012 update'!$A$6:$A$104&amp;'AEA2012 update'!$B$6:$B$104,0),MATCH(AD$16,'AEA2012 update'!$S$4:$Z$4,0))</f>
        <v>6.6431339955944022</v>
      </c>
      <c r="AE109" s="67">
        <f t="array" ref="AE109">IF($W$1,AD109*(1+INDEX(AE$1:AE$2,MATCH($O109,$AA$1:$AA$2,0)))^(AE$16-AD$16),INDEX('AEA2012 update'!$AC$6:$AG$104,MATCH($T109&amp;$U109,'AEA2012 update'!$A$6:$A$104&amp;'AEA2012 update'!$B$6:$B$104,0),MATCH(AE$16,'AEA2012 update'!$AC$4:$AG$4,0)))</f>
        <v>6.5770008008855667</v>
      </c>
      <c r="AF109" s="67">
        <f t="array" ref="AF109">IF($W$1,AE109*(1+INDEX(AF$1:AF$2,MATCH($O109,$AA$1:$AA$2,0)))^(AF$16-AE$16),INDEX('AEA2012 update'!$AC$6:$AG$104,MATCH($T109&amp;$U109,'AEA2012 update'!$A$6:$A$104&amp;'AEA2012 update'!$B$6:$B$104,0),MATCH(AF$16,'AEA2012 update'!$AC$4:$AG$4,0)))</f>
        <v>6.5115259700521699</v>
      </c>
      <c r="AG109" s="67">
        <f t="array" ref="AG109">IF($W$1,AF109*(1+INDEX(AG$1:AG$2,MATCH($O109,$AA$1:$AA$2,0)))^(AG$16-AF$16),INDEX('AEA2012 update'!$AC$6:$AG$104,MATCH($T109&amp;$U109,'AEA2012 update'!$A$6:$A$104&amp;'AEA2012 update'!$B$6:$B$104,0),MATCH(AG$16,'AEA2012 update'!$AC$4:$AG$4,0)))</f>
        <v>6.4467029490029661</v>
      </c>
      <c r="AH109" s="67">
        <f t="array" ref="AH109">IF($W$1,AG109*(1+INDEX(AH$1:AH$2,MATCH($O109,$AA$1:$AA$2,0)))^(AH$16-AG$16),INDEX('AEA2012 update'!$AC$6:$AG$104,MATCH($T109&amp;$U109,'AEA2012 update'!$A$6:$A$104&amp;'AEA2012 update'!$B$6:$B$104,0),MATCH(AH$16,'AEA2012 update'!$AC$4:$AG$4,0)))</f>
        <v>6.3825252488934732</v>
      </c>
      <c r="AI109" s="67"/>
      <c r="AJ109" s="257">
        <f t="shared" si="31"/>
        <v>-9.9551197902516706E-4</v>
      </c>
      <c r="AK109" s="257">
        <f t="shared" si="32"/>
        <v>-9.8563442456379297E-4</v>
      </c>
      <c r="AL109"/>
      <c r="AO109"/>
      <c r="AP109"/>
      <c r="AQ109" s="61" t="str">
        <f t="shared" si="29"/>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4:51" x14ac:dyDescent="0.25">
      <c r="N110" s="61" t="s">
        <v>509</v>
      </c>
      <c r="O110" s="61" t="s">
        <v>653</v>
      </c>
      <c r="P110" s="61" t="s">
        <v>757</v>
      </c>
      <c r="Q110" s="61" t="str">
        <f t="shared" si="30"/>
        <v>CV9</v>
      </c>
      <c r="R110" s="61" t="s">
        <v>687</v>
      </c>
      <c r="S110" s="65"/>
      <c r="T110" s="256" t="s">
        <v>747</v>
      </c>
      <c r="U110" s="256" t="s">
        <v>700</v>
      </c>
      <c r="V110" s="103">
        <f t="array" ref="V110">IF(V$18,INDEX('AEA2012 update'!$K$6:$R$104,MATCH($T110&amp;$R110,'AEA2012 update'!$A$6:$A$104&amp;'AEA2012 update'!$B$6:$B$104,0),MATCH(V$16,'AEA2012 update'!$S$4:$Z$4,0)),INDEX('AEA2012 update'!$K$6:$R$104,MATCH($T110&amp;$U110,'AEA2012 update'!$A$6:$A$104&amp;'AEA2012 update'!$B$6:$B$104,0),MATCH(V$16,'AEA2012 update'!$S$4:$Z$4,0)))</f>
        <v>1216871.9571458176</v>
      </c>
      <c r="W110" s="103">
        <f t="array" ref="W110">IF(W$18,INDEX('AEA2012 update'!$K$6:$R$104,MATCH($T110&amp;$R110,'AEA2012 update'!$A$6:$A$104&amp;'AEA2012 update'!$B$6:$B$104,0),MATCH(W$16,'AEA2012 update'!$S$4:$Z$4,0)),INDEX('AEA2012 update'!$K$6:$R$104,MATCH($T110&amp;$U110,'AEA2012 update'!$A$6:$A$104&amp;'AEA2012 update'!$B$6:$B$104,0),MATCH(W$16,'AEA2012 update'!$S$4:$Z$4,0)))</f>
        <v>1262276.8438934449</v>
      </c>
      <c r="X110" s="103">
        <f t="array" ref="X110">IF(X$18,INDEX('AEA2012 update'!$K$6:$R$104,MATCH($T110&amp;$R110,'AEA2012 update'!$A$6:$A$104&amp;'AEA2012 update'!$B$6:$B$104,0),MATCH(X$16,'AEA2012 update'!$S$4:$Z$4,0)),INDEX('AEA2012 update'!$K$6:$R$104,MATCH($T110&amp;$U110,'AEA2012 update'!$A$6:$A$104&amp;'AEA2012 update'!$B$6:$B$104,0),MATCH(X$16,'AEA2012 update'!$S$4:$Z$4,0)))</f>
        <v>1258634.2158304008</v>
      </c>
      <c r="Y110" s="103">
        <f t="array" ref="Y110">IF(Y$18,INDEX('AEA2012 update'!$K$6:$R$104,MATCH($T110&amp;$R110,'AEA2012 update'!$A$6:$A$104&amp;'AEA2012 update'!$B$6:$B$104,0),MATCH(Y$16,'AEA2012 update'!$S$4:$Z$4,0)),INDEX('AEA2012 update'!$K$6:$R$104,MATCH($T110&amp;$U110,'AEA2012 update'!$A$6:$A$104&amp;'AEA2012 update'!$B$6:$B$104,0),MATCH(Y$16,'AEA2012 update'!$S$4:$Z$4,0)))</f>
        <v>1144694.5966426195</v>
      </c>
      <c r="Z110" s="103">
        <f t="array" ref="Z110">IF(Z$18,INDEX('AEA2012 update'!$K$6:$R$104,MATCH($T110&amp;$R110,'AEA2012 update'!$A$6:$A$104&amp;'AEA2012 update'!$B$6:$B$104,0),MATCH(Z$16,'AEA2012 update'!$S$4:$Z$4,0)),INDEX('AEA2012 update'!$K$6:$R$104,MATCH($T110&amp;$U110,'AEA2012 update'!$A$6:$A$104&amp;'AEA2012 update'!$B$6:$B$104,0),MATCH(Z$16,'AEA2012 update'!$S$4:$Z$4,0)))</f>
        <v>1166651.8949681348</v>
      </c>
      <c r="AA110" s="103">
        <f t="array" ref="AA110">IF(AA$18,INDEX('AEA2012 update'!$K$6:$R$104,MATCH($T110&amp;$R110,'AEA2012 update'!$A$6:$A$104&amp;'AEA2012 update'!$B$6:$B$104,0),MATCH(AA$16,'AEA2012 update'!$S$4:$Z$4,0)),INDEX('AEA2012 update'!$K$6:$R$104,MATCH($T110&amp;$U110,'AEA2012 update'!$A$6:$A$104&amp;'AEA2012 update'!$B$6:$B$104,0),MATCH(AA$16,'AEA2012 update'!$S$4:$Z$4,0)))</f>
        <v>1188609.1932936499</v>
      </c>
      <c r="AB110" s="103">
        <f t="array" ref="AB110">IF(AB$18,INDEX('AEA2012 update'!$K$6:$R$104,MATCH($T110&amp;$R110,'AEA2012 update'!$A$6:$A$104&amp;'AEA2012 update'!$B$6:$B$104,0),MATCH(AB$16,'AEA2012 update'!$S$4:$Z$4,0)),INDEX('AEA2012 update'!$K$6:$R$104,MATCH($T110&amp;$U110,'AEA2012 update'!$A$6:$A$104&amp;'AEA2012 update'!$B$6:$B$104,0),MATCH(AB$16,'AEA2012 update'!$S$4:$Z$4,0)))</f>
        <v>1215891.7526997081</v>
      </c>
      <c r="AC110" s="103" t="str">
        <f t="shared" si="28"/>
        <v>CV9GAS</v>
      </c>
      <c r="AD110" s="67">
        <f t="array" ref="AD110">INDEX('AEA2012 update'!$AC$6:$AG$104,MATCH($T110&amp;$U110,'AEA2012 update'!$A$6:$A$104&amp;'AEA2012 update'!$B$6:$B$104,0),MATCH(AD$16,'AEA2012 update'!$S$4:$Z$4,0))</f>
        <v>16.084446368039721</v>
      </c>
      <c r="AE110" s="67">
        <f t="array" ref="AE110">IF($W$1,AD110*(1+INDEX(AE$1:AE$2,MATCH($O110,$AA$1:$AA$2,0)))^(AE$16-AD$16),INDEX('AEA2012 update'!$AC$6:$AG$104,MATCH($T110&amp;$U110,'AEA2012 update'!$A$6:$A$104&amp;'AEA2012 update'!$B$6:$B$104,0),MATCH(AE$16,'AEA2012 update'!$AC$4:$AG$4,0)))</f>
        <v>15.924323777686007</v>
      </c>
      <c r="AF110" s="67">
        <f t="array" ref="AF110">IF($W$1,AE110*(1+INDEX(AF$1:AF$2,MATCH($O110,$AA$1:$AA$2,0)))^(AF$16-AE$16),INDEX('AEA2012 update'!$AC$6:$AG$104,MATCH($T110&amp;$U110,'AEA2012 update'!$A$6:$A$104&amp;'AEA2012 update'!$B$6:$B$104,0),MATCH(AF$16,'AEA2012 update'!$AC$4:$AG$4,0)))</f>
        <v>15.765795226900391</v>
      </c>
      <c r="AG110" s="67">
        <f t="array" ref="AG110">IF($W$1,AF110*(1+INDEX(AG$1:AG$2,MATCH($O110,$AA$1:$AA$2,0)))^(AG$16-AF$16),INDEX('AEA2012 update'!$AC$6:$AG$104,MATCH($T110&amp;$U110,'AEA2012 update'!$A$6:$A$104&amp;'AEA2012 update'!$B$6:$B$104,0),MATCH(AG$16,'AEA2012 update'!$AC$4:$AG$4,0)))</f>
        <v>15.608844846828019</v>
      </c>
      <c r="AH110" s="67">
        <f t="array" ref="AH110">IF($W$1,AG110*(1+INDEX(AH$1:AH$2,MATCH($O110,$AA$1:$AA$2,0)))^(AH$16-AG$16),INDEX('AEA2012 update'!$AC$6:$AG$104,MATCH($T110&amp;$U110,'AEA2012 update'!$A$6:$A$104&amp;'AEA2012 update'!$B$6:$B$104,0),MATCH(AH$16,'AEA2012 update'!$AC$4:$AG$4,0)))</f>
        <v>15.453456926590393</v>
      </c>
      <c r="AI110" s="67"/>
      <c r="AJ110" s="257">
        <f t="shared" si="31"/>
        <v>-9.9551197902516685E-4</v>
      </c>
      <c r="AK110" s="257">
        <f t="shared" si="32"/>
        <v>-9.8563442456379752E-4</v>
      </c>
      <c r="AQ110" s="61" t="str">
        <f t="shared" si="29"/>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4:51" x14ac:dyDescent="0.25">
      <c r="N111"/>
      <c r="O111"/>
      <c r="P111"/>
      <c r="Q111"/>
      <c r="R111"/>
      <c r="S111"/>
      <c r="T111"/>
      <c r="U111"/>
      <c r="V111"/>
      <c r="W111"/>
      <c r="X111"/>
      <c r="Y111"/>
      <c r="Z111"/>
      <c r="AA111"/>
      <c r="AB111"/>
      <c r="AC111"/>
      <c r="AD111"/>
      <c r="AJ111" s="257" t="e">
        <f t="shared" si="31"/>
        <v>#DIV/0!</v>
      </c>
      <c r="AK111" s="257"/>
    </row>
    <row r="112" spans="14:51" x14ac:dyDescent="0.25">
      <c r="N112"/>
      <c r="O112"/>
      <c r="P112"/>
      <c r="Q112"/>
      <c r="R112"/>
      <c r="S112"/>
      <c r="T112"/>
      <c r="U112"/>
      <c r="V112"/>
      <c r="W112"/>
      <c r="X112"/>
      <c r="Y112"/>
      <c r="Z112"/>
      <c r="AA112"/>
      <c r="AB112"/>
      <c r="AC112"/>
      <c r="AD112"/>
      <c r="AJ112" s="257"/>
      <c r="AK112" s="257"/>
    </row>
    <row r="113" spans="14:37" x14ac:dyDescent="0.25">
      <c r="N113"/>
      <c r="O113"/>
      <c r="P113"/>
      <c r="Q113"/>
      <c r="R113"/>
      <c r="S113"/>
      <c r="T113"/>
      <c r="U113"/>
      <c r="AJ113" s="257"/>
      <c r="AK113" s="257"/>
    </row>
    <row r="114" spans="14:37" x14ac:dyDescent="0.25">
      <c r="N114"/>
      <c r="O114"/>
      <c r="P114"/>
      <c r="Q114"/>
      <c r="R114"/>
      <c r="S114"/>
      <c r="T114"/>
      <c r="U114"/>
      <c r="V114"/>
      <c r="W114"/>
      <c r="X114"/>
      <c r="Y114"/>
      <c r="AB114"/>
      <c r="AC114"/>
      <c r="AJ114" s="257"/>
      <c r="AK114" s="257"/>
    </row>
    <row r="115" spans="14:37" x14ac:dyDescent="0.25">
      <c r="N115"/>
      <c r="O115"/>
      <c r="P115"/>
      <c r="Q115"/>
      <c r="R115"/>
      <c r="S115"/>
      <c r="T115"/>
      <c r="U115"/>
      <c r="V115" s="294">
        <v>2010</v>
      </c>
      <c r="W115" s="294">
        <v>2018</v>
      </c>
      <c r="X115" s="294">
        <v>2020</v>
      </c>
      <c r="Y115" s="294">
        <v>2030</v>
      </c>
      <c r="Z115" s="294">
        <v>2040</v>
      </c>
      <c r="AA115" s="294">
        <v>2050</v>
      </c>
      <c r="AJ115" s="257"/>
      <c r="AK115" s="257"/>
    </row>
    <row r="116" spans="14:37" x14ac:dyDescent="0.25">
      <c r="N116"/>
      <c r="O116"/>
      <c r="P116"/>
      <c r="Q116"/>
      <c r="R116"/>
      <c r="S116"/>
      <c r="T116"/>
      <c r="U116"/>
      <c r="V116" s="195">
        <f>V27/V20</f>
        <v>4.2113457361265105</v>
      </c>
      <c r="W116" s="195">
        <f>(H26/H27)</f>
        <v>2.0232263513513513</v>
      </c>
      <c r="X116" s="195">
        <f>W27/W20</f>
        <v>2.6404042872112137</v>
      </c>
      <c r="Y116" s="195">
        <f>Y27/Y20</f>
        <v>1</v>
      </c>
      <c r="Z116" s="195">
        <f>AA27/AA20</f>
        <v>1</v>
      </c>
      <c r="AA116" s="195">
        <f>AB27/AB20</f>
        <v>1</v>
      </c>
      <c r="AJ116" s="257"/>
      <c r="AK116" s="257"/>
    </row>
    <row r="117" spans="14:37" x14ac:dyDescent="0.25">
      <c r="N117"/>
      <c r="O117"/>
      <c r="P117"/>
      <c r="Q117"/>
      <c r="R117"/>
      <c r="S117"/>
      <c r="T117"/>
      <c r="U117"/>
      <c r="AJ117" s="257"/>
      <c r="AK117" s="257"/>
    </row>
    <row r="118" spans="14:37" x14ac:dyDescent="0.25">
      <c r="N118"/>
      <c r="O118"/>
      <c r="P118"/>
      <c r="Q118"/>
      <c r="R118"/>
      <c r="S118"/>
      <c r="T118"/>
      <c r="U118"/>
      <c r="V118"/>
      <c r="W118"/>
      <c r="X118"/>
      <c r="Y118"/>
      <c r="Z118"/>
      <c r="AA118"/>
      <c r="AB118"/>
      <c r="AC118"/>
      <c r="AJ118" s="257"/>
      <c r="AK118" s="257"/>
    </row>
    <row r="119" spans="14:37" x14ac:dyDescent="0.25">
      <c r="N119"/>
      <c r="O119"/>
      <c r="P119"/>
      <c r="Q119"/>
      <c r="R119"/>
      <c r="S119"/>
      <c r="U119" s="297" t="s">
        <v>787</v>
      </c>
      <c r="V119" s="298"/>
      <c r="W119" s="299"/>
      <c r="X119" s="299"/>
      <c r="Y119" s="299"/>
      <c r="Z119" s="299"/>
      <c r="AA119" s="298"/>
      <c r="AB119" s="300"/>
      <c r="AC119"/>
      <c r="AJ119" s="257"/>
      <c r="AK119" s="257"/>
    </row>
    <row r="120" spans="14:37" x14ac:dyDescent="0.25">
      <c r="N120"/>
      <c r="O120"/>
      <c r="P120"/>
      <c r="Q120"/>
      <c r="R120"/>
      <c r="S120"/>
      <c r="U120" s="301" t="s">
        <v>791</v>
      </c>
      <c r="V120" s="294">
        <v>2010</v>
      </c>
      <c r="W120" s="294">
        <v>2020</v>
      </c>
      <c r="X120" s="294"/>
      <c r="Y120" s="294">
        <v>2030</v>
      </c>
      <c r="Z120" s="294"/>
      <c r="AA120" s="294">
        <v>2040</v>
      </c>
      <c r="AB120" s="294">
        <v>2050</v>
      </c>
      <c r="AC120"/>
      <c r="AJ120" s="257"/>
      <c r="AK120" s="257"/>
    </row>
    <row r="121" spans="14:37" x14ac:dyDescent="0.25">
      <c r="N121"/>
      <c r="O121"/>
      <c r="P121"/>
      <c r="Q121"/>
      <c r="R121"/>
      <c r="S121"/>
      <c r="U121" s="302" t="s">
        <v>795</v>
      </c>
      <c r="V121" s="303">
        <v>11397.369670152857</v>
      </c>
      <c r="W121" s="303">
        <v>11397.369670152857</v>
      </c>
      <c r="X121" s="303"/>
      <c r="Y121" s="303">
        <v>11397.369670152857</v>
      </c>
      <c r="Z121" s="303"/>
      <c r="AA121" s="303">
        <v>11397.369670152857</v>
      </c>
      <c r="AB121" s="303">
        <v>11397.369670152857</v>
      </c>
      <c r="AC121"/>
      <c r="AJ121" s="257"/>
      <c r="AK121" s="257"/>
    </row>
    <row r="122" spans="14:37" x14ac:dyDescent="0.25">
      <c r="N122"/>
      <c r="O122"/>
      <c r="P122"/>
      <c r="Q122"/>
      <c r="R122"/>
      <c r="S122"/>
      <c r="U122" s="302" t="s">
        <v>796</v>
      </c>
      <c r="V122" s="303">
        <v>4325.1030927835054</v>
      </c>
      <c r="W122" s="303">
        <v>2671.4241637609025</v>
      </c>
      <c r="X122" s="303"/>
      <c r="Y122" s="303">
        <v>1895.6429596763671</v>
      </c>
      <c r="Z122" s="303"/>
      <c r="AA122" s="303">
        <v>1722.8429596763672</v>
      </c>
      <c r="AB122" s="303">
        <v>1584.6029596763672</v>
      </c>
      <c r="AC122"/>
      <c r="AJ122" s="257"/>
      <c r="AK122" s="257"/>
    </row>
    <row r="123" spans="14:37" x14ac:dyDescent="0.25">
      <c r="N123"/>
      <c r="O123"/>
      <c r="P123"/>
      <c r="Q123"/>
      <c r="R123"/>
      <c r="S123"/>
      <c r="U123" s="302" t="s">
        <v>800</v>
      </c>
      <c r="V123" s="303">
        <v>20516.123958396958</v>
      </c>
      <c r="W123" s="303">
        <v>10321.343218432934</v>
      </c>
      <c r="X123" s="303"/>
      <c r="Y123" s="303">
        <v>6664.450612276908</v>
      </c>
      <c r="Z123" s="303"/>
      <c r="AA123" s="303">
        <v>6947.4020113231627</v>
      </c>
      <c r="AB123" s="303">
        <v>7085.5672178836048</v>
      </c>
      <c r="AC123"/>
      <c r="AJ123" s="257"/>
      <c r="AK123" s="257"/>
    </row>
    <row r="124" spans="14:37" x14ac:dyDescent="0.25">
      <c r="N124"/>
      <c r="O124"/>
      <c r="P124"/>
      <c r="Q124"/>
      <c r="R124"/>
      <c r="S124"/>
      <c r="U124" s="302" t="s">
        <v>804</v>
      </c>
      <c r="V124" s="303">
        <v>0</v>
      </c>
      <c r="W124" s="303">
        <v>0</v>
      </c>
      <c r="X124" s="303"/>
      <c r="Y124" s="303">
        <v>0</v>
      </c>
      <c r="Z124" s="303"/>
      <c r="AA124" s="303">
        <v>0</v>
      </c>
      <c r="AB124" s="303">
        <v>0</v>
      </c>
      <c r="AC124"/>
      <c r="AJ124" s="257"/>
      <c r="AK124" s="257"/>
    </row>
    <row r="125" spans="14:37" x14ac:dyDescent="0.25">
      <c r="N125"/>
      <c r="O125"/>
      <c r="P125"/>
      <c r="Q125"/>
      <c r="R125"/>
      <c r="S125"/>
      <c r="U125" s="302" t="s">
        <v>808</v>
      </c>
      <c r="V125" s="303">
        <v>0</v>
      </c>
      <c r="W125" s="303">
        <v>8.9453706281175727</v>
      </c>
      <c r="X125" s="303"/>
      <c r="Y125" s="303">
        <v>20.952492987800643</v>
      </c>
      <c r="Z125" s="303"/>
      <c r="AA125" s="303">
        <v>25.793675678662378</v>
      </c>
      <c r="AB125" s="303">
        <v>27.725005798971225</v>
      </c>
      <c r="AC125"/>
      <c r="AJ125" s="257"/>
      <c r="AK125" s="257"/>
    </row>
    <row r="126" spans="14:37" x14ac:dyDescent="0.25">
      <c r="N126"/>
      <c r="O126"/>
      <c r="P126"/>
      <c r="Q126"/>
      <c r="R126"/>
      <c r="S126"/>
      <c r="U126" s="302" t="s">
        <v>812</v>
      </c>
      <c r="V126" s="303">
        <v>0</v>
      </c>
      <c r="W126" s="303">
        <v>18.764296648724834</v>
      </c>
      <c r="X126" s="303"/>
      <c r="Y126" s="303">
        <v>17.385645895502968</v>
      </c>
      <c r="Z126" s="303"/>
      <c r="AA126" s="303">
        <v>16.734089353993042</v>
      </c>
      <c r="AB126" s="303">
        <v>16.302594462013452</v>
      </c>
      <c r="AC126"/>
      <c r="AJ126" s="257"/>
      <c r="AK126" s="257"/>
    </row>
    <row r="127" spans="14:37" x14ac:dyDescent="0.25">
      <c r="N127"/>
      <c r="O127"/>
      <c r="P127"/>
      <c r="Q127"/>
      <c r="R127"/>
      <c r="S127"/>
      <c r="U127" s="302" t="s">
        <v>813</v>
      </c>
      <c r="V127" s="303">
        <v>0</v>
      </c>
      <c r="W127" s="303">
        <v>96.680326472614169</v>
      </c>
      <c r="X127" s="303"/>
      <c r="Y127" s="303">
        <v>158.46373746443086</v>
      </c>
      <c r="Z127" s="303"/>
      <c r="AA127" s="303">
        <v>280.2703552373747</v>
      </c>
      <c r="AB127" s="303">
        <v>410.49323104529975</v>
      </c>
      <c r="AC127"/>
      <c r="AJ127" s="257"/>
      <c r="AK127" s="257"/>
    </row>
    <row r="128" spans="14:37" x14ac:dyDescent="0.25">
      <c r="N128"/>
      <c r="O128"/>
      <c r="P128"/>
      <c r="Q128"/>
      <c r="R128"/>
      <c r="S128"/>
      <c r="U128" s="302" t="s">
        <v>814</v>
      </c>
      <c r="V128" s="303">
        <v>0</v>
      </c>
      <c r="W128" s="303">
        <v>88.489721534076395</v>
      </c>
      <c r="X128" s="303"/>
      <c r="Y128" s="303">
        <v>219.26930496828516</v>
      </c>
      <c r="Z128" s="303"/>
      <c r="AA128" s="303">
        <v>257.49171484357635</v>
      </c>
      <c r="AB128" s="303">
        <v>266.18798500621233</v>
      </c>
      <c r="AC128"/>
      <c r="AJ128" s="257"/>
      <c r="AK128" s="257"/>
    </row>
    <row r="129" spans="14:37" x14ac:dyDescent="0.25">
      <c r="N129"/>
      <c r="O129"/>
      <c r="P129"/>
      <c r="Q129"/>
      <c r="R129"/>
      <c r="S129"/>
      <c r="U129" s="302" t="s">
        <v>815</v>
      </c>
      <c r="V129" s="303" t="s">
        <v>815</v>
      </c>
      <c r="W129" s="303" t="s">
        <v>815</v>
      </c>
      <c r="X129" s="303"/>
      <c r="Y129" s="303" t="s">
        <v>815</v>
      </c>
      <c r="Z129" s="303"/>
      <c r="AA129" s="303" t="s">
        <v>815</v>
      </c>
      <c r="AB129" s="303" t="s">
        <v>815</v>
      </c>
      <c r="AC129"/>
      <c r="AJ129" s="257"/>
      <c r="AK129" s="257"/>
    </row>
    <row r="130" spans="14:37" x14ac:dyDescent="0.25">
      <c r="N130"/>
      <c r="O130"/>
      <c r="P130"/>
      <c r="Q130"/>
      <c r="R130"/>
      <c r="S130"/>
      <c r="U130" s="308" t="s">
        <v>193</v>
      </c>
      <c r="V130" s="309">
        <v>36238.596721333321</v>
      </c>
      <c r="W130" s="309">
        <v>24603.016767630226</v>
      </c>
      <c r="X130" s="309"/>
      <c r="Y130" s="309">
        <v>20373.534423422148</v>
      </c>
      <c r="Z130" s="309"/>
      <c r="AA130" s="309">
        <v>20647.904476265994</v>
      </c>
      <c r="AB130" s="309">
        <v>20788.248664025326</v>
      </c>
      <c r="AC130"/>
      <c r="AJ130" s="257"/>
      <c r="AK130" s="257"/>
    </row>
    <row r="131" spans="14:37" x14ac:dyDescent="0.25">
      <c r="N131"/>
      <c r="O131"/>
      <c r="P131"/>
      <c r="Q131"/>
      <c r="R131"/>
      <c r="S131"/>
      <c r="U131" s="310" t="s">
        <v>816</v>
      </c>
      <c r="V131" s="311" t="s">
        <v>817</v>
      </c>
      <c r="W131" s="312"/>
      <c r="X131" s="312"/>
      <c r="Y131" s="312"/>
      <c r="Z131" s="312"/>
      <c r="AA131" s="312"/>
      <c r="AB131" s="312"/>
      <c r="AC131"/>
      <c r="AJ131" s="257"/>
      <c r="AK131" s="257"/>
    </row>
    <row r="132" spans="14:37" x14ac:dyDescent="0.25">
      <c r="N132"/>
      <c r="O132"/>
      <c r="P132"/>
      <c r="Q132"/>
      <c r="R132"/>
      <c r="S132"/>
      <c r="U132" s="301" t="s">
        <v>659</v>
      </c>
      <c r="V132" s="301">
        <v>2010</v>
      </c>
      <c r="W132" s="301">
        <v>2020</v>
      </c>
      <c r="X132" s="301"/>
      <c r="Y132" s="301">
        <v>2030</v>
      </c>
      <c r="Z132" s="301"/>
      <c r="AA132" s="301">
        <v>2040</v>
      </c>
      <c r="AB132" s="301">
        <v>2050</v>
      </c>
      <c r="AC132"/>
      <c r="AJ132" s="257"/>
      <c r="AK132" s="257"/>
    </row>
    <row r="133" spans="14:37" x14ac:dyDescent="0.25">
      <c r="N133"/>
      <c r="O133"/>
      <c r="P133"/>
      <c r="Q133"/>
      <c r="R133"/>
      <c r="S133"/>
      <c r="U133" s="302" t="s">
        <v>663</v>
      </c>
      <c r="V133" s="313">
        <v>0.693962607442839</v>
      </c>
      <c r="W133" s="313">
        <v>0.62851040218398957</v>
      </c>
      <c r="X133" s="313"/>
      <c r="Y133" s="313">
        <v>0.57642485729714654</v>
      </c>
      <c r="Z133" s="313"/>
      <c r="AA133" s="313">
        <v>0.54803234670758638</v>
      </c>
      <c r="AB133" s="313">
        <v>0.51817442685442938</v>
      </c>
      <c r="AC133"/>
      <c r="AJ133" s="257"/>
      <c r="AK133" s="257"/>
    </row>
    <row r="134" spans="14:37" x14ac:dyDescent="0.25">
      <c r="N134"/>
      <c r="O134"/>
      <c r="P134"/>
      <c r="Q134"/>
      <c r="R134"/>
      <c r="S134"/>
      <c r="U134" s="302" t="s">
        <v>818</v>
      </c>
      <c r="V134" s="313">
        <v>0</v>
      </c>
      <c r="W134" s="313">
        <v>1.3575641257771031E-2</v>
      </c>
      <c r="X134" s="313"/>
      <c r="Y134" s="313">
        <v>2.6931390587293953E-2</v>
      </c>
      <c r="Z134" s="313"/>
      <c r="AA134" s="313">
        <v>4.0071060917710608E-2</v>
      </c>
      <c r="AB134" s="313">
        <v>5.3113118258794126E-2</v>
      </c>
      <c r="AC134"/>
      <c r="AJ134" s="257"/>
      <c r="AK134" s="257"/>
    </row>
    <row r="135" spans="14:37" x14ac:dyDescent="0.25">
      <c r="N135"/>
      <c r="O135"/>
      <c r="P135"/>
      <c r="Q135"/>
      <c r="R135"/>
      <c r="S135"/>
      <c r="U135" s="302" t="s">
        <v>804</v>
      </c>
      <c r="V135" s="313">
        <v>0</v>
      </c>
      <c r="W135" s="313">
        <v>0</v>
      </c>
      <c r="X135" s="313"/>
      <c r="Y135" s="313">
        <v>0</v>
      </c>
      <c r="Z135" s="313"/>
      <c r="AA135" s="313">
        <v>0</v>
      </c>
      <c r="AB135" s="313">
        <v>0</v>
      </c>
      <c r="AC135"/>
      <c r="AJ135" s="257"/>
      <c r="AK135" s="257"/>
    </row>
    <row r="136" spans="14:37" x14ac:dyDescent="0.25">
      <c r="N136"/>
      <c r="O136"/>
      <c r="P136"/>
      <c r="Q136"/>
      <c r="R136"/>
      <c r="S136"/>
      <c r="U136" s="302" t="s">
        <v>808</v>
      </c>
      <c r="V136" s="313">
        <v>0</v>
      </c>
      <c r="W136" s="313">
        <v>2.9883677083482134E-3</v>
      </c>
      <c r="X136" s="313"/>
      <c r="Y136" s="313">
        <v>7.6702475362843978E-3</v>
      </c>
      <c r="Z136" s="313"/>
      <c r="AA136" s="313">
        <v>9.9023689878556705E-3</v>
      </c>
      <c r="AB136" s="313">
        <v>1.0950376546092409E-2</v>
      </c>
      <c r="AC136"/>
      <c r="AJ136" s="257"/>
      <c r="AK136" s="257"/>
    </row>
    <row r="137" spans="14:37" x14ac:dyDescent="0.25">
      <c r="N137"/>
      <c r="O137"/>
      <c r="P137"/>
      <c r="Q137"/>
      <c r="R137"/>
      <c r="S137"/>
      <c r="U137" s="302" t="s">
        <v>812</v>
      </c>
      <c r="V137" s="313">
        <v>0</v>
      </c>
      <c r="W137" s="313">
        <v>1.6321610603652417E-2</v>
      </c>
      <c r="X137" s="313"/>
      <c r="Y137" s="313">
        <v>1.5999293476344708E-2</v>
      </c>
      <c r="Z137" s="313"/>
      <c r="AA137" s="313">
        <v>1.5739274620495722E-2</v>
      </c>
      <c r="AB137" s="313">
        <v>1.5545253345222798E-2</v>
      </c>
      <c r="AC137"/>
      <c r="AJ137" s="257"/>
      <c r="AK137" s="257"/>
    </row>
    <row r="138" spans="14:37" x14ac:dyDescent="0.25">
      <c r="N138"/>
      <c r="O138"/>
      <c r="P138"/>
      <c r="Q138"/>
      <c r="R138"/>
      <c r="S138"/>
      <c r="U138" s="302" t="s">
        <v>813</v>
      </c>
      <c r="V138" s="313">
        <v>0</v>
      </c>
      <c r="W138" s="313">
        <v>1.1763752877724343E-2</v>
      </c>
      <c r="X138" s="313"/>
      <c r="Y138" s="313">
        <v>2.0723241302606065E-2</v>
      </c>
      <c r="Z138" s="313"/>
      <c r="AA138" s="313">
        <v>3.9372481044012829E-2</v>
      </c>
      <c r="AB138" s="313">
        <v>6.3066386807392419E-2</v>
      </c>
      <c r="AC138"/>
      <c r="AJ138" s="257"/>
      <c r="AK138" s="257"/>
    </row>
    <row r="139" spans="14:37" x14ac:dyDescent="0.25">
      <c r="N139"/>
      <c r="O139"/>
      <c r="P139"/>
      <c r="Q139"/>
      <c r="R139"/>
      <c r="S139"/>
      <c r="U139" s="302" t="s">
        <v>814</v>
      </c>
      <c r="V139" s="313">
        <v>0</v>
      </c>
      <c r="W139" s="313">
        <v>2.3471342820149014E-2</v>
      </c>
      <c r="X139" s="313"/>
      <c r="Y139" s="313">
        <v>5.3489836104930751E-2</v>
      </c>
      <c r="Z139" s="313"/>
      <c r="AA139" s="313">
        <v>5.2659006815223564E-2</v>
      </c>
      <c r="AB139" s="313">
        <v>5.0932822377237223E-2</v>
      </c>
      <c r="AC139"/>
      <c r="AJ139" s="257"/>
      <c r="AK139" s="257"/>
    </row>
    <row r="140" spans="14:37" x14ac:dyDescent="0.25">
      <c r="N140"/>
      <c r="O140"/>
      <c r="P140"/>
      <c r="Q140"/>
      <c r="R140"/>
      <c r="S140"/>
      <c r="U140" s="308" t="s">
        <v>193</v>
      </c>
      <c r="V140" s="314">
        <v>0.693962607442839</v>
      </c>
      <c r="W140" s="314">
        <v>0.69663111745163464</v>
      </c>
      <c r="X140" s="314"/>
      <c r="Y140" s="314">
        <v>0.70123886630460641</v>
      </c>
      <c r="Z140" s="314"/>
      <c r="AA140" s="314">
        <v>0.70577653909288474</v>
      </c>
      <c r="AB140" s="314">
        <v>0.71178238418916839</v>
      </c>
      <c r="AC140"/>
      <c r="AJ140" s="257"/>
      <c r="AK140" s="257"/>
    </row>
    <row r="141" spans="14:37" x14ac:dyDescent="0.25">
      <c r="N141"/>
      <c r="O141"/>
      <c r="P141"/>
      <c r="Q141"/>
      <c r="R141"/>
      <c r="S141"/>
      <c r="U141" s="315" t="s">
        <v>819</v>
      </c>
      <c r="V141" s="316">
        <v>0.24600000000000002</v>
      </c>
      <c r="W141" s="316">
        <v>0.25079127179951577</v>
      </c>
      <c r="X141" s="316"/>
      <c r="Y141" s="316">
        <v>0.25906441938589464</v>
      </c>
      <c r="Z141" s="316"/>
      <c r="AA141" s="316">
        <v>0.26721174639394329</v>
      </c>
      <c r="AB141" s="316">
        <v>0.2779951559173241</v>
      </c>
      <c r="AC141"/>
      <c r="AJ141" s="257"/>
      <c r="AK141" s="257"/>
    </row>
    <row r="142" spans="14:37" x14ac:dyDescent="0.25">
      <c r="N142"/>
      <c r="O142"/>
      <c r="P142"/>
      <c r="Q142"/>
      <c r="R142"/>
      <c r="S142"/>
      <c r="U142" s="315"/>
      <c r="V142" s="316"/>
      <c r="W142" s="316"/>
      <c r="X142" s="316"/>
      <c r="Y142" s="316"/>
      <c r="Z142" s="316"/>
      <c r="AA142" s="316"/>
      <c r="AB142" s="316"/>
      <c r="AC142"/>
      <c r="AJ142" s="257"/>
      <c r="AK142" s="257"/>
    </row>
    <row r="143" spans="14:37" x14ac:dyDescent="0.25">
      <c r="N143"/>
      <c r="O143"/>
      <c r="P143"/>
      <c r="Q143"/>
      <c r="R143"/>
      <c r="S143"/>
      <c r="U143" t="s">
        <v>820</v>
      </c>
      <c r="V143" s="317">
        <f>V123/V130</f>
        <v>0.56614013274745012</v>
      </c>
      <c r="W143" s="317">
        <f t="shared" ref="W143:AB143" si="33">W123/W130</f>
        <v>0.41951535114232619</v>
      </c>
      <c r="X143" s="317"/>
      <c r="Y143" s="317">
        <f t="shared" si="33"/>
        <v>0.32711312989538111</v>
      </c>
      <c r="Z143" s="317"/>
      <c r="AA143" s="317">
        <f t="shared" si="33"/>
        <v>0.33647007711164806</v>
      </c>
      <c r="AB143" s="317">
        <f t="shared" si="33"/>
        <v>0.34084483654197317</v>
      </c>
      <c r="AC143"/>
      <c r="AJ143" s="257"/>
      <c r="AK143" s="257"/>
    </row>
    <row r="144" spans="14:37" x14ac:dyDescent="0.25">
      <c r="N144"/>
      <c r="O144"/>
      <c r="P144"/>
      <c r="Q144"/>
      <c r="R144"/>
      <c r="S144"/>
      <c r="T144"/>
      <c r="U144"/>
      <c r="V144"/>
      <c r="W144"/>
      <c r="X144"/>
      <c r="Y144"/>
      <c r="Z144"/>
      <c r="AA144"/>
      <c r="AB144"/>
      <c r="AC144"/>
      <c r="AD144"/>
      <c r="AJ144" s="257"/>
      <c r="AK144" s="257"/>
    </row>
    <row r="145" spans="1:37" x14ac:dyDescent="0.25">
      <c r="N145"/>
      <c r="O145"/>
      <c r="P145"/>
      <c r="Q145"/>
      <c r="R145"/>
      <c r="S145"/>
      <c r="T145"/>
      <c r="U145"/>
      <c r="V145"/>
      <c r="W145"/>
      <c r="X145"/>
      <c r="Y145"/>
      <c r="Z145"/>
      <c r="AA145"/>
      <c r="AB145"/>
      <c r="AC145"/>
      <c r="AD145"/>
      <c r="AJ145" s="257"/>
      <c r="AK145" s="257"/>
    </row>
    <row r="146" spans="1:37" ht="15.75" x14ac:dyDescent="0.25">
      <c r="A146" s="305"/>
      <c r="B146" s="306"/>
      <c r="C146" s="307"/>
      <c r="D146" s="306"/>
      <c r="E146" s="305"/>
      <c r="N146"/>
      <c r="O146"/>
      <c r="P146"/>
      <c r="Q146"/>
      <c r="R146"/>
      <c r="S146"/>
      <c r="AD146"/>
    </row>
    <row r="147" spans="1:37" x14ac:dyDescent="0.25">
      <c r="A147" s="65" t="s">
        <v>617</v>
      </c>
      <c r="C147" s="65" t="s">
        <v>702</v>
      </c>
      <c r="N147"/>
      <c r="O147"/>
      <c r="P147"/>
      <c r="Q147"/>
      <c r="R147"/>
      <c r="S147"/>
      <c r="AD147"/>
    </row>
    <row r="148" spans="1:37" x14ac:dyDescent="0.25">
      <c r="A148" s="65"/>
      <c r="C148" s="65"/>
      <c r="N148"/>
      <c r="O148"/>
      <c r="P148"/>
      <c r="Q148"/>
      <c r="R148"/>
      <c r="S148"/>
      <c r="AD148"/>
    </row>
    <row r="149" spans="1:37" x14ac:dyDescent="0.25">
      <c r="A149" s="193" t="s">
        <v>703</v>
      </c>
      <c r="C149" s="61" t="s">
        <v>704</v>
      </c>
      <c r="D149" s="61" t="s">
        <v>705</v>
      </c>
      <c r="E149" s="61" t="s">
        <v>706</v>
      </c>
      <c r="F149" s="61">
        <v>10000</v>
      </c>
      <c r="N149"/>
      <c r="O149"/>
      <c r="P149"/>
      <c r="Q149"/>
      <c r="R149"/>
      <c r="S149"/>
      <c r="AD149"/>
    </row>
    <row r="150" spans="1:37" x14ac:dyDescent="0.25">
      <c r="A150" s="259" t="s">
        <v>707</v>
      </c>
      <c r="C150" s="178" t="s">
        <v>708</v>
      </c>
      <c r="D150" s="61" t="s">
        <v>705</v>
      </c>
      <c r="E150" s="61" t="s">
        <v>706</v>
      </c>
      <c r="F150" s="61">
        <v>24000</v>
      </c>
      <c r="N150"/>
      <c r="O150"/>
      <c r="P150"/>
      <c r="Q150"/>
      <c r="R150"/>
      <c r="S150"/>
      <c r="AD150"/>
    </row>
    <row r="151" spans="1:37" x14ac:dyDescent="0.25">
      <c r="A151" s="193" t="s">
        <v>709</v>
      </c>
      <c r="C151" s="178" t="s">
        <v>710</v>
      </c>
      <c r="D151" s="61" t="s">
        <v>705</v>
      </c>
      <c r="E151" s="61" t="s">
        <v>706</v>
      </c>
      <c r="F151" s="61">
        <v>40000</v>
      </c>
      <c r="N151"/>
      <c r="O151"/>
      <c r="P151"/>
      <c r="Q151"/>
      <c r="R151"/>
      <c r="S151"/>
      <c r="AD151"/>
    </row>
    <row r="152" spans="1:37" x14ac:dyDescent="0.25">
      <c r="A152" s="193">
        <v>4</v>
      </c>
      <c r="C152" s="178" t="s">
        <v>711</v>
      </c>
      <c r="D152" s="61" t="s">
        <v>705</v>
      </c>
      <c r="E152" s="61" t="s">
        <v>706</v>
      </c>
      <c r="F152" s="61">
        <v>22000</v>
      </c>
      <c r="N152"/>
      <c r="O152"/>
      <c r="P152"/>
      <c r="Q152"/>
      <c r="R152"/>
      <c r="S152"/>
      <c r="AD152"/>
    </row>
    <row r="153" spans="1:37" x14ac:dyDescent="0.25">
      <c r="A153" s="193"/>
      <c r="C153" s="178" t="s">
        <v>60</v>
      </c>
      <c r="D153" s="61" t="s">
        <v>705</v>
      </c>
      <c r="E153" s="61" t="s">
        <v>706</v>
      </c>
      <c r="F153" s="61">
        <v>15000</v>
      </c>
      <c r="N153"/>
      <c r="O153"/>
      <c r="P153"/>
      <c r="Q153"/>
      <c r="R153"/>
      <c r="S153"/>
      <c r="AD153"/>
    </row>
    <row r="154" spans="1:37" x14ac:dyDescent="0.25">
      <c r="C154" s="178" t="s">
        <v>712</v>
      </c>
      <c r="D154" s="61" t="s">
        <v>705</v>
      </c>
      <c r="E154" s="61" t="s">
        <v>706</v>
      </c>
      <c r="F154" s="61">
        <v>18000</v>
      </c>
      <c r="N154"/>
      <c r="O154"/>
      <c r="P154"/>
      <c r="Q154"/>
      <c r="R154"/>
      <c r="S154"/>
      <c r="AD154"/>
    </row>
    <row r="155" spans="1:37" x14ac:dyDescent="0.25">
      <c r="C155" s="178" t="s">
        <v>704</v>
      </c>
      <c r="D155" s="61" t="s">
        <v>713</v>
      </c>
      <c r="E155" s="61" t="s">
        <v>706</v>
      </c>
      <c r="F155" s="61">
        <v>5840</v>
      </c>
      <c r="N155"/>
      <c r="O155"/>
      <c r="P155"/>
      <c r="Q155"/>
      <c r="R155"/>
      <c r="S155"/>
      <c r="AD155"/>
    </row>
    <row r="156" spans="1:37" x14ac:dyDescent="0.25">
      <c r="C156" s="178" t="s">
        <v>708</v>
      </c>
      <c r="D156" s="61" t="s">
        <v>713</v>
      </c>
      <c r="E156" s="61" t="s">
        <v>706</v>
      </c>
      <c r="F156" s="61">
        <v>9650</v>
      </c>
      <c r="N156"/>
      <c r="O156"/>
      <c r="P156"/>
      <c r="Q156"/>
      <c r="R156"/>
      <c r="S156"/>
      <c r="AD156"/>
    </row>
    <row r="157" spans="1:37" x14ac:dyDescent="0.25">
      <c r="C157" s="178" t="s">
        <v>710</v>
      </c>
      <c r="D157" s="61" t="s">
        <v>713</v>
      </c>
      <c r="E157" s="61" t="s">
        <v>706</v>
      </c>
      <c r="F157" s="61">
        <v>13960</v>
      </c>
      <c r="N157"/>
      <c r="O157"/>
      <c r="P157"/>
      <c r="Q157"/>
      <c r="R157"/>
      <c r="S157"/>
      <c r="AD157"/>
    </row>
    <row r="158" spans="1:37" x14ac:dyDescent="0.25">
      <c r="C158" s="178"/>
      <c r="N158"/>
      <c r="O158"/>
      <c r="P158"/>
      <c r="Q158"/>
      <c r="R158"/>
      <c r="S158"/>
      <c r="AD158"/>
    </row>
    <row r="159" spans="1:37" x14ac:dyDescent="0.25">
      <c r="C159" s="178"/>
      <c r="N159"/>
      <c r="O159"/>
      <c r="P159"/>
      <c r="Q159"/>
      <c r="R159"/>
      <c r="S159"/>
      <c r="AD159"/>
    </row>
    <row r="160" spans="1:37" x14ac:dyDescent="0.25">
      <c r="C160" s="178" t="s">
        <v>711</v>
      </c>
      <c r="D160" s="61" t="s">
        <v>713</v>
      </c>
      <c r="E160" s="61" t="s">
        <v>706</v>
      </c>
      <c r="F160" s="61">
        <v>8850</v>
      </c>
      <c r="N160"/>
      <c r="O160"/>
      <c r="P160"/>
      <c r="Q160"/>
      <c r="R160"/>
      <c r="S160"/>
      <c r="AD160"/>
    </row>
    <row r="161" spans="1:30" x14ac:dyDescent="0.25">
      <c r="C161" s="178" t="s">
        <v>60</v>
      </c>
      <c r="D161" s="61" t="s">
        <v>713</v>
      </c>
      <c r="E161" s="61" t="s">
        <v>706</v>
      </c>
      <c r="F161" s="61">
        <v>9000</v>
      </c>
      <c r="N161"/>
      <c r="O161"/>
      <c r="P161"/>
      <c r="Q161"/>
      <c r="R161"/>
      <c r="S161"/>
      <c r="AD161"/>
    </row>
    <row r="162" spans="1:30" x14ac:dyDescent="0.25">
      <c r="C162" s="178"/>
      <c r="N162"/>
      <c r="O162"/>
      <c r="P162"/>
      <c r="Q162"/>
      <c r="R162"/>
      <c r="S162"/>
      <c r="AD162"/>
    </row>
    <row r="163" spans="1:30" x14ac:dyDescent="0.25">
      <c r="C163" s="178" t="s">
        <v>712</v>
      </c>
      <c r="D163" s="61" t="s">
        <v>713</v>
      </c>
      <c r="E163" s="61" t="s">
        <v>706</v>
      </c>
      <c r="F163" s="61">
        <v>11000</v>
      </c>
      <c r="N163"/>
      <c r="O163"/>
      <c r="P163"/>
      <c r="Q163"/>
      <c r="R163"/>
      <c r="S163"/>
      <c r="AD163"/>
    </row>
    <row r="164" spans="1:30" x14ac:dyDescent="0.25">
      <c r="C164" s="61" t="s">
        <v>716</v>
      </c>
      <c r="D164" s="61" t="s">
        <v>713</v>
      </c>
      <c r="E164" s="61" t="s">
        <v>484</v>
      </c>
      <c r="F164" s="61">
        <v>166.19066377782153</v>
      </c>
      <c r="N164"/>
      <c r="O164"/>
      <c r="P164"/>
      <c r="Q164"/>
      <c r="R164"/>
      <c r="S164"/>
      <c r="AD164"/>
    </row>
    <row r="165" spans="1:30" x14ac:dyDescent="0.25">
      <c r="C165" s="178"/>
      <c r="N165"/>
      <c r="O165"/>
      <c r="P165"/>
      <c r="Q165"/>
      <c r="R165"/>
      <c r="S165"/>
      <c r="AD165"/>
    </row>
    <row r="166" spans="1:30" x14ac:dyDescent="0.25">
      <c r="D166" s="61">
        <v>2012</v>
      </c>
      <c r="N166"/>
      <c r="O166"/>
      <c r="P166"/>
      <c r="Q166"/>
      <c r="R166"/>
      <c r="S166"/>
      <c r="AD166"/>
    </row>
    <row r="167" spans="1:30" x14ac:dyDescent="0.25">
      <c r="B167" s="61" t="s">
        <v>717</v>
      </c>
      <c r="D167" s="7">
        <f>SUM(D168:D169)</f>
        <v>15629</v>
      </c>
      <c r="N167"/>
      <c r="O167"/>
      <c r="P167"/>
      <c r="Q167"/>
      <c r="R167"/>
      <c r="S167"/>
      <c r="AD167"/>
    </row>
    <row r="168" spans="1:30" x14ac:dyDescent="0.25">
      <c r="A168" s="261" t="s">
        <v>617</v>
      </c>
      <c r="B168" s="261" t="s">
        <v>719</v>
      </c>
      <c r="D168" s="7">
        <v>4742</v>
      </c>
      <c r="N168"/>
      <c r="O168"/>
      <c r="P168"/>
      <c r="Q168"/>
      <c r="R168"/>
      <c r="S168"/>
      <c r="AD168"/>
    </row>
    <row r="169" spans="1:30" x14ac:dyDescent="0.25">
      <c r="A169" s="261" t="s">
        <v>616</v>
      </c>
      <c r="B169" s="261" t="s">
        <v>720</v>
      </c>
      <c r="D169" s="7">
        <v>10887</v>
      </c>
      <c r="N169"/>
      <c r="O169"/>
      <c r="P169"/>
      <c r="Q169"/>
      <c r="R169"/>
      <c r="S169"/>
      <c r="AD169"/>
    </row>
    <row r="170" spans="1:30" x14ac:dyDescent="0.25">
      <c r="N170"/>
      <c r="O170"/>
      <c r="P170"/>
      <c r="Q170"/>
      <c r="R170"/>
      <c r="S170"/>
      <c r="AD170"/>
    </row>
    <row r="171" spans="1:30" x14ac:dyDescent="0.25">
      <c r="N171"/>
      <c r="O171"/>
      <c r="P171"/>
      <c r="Q171"/>
      <c r="R171"/>
      <c r="S171"/>
      <c r="AD171"/>
    </row>
    <row r="172" spans="1:30" ht="15.75" thickBot="1" x14ac:dyDescent="0.3">
      <c r="A172" s="263" t="s">
        <v>722</v>
      </c>
      <c r="C172" s="61">
        <v>2010</v>
      </c>
      <c r="N172"/>
      <c r="O172"/>
      <c r="P172"/>
      <c r="Q172"/>
      <c r="R172"/>
      <c r="S172"/>
      <c r="AD172"/>
    </row>
    <row r="173" spans="1:30" ht="15.75" thickBot="1" x14ac:dyDescent="0.3">
      <c r="A173" s="264" t="s">
        <v>247</v>
      </c>
      <c r="B173" s="265">
        <v>852698</v>
      </c>
      <c r="C173" s="266">
        <f t="shared" ref="C173:C184" si="34">B173/$B$185</f>
        <v>0.33180253208690158</v>
      </c>
      <c r="N173"/>
      <c r="O173"/>
      <c r="P173"/>
      <c r="Q173"/>
      <c r="R173"/>
      <c r="S173"/>
      <c r="AD173"/>
    </row>
    <row r="174" spans="1:30" ht="15.75" thickBot="1" x14ac:dyDescent="0.3">
      <c r="A174" s="268" t="s">
        <v>246</v>
      </c>
      <c r="B174" s="269">
        <v>1394106</v>
      </c>
      <c r="C174" s="266">
        <f t="shared" si="34"/>
        <v>0.54247564882003008</v>
      </c>
      <c r="N174"/>
      <c r="O174"/>
      <c r="P174"/>
      <c r="Q174"/>
      <c r="R174"/>
      <c r="S174"/>
      <c r="AD174"/>
    </row>
    <row r="175" spans="1:30" ht="15.75" thickBot="1" x14ac:dyDescent="0.3">
      <c r="A175" s="268" t="s">
        <v>265</v>
      </c>
      <c r="B175" s="269">
        <v>6061</v>
      </c>
      <c r="C175" s="266">
        <f t="shared" si="34"/>
        <v>2.3584611984298195E-3</v>
      </c>
      <c r="N175"/>
      <c r="O175"/>
      <c r="P175"/>
      <c r="Q175"/>
      <c r="R175"/>
      <c r="S175"/>
      <c r="AD175"/>
    </row>
    <row r="176" spans="1:30" ht="15.75" thickBot="1" x14ac:dyDescent="0.3">
      <c r="A176" s="268" t="s">
        <v>266</v>
      </c>
      <c r="B176" s="269">
        <v>120270</v>
      </c>
      <c r="C176" s="266">
        <f t="shared" si="34"/>
        <v>4.6799559203952221E-2</v>
      </c>
      <c r="N176"/>
      <c r="O176"/>
      <c r="P176"/>
      <c r="Q176"/>
      <c r="R176"/>
      <c r="S176"/>
      <c r="AD176"/>
    </row>
    <row r="177" spans="1:30" ht="15.75" thickBot="1" x14ac:dyDescent="0.3">
      <c r="A177" s="268" t="s">
        <v>263</v>
      </c>
      <c r="B177" s="269">
        <v>31074</v>
      </c>
      <c r="C177" s="266">
        <f t="shared" si="34"/>
        <v>1.2091539891108434E-2</v>
      </c>
      <c r="I177"/>
      <c r="N177"/>
      <c r="O177"/>
      <c r="P177"/>
      <c r="Q177"/>
      <c r="R177"/>
      <c r="S177"/>
      <c r="AD177"/>
    </row>
    <row r="178" spans="1:30" ht="15.75" thickBot="1" x14ac:dyDescent="0.3">
      <c r="A178" s="268" t="s">
        <v>261</v>
      </c>
      <c r="B178" s="269">
        <v>53763</v>
      </c>
      <c r="C178" s="266">
        <f t="shared" si="34"/>
        <v>2.0920301833225935E-2</v>
      </c>
      <c r="N178"/>
      <c r="O178"/>
      <c r="P178"/>
      <c r="Q178"/>
      <c r="R178"/>
      <c r="S178"/>
      <c r="AD178"/>
    </row>
    <row r="179" spans="1:30" ht="15.75" thickBot="1" x14ac:dyDescent="0.3">
      <c r="A179" s="268" t="s">
        <v>259</v>
      </c>
      <c r="B179" s="269">
        <v>12249</v>
      </c>
      <c r="C179" s="266">
        <f t="shared" si="34"/>
        <v>4.7663407390804921E-3</v>
      </c>
      <c r="N179"/>
      <c r="O179"/>
      <c r="P179"/>
      <c r="Q179"/>
      <c r="R179"/>
      <c r="S179"/>
      <c r="AD179"/>
    </row>
    <row r="180" spans="1:30" ht="15.75" thickBot="1" x14ac:dyDescent="0.3">
      <c r="A180" s="268" t="s">
        <v>257</v>
      </c>
      <c r="B180" s="269">
        <v>5146</v>
      </c>
      <c r="C180" s="266">
        <f t="shared" si="34"/>
        <v>2.0024156619567485E-3</v>
      </c>
      <c r="N180"/>
      <c r="O180"/>
      <c r="P180"/>
      <c r="Q180"/>
      <c r="R180"/>
      <c r="S180"/>
      <c r="AD180"/>
    </row>
    <row r="181" spans="1:30" ht="15.75" thickBot="1" x14ac:dyDescent="0.3">
      <c r="A181" s="268" t="s">
        <v>255</v>
      </c>
      <c r="B181" s="269">
        <v>74175</v>
      </c>
      <c r="C181" s="266">
        <f t="shared" si="34"/>
        <v>2.8863035702612089E-2</v>
      </c>
      <c r="N181"/>
      <c r="O181"/>
      <c r="P181"/>
      <c r="Q181"/>
      <c r="R181"/>
      <c r="S181"/>
      <c r="AD181"/>
    </row>
    <row r="182" spans="1:30" ht="15.75" thickBot="1" x14ac:dyDescent="0.3">
      <c r="A182" s="268" t="s">
        <v>253</v>
      </c>
      <c r="B182" s="269">
        <v>19406</v>
      </c>
      <c r="C182" s="266">
        <f t="shared" si="34"/>
        <v>7.5512783396682204E-3</v>
      </c>
      <c r="N182"/>
      <c r="O182"/>
      <c r="P182"/>
      <c r="Q182"/>
      <c r="R182"/>
      <c r="S182"/>
      <c r="AD182"/>
    </row>
    <row r="183" spans="1:30" ht="15.75" thickBot="1" x14ac:dyDescent="0.3">
      <c r="A183" s="268" t="s">
        <v>251</v>
      </c>
      <c r="B183" s="269">
        <v>434</v>
      </c>
      <c r="C183" s="266">
        <f t="shared" si="34"/>
        <v>1.688784293216535E-4</v>
      </c>
      <c r="N183"/>
      <c r="O183"/>
      <c r="P183"/>
      <c r="Q183"/>
      <c r="R183"/>
      <c r="S183"/>
      <c r="AD183"/>
    </row>
    <row r="184" spans="1:30" ht="15.75" thickBot="1" x14ac:dyDescent="0.3">
      <c r="A184" s="268" t="s">
        <v>249</v>
      </c>
      <c r="B184" s="269">
        <v>514</v>
      </c>
      <c r="C184" s="266">
        <f t="shared" si="34"/>
        <v>2.000080937127417E-4</v>
      </c>
      <c r="N184"/>
      <c r="O184"/>
      <c r="P184"/>
      <c r="Q184"/>
      <c r="R184"/>
      <c r="S184"/>
      <c r="AD184"/>
    </row>
    <row r="185" spans="1:30" ht="15.75" thickBot="1" x14ac:dyDescent="0.3">
      <c r="A185" s="270" t="s">
        <v>726</v>
      </c>
      <c r="B185" s="271">
        <f>SUM(B173:B184)</f>
        <v>2569896</v>
      </c>
      <c r="C185" s="272">
        <f>SUM(C173:C184)</f>
        <v>1</v>
      </c>
      <c r="N185"/>
      <c r="O185"/>
      <c r="P185"/>
      <c r="Q185"/>
      <c r="R185"/>
      <c r="S185"/>
      <c r="AD185"/>
    </row>
    <row r="186" spans="1:30" ht="77.25" thickBot="1" x14ac:dyDescent="0.3">
      <c r="A186" s="273" t="s">
        <v>727</v>
      </c>
      <c r="B186" s="274"/>
      <c r="C186" s="275"/>
      <c r="N186"/>
      <c r="O186"/>
      <c r="P186"/>
      <c r="Q186"/>
      <c r="R186"/>
      <c r="S186"/>
      <c r="AD186"/>
    </row>
    <row r="187" spans="1:30" x14ac:dyDescent="0.25">
      <c r="N187"/>
      <c r="O187"/>
      <c r="P187"/>
      <c r="Q187"/>
      <c r="R187"/>
      <c r="S187"/>
      <c r="AD187"/>
    </row>
    <row r="188" spans="1:30" x14ac:dyDescent="0.25">
      <c r="N188"/>
      <c r="O188"/>
      <c r="P188"/>
      <c r="Q188"/>
      <c r="R188"/>
      <c r="S188"/>
      <c r="AD188"/>
    </row>
    <row r="189" spans="1:30" x14ac:dyDescent="0.25">
      <c r="A189" s="61" t="s">
        <v>729</v>
      </c>
      <c r="N189"/>
      <c r="O189"/>
      <c r="P189"/>
      <c r="Q189"/>
      <c r="R189"/>
      <c r="S189"/>
      <c r="AD189"/>
    </row>
    <row r="190" spans="1:30" x14ac:dyDescent="0.25">
      <c r="D190" s="61">
        <v>2012</v>
      </c>
      <c r="N190"/>
      <c r="O190"/>
      <c r="P190"/>
      <c r="Q190"/>
      <c r="R190"/>
      <c r="S190"/>
      <c r="AD190"/>
    </row>
    <row r="191" spans="1:30" x14ac:dyDescent="0.25">
      <c r="A191" s="61" t="s">
        <v>730</v>
      </c>
      <c r="C191" s="276">
        <f>SUM(C177:C184)</f>
        <v>7.6563798690686316E-2</v>
      </c>
      <c r="D191" s="277">
        <f>D167-D200</f>
        <v>0</v>
      </c>
      <c r="N191"/>
      <c r="O191"/>
      <c r="P191"/>
      <c r="Q191"/>
      <c r="R191"/>
      <c r="S191"/>
      <c r="AD191"/>
    </row>
    <row r="192" spans="1:30" x14ac:dyDescent="0.25">
      <c r="A192" s="61" t="s">
        <v>263</v>
      </c>
      <c r="C192" s="100">
        <f t="shared" ref="C192:C199" si="35">C177/$C$191</f>
        <v>0.15792763809901353</v>
      </c>
      <c r="D192" s="7">
        <f t="shared" ref="D192:D199" si="36">C192*$D$167</f>
        <v>2468.2510558494823</v>
      </c>
      <c r="N192"/>
      <c r="O192"/>
      <c r="P192"/>
      <c r="Q192"/>
      <c r="R192"/>
      <c r="S192"/>
      <c r="AD192"/>
    </row>
    <row r="193" spans="1:30" x14ac:dyDescent="0.25">
      <c r="A193" s="61" t="s">
        <v>261</v>
      </c>
      <c r="C193" s="100">
        <f t="shared" si="35"/>
        <v>0.27324012380502233</v>
      </c>
      <c r="D193" s="7">
        <f t="shared" si="36"/>
        <v>4270.4698949486938</v>
      </c>
      <c r="N193"/>
      <c r="O193"/>
      <c r="P193"/>
      <c r="Q193"/>
      <c r="R193"/>
      <c r="S193"/>
      <c r="AD193"/>
    </row>
    <row r="194" spans="1:30" x14ac:dyDescent="0.25">
      <c r="A194" s="61" t="s">
        <v>259</v>
      </c>
      <c r="C194" s="100">
        <f t="shared" si="35"/>
        <v>6.2253190418833003E-2</v>
      </c>
      <c r="D194" s="7">
        <f t="shared" si="36"/>
        <v>972.95511305594096</v>
      </c>
      <c r="N194"/>
      <c r="O194"/>
      <c r="P194"/>
      <c r="Q194"/>
      <c r="R194"/>
      <c r="S194"/>
      <c r="AD194"/>
    </row>
    <row r="195" spans="1:30" x14ac:dyDescent="0.25">
      <c r="A195" s="61" t="s">
        <v>257</v>
      </c>
      <c r="C195" s="100">
        <f t="shared" si="35"/>
        <v>2.6153556853238193E-2</v>
      </c>
      <c r="D195" s="7">
        <f t="shared" si="36"/>
        <v>408.75394005925972</v>
      </c>
      <c r="N195"/>
      <c r="O195"/>
      <c r="P195"/>
      <c r="Q195"/>
      <c r="R195"/>
      <c r="S195"/>
      <c r="AD195"/>
    </row>
    <row r="196" spans="1:30" x14ac:dyDescent="0.25">
      <c r="A196" s="61" t="s">
        <v>255</v>
      </c>
      <c r="C196" s="100">
        <f t="shared" si="35"/>
        <v>0.37698019424581086</v>
      </c>
      <c r="D196" s="7">
        <f t="shared" si="36"/>
        <v>5891.8234558677777</v>
      </c>
      <c r="N196"/>
      <c r="O196"/>
      <c r="P196"/>
      <c r="Q196"/>
      <c r="R196"/>
      <c r="S196"/>
      <c r="AD196"/>
    </row>
    <row r="197" spans="1:30" x14ac:dyDescent="0.25">
      <c r="A197" s="61" t="s">
        <v>253</v>
      </c>
      <c r="C197" s="100">
        <f t="shared" si="35"/>
        <v>9.8627268615223557E-2</v>
      </c>
      <c r="D197" s="7">
        <f t="shared" si="36"/>
        <v>1541.445581187329</v>
      </c>
      <c r="N197"/>
      <c r="O197"/>
      <c r="P197"/>
      <c r="Q197"/>
      <c r="R197"/>
      <c r="S197"/>
      <c r="AD197"/>
    </row>
    <row r="198" spans="1:30" x14ac:dyDescent="0.25">
      <c r="A198" s="61" t="s">
        <v>251</v>
      </c>
      <c r="C198" s="100">
        <f t="shared" si="35"/>
        <v>2.2057216623212936E-3</v>
      </c>
      <c r="D198" s="7">
        <f t="shared" si="36"/>
        <v>34.473223860419495</v>
      </c>
      <c r="N198"/>
      <c r="O198"/>
      <c r="P198"/>
      <c r="Q198"/>
      <c r="R198"/>
      <c r="S198"/>
      <c r="AD198"/>
    </row>
    <row r="199" spans="1:30" x14ac:dyDescent="0.25">
      <c r="A199" s="61" t="s">
        <v>249</v>
      </c>
      <c r="C199" s="100">
        <f t="shared" si="35"/>
        <v>2.6123063005372002E-3</v>
      </c>
      <c r="D199" s="7">
        <f t="shared" si="36"/>
        <v>40.827735171095902</v>
      </c>
      <c r="N199"/>
      <c r="O199"/>
      <c r="P199"/>
      <c r="Q199"/>
      <c r="R199"/>
      <c r="S199"/>
      <c r="AD199"/>
    </row>
    <row r="200" spans="1:30" x14ac:dyDescent="0.25">
      <c r="C200" s="76">
        <f>SUM(C192:C199)</f>
        <v>0.99999999999999989</v>
      </c>
      <c r="D200" s="7">
        <f>SUM(D192:D199)</f>
        <v>15628.999999999998</v>
      </c>
      <c r="N200"/>
      <c r="O200"/>
      <c r="P200"/>
      <c r="Q200"/>
      <c r="R200"/>
      <c r="S200"/>
      <c r="AD200"/>
    </row>
    <row r="201" spans="1:30" x14ac:dyDescent="0.25">
      <c r="N201"/>
      <c r="O201"/>
      <c r="P201"/>
      <c r="Q201"/>
      <c r="R201"/>
      <c r="S201"/>
      <c r="AD201"/>
    </row>
    <row r="202" spans="1:30" x14ac:dyDescent="0.25">
      <c r="N202"/>
      <c r="O202"/>
      <c r="P202"/>
      <c r="Q202"/>
      <c r="R202"/>
      <c r="S202"/>
      <c r="AD202"/>
    </row>
    <row r="203" spans="1:30" x14ac:dyDescent="0.25">
      <c r="N203"/>
      <c r="O203"/>
      <c r="P203"/>
      <c r="Q203"/>
      <c r="R203"/>
      <c r="S203"/>
      <c r="AD203"/>
    </row>
    <row r="204" spans="1:30" x14ac:dyDescent="0.25">
      <c r="B204"/>
      <c r="C204"/>
      <c r="D204"/>
      <c r="E204"/>
      <c r="F204"/>
      <c r="G204"/>
      <c r="H204"/>
      <c r="I204"/>
      <c r="J204"/>
      <c r="N204"/>
      <c r="O204"/>
      <c r="P204"/>
      <c r="Q204"/>
      <c r="R204"/>
      <c r="S204"/>
      <c r="AD204"/>
    </row>
    <row r="205" spans="1:30" x14ac:dyDescent="0.25">
      <c r="A205" t="s">
        <v>736</v>
      </c>
      <c r="B205" t="s">
        <v>737</v>
      </c>
      <c r="C205" t="s">
        <v>738</v>
      </c>
      <c r="D205"/>
      <c r="E205"/>
      <c r="F205"/>
      <c r="G205" t="s">
        <v>737</v>
      </c>
      <c r="H205" t="s">
        <v>739</v>
      </c>
      <c r="I205"/>
      <c r="J205" t="s">
        <v>740</v>
      </c>
      <c r="N205"/>
      <c r="O205"/>
      <c r="P205"/>
      <c r="Q205"/>
      <c r="R205"/>
      <c r="S205"/>
      <c r="AD205"/>
    </row>
    <row r="206" spans="1:30" x14ac:dyDescent="0.25">
      <c r="A206"/>
      <c r="B206" t="s">
        <v>742</v>
      </c>
      <c r="C206" t="s">
        <v>742</v>
      </c>
      <c r="D206" t="s">
        <v>743</v>
      </c>
      <c r="E206" t="s">
        <v>743</v>
      </c>
      <c r="F206"/>
      <c r="G206" t="s">
        <v>744</v>
      </c>
      <c r="H206" t="s">
        <v>744</v>
      </c>
      <c r="I206"/>
      <c r="J206" t="s">
        <v>744</v>
      </c>
      <c r="N206"/>
      <c r="O206"/>
      <c r="P206"/>
      <c r="Q206"/>
      <c r="R206"/>
      <c r="S206"/>
      <c r="AD206"/>
    </row>
    <row r="207" spans="1:30" x14ac:dyDescent="0.25">
      <c r="A207" t="s">
        <v>745</v>
      </c>
      <c r="B207" s="67">
        <v>13</v>
      </c>
      <c r="C207">
        <v>34278</v>
      </c>
      <c r="D207" s="67">
        <v>15</v>
      </c>
      <c r="E207">
        <v>43323</v>
      </c>
      <c r="F207"/>
      <c r="G207" s="67">
        <f>B207/D207</f>
        <v>0.8666666666666667</v>
      </c>
      <c r="H207" s="67">
        <f>C207/E207</f>
        <v>0.79121944463679805</v>
      </c>
      <c r="I207"/>
      <c r="J207" s="63">
        <v>-0.12</v>
      </c>
      <c r="N207"/>
      <c r="O207"/>
      <c r="P207"/>
      <c r="Q207"/>
      <c r="R207"/>
      <c r="S207"/>
      <c r="AD207"/>
    </row>
    <row r="208" spans="1:30" x14ac:dyDescent="0.25">
      <c r="A208"/>
      <c r="B208" s="67">
        <v>13</v>
      </c>
      <c r="C208">
        <v>36170</v>
      </c>
      <c r="D208" s="67">
        <v>15</v>
      </c>
      <c r="E208">
        <v>44700</v>
      </c>
      <c r="F208"/>
      <c r="G208" s="67">
        <f t="shared" ref="G208:H210" si="37">B208/D208</f>
        <v>0.8666666666666667</v>
      </c>
      <c r="H208" s="67">
        <f t="shared" si="37"/>
        <v>0.80917225950783001</v>
      </c>
      <c r="I208"/>
      <c r="J208" s="63">
        <v>-0.11</v>
      </c>
      <c r="N208"/>
      <c r="O208"/>
      <c r="P208"/>
      <c r="Q208"/>
      <c r="R208"/>
      <c r="S208"/>
      <c r="AD208"/>
    </row>
    <row r="209" spans="1:30" x14ac:dyDescent="0.25">
      <c r="A209"/>
      <c r="B209" s="67">
        <v>12</v>
      </c>
      <c r="C209">
        <v>34132</v>
      </c>
      <c r="D209" s="67">
        <v>14</v>
      </c>
      <c r="E209">
        <v>45139</v>
      </c>
      <c r="F209"/>
      <c r="G209" s="67">
        <f t="shared" si="37"/>
        <v>0.8571428571428571</v>
      </c>
      <c r="H209" s="67">
        <f t="shared" si="37"/>
        <v>0.75615321562285387</v>
      </c>
      <c r="I209"/>
      <c r="J209" s="63">
        <v>-0.05</v>
      </c>
      <c r="N209"/>
      <c r="O209"/>
      <c r="P209"/>
      <c r="Q209"/>
      <c r="R209"/>
      <c r="S209"/>
      <c r="AD209"/>
    </row>
    <row r="210" spans="1:30" x14ac:dyDescent="0.25">
      <c r="A210"/>
      <c r="B210" s="67">
        <v>13</v>
      </c>
      <c r="C210">
        <v>37063</v>
      </c>
      <c r="D210" s="67">
        <v>15</v>
      </c>
      <c r="E210">
        <v>46620</v>
      </c>
      <c r="F210"/>
      <c r="G210" s="67">
        <f t="shared" si="37"/>
        <v>0.8666666666666667</v>
      </c>
      <c r="H210" s="67">
        <f t="shared" si="37"/>
        <v>0.79500214500214506</v>
      </c>
      <c r="I210"/>
      <c r="J210" s="63">
        <v>-0.12</v>
      </c>
      <c r="N210"/>
      <c r="O210"/>
      <c r="P210"/>
      <c r="Q210"/>
      <c r="R210"/>
      <c r="S210"/>
      <c r="AD210"/>
    </row>
    <row r="211" spans="1:30" x14ac:dyDescent="0.25">
      <c r="A211"/>
      <c r="B211"/>
      <c r="C211"/>
      <c r="D211"/>
      <c r="E211"/>
      <c r="F211"/>
      <c r="G211" s="278">
        <f>AVERAGE(G207:G210)</f>
        <v>0.86428571428571432</v>
      </c>
      <c r="H211" s="278">
        <f>AVERAGE(H207:H210)</f>
        <v>0.78788676619240683</v>
      </c>
      <c r="I211" s="278"/>
      <c r="J211" s="279">
        <v>-9.9999999999999992E-2</v>
      </c>
      <c r="N211"/>
      <c r="O211"/>
      <c r="P211"/>
      <c r="Q211"/>
      <c r="R211"/>
      <c r="S211"/>
      <c r="AD211"/>
    </row>
    <row r="212" spans="1:30" x14ac:dyDescent="0.25">
      <c r="A212" t="s">
        <v>748</v>
      </c>
      <c r="B212"/>
      <c r="C212"/>
      <c r="D212"/>
      <c r="E212"/>
      <c r="F212"/>
      <c r="G212"/>
      <c r="H212"/>
      <c r="I212"/>
      <c r="J212"/>
      <c r="N212"/>
      <c r="O212"/>
      <c r="P212"/>
      <c r="Q212"/>
      <c r="R212"/>
      <c r="S212"/>
      <c r="AD212"/>
    </row>
    <row r="213" spans="1:30" x14ac:dyDescent="0.25">
      <c r="A213" t="s">
        <v>749</v>
      </c>
      <c r="B213"/>
      <c r="C213"/>
      <c r="D213"/>
      <c r="E213"/>
      <c r="F213"/>
      <c r="G213"/>
      <c r="H213"/>
      <c r="I213"/>
      <c r="J213"/>
      <c r="N213"/>
      <c r="O213"/>
      <c r="P213"/>
      <c r="Q213"/>
      <c r="R213"/>
      <c r="S213"/>
      <c r="AD213"/>
    </row>
    <row r="214" spans="1:30" ht="15.75" thickBot="1" x14ac:dyDescent="0.3">
      <c r="N214"/>
      <c r="O214"/>
      <c r="P214"/>
      <c r="Q214"/>
      <c r="R214"/>
      <c r="S214"/>
      <c r="AD214"/>
    </row>
    <row r="215" spans="1:30" ht="31.5" x14ac:dyDescent="0.25">
      <c r="A215" s="280"/>
      <c r="B215" s="281" t="s">
        <v>751</v>
      </c>
      <c r="C215" s="282" t="s">
        <v>752</v>
      </c>
      <c r="D215" s="281" t="s">
        <v>751</v>
      </c>
      <c r="E215" s="281" t="s">
        <v>752</v>
      </c>
      <c r="N215"/>
      <c r="O215"/>
      <c r="P215"/>
      <c r="Q215"/>
      <c r="R215"/>
      <c r="S215"/>
      <c r="AD215"/>
    </row>
    <row r="216" spans="1:30" ht="32.25" thickBot="1" x14ac:dyDescent="0.3">
      <c r="A216" s="283" t="s">
        <v>753</v>
      </c>
      <c r="B216" s="284" t="s">
        <v>754</v>
      </c>
      <c r="C216" s="285" t="s">
        <v>754</v>
      </c>
      <c r="D216" s="284" t="s">
        <v>755</v>
      </c>
      <c r="E216" s="284" t="s">
        <v>755</v>
      </c>
      <c r="N216"/>
      <c r="O216"/>
      <c r="P216"/>
      <c r="Q216"/>
      <c r="R216"/>
      <c r="S216"/>
      <c r="AD216"/>
    </row>
    <row r="217" spans="1:30" ht="16.5" thickBot="1" x14ac:dyDescent="0.3">
      <c r="A217" s="286" t="s">
        <v>756</v>
      </c>
      <c r="B217" s="287"/>
      <c r="C217" s="288"/>
      <c r="D217" s="288"/>
      <c r="E217" s="288"/>
      <c r="N217"/>
      <c r="O217"/>
      <c r="P217"/>
      <c r="Q217"/>
      <c r="R217"/>
      <c r="S217"/>
      <c r="AD217"/>
    </row>
    <row r="218" spans="1:30" ht="16.5" thickBot="1" x14ac:dyDescent="0.3">
      <c r="A218" s="289" t="s">
        <v>758</v>
      </c>
      <c r="B218" s="290">
        <v>25</v>
      </c>
      <c r="C218" s="291">
        <v>29522</v>
      </c>
      <c r="D218" s="290">
        <v>34</v>
      </c>
      <c r="E218" s="292">
        <v>31213</v>
      </c>
      <c r="G218" s="61">
        <f>B218/D218</f>
        <v>0.73529411764705888</v>
      </c>
      <c r="H218" s="61">
        <f>C218/E218</f>
        <v>0.94582385544484671</v>
      </c>
      <c r="N218"/>
      <c r="O218"/>
      <c r="P218"/>
      <c r="Q218"/>
      <c r="R218"/>
      <c r="S218"/>
      <c r="AD218"/>
    </row>
    <row r="219" spans="1:30" ht="16.5" thickBot="1" x14ac:dyDescent="0.3">
      <c r="A219" s="289" t="s">
        <v>759</v>
      </c>
      <c r="B219" s="290">
        <v>21</v>
      </c>
      <c r="C219" s="291" t="s">
        <v>760</v>
      </c>
      <c r="D219" s="290">
        <v>27</v>
      </c>
      <c r="E219" s="292" t="s">
        <v>761</v>
      </c>
      <c r="G219" s="61">
        <f>B219/D219</f>
        <v>0.77777777777777779</v>
      </c>
      <c r="H219" s="61" t="e">
        <f>C219/E219</f>
        <v>#VALUE!</v>
      </c>
      <c r="N219"/>
      <c r="O219"/>
      <c r="P219"/>
      <c r="Q219"/>
      <c r="R219"/>
      <c r="S219"/>
      <c r="AD219"/>
    </row>
    <row r="220" spans="1:30" ht="16.5" thickBot="1" x14ac:dyDescent="0.3">
      <c r="A220" s="289" t="s">
        <v>762</v>
      </c>
      <c r="B220" s="290">
        <v>20</v>
      </c>
      <c r="C220" s="291" t="s">
        <v>763</v>
      </c>
      <c r="D220" s="290">
        <v>26</v>
      </c>
      <c r="E220" s="292" t="s">
        <v>764</v>
      </c>
      <c r="G220" s="61">
        <f t="shared" ref="G220:H235" si="38">B220/D220</f>
        <v>0.76923076923076927</v>
      </c>
      <c r="H220" s="61" t="e">
        <f t="shared" si="38"/>
        <v>#VALUE!</v>
      </c>
      <c r="N220"/>
      <c r="O220"/>
      <c r="P220"/>
      <c r="Q220"/>
      <c r="R220"/>
      <c r="S220"/>
      <c r="AD220"/>
    </row>
    <row r="221" spans="1:30" ht="16.5" thickBot="1" x14ac:dyDescent="0.3">
      <c r="A221" s="289" t="s">
        <v>765</v>
      </c>
      <c r="B221" s="290">
        <v>26</v>
      </c>
      <c r="C221" s="291" t="s">
        <v>766</v>
      </c>
      <c r="D221" s="290">
        <v>34</v>
      </c>
      <c r="E221" s="292" t="s">
        <v>767</v>
      </c>
      <c r="G221" s="61">
        <f t="shared" si="38"/>
        <v>0.76470588235294112</v>
      </c>
      <c r="H221" s="61" t="e">
        <f t="shared" si="38"/>
        <v>#VALUE!</v>
      </c>
      <c r="N221"/>
      <c r="O221"/>
      <c r="P221"/>
      <c r="Q221"/>
      <c r="R221"/>
      <c r="S221"/>
      <c r="AD221"/>
    </row>
    <row r="222" spans="1:30" ht="16.5" thickBot="1" x14ac:dyDescent="0.3">
      <c r="A222" s="289" t="s">
        <v>768</v>
      </c>
      <c r="B222" s="290">
        <v>24</v>
      </c>
      <c r="C222" s="291" t="s">
        <v>769</v>
      </c>
      <c r="D222" s="290">
        <v>33</v>
      </c>
      <c r="E222" s="292" t="s">
        <v>770</v>
      </c>
      <c r="G222" s="61">
        <f t="shared" si="38"/>
        <v>0.72727272727272729</v>
      </c>
      <c r="H222" s="61" t="e">
        <f t="shared" si="38"/>
        <v>#VALUE!</v>
      </c>
      <c r="N222"/>
      <c r="O222"/>
      <c r="P222"/>
      <c r="Q222"/>
      <c r="R222"/>
      <c r="S222"/>
      <c r="AD222"/>
    </row>
    <row r="223" spans="1:30" ht="32.25" thickBot="1" x14ac:dyDescent="0.3">
      <c r="A223" s="280" t="s">
        <v>771</v>
      </c>
      <c r="B223" s="293">
        <v>25</v>
      </c>
      <c r="C223" s="291" t="s">
        <v>772</v>
      </c>
      <c r="D223" s="293">
        <v>33</v>
      </c>
      <c r="E223" s="292" t="s">
        <v>773</v>
      </c>
      <c r="G223" s="61">
        <f t="shared" si="38"/>
        <v>0.75757575757575757</v>
      </c>
      <c r="H223" s="61" t="e">
        <f t="shared" si="38"/>
        <v>#VALUE!</v>
      </c>
      <c r="N223"/>
      <c r="O223"/>
      <c r="P223"/>
      <c r="Q223"/>
      <c r="R223"/>
      <c r="S223"/>
      <c r="AD223"/>
    </row>
    <row r="224" spans="1:30" ht="16.5" thickBot="1" x14ac:dyDescent="0.3">
      <c r="A224" s="289" t="s">
        <v>774</v>
      </c>
      <c r="B224" s="290">
        <v>23</v>
      </c>
      <c r="C224" s="291" t="s">
        <v>775</v>
      </c>
      <c r="D224" s="290">
        <v>34</v>
      </c>
      <c r="E224" s="292" t="s">
        <v>776</v>
      </c>
      <c r="G224" s="61">
        <f t="shared" si="38"/>
        <v>0.67647058823529416</v>
      </c>
      <c r="H224" s="61" t="e">
        <f t="shared" si="38"/>
        <v>#VALUE!</v>
      </c>
      <c r="N224"/>
      <c r="O224"/>
      <c r="P224"/>
      <c r="Q224"/>
      <c r="R224"/>
      <c r="S224"/>
      <c r="AD224"/>
    </row>
    <row r="225" spans="1:30" ht="16.5" thickBot="1" x14ac:dyDescent="0.3">
      <c r="A225" s="295" t="s">
        <v>777</v>
      </c>
      <c r="B225" s="296"/>
      <c r="C225" s="291"/>
      <c r="D225" s="296"/>
      <c r="E225" s="292"/>
      <c r="G225" s="61" t="e">
        <f t="shared" si="38"/>
        <v>#DIV/0!</v>
      </c>
      <c r="H225" s="61" t="e">
        <f t="shared" si="38"/>
        <v>#DIV/0!</v>
      </c>
      <c r="N225"/>
      <c r="O225"/>
      <c r="P225"/>
      <c r="Q225"/>
      <c r="R225"/>
      <c r="S225"/>
      <c r="AD225"/>
    </row>
    <row r="226" spans="1:30" ht="16.5" thickBot="1" x14ac:dyDescent="0.3">
      <c r="A226" s="289" t="s">
        <v>778</v>
      </c>
      <c r="B226" s="290">
        <v>16</v>
      </c>
      <c r="C226" s="291" t="s">
        <v>779</v>
      </c>
      <c r="D226" s="290">
        <v>20</v>
      </c>
      <c r="E226" s="292" t="s">
        <v>780</v>
      </c>
      <c r="G226" s="61">
        <f t="shared" si="38"/>
        <v>0.8</v>
      </c>
      <c r="H226" s="61" t="e">
        <f t="shared" si="38"/>
        <v>#VALUE!</v>
      </c>
      <c r="N226"/>
      <c r="O226"/>
      <c r="P226"/>
      <c r="Q226"/>
      <c r="R226"/>
      <c r="S226"/>
      <c r="AD226"/>
    </row>
    <row r="227" spans="1:30" ht="16.5" thickBot="1" x14ac:dyDescent="0.3">
      <c r="A227" s="289" t="s">
        <v>781</v>
      </c>
      <c r="B227" s="290">
        <v>16</v>
      </c>
      <c r="C227" s="291" t="s">
        <v>782</v>
      </c>
      <c r="D227" s="290">
        <v>22</v>
      </c>
      <c r="E227" s="292" t="s">
        <v>783</v>
      </c>
      <c r="G227" s="61">
        <f t="shared" si="38"/>
        <v>0.72727272727272729</v>
      </c>
      <c r="H227" s="61" t="e">
        <f t="shared" si="38"/>
        <v>#VALUE!</v>
      </c>
      <c r="N227"/>
      <c r="O227"/>
      <c r="P227"/>
      <c r="Q227"/>
      <c r="R227"/>
      <c r="S227"/>
      <c r="AD227"/>
    </row>
    <row r="228" spans="1:30" ht="16.5" thickBot="1" x14ac:dyDescent="0.3">
      <c r="A228" s="289" t="s">
        <v>784</v>
      </c>
      <c r="B228" s="290">
        <v>15</v>
      </c>
      <c r="C228" s="291" t="s">
        <v>785</v>
      </c>
      <c r="D228" s="290">
        <v>19</v>
      </c>
      <c r="E228" s="292" t="s">
        <v>786</v>
      </c>
      <c r="G228" s="61">
        <f t="shared" si="38"/>
        <v>0.78947368421052633</v>
      </c>
      <c r="H228" s="61" t="e">
        <f t="shared" si="38"/>
        <v>#VALUE!</v>
      </c>
      <c r="N228"/>
      <c r="O228"/>
      <c r="P228"/>
      <c r="Q228"/>
      <c r="R228"/>
      <c r="S228"/>
      <c r="AD228"/>
    </row>
    <row r="229" spans="1:30" ht="16.5" thickBot="1" x14ac:dyDescent="0.3">
      <c r="A229" s="289" t="s">
        <v>788</v>
      </c>
      <c r="B229" s="290">
        <v>17</v>
      </c>
      <c r="C229" s="291" t="s">
        <v>789</v>
      </c>
      <c r="D229" s="290">
        <v>21</v>
      </c>
      <c r="E229" s="292" t="s">
        <v>790</v>
      </c>
      <c r="G229" s="61">
        <f t="shared" si="38"/>
        <v>0.80952380952380953</v>
      </c>
      <c r="H229" s="61" t="e">
        <f t="shared" si="38"/>
        <v>#VALUE!</v>
      </c>
      <c r="N229"/>
      <c r="O229"/>
      <c r="P229"/>
      <c r="Q229"/>
      <c r="R229"/>
      <c r="S229"/>
      <c r="AD229"/>
    </row>
    <row r="230" spans="1:30" ht="16.5" thickBot="1" x14ac:dyDescent="0.3">
      <c r="A230" s="289" t="s">
        <v>792</v>
      </c>
      <c r="B230" s="290">
        <v>16</v>
      </c>
      <c r="C230" s="291" t="s">
        <v>793</v>
      </c>
      <c r="D230" s="290">
        <v>22</v>
      </c>
      <c r="E230" s="292" t="s">
        <v>794</v>
      </c>
      <c r="G230" s="61">
        <f t="shared" si="38"/>
        <v>0.72727272727272729</v>
      </c>
      <c r="H230" s="61" t="e">
        <f t="shared" si="38"/>
        <v>#VALUE!</v>
      </c>
      <c r="N230"/>
      <c r="O230"/>
      <c r="P230"/>
      <c r="Q230"/>
      <c r="R230"/>
      <c r="S230"/>
      <c r="AD230"/>
    </row>
    <row r="231" spans="1:30" ht="16.5" thickBot="1" x14ac:dyDescent="0.3">
      <c r="A231" s="304" t="s">
        <v>745</v>
      </c>
      <c r="B231" s="296"/>
      <c r="C231" s="291"/>
      <c r="D231" s="296"/>
      <c r="E231" s="292"/>
      <c r="G231" s="61" t="e">
        <f t="shared" si="38"/>
        <v>#DIV/0!</v>
      </c>
      <c r="H231" s="61" t="e">
        <f t="shared" si="38"/>
        <v>#DIV/0!</v>
      </c>
      <c r="N231"/>
      <c r="O231"/>
      <c r="P231"/>
      <c r="Q231"/>
      <c r="R231"/>
      <c r="S231"/>
      <c r="AD231"/>
    </row>
    <row r="232" spans="1:30" ht="32.25" thickBot="1" x14ac:dyDescent="0.3">
      <c r="A232" s="289" t="s">
        <v>797</v>
      </c>
      <c r="B232" s="290">
        <v>13</v>
      </c>
      <c r="C232" s="291" t="s">
        <v>798</v>
      </c>
      <c r="D232" s="290">
        <v>15</v>
      </c>
      <c r="E232" s="292" t="s">
        <v>799</v>
      </c>
      <c r="G232" s="61">
        <f t="shared" si="38"/>
        <v>0.8666666666666667</v>
      </c>
      <c r="H232" s="61" t="e">
        <f t="shared" si="38"/>
        <v>#VALUE!</v>
      </c>
      <c r="N232"/>
      <c r="O232"/>
      <c r="P232"/>
      <c r="Q232"/>
      <c r="R232"/>
      <c r="S232"/>
      <c r="AD232"/>
    </row>
    <row r="233" spans="1:30" ht="16.5" thickBot="1" x14ac:dyDescent="0.3">
      <c r="A233" s="289" t="s">
        <v>801</v>
      </c>
      <c r="B233" s="290">
        <v>13</v>
      </c>
      <c r="C233" s="291" t="s">
        <v>802</v>
      </c>
      <c r="D233" s="290">
        <v>15</v>
      </c>
      <c r="E233" s="292" t="s">
        <v>803</v>
      </c>
      <c r="G233" s="61">
        <f t="shared" si="38"/>
        <v>0.8666666666666667</v>
      </c>
      <c r="H233" s="61" t="e">
        <f t="shared" si="38"/>
        <v>#VALUE!</v>
      </c>
      <c r="N233"/>
      <c r="O233"/>
      <c r="P233"/>
      <c r="Q233"/>
      <c r="R233"/>
      <c r="S233"/>
      <c r="AD233"/>
    </row>
    <row r="234" spans="1:30" ht="16.5" thickBot="1" x14ac:dyDescent="0.3">
      <c r="A234" s="289" t="s">
        <v>805</v>
      </c>
      <c r="B234" s="290">
        <v>12</v>
      </c>
      <c r="C234" s="291" t="s">
        <v>806</v>
      </c>
      <c r="D234" s="290">
        <v>14</v>
      </c>
      <c r="E234" s="292" t="s">
        <v>807</v>
      </c>
      <c r="G234" s="61">
        <f t="shared" si="38"/>
        <v>0.8571428571428571</v>
      </c>
      <c r="H234" s="61" t="e">
        <f t="shared" si="38"/>
        <v>#VALUE!</v>
      </c>
      <c r="N234"/>
      <c r="O234"/>
      <c r="P234"/>
      <c r="Q234"/>
      <c r="R234"/>
      <c r="S234"/>
      <c r="AD234"/>
    </row>
    <row r="235" spans="1:30" ht="16.5" thickBot="1" x14ac:dyDescent="0.3">
      <c r="A235" s="289" t="s">
        <v>809</v>
      </c>
      <c r="B235" s="290">
        <v>13</v>
      </c>
      <c r="C235" s="291" t="s">
        <v>810</v>
      </c>
      <c r="D235" s="290">
        <v>15</v>
      </c>
      <c r="E235" s="292" t="s">
        <v>811</v>
      </c>
      <c r="G235" s="61">
        <f t="shared" si="38"/>
        <v>0.8666666666666667</v>
      </c>
      <c r="H235" s="61" t="e">
        <f t="shared" si="38"/>
        <v>#VALUE!</v>
      </c>
      <c r="N235"/>
      <c r="O235"/>
      <c r="P235"/>
      <c r="Q235"/>
      <c r="R235"/>
      <c r="S235"/>
      <c r="AD235"/>
    </row>
    <row r="236" spans="1:30" ht="15.75" x14ac:dyDescent="0.25">
      <c r="A236" s="305"/>
      <c r="B236" s="306"/>
      <c r="C236" s="307"/>
      <c r="D236" s="306"/>
      <c r="E236" s="305"/>
      <c r="N236"/>
      <c r="O236"/>
      <c r="P236"/>
      <c r="Q236"/>
      <c r="R236"/>
      <c r="S236"/>
      <c r="AD236"/>
    </row>
    <row r="237" spans="1:30" x14ac:dyDescent="0.25">
      <c r="N237"/>
      <c r="O237"/>
      <c r="P237"/>
      <c r="Q237"/>
      <c r="R237"/>
      <c r="S237"/>
      <c r="AD237"/>
    </row>
    <row r="238" spans="1:30" x14ac:dyDescent="0.25">
      <c r="N238"/>
      <c r="O238"/>
      <c r="P238"/>
      <c r="Q238"/>
      <c r="R238"/>
      <c r="S238"/>
      <c r="AD238"/>
    </row>
    <row r="239" spans="1:30" x14ac:dyDescent="0.25">
      <c r="N239"/>
      <c r="O239"/>
      <c r="P239"/>
      <c r="Q239"/>
      <c r="R239"/>
      <c r="S239"/>
      <c r="AD239"/>
    </row>
    <row r="240" spans="1: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18" t="s">
        <v>822</v>
      </c>
      <c r="C266" s="319">
        <v>13.6</v>
      </c>
      <c r="H266" s="320">
        <f>2.266E+61</f>
        <v>2.2660000000000001E+61</v>
      </c>
      <c r="I266" s="61">
        <v>-7.0440000000000003E-2</v>
      </c>
      <c r="N266"/>
      <c r="O266"/>
      <c r="P266"/>
      <c r="Q266"/>
      <c r="R266"/>
      <c r="S266"/>
      <c r="T266"/>
      <c r="U266"/>
      <c r="V266"/>
      <c r="W266"/>
      <c r="X266"/>
      <c r="Y266"/>
      <c r="Z266"/>
      <c r="AA266"/>
      <c r="AB266"/>
      <c r="AC266"/>
      <c r="AD266"/>
    </row>
    <row r="267" spans="1:33" x14ac:dyDescent="0.25">
      <c r="B267" s="318" t="s">
        <v>823</v>
      </c>
      <c r="C267" s="319">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21">
        <v>0.52</v>
      </c>
      <c r="E270" s="322">
        <v>0.48</v>
      </c>
      <c r="F270" s="322">
        <v>0.36</v>
      </c>
      <c r="G270" s="322">
        <f>AVERAGE(0.27,0.24)</f>
        <v>0.255</v>
      </c>
      <c r="H270" s="322">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39">E270</f>
        <v>0.48</v>
      </c>
      <c r="F271" s="76">
        <f t="shared" si="39"/>
        <v>0.36</v>
      </c>
      <c r="G271" s="76">
        <f t="shared" si="39"/>
        <v>0.255</v>
      </c>
      <c r="H271" s="76">
        <f t="shared" si="39"/>
        <v>0.18</v>
      </c>
      <c r="I271" s="76">
        <f>$H$266*EXP($I$266*I269)</f>
        <v>0.12622450589064815</v>
      </c>
      <c r="J271" s="76">
        <f t="shared" ref="J271:K271" si="40">$H$266*EXP($I$266*J269)</f>
        <v>8.8753433437305504E-2</v>
      </c>
      <c r="K271" s="76">
        <f t="shared" si="40"/>
        <v>4.3880152650785924E-2</v>
      </c>
      <c r="N271" s="67">
        <f t="shared" ref="N271:N272" si="41">IF(EV.Battery,1-C271,1)</f>
        <v>1</v>
      </c>
      <c r="O271" s="67"/>
      <c r="P271" s="67">
        <f t="shared" ref="P271:Q271" si="42">IF(EV.Battery,1-D271,1)</f>
        <v>1</v>
      </c>
      <c r="Q271" s="67">
        <f t="shared" si="42"/>
        <v>1</v>
      </c>
      <c r="R271" s="67">
        <f>IF(EV.Battery,1-F271,1)</f>
        <v>1</v>
      </c>
      <c r="S271" s="67">
        <f t="shared" ref="S271:W271" si="43">IF(EV.Battery,1-G271,1)</f>
        <v>1</v>
      </c>
      <c r="T271" s="67">
        <f t="shared" si="43"/>
        <v>1</v>
      </c>
      <c r="U271" s="67">
        <f t="shared" si="43"/>
        <v>1</v>
      </c>
      <c r="V271" s="67">
        <f t="shared" si="43"/>
        <v>1</v>
      </c>
      <c r="W271" s="67">
        <f t="shared" si="43"/>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41"/>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3E3D2497-8666-475A-9AE0-03E2A8E63B37}">
      <formula1>$AB$5:$AB$7</formula1>
    </dataValidation>
  </dataValidations>
  <hyperlinks>
    <hyperlink ref="E20" r:id="rId1" xr:uid="{F3DA3194-681B-4D43-BC19-95EE5D6AA280}"/>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E2E-A323-45E0-B0DF-A2BE47D2A6D8}">
  <sheetPr codeName="Sheet41"/>
  <dimension ref="A5:Y106"/>
  <sheetViews>
    <sheetView workbookViewId="0"/>
  </sheetViews>
  <sheetFormatPr defaultColWidth="9.140625" defaultRowHeight="15" x14ac:dyDescent="0.25"/>
  <cols>
    <col min="1" max="1" width="41.5703125" style="523" customWidth="1"/>
    <col min="2" max="2" width="12" style="523" bestFit="1" customWidth="1"/>
    <col min="3" max="3" width="9.140625" style="523"/>
    <col min="4" max="4" width="13.42578125" style="523" bestFit="1" customWidth="1"/>
    <col min="5" max="5" width="13.85546875" style="523" customWidth="1"/>
    <col min="6" max="11" width="9.140625" style="523"/>
    <col min="12" max="12" width="3.85546875" style="524" customWidth="1"/>
    <col min="13" max="13" width="10" style="525" customWidth="1"/>
    <col min="14" max="14" width="23.5703125" style="525" customWidth="1"/>
    <col min="15" max="23" width="9.140625" style="525"/>
    <col min="24" max="24" width="5.42578125" style="525" customWidth="1"/>
    <col min="25" max="25" width="4.42578125" style="524" customWidth="1"/>
    <col min="26" max="29" width="9.140625" style="523"/>
    <col min="30" max="30" width="8.5703125" style="523" bestFit="1" customWidth="1"/>
    <col min="31" max="31" width="9" style="523" bestFit="1" customWidth="1"/>
    <col min="32" max="16384" width="9.140625" style="523"/>
  </cols>
  <sheetData>
    <row r="5" spans="1:24" ht="18.75" x14ac:dyDescent="0.3">
      <c r="A5" s="534" t="s">
        <v>480</v>
      </c>
      <c r="B5" s="533"/>
      <c r="C5" s="533"/>
      <c r="D5" s="533"/>
      <c r="E5" s="533"/>
      <c r="F5" s="533"/>
      <c r="G5" s="533"/>
      <c r="H5" s="533"/>
      <c r="I5" s="533"/>
      <c r="J5" s="533"/>
      <c r="K5" s="533"/>
      <c r="M5" s="602" t="s">
        <v>993</v>
      </c>
      <c r="N5" s="601"/>
      <c r="O5" s="601"/>
      <c r="P5" s="601"/>
      <c r="Q5" s="601"/>
      <c r="R5" s="601"/>
      <c r="S5" s="601"/>
      <c r="T5" s="601"/>
      <c r="U5" s="601"/>
    </row>
    <row r="7" spans="1:24" ht="15.75" x14ac:dyDescent="0.25">
      <c r="A7" s="600" t="s">
        <v>992</v>
      </c>
      <c r="F7" s="523">
        <f>(1/AVERAGE(F12,F14))/(1/AVERAGE(F16:F17))</f>
        <v>1.7492579635426257</v>
      </c>
    </row>
    <row r="8" spans="1:24" ht="15.75" thickBot="1" x14ac:dyDescent="0.3"/>
    <row r="9" spans="1:24" ht="38.25" x14ac:dyDescent="0.25">
      <c r="A9" s="989" t="s">
        <v>991</v>
      </c>
      <c r="B9" s="991" t="s">
        <v>990</v>
      </c>
      <c r="C9" s="993" t="s">
        <v>941</v>
      </c>
      <c r="D9" s="993" t="s">
        <v>989</v>
      </c>
      <c r="E9" s="993" t="s">
        <v>988</v>
      </c>
      <c r="F9" s="995" t="s">
        <v>987</v>
      </c>
      <c r="G9" s="599" t="s">
        <v>986</v>
      </c>
      <c r="H9" s="599" t="s">
        <v>985</v>
      </c>
      <c r="I9" s="598" t="s">
        <v>984</v>
      </c>
      <c r="J9" s="598" t="s">
        <v>983</v>
      </c>
      <c r="M9" s="593" t="s">
        <v>982</v>
      </c>
      <c r="N9" s="593"/>
      <c r="O9" s="593"/>
      <c r="P9" s="593"/>
      <c r="Q9" s="593"/>
      <c r="R9" s="593"/>
      <c r="S9" s="593"/>
      <c r="T9" s="593"/>
      <c r="U9" s="593"/>
      <c r="V9" s="593"/>
      <c r="W9" s="593"/>
      <c r="X9" s="593"/>
    </row>
    <row r="10" spans="1:24" ht="15.75" thickBot="1" x14ac:dyDescent="0.3">
      <c r="A10" s="990"/>
      <c r="B10" s="992"/>
      <c r="C10" s="994"/>
      <c r="D10" s="994"/>
      <c r="E10" s="994"/>
      <c r="F10" s="996"/>
      <c r="G10" s="596" t="s">
        <v>981</v>
      </c>
      <c r="H10" s="596" t="s">
        <v>981</v>
      </c>
      <c r="I10" s="597"/>
      <c r="J10" s="597"/>
      <c r="M10" s="593" t="s">
        <v>980</v>
      </c>
      <c r="N10" s="593"/>
      <c r="O10" s="593"/>
      <c r="P10" s="593"/>
      <c r="Q10" s="593"/>
      <c r="R10" s="593"/>
      <c r="S10" s="593"/>
      <c r="T10" s="593"/>
      <c r="U10" s="593"/>
      <c r="V10" s="593"/>
      <c r="W10" s="593"/>
      <c r="X10" s="593"/>
    </row>
    <row r="11" spans="1:24" ht="28.5" thickBot="1" x14ac:dyDescent="0.3">
      <c r="A11" s="583"/>
      <c r="B11" s="582"/>
      <c r="C11" s="596" t="s">
        <v>979</v>
      </c>
      <c r="D11" s="596" t="s">
        <v>978</v>
      </c>
      <c r="E11" s="596"/>
      <c r="F11" s="582" t="s">
        <v>977</v>
      </c>
      <c r="G11" s="582" t="s">
        <v>977</v>
      </c>
      <c r="H11" s="582" t="s">
        <v>977</v>
      </c>
      <c r="I11" s="582"/>
      <c r="J11" s="582"/>
      <c r="M11" s="595" t="s">
        <v>976</v>
      </c>
      <c r="N11" s="595" t="s">
        <v>914</v>
      </c>
      <c r="O11" s="595" t="s">
        <v>913</v>
      </c>
      <c r="P11" s="595" t="s">
        <v>912</v>
      </c>
      <c r="Q11" s="595" t="s">
        <v>911</v>
      </c>
      <c r="R11" s="595" t="s">
        <v>910</v>
      </c>
      <c r="S11" s="595" t="s">
        <v>909</v>
      </c>
      <c r="T11" s="595" t="s">
        <v>975</v>
      </c>
      <c r="U11" s="595" t="s">
        <v>907</v>
      </c>
      <c r="V11" s="595" t="s">
        <v>906</v>
      </c>
      <c r="W11" s="594" t="s">
        <v>905</v>
      </c>
      <c r="X11" s="593"/>
    </row>
    <row r="12" spans="1:24" ht="15.75" thickBot="1" x14ac:dyDescent="0.3">
      <c r="A12" s="588" t="s">
        <v>974</v>
      </c>
      <c r="B12" s="587" t="s">
        <v>971</v>
      </c>
      <c r="C12" s="586">
        <v>122</v>
      </c>
      <c r="D12" s="586">
        <v>39200</v>
      </c>
      <c r="E12" s="586"/>
      <c r="F12" s="586">
        <v>2</v>
      </c>
      <c r="G12" s="586">
        <v>1.9</v>
      </c>
      <c r="H12" s="586">
        <v>2.2000000000000002</v>
      </c>
      <c r="I12" s="586">
        <v>-0.13</v>
      </c>
      <c r="J12" s="586">
        <v>-0.77</v>
      </c>
      <c r="M12" s="590">
        <v>2000</v>
      </c>
      <c r="N12" s="589">
        <v>702</v>
      </c>
      <c r="O12" s="589">
        <v>722</v>
      </c>
      <c r="P12" s="556"/>
      <c r="Q12" s="556"/>
      <c r="R12" s="556"/>
      <c r="S12" s="556"/>
      <c r="T12" s="556"/>
      <c r="U12" s="556"/>
      <c r="V12" s="556"/>
      <c r="W12" s="556"/>
      <c r="X12" s="523"/>
    </row>
    <row r="13" spans="1:24" ht="39" thickBot="1" x14ac:dyDescent="0.3">
      <c r="A13" s="592" t="s">
        <v>973</v>
      </c>
      <c r="B13" s="587" t="s">
        <v>954</v>
      </c>
      <c r="C13" s="586">
        <v>557</v>
      </c>
      <c r="D13" s="586">
        <v>16200</v>
      </c>
      <c r="E13" s="586">
        <v>24200</v>
      </c>
      <c r="F13" s="586">
        <v>6.8817939654730802</v>
      </c>
      <c r="G13" s="586">
        <v>7.87784309205471</v>
      </c>
      <c r="H13" s="586">
        <v>5.6140950770964606</v>
      </c>
      <c r="I13" s="586"/>
      <c r="J13" s="586"/>
      <c r="M13" s="590">
        <v>2005</v>
      </c>
      <c r="N13" s="589">
        <v>702</v>
      </c>
      <c r="O13" s="589">
        <v>722</v>
      </c>
      <c r="P13" s="556"/>
      <c r="Q13" s="556"/>
      <c r="R13" s="556"/>
      <c r="S13" s="556"/>
      <c r="T13" s="556"/>
      <c r="U13" s="556"/>
      <c r="V13" s="556"/>
      <c r="W13" s="556"/>
      <c r="X13" s="523"/>
    </row>
    <row r="14" spans="1:24" ht="15.75" thickBot="1" x14ac:dyDescent="0.3">
      <c r="A14" s="592" t="s">
        <v>972</v>
      </c>
      <c r="B14" s="587" t="s">
        <v>971</v>
      </c>
      <c r="C14" s="586">
        <v>117.48182</v>
      </c>
      <c r="D14" s="586">
        <v>35200</v>
      </c>
      <c r="E14" s="586">
        <v>37250</v>
      </c>
      <c r="F14" s="586">
        <v>2.1731980943599201</v>
      </c>
      <c r="G14" s="586">
        <v>1.9920982531632603</v>
      </c>
      <c r="H14" s="586">
        <v>2.3542979355565801</v>
      </c>
      <c r="I14" s="586"/>
      <c r="J14" s="586"/>
      <c r="M14" s="590">
        <v>2010</v>
      </c>
      <c r="N14" s="589">
        <v>702</v>
      </c>
      <c r="O14" s="589">
        <v>722</v>
      </c>
      <c r="P14" s="589">
        <v>933</v>
      </c>
      <c r="Q14" s="589">
        <v>952</v>
      </c>
      <c r="R14" s="589">
        <v>1577</v>
      </c>
      <c r="S14" s="589">
        <v>1597</v>
      </c>
      <c r="T14" s="589">
        <v>4048</v>
      </c>
      <c r="U14" s="589">
        <v>3605</v>
      </c>
      <c r="V14" s="589">
        <v>3662</v>
      </c>
      <c r="W14" s="589">
        <v>2219</v>
      </c>
      <c r="X14" s="523"/>
    </row>
    <row r="15" spans="1:24" ht="39" thickBot="1" x14ac:dyDescent="0.3">
      <c r="A15" s="592" t="s">
        <v>970</v>
      </c>
      <c r="B15" s="587" t="s">
        <v>954</v>
      </c>
      <c r="C15" s="586">
        <v>469</v>
      </c>
      <c r="D15" s="586">
        <v>10990</v>
      </c>
      <c r="E15" s="586">
        <v>18590</v>
      </c>
      <c r="F15" s="586">
        <v>7.0628938066697406</v>
      </c>
      <c r="G15" s="586">
        <v>7.87784309205471</v>
      </c>
      <c r="H15" s="586">
        <v>5.8857448388914504</v>
      </c>
      <c r="I15" s="586"/>
      <c r="J15" s="586"/>
      <c r="M15" s="590">
        <v>2015</v>
      </c>
      <c r="N15" s="589">
        <v>690</v>
      </c>
      <c r="O15" s="589">
        <v>728</v>
      </c>
      <c r="P15" s="589">
        <v>762</v>
      </c>
      <c r="Q15" s="589">
        <v>781</v>
      </c>
      <c r="R15" s="589">
        <v>1042</v>
      </c>
      <c r="S15" s="589">
        <v>1062</v>
      </c>
      <c r="T15" s="589">
        <v>1473</v>
      </c>
      <c r="U15" s="589">
        <v>1396</v>
      </c>
      <c r="V15" s="589">
        <v>1521</v>
      </c>
      <c r="W15" s="589">
        <v>1255</v>
      </c>
      <c r="X15" s="523"/>
    </row>
    <row r="16" spans="1:24" ht="26.25" thickBot="1" x14ac:dyDescent="0.3">
      <c r="A16" s="588" t="s">
        <v>969</v>
      </c>
      <c r="B16" s="587" t="s">
        <v>968</v>
      </c>
      <c r="C16" s="586">
        <v>386</v>
      </c>
      <c r="D16" s="586" t="s">
        <v>967</v>
      </c>
      <c r="E16" s="586"/>
      <c r="F16" s="586">
        <v>3.4</v>
      </c>
      <c r="G16" s="586">
        <v>3.4</v>
      </c>
      <c r="H16" s="586">
        <v>3.4</v>
      </c>
      <c r="I16" s="586">
        <v>0</v>
      </c>
      <c r="J16" s="586">
        <v>-0.6</v>
      </c>
      <c r="M16" s="590">
        <v>2020</v>
      </c>
      <c r="N16" s="589">
        <v>697</v>
      </c>
      <c r="O16" s="589">
        <v>734</v>
      </c>
      <c r="P16" s="589">
        <v>738</v>
      </c>
      <c r="Q16" s="589">
        <v>757</v>
      </c>
      <c r="R16" s="589">
        <v>876</v>
      </c>
      <c r="S16" s="589">
        <v>896</v>
      </c>
      <c r="T16" s="589">
        <v>1039</v>
      </c>
      <c r="U16" s="589">
        <v>1021</v>
      </c>
      <c r="V16" s="589">
        <v>1073</v>
      </c>
      <c r="W16" s="589">
        <v>1030</v>
      </c>
      <c r="X16" s="523"/>
    </row>
    <row r="17" spans="1:24" ht="15.75" thickBot="1" x14ac:dyDescent="0.3">
      <c r="A17" s="588" t="s">
        <v>966</v>
      </c>
      <c r="B17" s="587" t="s">
        <v>965</v>
      </c>
      <c r="C17" s="586">
        <v>306</v>
      </c>
      <c r="D17" s="586" t="s">
        <v>532</v>
      </c>
      <c r="E17" s="586"/>
      <c r="F17" s="586">
        <v>3.9</v>
      </c>
      <c r="G17" s="586">
        <v>3.9</v>
      </c>
      <c r="H17" s="586">
        <v>3.8</v>
      </c>
      <c r="I17" s="586">
        <v>0.02</v>
      </c>
      <c r="J17" s="586">
        <v>-0.54</v>
      </c>
      <c r="M17" s="590">
        <v>2025</v>
      </c>
      <c r="N17" s="589">
        <v>703</v>
      </c>
      <c r="O17" s="589">
        <v>741</v>
      </c>
      <c r="P17" s="589">
        <v>738</v>
      </c>
      <c r="Q17" s="589">
        <v>757</v>
      </c>
      <c r="R17" s="589">
        <v>860</v>
      </c>
      <c r="S17" s="589">
        <v>880</v>
      </c>
      <c r="T17" s="589">
        <v>1003</v>
      </c>
      <c r="U17" s="589">
        <v>986</v>
      </c>
      <c r="V17" s="589">
        <v>1027</v>
      </c>
      <c r="W17" s="589">
        <v>998</v>
      </c>
      <c r="X17" s="523"/>
    </row>
    <row r="18" spans="1:24" ht="39" thickBot="1" x14ac:dyDescent="0.3">
      <c r="A18" s="588" t="s">
        <v>964</v>
      </c>
      <c r="B18" s="587" t="s">
        <v>963</v>
      </c>
      <c r="C18" s="586">
        <v>841</v>
      </c>
      <c r="D18" s="586">
        <v>24050</v>
      </c>
      <c r="E18" s="586">
        <v>24050</v>
      </c>
      <c r="F18" s="586">
        <v>4.8</v>
      </c>
      <c r="G18" s="586">
        <v>4.8</v>
      </c>
      <c r="H18" s="586">
        <v>4.8</v>
      </c>
      <c r="I18" s="586">
        <v>0</v>
      </c>
      <c r="J18" s="586">
        <v>-0.44</v>
      </c>
      <c r="M18" s="590">
        <v>2030</v>
      </c>
      <c r="N18" s="589">
        <v>710</v>
      </c>
      <c r="O18" s="589">
        <v>753</v>
      </c>
      <c r="P18" s="589">
        <v>738</v>
      </c>
      <c r="Q18" s="589">
        <v>762</v>
      </c>
      <c r="R18" s="589">
        <v>853</v>
      </c>
      <c r="S18" s="589">
        <v>877</v>
      </c>
      <c r="T18" s="589">
        <v>966</v>
      </c>
      <c r="U18" s="589">
        <v>950</v>
      </c>
      <c r="V18" s="589">
        <v>989</v>
      </c>
      <c r="W18" s="589">
        <v>966</v>
      </c>
      <c r="X18" s="523"/>
    </row>
    <row r="19" spans="1:24" ht="26.25" thickBot="1" x14ac:dyDescent="0.3">
      <c r="A19" s="588" t="s">
        <v>962</v>
      </c>
      <c r="B19" s="587" t="s">
        <v>961</v>
      </c>
      <c r="C19" s="586">
        <v>454</v>
      </c>
      <c r="D19" s="586">
        <v>12490</v>
      </c>
      <c r="E19" s="586">
        <v>14690</v>
      </c>
      <c r="F19" s="586">
        <v>5.9</v>
      </c>
      <c r="G19" s="586">
        <v>6.2</v>
      </c>
      <c r="H19" s="586">
        <v>5.6</v>
      </c>
      <c r="I19" s="586">
        <v>0.11</v>
      </c>
      <c r="J19" s="586">
        <v>-0.31</v>
      </c>
      <c r="M19" s="590">
        <v>2035</v>
      </c>
      <c r="N19" s="589">
        <v>710</v>
      </c>
      <c r="O19" s="589">
        <v>753</v>
      </c>
      <c r="P19" s="589">
        <v>734</v>
      </c>
      <c r="Q19" s="589">
        <v>757</v>
      </c>
      <c r="R19" s="589">
        <v>840</v>
      </c>
      <c r="S19" s="589">
        <v>865</v>
      </c>
      <c r="T19" s="589">
        <v>929</v>
      </c>
      <c r="U19" s="589">
        <v>915</v>
      </c>
      <c r="V19" s="589">
        <v>952</v>
      </c>
      <c r="W19" s="589">
        <v>934</v>
      </c>
      <c r="X19" s="523"/>
    </row>
    <row r="20" spans="1:24" ht="39" thickBot="1" x14ac:dyDescent="0.3">
      <c r="A20" s="588" t="s">
        <v>960</v>
      </c>
      <c r="B20" s="587" t="s">
        <v>954</v>
      </c>
      <c r="C20" s="586">
        <v>612</v>
      </c>
      <c r="D20" s="586">
        <v>15755</v>
      </c>
      <c r="E20" s="586">
        <v>24055</v>
      </c>
      <c r="F20" s="586">
        <v>6.7</v>
      </c>
      <c r="G20" s="586">
        <v>7.6</v>
      </c>
      <c r="H20" s="586">
        <v>5.4</v>
      </c>
      <c r="I20" s="586">
        <v>0.4</v>
      </c>
      <c r="J20" s="586">
        <v>-0.21</v>
      </c>
      <c r="M20" s="590">
        <v>2040</v>
      </c>
      <c r="N20" s="589">
        <v>710</v>
      </c>
      <c r="O20" s="589">
        <v>753</v>
      </c>
      <c r="P20" s="589">
        <v>729</v>
      </c>
      <c r="Q20" s="589">
        <v>753</v>
      </c>
      <c r="R20" s="589">
        <v>827</v>
      </c>
      <c r="S20" s="589">
        <v>852</v>
      </c>
      <c r="T20" s="589">
        <v>892</v>
      </c>
      <c r="U20" s="589">
        <v>879</v>
      </c>
      <c r="V20" s="589">
        <v>915</v>
      </c>
      <c r="W20" s="589">
        <v>902</v>
      </c>
      <c r="X20" s="523"/>
    </row>
    <row r="21" spans="1:24" ht="26.25" thickBot="1" x14ac:dyDescent="0.3">
      <c r="A21" s="588" t="s">
        <v>959</v>
      </c>
      <c r="B21" s="587" t="s">
        <v>958</v>
      </c>
      <c r="C21" s="586">
        <v>354</v>
      </c>
      <c r="D21" s="586">
        <v>26155</v>
      </c>
      <c r="E21" s="586">
        <v>27655</v>
      </c>
      <c r="F21" s="591">
        <v>6.9</v>
      </c>
      <c r="G21" s="586">
        <v>7.9</v>
      </c>
      <c r="H21" s="586">
        <v>5.6</v>
      </c>
      <c r="I21" s="586">
        <v>0.4</v>
      </c>
      <c r="J21" s="586">
        <v>-0.19</v>
      </c>
      <c r="M21" s="590">
        <v>2045</v>
      </c>
      <c r="N21" s="589">
        <v>710</v>
      </c>
      <c r="O21" s="589">
        <v>753</v>
      </c>
      <c r="P21" s="589">
        <v>725</v>
      </c>
      <c r="Q21" s="589">
        <v>748</v>
      </c>
      <c r="R21" s="589">
        <v>815</v>
      </c>
      <c r="S21" s="589">
        <v>839</v>
      </c>
      <c r="T21" s="589">
        <v>856</v>
      </c>
      <c r="U21" s="589">
        <v>844</v>
      </c>
      <c r="V21" s="589">
        <v>877</v>
      </c>
      <c r="W21" s="589">
        <v>869</v>
      </c>
      <c r="X21" s="523"/>
    </row>
    <row r="22" spans="1:24" ht="26.25" thickBot="1" x14ac:dyDescent="0.3">
      <c r="A22" s="588" t="s">
        <v>957</v>
      </c>
      <c r="B22" s="587" t="s">
        <v>956</v>
      </c>
      <c r="C22" s="586">
        <v>714</v>
      </c>
      <c r="D22" s="586">
        <v>17995</v>
      </c>
      <c r="E22" s="586">
        <v>29440</v>
      </c>
      <c r="F22" s="586">
        <v>6.9</v>
      </c>
      <c r="G22" s="586">
        <v>7.8</v>
      </c>
      <c r="H22" s="586">
        <v>5.6</v>
      </c>
      <c r="I22" s="586">
        <v>0.39</v>
      </c>
      <c r="J22" s="586">
        <v>-0.19</v>
      </c>
      <c r="M22" s="590">
        <v>2050</v>
      </c>
      <c r="N22" s="589">
        <v>710</v>
      </c>
      <c r="O22" s="589">
        <v>753</v>
      </c>
      <c r="P22" s="589">
        <v>720</v>
      </c>
      <c r="Q22" s="589">
        <v>744</v>
      </c>
      <c r="R22" s="589">
        <v>802</v>
      </c>
      <c r="S22" s="589">
        <v>827</v>
      </c>
      <c r="T22" s="589">
        <v>819</v>
      </c>
      <c r="U22" s="589">
        <v>809</v>
      </c>
      <c r="V22" s="589">
        <v>840</v>
      </c>
      <c r="W22" s="589">
        <v>837</v>
      </c>
      <c r="X22" s="523"/>
    </row>
    <row r="23" spans="1:24" ht="39" thickBot="1" x14ac:dyDescent="0.3">
      <c r="A23" s="588" t="s">
        <v>955</v>
      </c>
      <c r="B23" s="587" t="s">
        <v>954</v>
      </c>
      <c r="C23" s="586">
        <v>630</v>
      </c>
      <c r="D23" s="586">
        <v>34800</v>
      </c>
      <c r="E23" s="586">
        <v>35220</v>
      </c>
      <c r="F23" s="586">
        <v>8.5</v>
      </c>
      <c r="G23" s="586">
        <v>10.1</v>
      </c>
      <c r="H23" s="586">
        <v>6.9</v>
      </c>
      <c r="I23" s="586">
        <v>0.47</v>
      </c>
      <c r="J23" s="586">
        <v>0</v>
      </c>
      <c r="M23" s="563" t="s">
        <v>920</v>
      </c>
      <c r="N23" s="585">
        <f t="shared" ref="N23:W23" si="0">N22/N14-1</f>
        <v>1.139601139601143E-2</v>
      </c>
      <c r="O23" s="585">
        <f t="shared" si="0"/>
        <v>4.2936288088642582E-2</v>
      </c>
      <c r="P23" s="585">
        <f t="shared" si="0"/>
        <v>-0.22829581993569137</v>
      </c>
      <c r="Q23" s="585">
        <f t="shared" si="0"/>
        <v>-0.21848739495798319</v>
      </c>
      <c r="R23" s="585">
        <f t="shared" si="0"/>
        <v>-0.49143944197844003</v>
      </c>
      <c r="S23" s="585">
        <f t="shared" si="0"/>
        <v>-0.48215403882279273</v>
      </c>
      <c r="T23" s="585">
        <f t="shared" si="0"/>
        <v>-0.7976778656126482</v>
      </c>
      <c r="U23" s="585">
        <f t="shared" si="0"/>
        <v>-0.77558945908460475</v>
      </c>
      <c r="V23" s="585">
        <f t="shared" si="0"/>
        <v>-0.77061714909885315</v>
      </c>
      <c r="W23" s="585">
        <f t="shared" si="0"/>
        <v>-0.62280306444344302</v>
      </c>
      <c r="X23" s="523"/>
    </row>
    <row r="24" spans="1:24" ht="26.25" thickBot="1" x14ac:dyDescent="0.3">
      <c r="A24" s="583" t="s">
        <v>953</v>
      </c>
      <c r="B24" s="582" t="s">
        <v>952</v>
      </c>
      <c r="C24" s="581">
        <v>717</v>
      </c>
      <c r="D24" s="581">
        <v>56700</v>
      </c>
      <c r="E24" s="581"/>
      <c r="F24" s="581">
        <v>10.7</v>
      </c>
      <c r="G24" s="581">
        <v>12.4</v>
      </c>
      <c r="H24" s="581">
        <v>9</v>
      </c>
      <c r="I24" s="581">
        <v>0.38</v>
      </c>
      <c r="J24" s="581">
        <v>0.26</v>
      </c>
      <c r="M24" s="563" t="s">
        <v>919</v>
      </c>
      <c r="N24" s="584">
        <f t="shared" ref="N24:W24" si="1">(1+N23)^(1/($M$41-$M$33))-1</f>
        <v>2.8332928039942473E-4</v>
      </c>
      <c r="O24" s="584">
        <f t="shared" si="1"/>
        <v>1.0515547190541596E-3</v>
      </c>
      <c r="P24" s="584">
        <f t="shared" si="1"/>
        <v>-6.4579072262446191E-3</v>
      </c>
      <c r="Q24" s="584">
        <f t="shared" si="1"/>
        <v>-6.1441470544448817E-3</v>
      </c>
      <c r="R24" s="584">
        <f t="shared" si="1"/>
        <v>-1.6762198917499527E-2</v>
      </c>
      <c r="S24" s="584">
        <f t="shared" si="1"/>
        <v>-1.6317342346664487E-2</v>
      </c>
      <c r="T24" s="584">
        <f t="shared" si="1"/>
        <v>-3.915997700542817E-2</v>
      </c>
      <c r="U24" s="584">
        <f t="shared" si="1"/>
        <v>-3.6667790657088695E-2</v>
      </c>
      <c r="V24" s="584">
        <f t="shared" si="1"/>
        <v>-3.6139853205007122E-2</v>
      </c>
      <c r="W24" s="584">
        <f t="shared" si="1"/>
        <v>-2.4080032370702775E-2</v>
      </c>
    </row>
    <row r="25" spans="1:24" ht="26.25" thickBot="1" x14ac:dyDescent="0.3">
      <c r="A25" s="583" t="s">
        <v>951</v>
      </c>
      <c r="B25" s="582" t="s">
        <v>948</v>
      </c>
      <c r="C25" s="581">
        <v>619</v>
      </c>
      <c r="D25" s="581" t="s">
        <v>950</v>
      </c>
      <c r="E25" s="581"/>
      <c r="F25" s="581">
        <v>11.2</v>
      </c>
      <c r="G25" s="581">
        <v>13.3</v>
      </c>
      <c r="H25" s="581">
        <v>9.1999999999999993</v>
      </c>
      <c r="I25" s="581">
        <v>0.44</v>
      </c>
      <c r="J25" s="581">
        <v>0.32</v>
      </c>
    </row>
    <row r="26" spans="1:24" ht="26.25" thickBot="1" x14ac:dyDescent="0.3">
      <c r="A26" s="583" t="s">
        <v>949</v>
      </c>
      <c r="B26" s="582" t="s">
        <v>948</v>
      </c>
      <c r="C26" s="581">
        <v>365</v>
      </c>
      <c r="D26" s="581" t="s">
        <v>947</v>
      </c>
      <c r="E26" s="581"/>
      <c r="F26" s="581">
        <v>15.2</v>
      </c>
      <c r="G26" s="581">
        <v>17.7</v>
      </c>
      <c r="H26" s="581">
        <v>11.9</v>
      </c>
      <c r="I26" s="581">
        <v>0.5</v>
      </c>
      <c r="J26" s="581">
        <v>0.79</v>
      </c>
    </row>
    <row r="27" spans="1:24" ht="25.5" x14ac:dyDescent="0.25">
      <c r="A27" s="580" t="s">
        <v>946</v>
      </c>
      <c r="M27" s="546" t="s">
        <v>945</v>
      </c>
      <c r="N27" s="546"/>
      <c r="O27" s="546"/>
      <c r="P27" s="546"/>
      <c r="Q27" s="546"/>
      <c r="R27" s="546"/>
      <c r="S27" s="546"/>
      <c r="T27" s="546"/>
      <c r="U27" s="546"/>
      <c r="V27" s="546"/>
      <c r="W27" s="546"/>
      <c r="X27" s="546"/>
    </row>
    <row r="28" spans="1:24" x14ac:dyDescent="0.25">
      <c r="M28" s="546" t="s">
        <v>944</v>
      </c>
      <c r="N28" s="546"/>
      <c r="O28" s="546"/>
      <c r="P28" s="546"/>
      <c r="Q28" s="546"/>
      <c r="R28" s="546"/>
      <c r="S28" s="546"/>
      <c r="T28" s="546"/>
      <c r="U28" s="546"/>
      <c r="V28" s="546"/>
      <c r="W28" s="546"/>
      <c r="X28" s="546"/>
    </row>
    <row r="29" spans="1:24" ht="15.75" thickBot="1" x14ac:dyDescent="0.3">
      <c r="M29" s="579" t="s">
        <v>943</v>
      </c>
      <c r="N29" s="578"/>
      <c r="O29" s="578"/>
      <c r="P29" s="578"/>
      <c r="Q29" s="578"/>
      <c r="R29" s="578"/>
      <c r="S29" s="578"/>
      <c r="T29" s="578"/>
      <c r="U29" s="578"/>
      <c r="V29" s="578"/>
      <c r="W29" s="577"/>
    </row>
    <row r="30" spans="1:24" ht="30.75" thickBot="1" x14ac:dyDescent="0.3">
      <c r="A30" s="576" t="s">
        <v>942</v>
      </c>
      <c r="B30" s="575" t="s">
        <v>480</v>
      </c>
      <c r="C30" s="574" t="s">
        <v>941</v>
      </c>
      <c r="E30" s="523">
        <v>55</v>
      </c>
      <c r="F30" s="523" t="s">
        <v>940</v>
      </c>
      <c r="G30" s="523">
        <f>1/E30*100</f>
        <v>1.8181818181818181</v>
      </c>
      <c r="H30" s="523" t="s">
        <v>926</v>
      </c>
      <c r="M30" s="553" t="s">
        <v>939</v>
      </c>
      <c r="N30" s="553" t="s">
        <v>938</v>
      </c>
      <c r="O30" s="553" t="s">
        <v>937</v>
      </c>
      <c r="P30" s="553" t="s">
        <v>936</v>
      </c>
      <c r="Q30" s="573" t="s">
        <v>935</v>
      </c>
      <c r="R30" s="553" t="s">
        <v>934</v>
      </c>
      <c r="S30" s="553" t="s">
        <v>933</v>
      </c>
      <c r="T30" s="553" t="s">
        <v>932</v>
      </c>
      <c r="U30" s="553" t="s">
        <v>931</v>
      </c>
      <c r="V30" s="553" t="s">
        <v>930</v>
      </c>
      <c r="W30" s="553" t="s">
        <v>929</v>
      </c>
    </row>
    <row r="31" spans="1:24" ht="15.75" thickBot="1" x14ac:dyDescent="0.3">
      <c r="A31" s="570" t="s">
        <v>928</v>
      </c>
      <c r="B31" s="569">
        <v>-0.42</v>
      </c>
      <c r="C31" s="569">
        <v>-0.15</v>
      </c>
      <c r="E31" s="523">
        <v>20</v>
      </c>
      <c r="G31" s="523">
        <f>1/E31*100</f>
        <v>5</v>
      </c>
      <c r="H31" s="523" t="s">
        <v>926</v>
      </c>
      <c r="I31" s="572">
        <f>(G30-G31)/G31</f>
        <v>-0.63636363636363635</v>
      </c>
      <c r="M31" s="567">
        <v>2000</v>
      </c>
      <c r="N31" s="565">
        <v>0.33</v>
      </c>
      <c r="O31" s="565">
        <v>0.4</v>
      </c>
      <c r="P31" s="553"/>
      <c r="Q31" s="553"/>
      <c r="R31" s="553"/>
      <c r="S31" s="553"/>
      <c r="T31" s="553"/>
      <c r="U31" s="553"/>
      <c r="V31" s="553"/>
      <c r="W31" s="553"/>
    </row>
    <row r="32" spans="1:24" ht="15.75" thickBot="1" x14ac:dyDescent="0.3">
      <c r="A32" s="570" t="s">
        <v>927</v>
      </c>
      <c r="B32" s="569">
        <v>-0.51</v>
      </c>
      <c r="C32" s="569">
        <v>-0.46</v>
      </c>
      <c r="E32" s="523">
        <v>30</v>
      </c>
      <c r="G32" s="523">
        <f>1/E32*100</f>
        <v>3.3333333333333335</v>
      </c>
      <c r="H32" s="523" t="s">
        <v>926</v>
      </c>
      <c r="I32" s="572">
        <f>(G30-G32)/G32</f>
        <v>-0.45454545454545459</v>
      </c>
      <c r="M32" s="567">
        <v>2005</v>
      </c>
      <c r="N32" s="565">
        <v>0.34</v>
      </c>
      <c r="O32" s="565">
        <v>0.38</v>
      </c>
      <c r="P32" s="571"/>
      <c r="Q32" s="553"/>
      <c r="R32" s="553"/>
      <c r="S32" s="553"/>
      <c r="T32" s="553"/>
      <c r="U32" s="553"/>
      <c r="V32" s="553"/>
      <c r="W32" s="553"/>
    </row>
    <row r="33" spans="1:25" ht="15.75" thickBot="1" x14ac:dyDescent="0.3">
      <c r="A33" s="570" t="s">
        <v>925</v>
      </c>
      <c r="B33" s="569">
        <v>-0.49</v>
      </c>
      <c r="C33" s="569">
        <v>-0.37</v>
      </c>
      <c r="M33" s="567">
        <v>2010</v>
      </c>
      <c r="N33" s="565">
        <v>0.4</v>
      </c>
      <c r="O33" s="565">
        <v>0.41</v>
      </c>
      <c r="P33" s="566">
        <v>0.61</v>
      </c>
      <c r="Q33" s="565">
        <v>0.65</v>
      </c>
      <c r="R33" s="565">
        <v>0.88</v>
      </c>
      <c r="S33" s="565">
        <v>0.93</v>
      </c>
      <c r="T33" s="565">
        <v>0.7</v>
      </c>
      <c r="U33" s="565">
        <v>0.78</v>
      </c>
      <c r="V33" s="565">
        <v>1.04</v>
      </c>
      <c r="W33" s="565">
        <v>1.45</v>
      </c>
    </row>
    <row r="34" spans="1:25" ht="15.75" thickBot="1" x14ac:dyDescent="0.3">
      <c r="A34" s="570" t="s">
        <v>924</v>
      </c>
      <c r="B34" s="569">
        <v>-0.6</v>
      </c>
      <c r="C34" s="569">
        <v>-0.39</v>
      </c>
      <c r="M34" s="567">
        <v>2015</v>
      </c>
      <c r="N34" s="565">
        <v>0.45</v>
      </c>
      <c r="O34" s="565">
        <v>0.54</v>
      </c>
      <c r="P34" s="566">
        <v>0.73</v>
      </c>
      <c r="Q34" s="565">
        <v>0.77</v>
      </c>
      <c r="R34" s="565">
        <v>1.04</v>
      </c>
      <c r="S34" s="565">
        <v>1.1000000000000001</v>
      </c>
      <c r="T34" s="565">
        <v>0.8</v>
      </c>
      <c r="U34" s="565">
        <v>0.89</v>
      </c>
      <c r="V34" s="565">
        <v>1.18</v>
      </c>
      <c r="W34" s="565">
        <v>1.57</v>
      </c>
    </row>
    <row r="35" spans="1:25" ht="15.75" thickBot="1" x14ac:dyDescent="0.3">
      <c r="A35" s="570" t="s">
        <v>923</v>
      </c>
      <c r="B35" s="569">
        <v>-0.28999999999999998</v>
      </c>
      <c r="C35" s="569">
        <v>-0.54</v>
      </c>
      <c r="M35" s="567">
        <v>2020</v>
      </c>
      <c r="N35" s="565">
        <v>0.45</v>
      </c>
      <c r="O35" s="565">
        <v>0.54</v>
      </c>
      <c r="P35" s="566">
        <v>0.75</v>
      </c>
      <c r="Q35" s="565">
        <v>0.8</v>
      </c>
      <c r="R35" s="565">
        <v>1.08</v>
      </c>
      <c r="S35" s="565">
        <v>1.1399999999999999</v>
      </c>
      <c r="T35" s="565">
        <v>0.83</v>
      </c>
      <c r="U35" s="565">
        <v>0.93</v>
      </c>
      <c r="V35" s="565">
        <v>1.22</v>
      </c>
      <c r="W35" s="565">
        <v>1.62</v>
      </c>
    </row>
    <row r="36" spans="1:25" ht="15.75" thickBot="1" x14ac:dyDescent="0.3">
      <c r="A36" s="570" t="s">
        <v>922</v>
      </c>
      <c r="B36" s="569">
        <v>0.7</v>
      </c>
      <c r="C36" s="569">
        <v>2.16</v>
      </c>
      <c r="M36" s="567">
        <v>2025</v>
      </c>
      <c r="N36" s="565">
        <v>0.45</v>
      </c>
      <c r="O36" s="565">
        <v>0.54</v>
      </c>
      <c r="P36" s="566">
        <v>0.78</v>
      </c>
      <c r="Q36" s="565">
        <v>0.82</v>
      </c>
      <c r="R36" s="565">
        <v>1.1200000000000001</v>
      </c>
      <c r="S36" s="565">
        <v>1.18</v>
      </c>
      <c r="T36" s="565">
        <v>0.87</v>
      </c>
      <c r="U36" s="565">
        <v>0.97</v>
      </c>
      <c r="V36" s="565">
        <v>1.27</v>
      </c>
      <c r="W36" s="565">
        <v>1.68</v>
      </c>
    </row>
    <row r="37" spans="1:25" x14ac:dyDescent="0.25">
      <c r="M37" s="567">
        <v>2030</v>
      </c>
      <c r="N37" s="565">
        <v>0.45</v>
      </c>
      <c r="O37" s="565">
        <v>0.54</v>
      </c>
      <c r="P37" s="566">
        <v>0.8</v>
      </c>
      <c r="Q37" s="565">
        <v>0.85</v>
      </c>
      <c r="R37" s="565">
        <v>1.1599999999999999</v>
      </c>
      <c r="S37" s="565">
        <v>1.22</v>
      </c>
      <c r="T37" s="565">
        <v>0.91</v>
      </c>
      <c r="U37" s="565">
        <v>1.01</v>
      </c>
      <c r="V37" s="565">
        <v>1.32</v>
      </c>
      <c r="W37" s="565">
        <v>1.75</v>
      </c>
    </row>
    <row r="38" spans="1:25" x14ac:dyDescent="0.25">
      <c r="M38" s="567">
        <v>2035</v>
      </c>
      <c r="N38" s="565">
        <v>0.46</v>
      </c>
      <c r="O38" s="565">
        <v>0.55000000000000004</v>
      </c>
      <c r="P38" s="566">
        <v>0.82</v>
      </c>
      <c r="Q38" s="565">
        <v>0.87</v>
      </c>
      <c r="R38" s="565">
        <v>1.18</v>
      </c>
      <c r="S38" s="565">
        <v>1.25</v>
      </c>
      <c r="T38" s="565">
        <v>0.94</v>
      </c>
      <c r="U38" s="565">
        <v>1.05</v>
      </c>
      <c r="V38" s="565">
        <v>1.36</v>
      </c>
      <c r="W38" s="565">
        <v>1.79</v>
      </c>
    </row>
    <row r="39" spans="1:25" x14ac:dyDescent="0.25">
      <c r="A39" s="568" t="s">
        <v>853</v>
      </c>
      <c r="B39" s="523">
        <f>(1/AVERAGE(F16:F17))/(1/AVERAGE(F19:F20,F23))</f>
        <v>1.9269406392694064</v>
      </c>
      <c r="C39" s="523" t="s">
        <v>918</v>
      </c>
      <c r="M39" s="567">
        <v>2040</v>
      </c>
      <c r="N39" s="565">
        <v>0.47</v>
      </c>
      <c r="O39" s="565">
        <v>0.56000000000000005</v>
      </c>
      <c r="P39" s="566">
        <v>0.84</v>
      </c>
      <c r="Q39" s="565">
        <v>0.89</v>
      </c>
      <c r="R39" s="565">
        <v>1.21</v>
      </c>
      <c r="S39" s="565">
        <v>1.28</v>
      </c>
      <c r="T39" s="565">
        <v>0.98</v>
      </c>
      <c r="U39" s="565">
        <v>1.0900000000000001</v>
      </c>
      <c r="V39" s="565">
        <v>1.42</v>
      </c>
      <c r="W39" s="565">
        <v>1.84</v>
      </c>
    </row>
    <row r="40" spans="1:25" x14ac:dyDescent="0.25">
      <c r="A40" s="568" t="s">
        <v>854</v>
      </c>
      <c r="B40" s="523">
        <f>(1/AVERAGE(F12,F14))/(1/AVERAGE(F13,F15))</f>
        <v>3.3414871417173018</v>
      </c>
      <c r="C40" s="523" t="s">
        <v>918</v>
      </c>
      <c r="M40" s="567">
        <v>2045</v>
      </c>
      <c r="N40" s="565">
        <v>0.48</v>
      </c>
      <c r="O40" s="565">
        <v>0.57999999999999996</v>
      </c>
      <c r="P40" s="566">
        <v>0.86</v>
      </c>
      <c r="Q40" s="565">
        <v>0.91</v>
      </c>
      <c r="R40" s="565">
        <v>1.24</v>
      </c>
      <c r="S40" s="565">
        <v>1.31</v>
      </c>
      <c r="T40" s="565">
        <v>1.02</v>
      </c>
      <c r="U40" s="565">
        <v>1.1399999999999999</v>
      </c>
      <c r="V40" s="565">
        <v>1.47</v>
      </c>
      <c r="W40" s="565">
        <v>1.89</v>
      </c>
    </row>
    <row r="41" spans="1:25" x14ac:dyDescent="0.25">
      <c r="M41" s="567">
        <v>2050</v>
      </c>
      <c r="N41" s="565">
        <v>0.48</v>
      </c>
      <c r="O41" s="565">
        <v>0.57999999999999996</v>
      </c>
      <c r="P41" s="566">
        <v>0.86</v>
      </c>
      <c r="Q41" s="565">
        <v>0.91</v>
      </c>
      <c r="R41" s="565">
        <v>1.24</v>
      </c>
      <c r="S41" s="565">
        <v>1.31</v>
      </c>
      <c r="T41" s="565">
        <v>1.02</v>
      </c>
      <c r="U41" s="565">
        <v>1.1399999999999999</v>
      </c>
      <c r="V41" s="565">
        <v>1.47</v>
      </c>
      <c r="W41" s="565">
        <v>1.89</v>
      </c>
    </row>
    <row r="42" spans="1:25" x14ac:dyDescent="0.25">
      <c r="A42" s="532" t="s">
        <v>921</v>
      </c>
      <c r="M42" s="563" t="s">
        <v>920</v>
      </c>
      <c r="N42" s="564">
        <f t="shared" ref="N42:W42" si="2">N41/N33-1</f>
        <v>0.19999999999999996</v>
      </c>
      <c r="O42" s="564">
        <f t="shared" si="2"/>
        <v>0.41463414634146334</v>
      </c>
      <c r="P42" s="564">
        <f t="shared" si="2"/>
        <v>0.4098360655737705</v>
      </c>
      <c r="Q42" s="564">
        <f t="shared" si="2"/>
        <v>0.39999999999999991</v>
      </c>
      <c r="R42" s="564">
        <f t="shared" si="2"/>
        <v>0.40909090909090917</v>
      </c>
      <c r="S42" s="564">
        <f t="shared" si="2"/>
        <v>0.40860215053763449</v>
      </c>
      <c r="T42" s="564">
        <f t="shared" si="2"/>
        <v>0.4571428571428573</v>
      </c>
      <c r="U42" s="564">
        <f t="shared" si="2"/>
        <v>0.46153846153846145</v>
      </c>
      <c r="V42" s="564">
        <f t="shared" si="2"/>
        <v>0.41346153846153832</v>
      </c>
      <c r="W42" s="564">
        <f t="shared" si="2"/>
        <v>0.30344827586206891</v>
      </c>
    </row>
    <row r="43" spans="1:25" x14ac:dyDescent="0.25">
      <c r="A43" s="531"/>
      <c r="B43" s="555">
        <v>2006</v>
      </c>
      <c r="C43" s="555">
        <v>2020</v>
      </c>
      <c r="D43" s="555">
        <v>2030</v>
      </c>
      <c r="E43" s="555">
        <v>2040</v>
      </c>
      <c r="F43" s="555">
        <v>2050</v>
      </c>
      <c r="M43" s="563" t="s">
        <v>919</v>
      </c>
      <c r="N43" s="562">
        <f t="shared" ref="N43:W43" si="3">(1+N42)^(1/($M$41-$M$33))-1</f>
        <v>4.568442580003218E-3</v>
      </c>
      <c r="O43" s="562">
        <f t="shared" si="3"/>
        <v>8.7094823464708426E-3</v>
      </c>
      <c r="P43" s="562">
        <f t="shared" si="3"/>
        <v>8.6238084267336035E-3</v>
      </c>
      <c r="Q43" s="562">
        <f t="shared" si="3"/>
        <v>8.4472845649754547E-3</v>
      </c>
      <c r="R43" s="562">
        <f t="shared" si="3"/>
        <v>8.610477509915615E-3</v>
      </c>
      <c r="S43" s="562">
        <f t="shared" si="3"/>
        <v>8.6017298419729382E-3</v>
      </c>
      <c r="T43" s="562">
        <f t="shared" si="3"/>
        <v>9.4563708677850578E-3</v>
      </c>
      <c r="U43" s="562">
        <f t="shared" si="3"/>
        <v>9.5323870682146872E-3</v>
      </c>
      <c r="V43" s="562">
        <f t="shared" si="3"/>
        <v>8.6885705983110739E-3</v>
      </c>
      <c r="W43" s="562">
        <f t="shared" si="3"/>
        <v>6.6473278770484701E-3</v>
      </c>
    </row>
    <row r="44" spans="1:25" ht="15" customHeight="1" x14ac:dyDescent="0.25">
      <c r="A44" s="528" t="s">
        <v>857</v>
      </c>
      <c r="B44" s="561">
        <v>3.57</v>
      </c>
      <c r="C44" s="561">
        <v>3.57</v>
      </c>
      <c r="D44" s="561">
        <v>3.57</v>
      </c>
      <c r="E44" s="561">
        <v>3.57</v>
      </c>
      <c r="F44" s="561">
        <v>3.57</v>
      </c>
      <c r="G44" s="523" t="s">
        <v>918</v>
      </c>
    </row>
    <row r="45" spans="1:25" x14ac:dyDescent="0.25">
      <c r="A45" s="528" t="s">
        <v>850</v>
      </c>
      <c r="B45" s="561">
        <v>3.6249999999999996</v>
      </c>
      <c r="C45" s="561">
        <v>3.6</v>
      </c>
      <c r="D45" s="561">
        <v>3.8888888888888888</v>
      </c>
      <c r="E45" s="561">
        <v>3.9148936170212769</v>
      </c>
      <c r="F45" s="561">
        <v>3.9375</v>
      </c>
      <c r="G45" s="523" t="s">
        <v>902</v>
      </c>
      <c r="M45" s="546" t="s">
        <v>917</v>
      </c>
      <c r="N45" s="546"/>
      <c r="O45" s="546"/>
      <c r="P45" s="546"/>
      <c r="Q45" s="546"/>
      <c r="R45" s="546"/>
      <c r="S45" s="546"/>
      <c r="T45" s="546"/>
      <c r="U45" s="546"/>
      <c r="V45" s="546"/>
      <c r="W45" s="546"/>
      <c r="X45" s="546"/>
      <c r="Y45" s="560"/>
    </row>
    <row r="46" spans="1:25" ht="51" x14ac:dyDescent="0.25">
      <c r="M46" s="559" t="s">
        <v>916</v>
      </c>
      <c r="N46" s="559"/>
      <c r="O46" s="559"/>
      <c r="P46" s="559"/>
      <c r="Q46" s="559"/>
      <c r="R46" s="559"/>
      <c r="S46" s="559"/>
      <c r="T46" s="559"/>
      <c r="U46" s="559"/>
      <c r="V46" s="559"/>
      <c r="W46" s="559"/>
      <c r="X46" s="559"/>
      <c r="Y46" s="558"/>
    </row>
    <row r="47" spans="1:25" ht="25.5" x14ac:dyDescent="0.25">
      <c r="A47" s="532" t="s">
        <v>915</v>
      </c>
      <c r="M47" s="557"/>
      <c r="N47" s="553" t="s">
        <v>914</v>
      </c>
      <c r="O47" s="553" t="s">
        <v>913</v>
      </c>
      <c r="P47" s="553" t="s">
        <v>912</v>
      </c>
      <c r="Q47" s="553" t="s">
        <v>911</v>
      </c>
      <c r="R47" s="553" t="s">
        <v>910</v>
      </c>
      <c r="S47" s="553" t="s">
        <v>909</v>
      </c>
      <c r="T47" s="553" t="s">
        <v>908</v>
      </c>
      <c r="U47" s="556" t="s">
        <v>907</v>
      </c>
      <c r="V47" s="553" t="s">
        <v>906</v>
      </c>
      <c r="W47" s="556" t="s">
        <v>905</v>
      </c>
    </row>
    <row r="48" spans="1:25" x14ac:dyDescent="0.25">
      <c r="A48" s="531"/>
      <c r="B48" s="555">
        <v>2006</v>
      </c>
      <c r="C48" s="555">
        <v>2010</v>
      </c>
      <c r="D48" s="555">
        <v>2020</v>
      </c>
      <c r="E48" s="555">
        <v>2030</v>
      </c>
      <c r="F48" s="555">
        <v>2040</v>
      </c>
      <c r="G48" s="555">
        <v>2050</v>
      </c>
      <c r="M48" s="548">
        <v>2000</v>
      </c>
      <c r="N48" s="547">
        <v>84</v>
      </c>
      <c r="O48" s="547">
        <v>85</v>
      </c>
      <c r="P48" s="547">
        <v>98</v>
      </c>
      <c r="Q48" s="547">
        <v>99</v>
      </c>
      <c r="R48" s="553"/>
      <c r="S48" s="553"/>
      <c r="T48" s="553"/>
      <c r="U48" s="553"/>
      <c r="V48" s="553"/>
      <c r="W48" s="553"/>
    </row>
    <row r="49" spans="1:23" x14ac:dyDescent="0.25">
      <c r="A49" s="528" t="s">
        <v>904</v>
      </c>
      <c r="B49" s="554">
        <f>55/20</f>
        <v>2.75</v>
      </c>
      <c r="C49" s="552"/>
      <c r="D49" s="552"/>
      <c r="E49" s="552"/>
      <c r="F49" s="552"/>
      <c r="G49" s="552"/>
      <c r="H49" s="523" t="s">
        <v>903</v>
      </c>
      <c r="M49" s="548">
        <v>2005</v>
      </c>
      <c r="N49" s="547">
        <v>84</v>
      </c>
      <c r="O49" s="547">
        <v>85</v>
      </c>
      <c r="P49" s="547">
        <v>98</v>
      </c>
      <c r="Q49" s="547">
        <v>99</v>
      </c>
      <c r="R49" s="553"/>
      <c r="S49" s="553"/>
      <c r="T49" s="553"/>
      <c r="U49" s="553"/>
      <c r="V49" s="553"/>
      <c r="W49" s="553"/>
    </row>
    <row r="50" spans="1:23" x14ac:dyDescent="0.25">
      <c r="A50" s="528" t="s">
        <v>850</v>
      </c>
      <c r="B50" s="552"/>
      <c r="C50" s="551">
        <f>T33/N33</f>
        <v>1.7499999999999998</v>
      </c>
      <c r="D50" s="551">
        <f>T35/N35</f>
        <v>1.8444444444444443</v>
      </c>
      <c r="E50" s="551">
        <f>U37/N37</f>
        <v>2.2444444444444445</v>
      </c>
      <c r="F50" s="551">
        <f>T39/N39</f>
        <v>2.0851063829787235</v>
      </c>
      <c r="G50" s="551">
        <f>T41/N41</f>
        <v>2.125</v>
      </c>
      <c r="H50" s="523" t="s">
        <v>902</v>
      </c>
      <c r="M50" s="548">
        <v>2010</v>
      </c>
      <c r="N50" s="547">
        <v>84</v>
      </c>
      <c r="O50" s="547">
        <v>85</v>
      </c>
      <c r="P50" s="547">
        <v>98</v>
      </c>
      <c r="Q50" s="547">
        <v>99</v>
      </c>
      <c r="R50" s="547">
        <v>136</v>
      </c>
      <c r="S50" s="547">
        <v>128</v>
      </c>
      <c r="T50" s="547">
        <v>272</v>
      </c>
      <c r="U50" s="547">
        <v>246</v>
      </c>
      <c r="V50" s="547">
        <v>249</v>
      </c>
      <c r="W50" s="547">
        <v>165</v>
      </c>
    </row>
    <row r="51" spans="1:23" x14ac:dyDescent="0.25">
      <c r="A51" s="550" t="s">
        <v>901</v>
      </c>
      <c r="B51" s="550"/>
      <c r="C51" s="550"/>
      <c r="D51" s="549">
        <f>(D50/C50)^(1/(D48-C48))-1</f>
        <v>5.2700712368345393E-3</v>
      </c>
      <c r="E51" s="549">
        <f>(E50/D50)^(1/(E48-D48))-1</f>
        <v>1.9821886433460056E-2</v>
      </c>
      <c r="F51" s="549">
        <f>(F50/E50)^(1/(F48-E48))-1</f>
        <v>-7.3367685543713757E-3</v>
      </c>
      <c r="G51" s="549">
        <f>(G50/F50)^(1/(G48-F48))-1</f>
        <v>1.8969895540204007E-3</v>
      </c>
      <c r="M51" s="548">
        <v>2015</v>
      </c>
      <c r="N51" s="547">
        <v>83</v>
      </c>
      <c r="O51" s="547">
        <v>86</v>
      </c>
      <c r="P51" s="547">
        <v>88</v>
      </c>
      <c r="Q51" s="547">
        <v>89</v>
      </c>
      <c r="R51" s="547">
        <v>104</v>
      </c>
      <c r="S51" s="547">
        <v>97</v>
      </c>
      <c r="T51" s="547">
        <v>121</v>
      </c>
      <c r="U51" s="547">
        <v>116</v>
      </c>
      <c r="V51" s="547">
        <v>124</v>
      </c>
      <c r="W51" s="547">
        <v>108</v>
      </c>
    </row>
    <row r="52" spans="1:23" x14ac:dyDescent="0.25">
      <c r="M52" s="548">
        <v>2020</v>
      </c>
      <c r="N52" s="547">
        <v>84</v>
      </c>
      <c r="O52" s="547">
        <v>86</v>
      </c>
      <c r="P52" s="547">
        <v>86</v>
      </c>
      <c r="Q52" s="547">
        <v>87</v>
      </c>
      <c r="R52" s="547">
        <v>94</v>
      </c>
      <c r="S52" s="547">
        <v>87</v>
      </c>
      <c r="T52" s="547">
        <v>95</v>
      </c>
      <c r="U52" s="547">
        <v>94</v>
      </c>
      <c r="V52" s="547">
        <v>97</v>
      </c>
      <c r="W52" s="547">
        <v>95</v>
      </c>
    </row>
    <row r="53" spans="1:23" x14ac:dyDescent="0.25">
      <c r="M53" s="548">
        <v>2025</v>
      </c>
      <c r="N53" s="547">
        <v>84</v>
      </c>
      <c r="O53" s="547">
        <v>86</v>
      </c>
      <c r="P53" s="547">
        <v>86</v>
      </c>
      <c r="Q53" s="547">
        <v>87</v>
      </c>
      <c r="R53" s="547">
        <v>93</v>
      </c>
      <c r="S53" s="547">
        <v>86</v>
      </c>
      <c r="T53" s="547">
        <v>93</v>
      </c>
      <c r="U53" s="547">
        <v>92</v>
      </c>
      <c r="V53" s="547">
        <v>95</v>
      </c>
      <c r="W53" s="547">
        <v>93</v>
      </c>
    </row>
    <row r="54" spans="1:23" x14ac:dyDescent="0.25">
      <c r="M54" s="548">
        <v>2030</v>
      </c>
      <c r="N54" s="547">
        <v>85</v>
      </c>
      <c r="O54" s="547">
        <v>87</v>
      </c>
      <c r="P54" s="547">
        <v>86</v>
      </c>
      <c r="Q54" s="547">
        <v>88</v>
      </c>
      <c r="R54" s="547">
        <v>93</v>
      </c>
      <c r="S54" s="547">
        <v>86</v>
      </c>
      <c r="T54" s="547">
        <v>91</v>
      </c>
      <c r="U54" s="547">
        <v>90</v>
      </c>
      <c r="V54" s="547">
        <v>92</v>
      </c>
      <c r="W54" s="547">
        <v>91</v>
      </c>
    </row>
    <row r="55" spans="1:23" x14ac:dyDescent="0.25">
      <c r="M55" s="548">
        <v>2035</v>
      </c>
      <c r="N55" s="547">
        <v>85</v>
      </c>
      <c r="O55" s="547">
        <v>87</v>
      </c>
      <c r="P55" s="547">
        <v>86</v>
      </c>
      <c r="Q55" s="547">
        <v>87</v>
      </c>
      <c r="R55" s="547">
        <v>92</v>
      </c>
      <c r="S55" s="547">
        <v>85</v>
      </c>
      <c r="T55" s="547">
        <v>89</v>
      </c>
      <c r="U55" s="547">
        <v>88</v>
      </c>
      <c r="V55" s="547">
        <v>90</v>
      </c>
      <c r="W55" s="547">
        <v>89</v>
      </c>
    </row>
    <row r="56" spans="1:23" x14ac:dyDescent="0.25">
      <c r="M56" s="548">
        <v>2040</v>
      </c>
      <c r="N56" s="547">
        <v>85</v>
      </c>
      <c r="O56" s="547">
        <v>87</v>
      </c>
      <c r="P56" s="547">
        <v>86</v>
      </c>
      <c r="Q56" s="547">
        <v>87</v>
      </c>
      <c r="R56" s="547">
        <v>91</v>
      </c>
      <c r="S56" s="547">
        <v>84</v>
      </c>
      <c r="T56" s="547">
        <v>87</v>
      </c>
      <c r="U56" s="547">
        <v>86</v>
      </c>
      <c r="V56" s="547">
        <v>88</v>
      </c>
      <c r="W56" s="547">
        <v>87</v>
      </c>
    </row>
    <row r="57" spans="1:23" x14ac:dyDescent="0.25">
      <c r="M57" s="548">
        <v>2045</v>
      </c>
      <c r="N57" s="547">
        <v>85</v>
      </c>
      <c r="O57" s="547">
        <v>87</v>
      </c>
      <c r="P57" s="547">
        <v>85</v>
      </c>
      <c r="Q57" s="547">
        <v>87</v>
      </c>
      <c r="R57" s="547">
        <v>91</v>
      </c>
      <c r="S57" s="547">
        <v>84</v>
      </c>
      <c r="T57" s="547">
        <v>84</v>
      </c>
      <c r="U57" s="547">
        <v>84</v>
      </c>
      <c r="V57" s="547">
        <v>86</v>
      </c>
      <c r="W57" s="547">
        <v>85</v>
      </c>
    </row>
    <row r="58" spans="1:23" x14ac:dyDescent="0.25">
      <c r="M58" s="548">
        <v>2050</v>
      </c>
      <c r="N58" s="547">
        <v>85</v>
      </c>
      <c r="O58" s="547">
        <v>87</v>
      </c>
      <c r="P58" s="547">
        <v>85</v>
      </c>
      <c r="Q58" s="547">
        <v>87</v>
      </c>
      <c r="R58" s="547">
        <v>90</v>
      </c>
      <c r="S58" s="547">
        <v>83</v>
      </c>
      <c r="T58" s="547">
        <v>82</v>
      </c>
      <c r="U58" s="547">
        <v>82</v>
      </c>
      <c r="V58" s="547">
        <v>84</v>
      </c>
      <c r="W58" s="547">
        <v>83</v>
      </c>
    </row>
    <row r="60" spans="1:23" x14ac:dyDescent="0.25">
      <c r="M60" s="525" t="s">
        <v>900</v>
      </c>
    </row>
    <row r="61" spans="1:23" x14ac:dyDescent="0.25">
      <c r="M61" s="525" t="s">
        <v>899</v>
      </c>
    </row>
    <row r="62" spans="1:23" x14ac:dyDescent="0.25">
      <c r="M62" s="525" t="s">
        <v>898</v>
      </c>
    </row>
    <row r="63" spans="1:23" x14ac:dyDescent="0.25">
      <c r="M63" s="525" t="s">
        <v>897</v>
      </c>
    </row>
    <row r="65" spans="1:19" x14ac:dyDescent="0.25">
      <c r="M65" s="546" t="s">
        <v>896</v>
      </c>
      <c r="N65" s="546"/>
      <c r="O65" s="545"/>
      <c r="P65" s="545"/>
      <c r="Q65" s="545"/>
      <c r="R65" s="545"/>
      <c r="S65" s="545"/>
    </row>
    <row r="66" spans="1:19" ht="38.25" x14ac:dyDescent="0.25">
      <c r="M66" s="539" t="s">
        <v>895</v>
      </c>
      <c r="N66" s="539" t="s">
        <v>894</v>
      </c>
      <c r="O66" s="543" t="s">
        <v>893</v>
      </c>
      <c r="P66" s="543" t="s">
        <v>892</v>
      </c>
      <c r="Q66" s="544" t="s">
        <v>891</v>
      </c>
      <c r="R66" s="543" t="s">
        <v>890</v>
      </c>
      <c r="S66" s="543" t="s">
        <v>889</v>
      </c>
    </row>
    <row r="67" spans="1:19" x14ac:dyDescent="0.25">
      <c r="M67" s="538"/>
      <c r="N67" s="538"/>
      <c r="O67" s="542" t="s">
        <v>887</v>
      </c>
      <c r="P67" s="542" t="s">
        <v>887</v>
      </c>
      <c r="Q67" s="542" t="s">
        <v>888</v>
      </c>
      <c r="R67" s="542" t="s">
        <v>887</v>
      </c>
      <c r="S67" s="542" t="s">
        <v>887</v>
      </c>
    </row>
    <row r="68" spans="1:19" ht="25.5" x14ac:dyDescent="0.25">
      <c r="M68" s="538" t="s">
        <v>886</v>
      </c>
      <c r="N68" s="538" t="s">
        <v>885</v>
      </c>
      <c r="O68" s="540">
        <v>78</v>
      </c>
      <c r="P68" s="540">
        <v>0</v>
      </c>
      <c r="Q68" s="540">
        <v>0</v>
      </c>
      <c r="R68" s="540">
        <v>78</v>
      </c>
      <c r="S68" s="540">
        <v>0</v>
      </c>
    </row>
    <row r="69" spans="1:19" ht="25.5" x14ac:dyDescent="0.25">
      <c r="M69" s="538" t="s">
        <v>884</v>
      </c>
      <c r="N69" s="538" t="s">
        <v>883</v>
      </c>
      <c r="O69" s="540">
        <v>74</v>
      </c>
      <c r="P69" s="540">
        <v>0</v>
      </c>
      <c r="Q69" s="540">
        <v>0</v>
      </c>
      <c r="R69" s="540">
        <v>75</v>
      </c>
      <c r="S69" s="540">
        <v>0</v>
      </c>
    </row>
    <row r="70" spans="1:19" x14ac:dyDescent="0.25">
      <c r="M70" s="538" t="s">
        <v>882</v>
      </c>
      <c r="N70" s="538" t="s">
        <v>881</v>
      </c>
      <c r="O70" s="540">
        <v>75</v>
      </c>
      <c r="P70" s="540">
        <v>20</v>
      </c>
      <c r="Q70" s="540">
        <v>1</v>
      </c>
      <c r="R70" s="540">
        <v>55</v>
      </c>
      <c r="S70" s="540">
        <v>0</v>
      </c>
    </row>
    <row r="71" spans="1:19" x14ac:dyDescent="0.25">
      <c r="M71" s="538" t="s">
        <v>880</v>
      </c>
      <c r="N71" s="538" t="s">
        <v>879</v>
      </c>
      <c r="O71" s="540">
        <v>75</v>
      </c>
      <c r="P71" s="540">
        <v>20</v>
      </c>
      <c r="Q71" s="540">
        <v>1</v>
      </c>
      <c r="R71" s="540">
        <v>55</v>
      </c>
      <c r="S71" s="540">
        <v>0</v>
      </c>
    </row>
    <row r="72" spans="1:19" ht="38.25" x14ac:dyDescent="0.25">
      <c r="M72" s="539" t="s">
        <v>878</v>
      </c>
      <c r="N72" s="538" t="s">
        <v>877</v>
      </c>
      <c r="O72" s="537">
        <v>78</v>
      </c>
      <c r="P72" s="537">
        <v>47</v>
      </c>
      <c r="Q72" s="537">
        <v>8</v>
      </c>
      <c r="R72" s="537">
        <v>58</v>
      </c>
      <c r="S72" s="537">
        <v>0</v>
      </c>
    </row>
    <row r="73" spans="1:19" ht="38.25" x14ac:dyDescent="0.25">
      <c r="M73" s="539" t="s">
        <v>876</v>
      </c>
      <c r="N73" s="538" t="s">
        <v>875</v>
      </c>
      <c r="O73" s="537">
        <v>78</v>
      </c>
      <c r="P73" s="537">
        <v>47</v>
      </c>
      <c r="Q73" s="537">
        <v>8</v>
      </c>
      <c r="R73" s="537">
        <v>58</v>
      </c>
      <c r="S73" s="537">
        <v>0</v>
      </c>
    </row>
    <row r="74" spans="1:19" x14ac:dyDescent="0.25">
      <c r="M74" s="538" t="s">
        <v>874</v>
      </c>
      <c r="N74" s="538" t="s">
        <v>873</v>
      </c>
      <c r="O74" s="540">
        <v>75</v>
      </c>
      <c r="P74" s="540">
        <v>75</v>
      </c>
      <c r="Q74" s="540">
        <v>0</v>
      </c>
      <c r="R74" s="540">
        <v>0</v>
      </c>
      <c r="S74" s="540">
        <v>75</v>
      </c>
    </row>
    <row r="75" spans="1:19" ht="38.25" x14ac:dyDescent="0.25">
      <c r="A75" s="534" t="s">
        <v>579</v>
      </c>
      <c r="B75" s="533"/>
      <c r="C75" s="533"/>
      <c r="D75" s="533"/>
      <c r="E75" s="533"/>
      <c r="F75" s="533"/>
      <c r="G75" s="533"/>
      <c r="H75" s="533"/>
      <c r="I75" s="533"/>
      <c r="J75" s="533"/>
      <c r="K75" s="533"/>
      <c r="M75" s="539" t="s">
        <v>872</v>
      </c>
      <c r="N75" s="538" t="s">
        <v>871</v>
      </c>
      <c r="O75" s="537">
        <v>75</v>
      </c>
      <c r="P75" s="537">
        <v>75</v>
      </c>
      <c r="Q75" s="541">
        <v>1.3</v>
      </c>
      <c r="R75" s="537">
        <v>0</v>
      </c>
      <c r="S75" s="537">
        <v>60</v>
      </c>
    </row>
    <row r="76" spans="1:19" x14ac:dyDescent="0.25">
      <c r="M76" s="538" t="s">
        <v>870</v>
      </c>
      <c r="N76" s="538" t="s">
        <v>869</v>
      </c>
      <c r="O76" s="540">
        <v>77</v>
      </c>
      <c r="P76" s="540">
        <v>77</v>
      </c>
      <c r="Q76" s="540">
        <v>8</v>
      </c>
      <c r="R76" s="540">
        <v>0</v>
      </c>
      <c r="S76" s="540">
        <v>51</v>
      </c>
    </row>
    <row r="77" spans="1:19" ht="25.5" x14ac:dyDescent="0.25">
      <c r="A77" s="532" t="s">
        <v>854</v>
      </c>
      <c r="M77" s="539" t="s">
        <v>868</v>
      </c>
      <c r="N77" s="538" t="s">
        <v>867</v>
      </c>
      <c r="O77" s="537">
        <v>75</v>
      </c>
      <c r="P77" s="537">
        <v>75</v>
      </c>
      <c r="Q77" s="541">
        <v>29.7</v>
      </c>
      <c r="R77" s="537">
        <v>0</v>
      </c>
      <c r="S77" s="537">
        <v>0</v>
      </c>
    </row>
    <row r="78" spans="1:19" x14ac:dyDescent="0.25">
      <c r="A78" s="531"/>
      <c r="B78" s="529">
        <v>2006</v>
      </c>
      <c r="C78" s="529">
        <v>2010</v>
      </c>
      <c r="D78" s="529">
        <v>2020</v>
      </c>
      <c r="E78" s="529">
        <v>2030</v>
      </c>
      <c r="F78" s="529">
        <v>2040</v>
      </c>
      <c r="G78" s="529">
        <v>2050</v>
      </c>
      <c r="M78" s="538" t="s">
        <v>866</v>
      </c>
      <c r="N78" s="538" t="s">
        <v>865</v>
      </c>
      <c r="O78" s="540">
        <v>75</v>
      </c>
      <c r="P78" s="540">
        <v>20</v>
      </c>
      <c r="Q78" s="540">
        <v>1</v>
      </c>
      <c r="R78" s="540">
        <v>55</v>
      </c>
      <c r="S78" s="540">
        <v>0</v>
      </c>
    </row>
    <row r="79" spans="1:19" ht="25.5" x14ac:dyDescent="0.25">
      <c r="A79" s="528" t="s">
        <v>857</v>
      </c>
      <c r="B79" s="526">
        <v>2.6250410092755523</v>
      </c>
      <c r="C79" s="527"/>
      <c r="D79" s="526">
        <v>2.2836884716898793</v>
      </c>
      <c r="E79" s="526">
        <v>2.1725823247335221</v>
      </c>
      <c r="F79" s="526">
        <v>2.1725823247335221</v>
      </c>
      <c r="G79" s="526">
        <v>2.1725823247335221</v>
      </c>
      <c r="M79" s="539" t="s">
        <v>864</v>
      </c>
      <c r="N79" s="538" t="s">
        <v>863</v>
      </c>
      <c r="O79" s="537">
        <v>78</v>
      </c>
      <c r="P79" s="537">
        <v>0</v>
      </c>
      <c r="Q79" s="537">
        <v>0</v>
      </c>
      <c r="R79" s="537">
        <v>78</v>
      </c>
      <c r="S79" s="537">
        <v>0</v>
      </c>
    </row>
    <row r="80" spans="1:19" x14ac:dyDescent="0.25">
      <c r="A80" s="528" t="s">
        <v>850</v>
      </c>
      <c r="B80" s="527"/>
      <c r="C80" s="526">
        <f>W14/N14</f>
        <v>3.1609686609686611</v>
      </c>
      <c r="D80" s="526">
        <f>W16/N16</f>
        <v>1.4777618364418939</v>
      </c>
      <c r="E80" s="526">
        <f>W18/N18</f>
        <v>1.3605633802816901</v>
      </c>
      <c r="F80" s="526">
        <f>W20/N20</f>
        <v>1.2704225352112677</v>
      </c>
      <c r="G80" s="526">
        <f>W22/N22</f>
        <v>1.1788732394366197</v>
      </c>
      <c r="M80" s="538" t="s">
        <v>862</v>
      </c>
      <c r="N80" s="538" t="s">
        <v>861</v>
      </c>
      <c r="O80" s="540">
        <v>78</v>
      </c>
      <c r="P80" s="540">
        <v>0</v>
      </c>
      <c r="Q80" s="540">
        <v>0</v>
      </c>
      <c r="R80" s="540">
        <v>78</v>
      </c>
      <c r="S80" s="540">
        <v>0</v>
      </c>
    </row>
    <row r="81" spans="1:19" ht="25.5" x14ac:dyDescent="0.25">
      <c r="M81" s="539" t="s">
        <v>860</v>
      </c>
      <c r="N81" s="538" t="s">
        <v>859</v>
      </c>
      <c r="O81" s="537">
        <v>78</v>
      </c>
      <c r="P81" s="537">
        <v>0</v>
      </c>
      <c r="Q81" s="537">
        <v>0</v>
      </c>
      <c r="R81" s="537">
        <v>78</v>
      </c>
      <c r="S81" s="537">
        <v>0</v>
      </c>
    </row>
    <row r="82" spans="1:19" x14ac:dyDescent="0.25">
      <c r="A82" s="532" t="s">
        <v>853</v>
      </c>
    </row>
    <row r="83" spans="1:19" x14ac:dyDescent="0.25">
      <c r="A83" s="531"/>
      <c r="B83" s="529">
        <v>2006</v>
      </c>
      <c r="C83" s="529">
        <v>2010</v>
      </c>
      <c r="D83" s="529">
        <v>2020</v>
      </c>
      <c r="E83" s="529">
        <v>2030</v>
      </c>
      <c r="F83" s="529">
        <v>2040</v>
      </c>
      <c r="G83" s="529">
        <v>2050</v>
      </c>
    </row>
    <row r="84" spans="1:19" x14ac:dyDescent="0.25">
      <c r="A84" s="528" t="s">
        <v>850</v>
      </c>
      <c r="B84" s="536">
        <f ca="1">TREND(C84:D84,C83:D83,B83,TRUE)</f>
        <v>7.476664745531366</v>
      </c>
      <c r="C84" s="526">
        <f>T14/N14</f>
        <v>5.766381766381766</v>
      </c>
      <c r="D84" s="526">
        <f ca="1">OFFSET($T$14,2,0)/OFFSET($N$14,2,0)</f>
        <v>1.490674318507891</v>
      </c>
      <c r="E84" s="526">
        <f ca="1">OFFSET($T$14,4,0)/OFFSET($N$14,4,0)</f>
        <v>1.3605633802816901</v>
      </c>
      <c r="F84" s="526">
        <f ca="1">OFFSET($T$14,6,0)/OFFSET($N$14,6,0)</f>
        <v>1.2563380281690142</v>
      </c>
      <c r="G84" s="526">
        <f ca="1">OFFSET($T$14,8,0)/OFFSET($N$14,8,0)</f>
        <v>1.1535211267605634</v>
      </c>
    </row>
    <row r="85" spans="1:19" x14ac:dyDescent="0.25">
      <c r="B85" s="523" t="s">
        <v>858</v>
      </c>
    </row>
    <row r="86" spans="1:19" x14ac:dyDescent="0.25">
      <c r="A86" s="532" t="s">
        <v>852</v>
      </c>
    </row>
    <row r="87" spans="1:19" x14ac:dyDescent="0.25">
      <c r="A87" s="531"/>
      <c r="B87" s="529">
        <v>2006</v>
      </c>
      <c r="C87" s="530" t="s">
        <v>851</v>
      </c>
      <c r="D87" s="529">
        <v>2020</v>
      </c>
      <c r="E87" s="529">
        <v>2030</v>
      </c>
      <c r="F87" s="529">
        <v>2040</v>
      </c>
      <c r="G87" s="529">
        <v>2050</v>
      </c>
    </row>
    <row r="88" spans="1:19" x14ac:dyDescent="0.25">
      <c r="A88" s="528" t="s">
        <v>857</v>
      </c>
      <c r="B88" s="526" t="e">
        <f>Analytica!AJ66/Analytica!AJ67</f>
        <v>#DIV/0!</v>
      </c>
      <c r="C88" s="527"/>
      <c r="D88" s="526">
        <f>Analytica!AL66/Analytica!AL67</f>
        <v>1.8323737387753767</v>
      </c>
      <c r="E88" s="526">
        <f>Analytica!AN66/Analytica!AN67</f>
        <v>1</v>
      </c>
      <c r="F88" s="526">
        <f>Analytica!AP66/Analytica!AP67</f>
        <v>1</v>
      </c>
      <c r="G88" s="526">
        <f>Analytica!AQ66/Analytica!AQ67</f>
        <v>1</v>
      </c>
    </row>
    <row r="89" spans="1:19" x14ac:dyDescent="0.25">
      <c r="A89" s="528" t="s">
        <v>850</v>
      </c>
      <c r="B89" s="535"/>
      <c r="C89" s="526">
        <f>P14/N14</f>
        <v>1.329059829059829</v>
      </c>
      <c r="D89" s="526">
        <f>P16/N16</f>
        <v>1.0588235294117647</v>
      </c>
      <c r="E89" s="526">
        <f>P18/N18</f>
        <v>1.0394366197183098</v>
      </c>
      <c r="F89" s="526">
        <f>P20/N20</f>
        <v>1.0267605633802817</v>
      </c>
      <c r="G89" s="526">
        <f>P22/N22</f>
        <v>1.0140845070422535</v>
      </c>
    </row>
    <row r="90" spans="1:19" x14ac:dyDescent="0.25">
      <c r="A90" s="528" t="s">
        <v>856</v>
      </c>
      <c r="B90" s="527"/>
      <c r="C90" s="526">
        <f>AVERAGE(D18:E18)/AVERAGE(D20:E20)</f>
        <v>1.2082391358955036</v>
      </c>
      <c r="D90" s="527"/>
      <c r="E90" s="527"/>
      <c r="F90" s="527"/>
      <c r="G90" s="527"/>
    </row>
    <row r="93" spans="1:19" ht="18.75" x14ac:dyDescent="0.25">
      <c r="A93" s="534" t="s">
        <v>855</v>
      </c>
      <c r="B93" s="533"/>
      <c r="C93" s="533"/>
      <c r="D93" s="533"/>
      <c r="E93" s="533"/>
      <c r="F93" s="533"/>
      <c r="G93" s="533"/>
      <c r="H93" s="533"/>
      <c r="I93" s="533"/>
    </row>
    <row r="96" spans="1:19" x14ac:dyDescent="0.25">
      <c r="A96" s="532" t="s">
        <v>854</v>
      </c>
    </row>
    <row r="97" spans="1:7" x14ac:dyDescent="0.25">
      <c r="A97" s="531"/>
      <c r="B97" s="529">
        <v>2006</v>
      </c>
      <c r="C97" s="529">
        <v>2010</v>
      </c>
      <c r="D97" s="529">
        <v>2020</v>
      </c>
      <c r="E97" s="529">
        <v>2030</v>
      </c>
      <c r="F97" s="529">
        <v>2040</v>
      </c>
      <c r="G97" s="529">
        <v>2050</v>
      </c>
    </row>
    <row r="98" spans="1:7" x14ac:dyDescent="0.25">
      <c r="A98" s="528" t="s">
        <v>850</v>
      </c>
      <c r="C98" s="527">
        <f>W50/N50</f>
        <v>1.9642857142857142</v>
      </c>
      <c r="D98" s="526">
        <f>W52/N52</f>
        <v>1.1309523809523809</v>
      </c>
      <c r="E98" s="526">
        <f>W54/N54</f>
        <v>1.0705882352941176</v>
      </c>
      <c r="F98" s="526">
        <f>W56/N56</f>
        <v>1.0235294117647058</v>
      </c>
      <c r="G98" s="526">
        <f>W58/N58</f>
        <v>0.97647058823529409</v>
      </c>
    </row>
    <row r="100" spans="1:7" x14ac:dyDescent="0.25">
      <c r="A100" s="532" t="s">
        <v>853</v>
      </c>
    </row>
    <row r="101" spans="1:7" x14ac:dyDescent="0.25">
      <c r="A101" s="531"/>
      <c r="B101" s="529">
        <v>2006</v>
      </c>
      <c r="C101" s="529">
        <v>2010</v>
      </c>
      <c r="D101" s="529">
        <v>2020</v>
      </c>
      <c r="E101" s="529">
        <v>2030</v>
      </c>
      <c r="F101" s="529">
        <v>2040</v>
      </c>
      <c r="G101" s="529">
        <v>2050</v>
      </c>
    </row>
    <row r="102" spans="1:7" x14ac:dyDescent="0.25">
      <c r="A102" s="528" t="s">
        <v>850</v>
      </c>
      <c r="B102" s="527"/>
      <c r="C102" s="526">
        <f>T50/N50</f>
        <v>3.2380952380952381</v>
      </c>
      <c r="D102" s="526">
        <f>U52/N52</f>
        <v>1.1190476190476191</v>
      </c>
      <c r="E102" s="526">
        <f>U54/N54</f>
        <v>1.0588235294117647</v>
      </c>
      <c r="F102" s="526">
        <f>U56/N56</f>
        <v>1.0117647058823529</v>
      </c>
      <c r="G102" s="526">
        <f>U58/N58</f>
        <v>0.96470588235294119</v>
      </c>
    </row>
    <row r="104" spans="1:7" x14ac:dyDescent="0.25">
      <c r="A104" s="532" t="s">
        <v>852</v>
      </c>
    </row>
    <row r="105" spans="1:7" x14ac:dyDescent="0.25">
      <c r="A105" s="531"/>
      <c r="B105" s="529">
        <v>2006</v>
      </c>
      <c r="C105" s="530" t="s">
        <v>851</v>
      </c>
      <c r="D105" s="529">
        <v>2020</v>
      </c>
      <c r="E105" s="529">
        <v>2030</v>
      </c>
      <c r="F105" s="529">
        <v>2040</v>
      </c>
      <c r="G105" s="529">
        <v>2050</v>
      </c>
    </row>
    <row r="106" spans="1:7" x14ac:dyDescent="0.25">
      <c r="A106" s="528" t="s">
        <v>850</v>
      </c>
      <c r="B106" s="527"/>
      <c r="C106" s="526">
        <f>P50/N50</f>
        <v>1.1666666666666667</v>
      </c>
      <c r="D106" s="526">
        <f>P52/N52</f>
        <v>1.0238095238095237</v>
      </c>
      <c r="E106" s="526">
        <f>P54/N54</f>
        <v>1.0117647058823529</v>
      </c>
      <c r="F106" s="526">
        <f>P56/N56</f>
        <v>1.0117647058823529</v>
      </c>
      <c r="G106" s="526">
        <f>P58/N58</f>
        <v>1</v>
      </c>
    </row>
  </sheetData>
  <mergeCells count="6">
    <mergeCell ref="A9:A10"/>
    <mergeCell ref="B9:B10"/>
    <mergeCell ref="C9:C10"/>
    <mergeCell ref="D9:D10"/>
    <mergeCell ref="F9:F10"/>
    <mergeCell ref="E9:E10"/>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34A9-84B0-41A4-8528-E1E9034BF8D9}">
  <sheetPr codeName="Sheet59">
    <tabColor theme="5"/>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1:39" ht="15.75" x14ac:dyDescent="0.25">
      <c r="A1" s="162" t="s">
        <v>497</v>
      </c>
      <c r="B1" s="162"/>
      <c r="C1" s="162"/>
      <c r="D1" s="162"/>
      <c r="E1" s="162"/>
      <c r="F1" s="162"/>
      <c r="G1" s="162"/>
    </row>
    <row r="2" spans="1:39" x14ac:dyDescent="0.25">
      <c r="A2" t="s">
        <v>496</v>
      </c>
    </row>
    <row r="3" spans="1:39" x14ac:dyDescent="0.25">
      <c r="A3" t="s">
        <v>495</v>
      </c>
    </row>
    <row r="4" spans="1:39" x14ac:dyDescent="0.25">
      <c r="A4" t="s">
        <v>494</v>
      </c>
    </row>
    <row r="5" spans="1:39" x14ac:dyDescent="0.25">
      <c r="P5">
        <f>242/320</f>
        <v>0.75624999999999998</v>
      </c>
    </row>
    <row r="7" spans="1:39" x14ac:dyDescent="0.25">
      <c r="C7" t="s">
        <v>493</v>
      </c>
      <c r="D7" t="s">
        <v>489</v>
      </c>
      <c r="E7" s="61">
        <v>34.200000000000003</v>
      </c>
      <c r="F7" t="s">
        <v>492</v>
      </c>
      <c r="H7" s="160"/>
      <c r="I7" s="161" t="s">
        <v>491</v>
      </c>
    </row>
    <row r="8" spans="1:39" x14ac:dyDescent="0.25">
      <c r="C8" t="s">
        <v>490</v>
      </c>
      <c r="D8" t="s">
        <v>489</v>
      </c>
      <c r="E8" s="61">
        <v>38.1</v>
      </c>
      <c r="F8" t="s">
        <v>488</v>
      </c>
      <c r="H8" s="160"/>
      <c r="I8" s="137">
        <f>(SUMPRODUCT(J18:J20,N18:N20)+SUMPRODUCT(C18:C21,F18:F21))/(SUM(F18:F21)+SUM(N18:N20))</f>
        <v>13681.779023067493</v>
      </c>
    </row>
    <row r="9" spans="1:39" x14ac:dyDescent="0.25">
      <c r="G9" t="s">
        <v>487</v>
      </c>
      <c r="H9" s="67">
        <v>0.98651860575392236</v>
      </c>
      <c r="I9" s="67"/>
      <c r="J9" s="67"/>
      <c r="K9" s="67"/>
    </row>
    <row r="10" spans="1:39" x14ac:dyDescent="0.25">
      <c r="B10" s="69" t="s">
        <v>486</v>
      </c>
      <c r="G10" t="s">
        <v>485</v>
      </c>
      <c r="H10" s="67">
        <v>1.0234574055512917</v>
      </c>
      <c r="I10" s="67"/>
      <c r="J10" s="67"/>
      <c r="K10" s="67"/>
    </row>
    <row r="11" spans="1:39" x14ac:dyDescent="0.25">
      <c r="D11" s="69" t="s">
        <v>484</v>
      </c>
      <c r="L11" s="69" t="s">
        <v>477</v>
      </c>
      <c r="R11" s="69" t="s">
        <v>140</v>
      </c>
      <c r="T11" s="69" t="s">
        <v>483</v>
      </c>
      <c r="U11" s="69"/>
      <c r="AF11" t="s">
        <v>477</v>
      </c>
      <c r="AG11" t="s">
        <v>140</v>
      </c>
      <c r="AL11" t="s">
        <v>477</v>
      </c>
      <c r="AM11" t="s">
        <v>140</v>
      </c>
    </row>
    <row r="12" spans="1: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1: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1:39" ht="15.75" thickTop="1" x14ac:dyDescent="0.25">
      <c r="B14" s="15" t="s">
        <v>463</v>
      </c>
      <c r="H14" s="159">
        <v>401271.35853780009</v>
      </c>
      <c r="L14" s="112"/>
      <c r="M14" s="112"/>
      <c r="N14" s="112"/>
      <c r="O14" s="112"/>
      <c r="P14" s="131">
        <v>333000</v>
      </c>
      <c r="Q14" s="131"/>
      <c r="S14" s="159">
        <v>71.063999999999993</v>
      </c>
      <c r="AD14" s="67"/>
      <c r="AF14" s="158"/>
      <c r="AG14" s="157"/>
      <c r="AL14" s="156"/>
      <c r="AM14" s="155"/>
    </row>
    <row r="15" spans="1:39" x14ac:dyDescent="0.25">
      <c r="B15" s="154" t="s">
        <v>462</v>
      </c>
      <c r="H15" s="153">
        <f>SUM(H17:H36)</f>
        <v>367835.14179714583</v>
      </c>
      <c r="L15" s="112"/>
      <c r="M15" s="112"/>
      <c r="N15" s="112"/>
      <c r="O15" s="112"/>
      <c r="P15" s="153">
        <f>SUM(P17:P41)-P37</f>
        <v>328924.32897185528</v>
      </c>
      <c r="Q15" s="131"/>
      <c r="S15" s="132">
        <f>SUM(S17:S41)-S37</f>
        <v>11809.512000000001</v>
      </c>
      <c r="AD15" s="67"/>
      <c r="AF15" s="122"/>
      <c r="AG15" s="121"/>
      <c r="AL15" s="120"/>
      <c r="AM15" s="119"/>
    </row>
    <row r="16" spans="1:39" x14ac:dyDescent="0.25">
      <c r="B16" s="15" t="s">
        <v>297</v>
      </c>
      <c r="H16" s="151">
        <f>H15/H14-1</f>
        <v>-8.3325699752140547E-2</v>
      </c>
      <c r="L16" s="152">
        <f>H16/H14</f>
        <v>-2.0765424189698602E-7</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SUMIF(Analytica!$B$17:$B$41,$A18,Analytica!$I$17:$I$41)</f>
        <v>19920.095193486901</v>
      </c>
      <c r="D18" s="139">
        <f>SUMIF(Analytica!$B$17:$B$41,$A18,Analytica!$V$17:$V$41)</f>
        <v>13.551554667779801</v>
      </c>
      <c r="E18" s="74">
        <f t="shared" ref="E18:E23" si="0">D18*E$7/100</f>
        <v>4.6346316963806924</v>
      </c>
      <c r="F18" s="137">
        <f>SUMIF(Analytica!$B$17:$B$41,$A18,Analytica!$AH$17:$AH$41)*1000</f>
        <v>269853.81765315495</v>
      </c>
      <c r="G18" s="90">
        <f t="shared" ref="G18:G23" si="1">F18*C18/1000000000</f>
        <v>5.3755137359767025</v>
      </c>
      <c r="H18" s="136">
        <f t="shared" ref="H18:H23" si="2">G18*E18*1000</f>
        <v>24913.526345087419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SUMIF(Analytica!$B$17:$B$41,$A19,Analytica!$I$17:$I$41)</f>
        <v>22250.436222693301</v>
      </c>
      <c r="D19" s="139">
        <f>SUMIF(Analytica!$B$17:$B$41,$A19,Analytica!$V$17:$V$41)</f>
        <v>6.8382247609900997</v>
      </c>
      <c r="E19" s="74">
        <f t="shared" si="0"/>
        <v>2.3386728682586142</v>
      </c>
      <c r="F19" s="137">
        <f>SUMIF(Analytica!$B$17:$B$41,$A19,Analytica!$AH$17:$AH$41)*1000</f>
        <v>521.82555211336103</v>
      </c>
      <c r="G19" s="90">
        <f t="shared" si="1"/>
        <v>1.1610846166670059E-2</v>
      </c>
      <c r="H19" s="136">
        <f t="shared" si="2"/>
        <v>27.153970907515802</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SUMIF(Analytica!$B$17:$B$41,$A20,Analytica!$I$17:$I$41)</f>
        <v>12852.747242613699</v>
      </c>
      <c r="D20" s="139">
        <f>SUMIF(Analytica!$B$17:$B$41,$A20,Analytica!$V$17:$V$41)</f>
        <v>8.1935839212683703</v>
      </c>
      <c r="E20" s="74">
        <f t="shared" si="0"/>
        <v>2.8022057010737829</v>
      </c>
      <c r="F20" s="137">
        <f>SUMIF(Analytica!$B$17:$B$41,$A20,Analytica!$AH$17:$AH$41)*1000</f>
        <v>5479096.0107301502</v>
      </c>
      <c r="G20" s="90">
        <f t="shared" si="1"/>
        <v>70.421436143927664</v>
      </c>
      <c r="H20" s="136">
        <f t="shared" si="2"/>
        <v>197335.34984031747</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SUMIF(Analytica!$B$17:$B$41,$A21,Analytica!$I$17:$I$41)</f>
        <v>18345.381909407301</v>
      </c>
      <c r="D21" s="139">
        <f>SUMIF(Analytica!$B$17:$B$41,$A21,Analytica!$V$17:$V$41)</f>
        <v>6.0121796481091199</v>
      </c>
      <c r="E21" s="74">
        <f t="shared" si="0"/>
        <v>2.0561654396533191</v>
      </c>
      <c r="F21" s="137">
        <f>SUMIF(Analytica!$B$17:$B$41,$A21,Analytica!$AH$17:$AH$41)*1000</f>
        <v>2308.7301118619198</v>
      </c>
      <c r="G21" s="90">
        <f t="shared" si="1"/>
        <v>4.2354535627855551E-2</v>
      </c>
      <c r="H21" s="136">
        <f t="shared" si="2"/>
        <v>87.087932370561788</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SUMIF(Analytica!$B$17:$B$41,$A22,Analytica!$I$17:$I$41)</f>
        <v>11451.6721676383</v>
      </c>
      <c r="D22" s="139">
        <f>SUMIF(Analytica!$B$17:$B$41,$A22,Analytica!$V$17:$V$41)</f>
        <v>4.9995594866529798</v>
      </c>
      <c r="E22" s="74">
        <f t="shared" si="0"/>
        <v>1.7098493444353193</v>
      </c>
      <c r="F22" s="137">
        <f>SUMIF(Analytica!$B$17:$B$41,$A22,Analytica!$AH$17:$AH$41)*1000</f>
        <v>418162.08070848102</v>
      </c>
      <c r="G22" s="90">
        <f t="shared" si="1"/>
        <v>4.788655061211033</v>
      </c>
      <c r="H22" s="136">
        <f t="shared" si="2"/>
        <v>8187.8787171385593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SUMIF(Analytica!$B$17:$B$41,$A23,Analytica!$I$17:$I$41)</f>
        <v>20965.008962084201</v>
      </c>
      <c r="D23" s="139">
        <f>SUMIF(Analytica!$B$17:$B$41,$A23,Analytica!$V$17:$V$41)</f>
        <v>14.5644836562465</v>
      </c>
      <c r="E23" s="74">
        <f t="shared" si="0"/>
        <v>4.9810534104363038</v>
      </c>
      <c r="F23" s="137">
        <f>SUMIF(Analytica!$B$17:$B$41,$A23,Analytica!$AH$17:$AH$41)*1000</f>
        <v>261566.46550238002</v>
      </c>
      <c r="G23" s="90">
        <f t="shared" si="1"/>
        <v>5.483743293438085</v>
      </c>
      <c r="H23" s="136">
        <f t="shared" si="2"/>
        <v>27314.818233736984</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SUMIF(Analytica!$B$17:$B$41,$A35,Analytica!$I$17:$I$41)</f>
        <v>17100.2801251579</v>
      </c>
      <c r="D35" s="139">
        <f>SUMIF(Analytica!$B$17:$B$41,$A35,Analytica!$V$17:$V$41)</f>
        <v>19.628700201694802</v>
      </c>
      <c r="E35" s="74">
        <f>D35*E$7/100</f>
        <v>6.7130154689796226</v>
      </c>
      <c r="F35" s="137">
        <f>SUMIF(Analytica!$B$17:$B$41,$A35,Analytica!$AH$17:$AH$41)*1000</f>
        <v>4066.1003460126599</v>
      </c>
      <c r="G35" s="90">
        <f>F35*C35/1000000000</f>
        <v>6.9531454933817946E-2</v>
      </c>
      <c r="H35" s="136">
        <f>G35*E35*1000</f>
        <v>466.76573255137936</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SUMIF(Analytica!$B$17:$B$41,$A36,Analytica!$I$17:$I$41)</f>
        <v>16984.001252855</v>
      </c>
      <c r="D36" s="139">
        <f>SUMIF(Analytica!$B$17:$B$41,$A36,Analytica!$V$17:$V$41)</f>
        <v>14.176565003733501</v>
      </c>
      <c r="E36" s="74">
        <f>D36*E$7/100</f>
        <v>4.8483852312768576</v>
      </c>
      <c r="F36" s="137">
        <f>SUMIF(Analytica!$B$17:$B$41,$A36,Analytica!$AH$17:$AH$41)*1000</f>
        <v>1329802.4956093701</v>
      </c>
      <c r="G36" s="90">
        <f>F36*C36/1000000000</f>
        <v>22.585367251479248</v>
      </c>
      <c r="H36" s="136">
        <f>G36*E36*1000</f>
        <v>109502.56102503598</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EB_2017!BL138</f>
        <v>6473.0170817620256</v>
      </c>
      <c r="Q37" s="131"/>
      <c r="S37" s="130">
        <v>11809.512000000001</v>
      </c>
      <c r="V37" t="s">
        <v>265</v>
      </c>
      <c r="W37" s="127" t="e">
        <f t="shared" si="6"/>
        <v>#DIV/0!</v>
      </c>
      <c r="X37" s="127" t="e">
        <f t="shared" si="7"/>
        <v>#DIV/0!</v>
      </c>
      <c r="Y37" s="126">
        <v>0.45</v>
      </c>
      <c r="Z37" s="129">
        <v>3.0019999999999998</v>
      </c>
      <c r="AD37" s="67">
        <f>Y37*Z37*G35</f>
        <v>9.3930042470094663E-2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3380.0863680000002</v>
      </c>
      <c r="V38" t="s">
        <v>246</v>
      </c>
      <c r="W38" s="127" t="e">
        <f t="shared" si="6"/>
        <v>#DIV/0!</v>
      </c>
      <c r="X38" s="127" t="e">
        <f t="shared" si="7"/>
        <v>#DIV/0!</v>
      </c>
      <c r="Y38" s="126">
        <v>0.4</v>
      </c>
      <c r="Z38" s="125">
        <v>0.99590000000000001</v>
      </c>
      <c r="AD38" s="67">
        <f>Y38*Z38*G36</f>
        <v>8.9971068982992737</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EB_2017!BL137</f>
        <v>8429.4256320000004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3334.4875104617199</v>
      </c>
      <c r="V42" s="110"/>
      <c r="W42" s="110"/>
      <c r="AD42" s="107">
        <f>SOL!L19</f>
        <v>22</v>
      </c>
      <c r="AE42" s="109">
        <f>1-SUM(AE43:AE44)</f>
        <v>0.39557707203718051</v>
      </c>
      <c r="AF42" s="108">
        <f>AD42/(9400/3290*S42/1000+P42/1000)</f>
        <v>1.8200342946332015</v>
      </c>
      <c r="AG42" s="108">
        <f>AF42*9400/3290</f>
        <v>5.2000979846662903</v>
      </c>
      <c r="AL42" s="67">
        <f>P42*AF42/1000</f>
        <v>4.6603382169530931</v>
      </c>
      <c r="AM42" s="67">
        <f>S42*AG42/1000</f>
        <v>17.339661783046903</v>
      </c>
    </row>
    <row r="43" spans="1:39" x14ac:dyDescent="0.25">
      <c r="B43" s="26" t="s">
        <v>419</v>
      </c>
      <c r="H43" s="112"/>
      <c r="I43" s="112"/>
      <c r="J43" s="112"/>
      <c r="K43" s="112"/>
      <c r="L43" s="112"/>
      <c r="M43" s="112"/>
      <c r="N43" s="112"/>
      <c r="O43" s="112"/>
      <c r="P43" s="111">
        <f>$AE43*P$41</f>
        <v>1258.5029337895187</v>
      </c>
      <c r="Q43" s="111"/>
      <c r="S43" s="111">
        <f>$AE43*S$41</f>
        <v>1638.8736124182806</v>
      </c>
      <c r="V43" s="110"/>
      <c r="W43" s="110"/>
      <c r="AD43" s="107">
        <f>SUM(SOL!L20:L21)</f>
        <v>25.1</v>
      </c>
      <c r="AE43" s="109">
        <f>AD43/$AD$41</f>
        <v>0.19442292796281954</v>
      </c>
      <c r="AF43" s="108">
        <f>AD43/(9400/3290*S43/1000+P43/1000)</f>
        <v>4.2248786996646812</v>
      </c>
      <c r="AG43" s="108">
        <f>AF43*9400/3290</f>
        <v>12.071081999041946</v>
      </c>
      <c r="AL43" s="67">
        <f>P43*AF43/1000</f>
        <v>5.3170222384328483</v>
      </c>
      <c r="AM43" s="67">
        <f>S43*AG43/1000</f>
        <v>19.782977761567153</v>
      </c>
    </row>
    <row r="44" spans="1:39" x14ac:dyDescent="0.25">
      <c r="B44" s="26" t="s">
        <v>418</v>
      </c>
      <c r="H44" s="112"/>
      <c r="I44" s="112"/>
      <c r="J44" s="112"/>
      <c r="K44" s="112"/>
      <c r="L44" s="112"/>
      <c r="M44" s="112"/>
      <c r="N44" s="112"/>
      <c r="O44" s="112"/>
      <c r="P44" s="111">
        <f>$AE44*P$41</f>
        <v>2653.9370035224301</v>
      </c>
      <c r="Q44" s="111"/>
      <c r="S44" s="111">
        <f>$AE44*S$41</f>
        <v>3456.0645091199999</v>
      </c>
      <c r="V44" s="110"/>
      <c r="W44" s="110"/>
      <c r="AD44" s="107">
        <f>SOL!L22</f>
        <v>82</v>
      </c>
      <c r="AE44" s="109">
        <v>0.41</v>
      </c>
      <c r="AF44" s="108">
        <f>AD44/(9400/3290*S44/1000+P44/1000)</f>
        <v>6.545125793438701</v>
      </c>
      <c r="AG44" s="108">
        <f>AF44*9400/3290</f>
        <v>18.700359409824859</v>
      </c>
      <c r="AL44" s="67">
        <f>P44*AF44/1000</f>
        <v>17.370351535916075</v>
      </c>
      <c r="AM44" s="67">
        <f>S44*AG44/1000</f>
        <v>64.629648464083928</v>
      </c>
    </row>
    <row r="45" spans="1:39" x14ac:dyDescent="0.25">
      <c r="U45" t="s">
        <v>417</v>
      </c>
      <c r="V45" t="s">
        <v>416</v>
      </c>
      <c r="W45" t="s">
        <v>297</v>
      </c>
      <c r="AD45" s="107">
        <f>SUM(AD27:AD41)</f>
        <v>315.92499805326253</v>
      </c>
      <c r="AE45" s="106"/>
      <c r="AI45" t="s">
        <v>110</v>
      </c>
    </row>
    <row r="46" spans="1:39" x14ac:dyDescent="0.25">
      <c r="F46" s="104">
        <f>SUM(F18:F44)</f>
        <v>7765377.5262135249</v>
      </c>
      <c r="G46" s="105" t="s">
        <v>110</v>
      </c>
      <c r="N46" s="104">
        <f>SUM(N18:N44)</f>
        <v>1732745.2097229683</v>
      </c>
      <c r="U46" s="103">
        <f>N46+F46</f>
        <v>9498122.7359364927</v>
      </c>
      <c r="V46" s="103">
        <v>7653045</v>
      </c>
      <c r="W46" s="102">
        <f>V46/U46-1</f>
        <v>-0.19425709555800685</v>
      </c>
      <c r="AC46" t="s">
        <v>415</v>
      </c>
      <c r="AD46" s="101">
        <f>SOL!L23</f>
        <v>430.1</v>
      </c>
      <c r="AE46" s="100">
        <f>1-AD45/AD46</f>
        <v>0.26546152510285392</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5:15" x14ac:dyDescent="0.25">
      <c r="M65" t="s">
        <v>110</v>
      </c>
    </row>
    <row r="66" spans="5:15" ht="20.25" thickBot="1" x14ac:dyDescent="0.35">
      <c r="E66" s="603" t="s">
        <v>1008</v>
      </c>
      <c r="F66" s="603"/>
    </row>
    <row r="67" spans="5:15" ht="15.75" thickTop="1" x14ac:dyDescent="0.25"/>
    <row r="69" spans="5:15" x14ac:dyDescent="0.25">
      <c r="F69" s="69" t="s">
        <v>413</v>
      </c>
      <c r="G69" s="69" t="s">
        <v>412</v>
      </c>
      <c r="H69" s="69" t="s">
        <v>411</v>
      </c>
      <c r="I69" s="69" t="s">
        <v>410</v>
      </c>
      <c r="J69" s="69" t="s">
        <v>409</v>
      </c>
      <c r="K69" s="69" t="s">
        <v>408</v>
      </c>
      <c r="L69" s="69" t="s">
        <v>407</v>
      </c>
      <c r="M69" s="69" t="s">
        <v>406</v>
      </c>
      <c r="N69" s="69" t="s">
        <v>385</v>
      </c>
      <c r="O69" s="69" t="s">
        <v>405</v>
      </c>
    </row>
    <row r="70" spans="5:15" x14ac:dyDescent="0.25">
      <c r="G70" t="s">
        <v>330</v>
      </c>
      <c r="H70" t="s">
        <v>335</v>
      </c>
      <c r="I70" s="73" t="s">
        <v>404</v>
      </c>
      <c r="J70" t="s">
        <v>403</v>
      </c>
      <c r="K70" t="s">
        <v>333</v>
      </c>
      <c r="L70" t="s">
        <v>338</v>
      </c>
      <c r="O70" t="s">
        <v>402</v>
      </c>
    </row>
    <row r="71" spans="5:15" x14ac:dyDescent="0.25">
      <c r="F71" t="s">
        <v>401</v>
      </c>
      <c r="G71" s="67">
        <f>(N24/1000000)</f>
        <v>2.8126256176370303E-2</v>
      </c>
      <c r="H71" s="67">
        <f>O24</f>
        <v>1.4990333520535335</v>
      </c>
      <c r="I71" s="67">
        <f>H71/G71</f>
        <v>53.296583187381891</v>
      </c>
      <c r="K71" s="98">
        <v>25</v>
      </c>
      <c r="L71" s="67">
        <f>K71*H71</f>
        <v>37.475833801338339</v>
      </c>
      <c r="M71" s="63">
        <f>L71/$L$75</f>
        <v>0.26826933952708937</v>
      </c>
      <c r="N71" s="63">
        <f>L71/L$81</f>
        <v>0.14171504320962261</v>
      </c>
      <c r="O71" s="63">
        <v>0.1</v>
      </c>
    </row>
    <row r="72" spans="5:15" x14ac:dyDescent="0.25">
      <c r="F72" t="s">
        <v>400</v>
      </c>
      <c r="G72" s="67">
        <f>(F23+N23)/1000000</f>
        <v>0.28386671669236818</v>
      </c>
      <c r="H72" s="67">
        <f>G23+O23</f>
        <v>6.1732186716195621</v>
      </c>
      <c r="I72" s="67">
        <f>H72/G72</f>
        <v>21.746891440991295</v>
      </c>
      <c r="K72" s="98">
        <v>14</v>
      </c>
      <c r="L72" s="67">
        <f>K72*H72</f>
        <v>86.425061402673862</v>
      </c>
      <c r="M72" s="63">
        <f>L72/$L$75</f>
        <v>0.61867053483024759</v>
      </c>
      <c r="N72" s="63">
        <f>L72/L$81</f>
        <v>0.32681677947447885</v>
      </c>
      <c r="O72" s="63">
        <v>0.4</v>
      </c>
    </row>
    <row r="73" spans="5:15" x14ac:dyDescent="0.25">
      <c r="F73" t="s">
        <v>399</v>
      </c>
      <c r="G73" s="67"/>
      <c r="L73" s="67">
        <f>EB_2017!BD82/1000*7</f>
        <v>15.793912511999995</v>
      </c>
      <c r="M73" s="63">
        <f>L73/$L$75</f>
        <v>0.11306012564266305</v>
      </c>
      <c r="N73" s="63">
        <f>L73/L$81</f>
        <v>5.9724755050203748E-2</v>
      </c>
      <c r="O73" s="63">
        <v>0.08</v>
      </c>
    </row>
    <row r="74" spans="5:15" x14ac:dyDescent="0.25">
      <c r="F74" t="s">
        <v>398</v>
      </c>
      <c r="G74" s="67"/>
      <c r="J74" s="67">
        <v>14.3</v>
      </c>
      <c r="K74" s="97">
        <v>0.8</v>
      </c>
      <c r="L74" s="67">
        <f>K74*J74</f>
        <v>11.440000000000001</v>
      </c>
      <c r="M74" s="63"/>
      <c r="O74" s="63">
        <v>0.01</v>
      </c>
    </row>
    <row r="75" spans="5:15" x14ac:dyDescent="0.25">
      <c r="F75" s="69" t="s">
        <v>397</v>
      </c>
      <c r="G75" s="67"/>
      <c r="L75" s="95">
        <f>SUM(L71:L73)</f>
        <v>139.69480771601221</v>
      </c>
    </row>
    <row r="76" spans="5:15" x14ac:dyDescent="0.25">
      <c r="F76" s="69" t="s">
        <v>396</v>
      </c>
      <c r="G76" s="67"/>
    </row>
    <row r="77" spans="5:15" x14ac:dyDescent="0.25">
      <c r="F77" t="s">
        <v>395</v>
      </c>
      <c r="G77" s="67">
        <f>(F20+N20)/1000000</f>
        <v>5.7623622660243647</v>
      </c>
      <c r="H77" s="67">
        <f>G20+O20</f>
        <v>75.582646350730698</v>
      </c>
      <c r="I77" s="67">
        <f>H77/G77</f>
        <v>13.116607887771268</v>
      </c>
      <c r="K77" s="96">
        <v>1.4</v>
      </c>
      <c r="L77" s="67">
        <f>K77*H77</f>
        <v>105.81570489102297</v>
      </c>
      <c r="M77" s="63">
        <f>L77/$L$80</f>
        <v>0.84822081428006812</v>
      </c>
      <c r="N77" s="63">
        <f>SUM(L77:L79)/L81</f>
        <v>0.47174342226569466</v>
      </c>
      <c r="O77" s="63">
        <v>0.4</v>
      </c>
    </row>
    <row r="78" spans="5:15" x14ac:dyDescent="0.25">
      <c r="F78" t="s">
        <v>394</v>
      </c>
      <c r="G78" s="67">
        <f>(F18+N18)/1000000</f>
        <v>0.50159262381706904</v>
      </c>
      <c r="H78" s="67">
        <f>G18+O18</f>
        <v>10.104161917855354</v>
      </c>
      <c r="I78" s="67">
        <f>H78/G78</f>
        <v>20.14415969868876</v>
      </c>
      <c r="K78" s="96">
        <v>1.4</v>
      </c>
      <c r="L78" s="67">
        <f>K78*H78</f>
        <v>14.145826684997495</v>
      </c>
      <c r="M78" s="63">
        <f>L78/$L$80</f>
        <v>0.113393230634059</v>
      </c>
    </row>
    <row r="79" spans="5:15" x14ac:dyDescent="0.25">
      <c r="F79" t="s">
        <v>393</v>
      </c>
      <c r="G79" s="67">
        <f>F22/1000000</f>
        <v>0.41816208070848104</v>
      </c>
      <c r="H79" s="67">
        <f>G22</f>
        <v>4.788655061211033</v>
      </c>
      <c r="I79" s="67">
        <f>H79/G79</f>
        <v>11.4516721676383</v>
      </c>
      <c r="K79" s="96">
        <v>1</v>
      </c>
      <c r="L79" s="67">
        <f>K79*H79</f>
        <v>4.788655061211033</v>
      </c>
      <c r="M79" s="63">
        <f>L79/$L$80</f>
        <v>3.8385955085872926E-2</v>
      </c>
    </row>
    <row r="80" spans="5:15" x14ac:dyDescent="0.25">
      <c r="G80" s="95">
        <f>SUM(G77:G79)</f>
        <v>6.6821169705499148</v>
      </c>
      <c r="H80" s="95">
        <f>SUM(H77:H79)</f>
        <v>90.47546332979708</v>
      </c>
      <c r="I80" s="67">
        <f>SUMPRODUCT(G77:G79,I77:I79)/G80</f>
        <v>13.539940071170479</v>
      </c>
      <c r="L80" s="95">
        <f>SUM(L77:L79)</f>
        <v>124.75018663723149</v>
      </c>
    </row>
    <row r="81" spans="5:24" x14ac:dyDescent="0.25">
      <c r="L81" s="67">
        <f>L80+L75</f>
        <v>264.44499435324371</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0.38455598722515649</v>
      </c>
      <c r="L88" s="67">
        <f>SUM(H88:K88)</f>
        <v>6.2639548898414334</v>
      </c>
      <c r="M88" s="67">
        <f>SUM(G77:G78)</f>
        <v>6.2639548898414334</v>
      </c>
      <c r="N88" s="63">
        <f>K88/M88</f>
        <v>6.1391883241178828E-2</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0.12145777633251603</v>
      </c>
      <c r="L90" s="67">
        <f>SUM(H90:K90)</f>
        <v>0.41816208070848104</v>
      </c>
      <c r="M90" s="67">
        <f>G79</f>
        <v>0.41816208070848104</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0">H100</f>
        <v>0.55000000000000004</v>
      </c>
      <c r="J100" s="84">
        <f t="shared" si="10"/>
        <v>0.55000000000000004</v>
      </c>
      <c r="L100" s="67"/>
    </row>
    <row r="101" spans="6:25" x14ac:dyDescent="0.25">
      <c r="F101" s="69" t="s">
        <v>352</v>
      </c>
      <c r="G101" t="s">
        <v>350</v>
      </c>
      <c r="H101" s="83">
        <v>21.5</v>
      </c>
      <c r="I101" s="82">
        <f t="shared" si="10"/>
        <v>21.5</v>
      </c>
      <c r="J101" s="82">
        <f t="shared" si="10"/>
        <v>21.5</v>
      </c>
      <c r="L101" s="67"/>
    </row>
    <row r="102" spans="6:25" x14ac:dyDescent="0.25">
      <c r="F102" s="69" t="s">
        <v>351</v>
      </c>
      <c r="G102" t="s">
        <v>350</v>
      </c>
      <c r="H102" s="83">
        <v>33.5</v>
      </c>
      <c r="I102" s="82">
        <f t="shared" si="10"/>
        <v>33.5</v>
      </c>
      <c r="J102" s="82">
        <f t="shared" si="10"/>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139.69480771601221</v>
      </c>
      <c r="N106" s="70">
        <f>L106/M106-1</f>
        <v>-6.4220498282279159E-2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12.095818031648825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124.75018663723149</v>
      </c>
      <c r="N108" s="70">
        <f>L108/M108-1</f>
        <v>-1.6108133391731227E-2</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2.5321579004088166</v>
      </c>
      <c r="L109" s="67">
        <f>SUM(H109:K109)</f>
        <v>4.788655061211033</v>
      </c>
      <c r="M109" s="67">
        <f>L79</f>
        <v>4.788655061211033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2.3019617276443785</v>
      </c>
      <c r="L111" s="67">
        <f>SUM(H111:K111)</f>
        <v>4.3533227829191201</v>
      </c>
      <c r="M111" s="67">
        <f>H79</f>
        <v>4.788655061211033</v>
      </c>
      <c r="X111" s="63"/>
      <c r="Y111" s="63"/>
    </row>
    <row r="112" spans="6:25" x14ac:dyDescent="0.25">
      <c r="F112" s="69" t="s">
        <v>339</v>
      </c>
      <c r="G112" t="s">
        <v>338</v>
      </c>
      <c r="H112" s="67">
        <f>H108-H109</f>
        <v>1.4445350829762593</v>
      </c>
      <c r="I112" s="67">
        <f>I108-I109</f>
        <v>47.358595792945486</v>
      </c>
      <c r="J112" s="67">
        <f>J108-J109</f>
        <v>71.681065953511634</v>
      </c>
      <c r="K112" s="67">
        <f>K113*K114</f>
        <v>9.5636601312400096</v>
      </c>
      <c r="L112" s="67">
        <f>SUM(H112:K112)</f>
        <v>130.04785696067339</v>
      </c>
      <c r="M112" s="67">
        <f>SUM(L77:L78)</f>
        <v>119.96153157602046</v>
      </c>
      <c r="N112" s="70">
        <f>L112/M112-1</f>
        <v>8.4079664973776502E-2</v>
      </c>
      <c r="X112" s="63"/>
      <c r="Y112" s="63"/>
    </row>
    <row r="113" spans="1:33" x14ac:dyDescent="0.25">
      <c r="F113" s="69" t="s">
        <v>337</v>
      </c>
      <c r="G113" t="s">
        <v>333</v>
      </c>
      <c r="H113" s="71">
        <v>1.4</v>
      </c>
      <c r="I113" s="71">
        <v>1.4</v>
      </c>
      <c r="J113" s="71">
        <v>1.4</v>
      </c>
      <c r="K113" s="77">
        <v>1.4</v>
      </c>
      <c r="L113" s="74">
        <f>SUMPRODUCT(H112:K112,H113:K113)/SUM(H112:K112)</f>
        <v>1.4</v>
      </c>
      <c r="M113" s="67">
        <f>M108/M117</f>
        <v>1.3788289337905653</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6.8311858080285788</v>
      </c>
      <c r="L114" s="67">
        <f>SUM(H114:K114)</f>
        <v>94.503110086768288</v>
      </c>
      <c r="M114" s="67">
        <f>SUM(H77:H78)</f>
        <v>85.686808268586049</v>
      </c>
      <c r="N114" s="70">
        <f>L114/M114-1</f>
        <v>0.10288983796137519</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1.3371975199912052</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0.50601376355767247</v>
      </c>
      <c r="L116" s="67">
        <f>SUM(H116:K116)</f>
        <v>6.6752858542747697</v>
      </c>
      <c r="M116" s="67">
        <f>G80</f>
        <v>6.6821169705499148</v>
      </c>
      <c r="N116" s="70">
        <f>L116/M116-1</f>
        <v>-1.0222982185513763E-3</v>
      </c>
    </row>
    <row r="117" spans="1:33" x14ac:dyDescent="0.25">
      <c r="F117" s="69" t="s">
        <v>329</v>
      </c>
      <c r="G117" t="str">
        <f>G114</f>
        <v>billion veh-km</v>
      </c>
      <c r="H117" s="67">
        <f>H114+H111</f>
        <v>1.0627774834450614</v>
      </c>
      <c r="I117" s="67">
        <f>I114+I111</f>
        <v>35.255216345832018</v>
      </c>
      <c r="J117" s="67">
        <f>J114+J111</f>
        <v>53.405291504737384</v>
      </c>
      <c r="K117" s="67">
        <f>K114+K111</f>
        <v>9.1331475356729577</v>
      </c>
      <c r="L117" s="67">
        <f>SUM(H117:K117)</f>
        <v>98.856432869687424</v>
      </c>
      <c r="M117" s="67">
        <f>H80</f>
        <v>90.47546332979708</v>
      </c>
      <c r="N117" s="70">
        <f>L117/M117-1</f>
        <v>9.2632513075289857E-2</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14.464469874381599</v>
      </c>
      <c r="M118" s="67">
        <f>I80</f>
        <v>13.539940071170479</v>
      </c>
      <c r="N118" s="70">
        <f>L118/M118-1</f>
        <v>6.8281676163371552E-2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0.24226511913122317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TRP</vt:lpstr>
      <vt:lpstr>ITEMS_Tech</vt:lpstr>
      <vt:lpstr>NT_TRP</vt:lpstr>
      <vt:lpstr>ITEMS_nTech</vt:lpstr>
      <vt:lpstr>Demand</vt:lpstr>
      <vt:lpstr>SHAPE</vt:lpstr>
      <vt:lpstr>Calib_2017</vt:lpstr>
      <vt:lpstr>EB_2017</vt:lpstr>
      <vt:lpstr>SOL</vt:lpstr>
      <vt:lpstr>Analytica</vt:lpstr>
      <vt:lpstr>Vehicle data-proc2023</vt:lpstr>
      <vt:lpstr>AEA2012 update</vt:lpstr>
      <vt:lpstr>VehicleCostData2023</vt:lpstr>
      <vt:lpstr>Vehicle data-NDC2020</vt:lpstr>
      <vt:lpstr>AEA2012 summary</vt:lpstr>
      <vt:lpstr>Vehicle data </vt:lpstr>
      <vt:lpstr>FuelCell</vt:lpstr>
      <vt:lpstr>Calib_old</vt:lpstr>
      <vt:lpstr>ComTechs</vt:lpstr>
      <vt:lpstr>NTECH_ROW1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Guy Cunliffe</cp:lastModifiedBy>
  <dcterms:created xsi:type="dcterms:W3CDTF">2023-05-31T10:27:17Z</dcterms:created>
  <dcterms:modified xsi:type="dcterms:W3CDTF">2023-10-03T15:53:59Z</dcterms:modified>
</cp:coreProperties>
</file>