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omments5.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SubRes_TMPL\"/>
    </mc:Choice>
  </mc:AlternateContent>
  <xr:revisionPtr revIDLastSave="0" documentId="13_ncr:1_{71AE360E-D1EE-4953-870D-D968BC3D8617}" xr6:coauthVersionLast="47" xr6:coauthVersionMax="47" xr10:uidLastSave="{00000000-0000-0000-0000-000000000000}"/>
  <bookViews>
    <workbookView xWindow="1560" yWindow="1560" windowWidth="26610" windowHeight="13740" activeTab="2" xr2:uid="{62F67F8D-DFD4-4ADE-8356-63F780461C4E}"/>
  </bookViews>
  <sheets>
    <sheet name="Cover" sheetId="7" r:id="rId1"/>
    <sheet name="ITEMS" sheetId="21" r:id="rId2"/>
    <sheet name="H2_Production" sheetId="18" r:id="rId3"/>
    <sheet name="SUP_H2Liquefaction" sheetId="4" r:id="rId4"/>
    <sheet name="SUP_H2Delivery" sheetId="5" r:id="rId5"/>
    <sheet name="SUP_H2Storage" sheetId="6" r:id="rId6"/>
    <sheet name="Aviation Synfuel Data" sheetId="8" r:id="rId7"/>
    <sheet name="Aviation Synfuel-Items" sheetId="9" r:id="rId8"/>
    <sheet name="Aviation Synfuel-TSData" sheetId="10" r:id="rId9"/>
    <sheet name="Aviation Synfuel-TIDData" sheetId="11" r:id="rId10"/>
    <sheet name="Hydrogen-Other" sheetId="12" r:id="rId11"/>
    <sheet name="Hydrogen-ELT" sheetId="13" r:id="rId12"/>
    <sheet name="H2Storage" sheetId="14" r:id="rId13"/>
    <sheet name="H2Storage-Items" sheetId="15" r:id="rId14"/>
    <sheet name="H2Storage-TSData" sheetId="16" r:id="rId15"/>
    <sheet name="H2Storage-TIDData" sheetId="17" r:id="rId16"/>
    <sheet name="ITEMS_UPS" sheetId="19" r:id="rId17"/>
    <sheet name="Deflator" sheetId="20" r:id="rId18"/>
  </sheets>
  <externalReferences>
    <externalReference r:id="rId19"/>
    <externalReference r:id="rId20"/>
    <externalReference r:id="rId21"/>
    <externalReference r:id="rId22"/>
    <externalReference r:id="rId23"/>
    <externalReference r:id="rId24"/>
    <externalReference r:id="rId25"/>
  </externalReferences>
  <definedNames>
    <definedName name="__123Graph_AEUMILKPN" hidden="1">#REF!</definedName>
    <definedName name="__FDS_HYPERLINK_TOGGLE_STATE__" hidden="1">"ON"</definedName>
    <definedName name="_AMO_RefreshMultipleList" hidden="1">"'296899469 426988102 362274166 589584065 285770244'"</definedName>
    <definedName name="_AMO_SingleObject_296899469__A1" localSheetId="17"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localSheetId="17" hidden="1">0</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localSheetId="17" hidden="1">7</definedName>
    <definedName name="_AtRisk_SimSetting_RandomNumberGenerator" hidden="1">0</definedName>
    <definedName name="_AtRisk_SimSetting_ReportsList" localSheetId="17" hidden="1">1832</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localSheetId="17" hidden="1">0</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GR">[1]Index!$C$7</definedName>
    <definedName name="COM">[1]Index!$C$8</definedName>
    <definedName name="CV_Coal">'[2]Calorific values'!$B$18</definedName>
    <definedName name="CV_GasSASOL">'[2]Calorific values'!$B$8</definedName>
    <definedName name="Demand.Sectors" localSheetId="12">[3]Index!$D$2:$J$2</definedName>
    <definedName name="Demand.Sectors">[3]Index!$D$2:$J$2</definedName>
    <definedName name="diesel.cv">[4]units!$B$2</definedName>
    <definedName name="drate">'[5]TechWATv5 (supwat5)'!$E$3</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missions_start" localSheetId="12">[3]NameConv!$AY$4</definedName>
    <definedName name="emissions_start">[3]NameConv!$AY$4</definedName>
    <definedName name="emissions_types" localSheetId="12">[3]NameConv!$AX$3</definedName>
    <definedName name="emissions_types">[3]NameConv!$AX$3</definedName>
    <definedName name="Evaluate">H2Storage!$F$24</definedName>
    <definedName name="FuelNames" localSheetId="12">[3]NameConv!$B$5:$C$44</definedName>
    <definedName name="FuelNames">[3]NameConv!$B$5:$C$44</definedName>
    <definedName name="FuelNamesLong">[3]NameConv!$B$5:$B$44</definedName>
    <definedName name="FuelNamesShort">[3]NameConv!$C$5:$C$44</definedName>
    <definedName name="gwpch4">'[2]SASOL CC 2019 report'!$E$98</definedName>
    <definedName name="gwpn2o">'[2]SASOL CC 2019 report'!$E$97</definedName>
    <definedName name="H2.LHV.MJ_kg" localSheetId="17">'[3]Hydrogen-ELT'!$D$39</definedName>
    <definedName name="H2.LHV.MJ_kg">'Hydrogen-ELT'!$D$39</definedName>
    <definedName name="inchtocentimetre" localSheetId="12">[3]Distribution!$A$17</definedName>
    <definedName name="inchtocentimetre">[3]Distribution!$A$17</definedName>
    <definedName name="IND">[1]Index!$C$9</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12">[3]Index!$A$2</definedName>
    <definedName name="Model_RUN_code">[3]Index!$A$2</definedName>
    <definedName name="New_basic_data_start">'[6]New Capacity basic data'!$B$9</definedName>
    <definedName name="Pal_Workbook_GUID" hidden="1">"E2D7SR7Q3BDXUD24G1M1SK63"</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localSheetId="17" hidden="1">1</definedName>
    <definedName name="RiskFixedSeed" hidden="1">2030000</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17" hidden="1">5000</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localSheetId="17" hidden="1">1</definedName>
    <definedName name="RiskStandardRecalc" hidden="1">2</definedName>
    <definedName name="RiskUpdateDisplay" hidden="1">FALSE</definedName>
    <definedName name="RiskUseDifferentSeedForEachSim" hidden="1">FALSE</definedName>
    <definedName name="RiskUseFixedSeed" localSheetId="17" hidden="1">FALSE</definedName>
    <definedName name="RiskUseFixedSeed" hidden="1">TRUE</definedName>
    <definedName name="RiskUseMultipleCPUs" localSheetId="17" hidden="1">TRUE</definedName>
    <definedName name="RiskUseMultipleCPUs" hidden="1">FALSE</definedName>
    <definedName name="Sector.Agriculture" localSheetId="12">[3]Index!$D$2</definedName>
    <definedName name="Sector.Agriculture">[3]Index!$D$2</definedName>
    <definedName name="Sector.Commercial" localSheetId="12">[3]Index!$E$2</definedName>
    <definedName name="Sector.Commercial">[3]Index!$E$2</definedName>
    <definedName name="Sector.Industry" localSheetId="12">[3]Index!$F$2</definedName>
    <definedName name="Sector.Industry">[3]Index!$F$2</definedName>
    <definedName name="Sector.Power" localSheetId="12">[3]Index!$I$2</definedName>
    <definedName name="Sector.Power">[3]Index!$I$2</definedName>
    <definedName name="Sector.Residential" localSheetId="12">[3]Index!$H$2</definedName>
    <definedName name="Sector.Residential">[3]Index!$H$2</definedName>
    <definedName name="Sector.Supply" localSheetId="12">[3]Index!$J$2</definedName>
    <definedName name="Sector.Supply">[3]Index!$J$2</definedName>
    <definedName name="Sector.Transport" localSheetId="12">[3]Index!$G$2</definedName>
    <definedName name="Sector.Transport">[3]Index!$G$2</definedName>
    <definedName name="sector_prefix" localSheetId="17">[3]UPS!$B$6</definedName>
    <definedName name="sector_prefix" localSheetId="12">H2_Production!#REF!</definedName>
    <definedName name="sector_prefix">H2_Production!#REF!</definedName>
    <definedName name="SectorNamesLong">[3]NameConv!$C$49:$C$57</definedName>
    <definedName name="SectorNamesShort">[3]NameConv!$B$49:$B$57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RA">[1]Index!$C$11</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XLSIMSIM" localSheetId="17"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21" l="1"/>
  <c r="C9" i="21"/>
  <c r="C8" i="21"/>
  <c r="B10" i="21"/>
  <c r="B9" i="21"/>
  <c r="B8" i="21"/>
  <c r="C7" i="21"/>
  <c r="B7" i="21"/>
  <c r="C6" i="21"/>
  <c r="B6" i="21"/>
  <c r="Y21" i="18" l="1"/>
  <c r="J21" i="18"/>
  <c r="S21" i="18"/>
  <c r="R21" i="18"/>
  <c r="Q21" i="18"/>
  <c r="P21" i="18"/>
  <c r="O21" i="18"/>
  <c r="S18" i="18"/>
  <c r="R18" i="18"/>
  <c r="Q18" i="18"/>
  <c r="P18" i="18"/>
  <c r="O18" i="18"/>
  <c r="I21" i="18" l="1"/>
  <c r="I18" i="18"/>
  <c r="J18" i="18"/>
  <c r="H21" i="18"/>
  <c r="H18" i="18"/>
  <c r="A3" i="20"/>
  <c r="AE3" i="20"/>
  <c r="AF3" i="20"/>
  <c r="P17" i="20"/>
  <c r="X13" i="20" s="1"/>
  <c r="Q17" i="20"/>
  <c r="R17" i="20"/>
  <c r="S17" i="20"/>
  <c r="T17" i="20"/>
  <c r="U17" i="20"/>
  <c r="V17" i="20"/>
  <c r="X19" i="20"/>
  <c r="Y19" i="20" s="1"/>
  <c r="U20" i="20"/>
  <c r="T20" i="20" s="1"/>
  <c r="V20" i="20"/>
  <c r="V21" i="20" s="1"/>
  <c r="W20" i="20"/>
  <c r="W21" i="20" s="1"/>
  <c r="U21" i="20"/>
  <c r="P26" i="20"/>
  <c r="P27" i="20" s="1"/>
  <c r="F33" i="20"/>
  <c r="S20" i="20" l="1"/>
  <c r="T21" i="20"/>
  <c r="X20" i="20"/>
  <c r="Q26" i="20"/>
  <c r="O26" i="20"/>
  <c r="Z3" i="20"/>
  <c r="Y3" i="20" l="1"/>
  <c r="Z4" i="20"/>
  <c r="AA3" i="20"/>
  <c r="Y20" i="20"/>
  <c r="Y21" i="20" s="1"/>
  <c r="X21" i="20"/>
  <c r="Q27" i="20"/>
  <c r="R26" i="20"/>
  <c r="O27" i="20"/>
  <c r="N26" i="20"/>
  <c r="R20" i="20"/>
  <c r="S21" i="20"/>
  <c r="M26" i="20" l="1"/>
  <c r="N27" i="20"/>
  <c r="R27" i="20"/>
  <c r="S26" i="20"/>
  <c r="AA4" i="20"/>
  <c r="AB3" i="20"/>
  <c r="Q20" i="20"/>
  <c r="R21" i="20"/>
  <c r="Y4" i="20"/>
  <c r="X3" i="20"/>
  <c r="AC3" i="20" l="1"/>
  <c r="AB4" i="20"/>
  <c r="S27" i="20"/>
  <c r="T26" i="20"/>
  <c r="P20" i="20"/>
  <c r="Q21" i="20"/>
  <c r="X4" i="20"/>
  <c r="W3" i="20"/>
  <c r="M27" i="20"/>
  <c r="L26" i="20"/>
  <c r="W4" i="20" l="1"/>
  <c r="V3" i="20"/>
  <c r="O20" i="20"/>
  <c r="P21" i="20"/>
  <c r="L27" i="20"/>
  <c r="K26" i="20"/>
  <c r="T27" i="20"/>
  <c r="U26" i="20"/>
  <c r="AC4" i="20"/>
  <c r="AD3" i="20"/>
  <c r="AD4" i="20" s="1"/>
  <c r="J26" i="20" l="1"/>
  <c r="K27" i="20"/>
  <c r="N20" i="20"/>
  <c r="O21" i="20"/>
  <c r="U27" i="20"/>
  <c r="V26" i="20"/>
  <c r="V4" i="20"/>
  <c r="U3" i="20"/>
  <c r="U4" i="20" l="1"/>
  <c r="B15" i="20"/>
  <c r="B14" i="20" s="1"/>
  <c r="T3" i="20"/>
  <c r="M20" i="20"/>
  <c r="N21" i="20"/>
  <c r="W26" i="20"/>
  <c r="W27" i="20" s="1"/>
  <c r="V27" i="20"/>
  <c r="J27" i="20"/>
  <c r="I26" i="20"/>
  <c r="M21" i="20" l="1"/>
  <c r="L20" i="20"/>
  <c r="T4" i="20"/>
  <c r="S3" i="20"/>
  <c r="I27" i="20"/>
  <c r="H26" i="20"/>
  <c r="H27" i="20" l="1"/>
  <c r="G26" i="20"/>
  <c r="K20" i="20"/>
  <c r="L21" i="20"/>
  <c r="S4" i="20"/>
  <c r="R3" i="20"/>
  <c r="R4" i="20" l="1"/>
  <c r="Q3" i="20"/>
  <c r="J20" i="20"/>
  <c r="K21" i="20"/>
  <c r="G27" i="20"/>
  <c r="F26" i="20"/>
  <c r="J21" i="20" l="1"/>
  <c r="I20" i="20"/>
  <c r="F27" i="20"/>
  <c r="E26" i="20"/>
  <c r="Q4" i="20"/>
  <c r="P3" i="20"/>
  <c r="P4" i="20" l="1"/>
  <c r="O3" i="20"/>
  <c r="E27" i="20"/>
  <c r="D26" i="20"/>
  <c r="H20" i="20"/>
  <c r="I21" i="20"/>
  <c r="G20" i="20" l="1"/>
  <c r="H21" i="20"/>
  <c r="D27" i="20"/>
  <c r="C26" i="20"/>
  <c r="O4" i="20"/>
  <c r="N3" i="20"/>
  <c r="M3" i="20" l="1"/>
  <c r="N4" i="20"/>
  <c r="C27" i="20"/>
  <c r="B26" i="20"/>
  <c r="B27" i="20" s="1"/>
  <c r="F20" i="20"/>
  <c r="G21" i="20"/>
  <c r="E20" i="20" l="1"/>
  <c r="F21" i="20"/>
  <c r="M4" i="20"/>
  <c r="L3" i="20"/>
  <c r="K3" i="20" l="1"/>
  <c r="L4" i="20"/>
  <c r="D20" i="20"/>
  <c r="E21" i="20"/>
  <c r="C20" i="20" l="1"/>
  <c r="D21" i="20"/>
  <c r="K4" i="20"/>
  <c r="J3" i="20"/>
  <c r="J4" i="20" l="1"/>
  <c r="I3" i="20"/>
  <c r="B20" i="20"/>
  <c r="B21" i="20" s="1"/>
  <c r="C21" i="20"/>
  <c r="I4" i="20" l="1"/>
  <c r="H3" i="20"/>
  <c r="H4" i="20" l="1"/>
  <c r="G3" i="20"/>
  <c r="G4" i="20" l="1"/>
  <c r="F3" i="20"/>
  <c r="F4" i="20" l="1"/>
  <c r="E3" i="20"/>
  <c r="E4" i="20" l="1"/>
  <c r="D3" i="20"/>
  <c r="D4" i="20" l="1"/>
  <c r="C3" i="20"/>
  <c r="C4" i="20" l="1"/>
  <c r="B3" i="20"/>
  <c r="B4" i="20" s="1"/>
  <c r="M7" i="18" l="1"/>
  <c r="M15" i="18" s="1"/>
  <c r="C35" i="19" l="1"/>
  <c r="C16" i="19"/>
  <c r="E16" i="19" s="1"/>
  <c r="D14" i="19"/>
  <c r="D23" i="19"/>
  <c r="D25" i="19"/>
  <c r="A1" i="19"/>
  <c r="B9" i="19"/>
  <c r="B10" i="19"/>
  <c r="B11" i="19"/>
  <c r="B12" i="19"/>
  <c r="B14" i="19"/>
  <c r="B15" i="19"/>
  <c r="B16" i="19"/>
  <c r="D16" i="19"/>
  <c r="B17" i="19"/>
  <c r="B19" i="19"/>
  <c r="D19" i="19"/>
  <c r="B20" i="19"/>
  <c r="D20" i="19"/>
  <c r="B21" i="19"/>
  <c r="D21" i="19"/>
  <c r="B23" i="19"/>
  <c r="B24" i="19"/>
  <c r="B25" i="19"/>
  <c r="B26" i="19"/>
  <c r="B27" i="19"/>
  <c r="B28" i="19"/>
  <c r="D28" i="19"/>
  <c r="B29" i="19"/>
  <c r="D29" i="19"/>
  <c r="B31" i="19"/>
  <c r="D31" i="19"/>
  <c r="B32" i="19"/>
  <c r="D32" i="19"/>
  <c r="B33" i="19"/>
  <c r="D33" i="19"/>
  <c r="B34" i="19"/>
  <c r="B35" i="19"/>
  <c r="D9" i="19"/>
  <c r="D10" i="19"/>
  <c r="D11" i="19"/>
  <c r="D15" i="19"/>
  <c r="D12" i="19"/>
  <c r="D17" i="19"/>
  <c r="C23" i="19"/>
  <c r="D26" i="19"/>
  <c r="L6" i="18"/>
  <c r="V6" i="18"/>
  <c r="C32" i="19"/>
  <c r="L10" i="18"/>
  <c r="V10" i="18"/>
  <c r="C33" i="19"/>
  <c r="E33" i="19" s="1"/>
  <c r="L14" i="18"/>
  <c r="V14" i="18"/>
  <c r="D34" i="19"/>
  <c r="C34" i="19"/>
  <c r="K18" i="18"/>
  <c r="L18" i="18"/>
  <c r="U18" i="18"/>
  <c r="V18" i="18"/>
  <c r="D35" i="19"/>
  <c r="K21" i="18"/>
  <c r="L21" i="18"/>
  <c r="V21" i="18"/>
  <c r="C19" i="19"/>
  <c r="C20" i="19"/>
  <c r="I3" i="17"/>
  <c r="I4" i="17"/>
  <c r="K2" i="16"/>
  <c r="AO3" i="16"/>
  <c r="AP3" i="16" s="1"/>
  <c r="AO4" i="16"/>
  <c r="AP4" i="16"/>
  <c r="AO5" i="16"/>
  <c r="AP5" i="16" s="1"/>
  <c r="AO6" i="16"/>
  <c r="AP6" i="16" s="1"/>
  <c r="AO7" i="16"/>
  <c r="AP7" i="16" s="1"/>
  <c r="J8" i="16" a="1"/>
  <c r="J8" i="16" s="1"/>
  <c r="J9" i="16" a="1"/>
  <c r="J9" i="16" s="1"/>
  <c r="K9" i="16" a="1"/>
  <c r="K9" i="16" s="1"/>
  <c r="AO10" i="16"/>
  <c r="AP10" i="16" s="1"/>
  <c r="AO11" i="16"/>
  <c r="AP11" i="16" s="1"/>
  <c r="J12" i="16" a="1"/>
  <c r="J12" i="16" s="1"/>
  <c r="J13" i="16" a="1"/>
  <c r="J13" i="16" s="1"/>
  <c r="K13" i="16" a="1"/>
  <c r="K13" i="16" s="1"/>
  <c r="J14" i="16" a="1"/>
  <c r="J14" i="16" s="1"/>
  <c r="K14" i="16" a="1"/>
  <c r="K14" i="16" s="1"/>
  <c r="D11" i="14"/>
  <c r="D14" i="14" s="1"/>
  <c r="F11" i="14"/>
  <c r="G11" i="14"/>
  <c r="H11" i="14"/>
  <c r="I11" i="14"/>
  <c r="J11" i="14" s="1"/>
  <c r="J12" i="14" s="1"/>
  <c r="J13" i="14" s="1"/>
  <c r="D12" i="14"/>
  <c r="D15" i="14" s="1"/>
  <c r="F12" i="14"/>
  <c r="G12" i="14"/>
  <c r="H12" i="14"/>
  <c r="H13" i="14" s="1"/>
  <c r="D13" i="14"/>
  <c r="D16" i="14" s="1"/>
  <c r="F13" i="14"/>
  <c r="G13" i="14"/>
  <c r="E14" i="14"/>
  <c r="E15" i="14"/>
  <c r="F15" i="14"/>
  <c r="G15" i="14"/>
  <c r="H15" i="14" s="1"/>
  <c r="I15" i="14" s="1"/>
  <c r="J15" i="14" s="1"/>
  <c r="E16" i="14"/>
  <c r="B24" i="14"/>
  <c r="B25" i="14" s="1"/>
  <c r="F27" i="14"/>
  <c r="F28" i="14"/>
  <c r="F29" i="14" s="1"/>
  <c r="B29" i="14"/>
  <c r="C38" i="14"/>
  <c r="E28" i="14" s="1"/>
  <c r="E29" i="14" s="1"/>
  <c r="C42" i="14"/>
  <c r="C44" i="14"/>
  <c r="F14" i="14" s="1"/>
  <c r="G14" i="14" s="1"/>
  <c r="H14" i="14" s="1"/>
  <c r="I14" i="14" s="1"/>
  <c r="J14" i="14" s="1"/>
  <c r="C45" i="14"/>
  <c r="C46" i="14"/>
  <c r="F16" i="14" s="1"/>
  <c r="G16" i="14" s="1"/>
  <c r="H16" i="14" s="1"/>
  <c r="I16" i="14" s="1"/>
  <c r="J16" i="14" s="1"/>
  <c r="C50" i="14"/>
  <c r="D27" i="14" s="1"/>
  <c r="D28" i="14" s="1"/>
  <c r="D29" i="14" s="1"/>
  <c r="F3" i="14" s="1"/>
  <c r="F4" i="14" s="1"/>
  <c r="H6" i="13"/>
  <c r="H8" i="13" s="1"/>
  <c r="D9" i="13"/>
  <c r="I12" i="13"/>
  <c r="J12" i="13"/>
  <c r="I13" i="13"/>
  <c r="J13" i="13"/>
  <c r="F14" i="13"/>
  <c r="G18" i="18" s="1"/>
  <c r="G14" i="13"/>
  <c r="H14" i="13"/>
  <c r="I14" i="13"/>
  <c r="J14" i="13"/>
  <c r="F15" i="13"/>
  <c r="G21" i="18" s="1"/>
  <c r="G15" i="13"/>
  <c r="H15" i="13"/>
  <c r="I15" i="13"/>
  <c r="J15" i="13"/>
  <c r="G16" i="13"/>
  <c r="H16" i="13"/>
  <c r="H17" i="13" s="1"/>
  <c r="I16" i="13"/>
  <c r="F17" i="13"/>
  <c r="U21" i="18" s="1"/>
  <c r="G17" i="13"/>
  <c r="D19" i="13"/>
  <c r="D20" i="13"/>
  <c r="D22" i="13"/>
  <c r="F40" i="13"/>
  <c r="G40" i="13"/>
  <c r="G57" i="13" s="1"/>
  <c r="H40" i="13"/>
  <c r="H57" i="13" s="1"/>
  <c r="I40" i="13"/>
  <c r="J40" i="13"/>
  <c r="F41" i="13"/>
  <c r="F47" i="13" s="1"/>
  <c r="F49" i="13" s="1"/>
  <c r="F53" i="13" s="1"/>
  <c r="G41" i="13"/>
  <c r="H41" i="13"/>
  <c r="M41" i="13" s="1"/>
  <c r="J41" i="13"/>
  <c r="I41" i="13" s="1"/>
  <c r="F42" i="13"/>
  <c r="G42" i="13"/>
  <c r="H42" i="13"/>
  <c r="H48" i="13" s="1"/>
  <c r="D45" i="13"/>
  <c r="F46" i="13"/>
  <c r="G46" i="13"/>
  <c r="G47" i="13" s="1"/>
  <c r="H46" i="13"/>
  <c r="I46" i="13"/>
  <c r="J46" i="13"/>
  <c r="H47" i="13"/>
  <c r="H49" i="13" s="1"/>
  <c r="H53" i="13" s="1"/>
  <c r="J47" i="13"/>
  <c r="F51" i="13"/>
  <c r="F6" i="13" s="1"/>
  <c r="G51" i="13"/>
  <c r="H51" i="13"/>
  <c r="G52" i="13"/>
  <c r="H52" i="13"/>
  <c r="H7" i="13" s="1"/>
  <c r="H9" i="13" s="1"/>
  <c r="F57" i="13"/>
  <c r="F58" i="13"/>
  <c r="G58" i="13"/>
  <c r="G60" i="13" s="1"/>
  <c r="G10" i="13" s="1"/>
  <c r="H58" i="13"/>
  <c r="F59" i="13"/>
  <c r="F61" i="13" s="1"/>
  <c r="F11" i="13" s="1"/>
  <c r="F21" i="18" s="1"/>
  <c r="G59" i="13"/>
  <c r="G61" i="13" s="1"/>
  <c r="G11" i="13" s="1"/>
  <c r="H59" i="13"/>
  <c r="F60" i="13"/>
  <c r="F10" i="13" s="1"/>
  <c r="F18" i="18" s="1"/>
  <c r="H60" i="13"/>
  <c r="H10" i="13" s="1"/>
  <c r="I10" i="13" s="1"/>
  <c r="H61" i="13"/>
  <c r="H11" i="13" s="1"/>
  <c r="A4" i="12"/>
  <c r="A5" i="12"/>
  <c r="A6" i="12"/>
  <c r="Y7" i="12"/>
  <c r="Y17" i="12"/>
  <c r="Y19" i="12" s="1"/>
  <c r="Y18" i="12"/>
  <c r="Y21" i="12"/>
  <c r="Z21" i="12"/>
  <c r="Z22" i="12"/>
  <c r="I25" i="12"/>
  <c r="L25" i="12"/>
  <c r="M25" i="12"/>
  <c r="N25" i="12"/>
  <c r="R28" i="12"/>
  <c r="O14" i="18" s="1"/>
  <c r="S28" i="12"/>
  <c r="P14" i="18" s="1"/>
  <c r="T28" i="12"/>
  <c r="R14" i="18" s="1"/>
  <c r="R29" i="12"/>
  <c r="S29" i="12"/>
  <c r="T29" i="12"/>
  <c r="R30" i="12"/>
  <c r="O6" i="18" s="1"/>
  <c r="S30" i="12"/>
  <c r="T30" i="12"/>
  <c r="AH30" i="12"/>
  <c r="AH32" i="12" s="1"/>
  <c r="R31" i="12"/>
  <c r="S31" i="12"/>
  <c r="T31" i="12"/>
  <c r="AH31" i="12"/>
  <c r="R32" i="12"/>
  <c r="U32" i="12" s="1"/>
  <c r="S32" i="12"/>
  <c r="T32" i="12"/>
  <c r="AG32" i="12"/>
  <c r="R33" i="12"/>
  <c r="S33" i="12"/>
  <c r="V33" i="12" s="1"/>
  <c r="T33" i="12"/>
  <c r="AG33" i="12"/>
  <c r="R34" i="12"/>
  <c r="S34" i="12"/>
  <c r="T34" i="12"/>
  <c r="R35" i="12"/>
  <c r="S35" i="12"/>
  <c r="T35" i="12"/>
  <c r="R36" i="12"/>
  <c r="S36" i="12"/>
  <c r="T36" i="12"/>
  <c r="F37" i="12"/>
  <c r="F38" i="12" s="1"/>
  <c r="R37" i="12"/>
  <c r="S37" i="12"/>
  <c r="T37" i="12"/>
  <c r="S38" i="12"/>
  <c r="T38" i="12"/>
  <c r="R39" i="12"/>
  <c r="S39" i="12"/>
  <c r="T39" i="12"/>
  <c r="R40" i="12"/>
  <c r="S40" i="12"/>
  <c r="T40" i="12"/>
  <c r="A64" i="12"/>
  <c r="A65" i="12"/>
  <c r="A66" i="12"/>
  <c r="O69" i="12"/>
  <c r="S14" i="18" s="1"/>
  <c r="P69" i="12"/>
  <c r="Q69" i="12"/>
  <c r="O70" i="12"/>
  <c r="P70" i="12"/>
  <c r="Q70" i="12"/>
  <c r="O71" i="12"/>
  <c r="S6" i="18" s="1"/>
  <c r="P71" i="12"/>
  <c r="Q71" i="12"/>
  <c r="O72" i="12"/>
  <c r="P72" i="12"/>
  <c r="Q72" i="12"/>
  <c r="O73" i="12"/>
  <c r="P73" i="12"/>
  <c r="Q73" i="12"/>
  <c r="O74" i="12"/>
  <c r="P74" i="12"/>
  <c r="Q74" i="12"/>
  <c r="O75" i="12"/>
  <c r="P75" i="12"/>
  <c r="Q75" i="12"/>
  <c r="O76" i="12"/>
  <c r="P76" i="12"/>
  <c r="Q76" i="12"/>
  <c r="O77" i="12"/>
  <c r="P77" i="12"/>
  <c r="Q77" i="12"/>
  <c r="O78" i="12"/>
  <c r="P78" i="12"/>
  <c r="Q78" i="12"/>
  <c r="A79" i="12"/>
  <c r="P79" i="12"/>
  <c r="Q79" i="12"/>
  <c r="A80" i="12"/>
  <c r="O80" i="12"/>
  <c r="P80" i="12"/>
  <c r="Q80" i="12"/>
  <c r="O81" i="12"/>
  <c r="P81" i="12"/>
  <c r="Q81" i="12"/>
  <c r="B90" i="12"/>
  <c r="B91" i="12"/>
  <c r="B93" i="12" s="1"/>
  <c r="W14" i="18" s="1"/>
  <c r="B92" i="12"/>
  <c r="D4" i="11"/>
  <c r="D13" i="11" s="1"/>
  <c r="D5" i="11"/>
  <c r="D7" i="11"/>
  <c r="D8" i="11"/>
  <c r="D12" i="11" s="1"/>
  <c r="D17" i="11" s="1"/>
  <c r="D11" i="11"/>
  <c r="D14" i="11"/>
  <c r="C15" i="11"/>
  <c r="C16" i="11" s="1"/>
  <c r="C17" i="11"/>
  <c r="C18" i="11" s="1"/>
  <c r="C19" i="11"/>
  <c r="C20" i="11"/>
  <c r="C21" i="11" s="1"/>
  <c r="C22" i="11" s="1"/>
  <c r="D20" i="11"/>
  <c r="E21" i="11"/>
  <c r="K2" i="10"/>
  <c r="L2" i="10" s="1"/>
  <c r="M2" i="10" s="1"/>
  <c r="N2" i="10"/>
  <c r="O2" i="10" s="1"/>
  <c r="P2" i="10" s="1"/>
  <c r="Q2" i="10"/>
  <c r="R2" i="10" s="1"/>
  <c r="S2" i="10"/>
  <c r="J4" i="10" a="1"/>
  <c r="J4" i="10" s="1"/>
  <c r="K4" i="10" a="1"/>
  <c r="K4" i="10"/>
  <c r="L4" i="10" a="1"/>
  <c r="L4" i="10"/>
  <c r="M4" i="10" a="1"/>
  <c r="M4" i="10" s="1"/>
  <c r="N4" i="10" a="1"/>
  <c r="N4" i="10" s="1"/>
  <c r="P4" i="10" a="1"/>
  <c r="P4" i="10" s="1"/>
  <c r="J5" i="10" a="1"/>
  <c r="J5" i="10" s="1"/>
  <c r="K5" i="10" a="1"/>
  <c r="K5" i="10" s="1"/>
  <c r="L5" i="10" a="1"/>
  <c r="L5" i="10" s="1"/>
  <c r="M5" i="10" a="1"/>
  <c r="M5" i="10" s="1"/>
  <c r="N5" i="10" a="1"/>
  <c r="N5" i="10" s="1"/>
  <c r="O5" i="10" a="1"/>
  <c r="O5" i="10"/>
  <c r="P5" i="10" a="1"/>
  <c r="P5" i="10"/>
  <c r="D6" i="10"/>
  <c r="D7" i="10"/>
  <c r="D8" i="10"/>
  <c r="P8" i="10" a="1"/>
  <c r="P8" i="10" s="1"/>
  <c r="D9" i="10"/>
  <c r="L12" i="10" a="1"/>
  <c r="L12" i="10"/>
  <c r="P14" i="10" a="1"/>
  <c r="P14" i="10" s="1"/>
  <c r="K15" i="10" a="1"/>
  <c r="K15" i="10"/>
  <c r="L15" i="10" a="1"/>
  <c r="L15" i="10" s="1"/>
  <c r="C16" i="10"/>
  <c r="C17" i="10"/>
  <c r="C18" i="10" s="1"/>
  <c r="C19" i="10" s="1"/>
  <c r="J17" i="10"/>
  <c r="K17" i="10"/>
  <c r="L17" i="10"/>
  <c r="M17" i="10"/>
  <c r="N17" i="10"/>
  <c r="O17" i="10"/>
  <c r="P17" i="10"/>
  <c r="Q17" i="10"/>
  <c r="R17" i="10"/>
  <c r="S17" i="10"/>
  <c r="T17" i="10"/>
  <c r="U17" i="10"/>
  <c r="V17" i="10"/>
  <c r="W17" i="10"/>
  <c r="X17" i="10"/>
  <c r="Y17" i="10"/>
  <c r="Z17" i="10"/>
  <c r="AA17" i="10"/>
  <c r="AB17" i="10"/>
  <c r="AC17" i="10"/>
  <c r="AD17" i="10"/>
  <c r="AE17" i="10"/>
  <c r="AF17" i="10"/>
  <c r="AG17" i="10"/>
  <c r="AH17" i="10"/>
  <c r="AI17" i="10"/>
  <c r="AJ17" i="10"/>
  <c r="AK17" i="10"/>
  <c r="AL17" i="10"/>
  <c r="AM17" i="10"/>
  <c r="AN17" i="10"/>
  <c r="AO17" i="10"/>
  <c r="D11" i="8"/>
  <c r="D12" i="8"/>
  <c r="D13" i="8"/>
  <c r="I13" i="8"/>
  <c r="J13" i="8" s="1"/>
  <c r="K13" i="8" s="1"/>
  <c r="L13" i="8" s="1"/>
  <c r="M13" i="8"/>
  <c r="D14" i="8"/>
  <c r="I14" i="8"/>
  <c r="J14" i="8" s="1"/>
  <c r="K14" i="8" s="1"/>
  <c r="L14" i="8" s="1"/>
  <c r="M14" i="8" s="1"/>
  <c r="G18" i="8"/>
  <c r="H18" i="8"/>
  <c r="I18" i="8"/>
  <c r="J18" i="8"/>
  <c r="K18" i="8" s="1"/>
  <c r="L18" i="8" s="1"/>
  <c r="M18" i="8" s="1"/>
  <c r="H19" i="8"/>
  <c r="I19" i="8" s="1"/>
  <c r="J19" i="8"/>
  <c r="K19" i="8" s="1"/>
  <c r="L19" i="8" s="1"/>
  <c r="M19" i="8" s="1"/>
  <c r="H20" i="8"/>
  <c r="I20" i="8"/>
  <c r="J20" i="8" s="1"/>
  <c r="K20" i="8" s="1"/>
  <c r="L20" i="8" s="1"/>
  <c r="M20" i="8" s="1"/>
  <c r="H21" i="8"/>
  <c r="I21" i="8"/>
  <c r="J21" i="8" s="1"/>
  <c r="K21" i="8" s="1"/>
  <c r="L21" i="8" s="1"/>
  <c r="M21" i="8" s="1"/>
  <c r="I28" i="8"/>
  <c r="J28" i="8"/>
  <c r="D29" i="8"/>
  <c r="I29" i="8"/>
  <c r="J29" i="8" s="1"/>
  <c r="B31" i="8"/>
  <c r="G31" i="8"/>
  <c r="B32" i="8"/>
  <c r="G32" i="8"/>
  <c r="D35" i="8"/>
  <c r="I39" i="8"/>
  <c r="J39" i="8"/>
  <c r="J40" i="8" s="1"/>
  <c r="C52" i="8"/>
  <c r="D52" i="8"/>
  <c r="C59" i="8"/>
  <c r="D59" i="8"/>
  <c r="C70" i="8"/>
  <c r="D70" i="8"/>
  <c r="C71" i="8"/>
  <c r="C83" i="8" s="1"/>
  <c r="C72" i="8"/>
  <c r="A75" i="8"/>
  <c r="A76" i="8" s="1"/>
  <c r="C80" i="8"/>
  <c r="C81" i="8" s="1"/>
  <c r="D28" i="8" s="1"/>
  <c r="C84" i="8"/>
  <c r="C87" i="8"/>
  <c r="C91" i="8"/>
  <c r="C96" i="8"/>
  <c r="C97" i="8"/>
  <c r="C99" i="8"/>
  <c r="B101" i="8"/>
  <c r="B106" i="8"/>
  <c r="B109" i="8"/>
  <c r="A111" i="8" s="1"/>
  <c r="A110" i="8"/>
  <c r="D110" i="8"/>
  <c r="D118" i="8" s="1"/>
  <c r="D119" i="8" s="1"/>
  <c r="D122" i="8" s="1"/>
  <c r="D123" i="8" s="1"/>
  <c r="G15" i="8" s="1"/>
  <c r="G16" i="8" s="1"/>
  <c r="D120" i="8"/>
  <c r="E120" i="8"/>
  <c r="F120" i="8"/>
  <c r="C132" i="8"/>
  <c r="C133" i="8"/>
  <c r="C134" i="8"/>
  <c r="C135" i="8"/>
  <c r="V135" i="8"/>
  <c r="R142" i="8"/>
  <c r="R143" i="8"/>
  <c r="R144" i="8"/>
  <c r="R145" i="8"/>
  <c r="R146" i="8"/>
  <c r="R147" i="8"/>
  <c r="R148" i="8"/>
  <c r="R149" i="8"/>
  <c r="R150" i="8"/>
  <c r="R151" i="8"/>
  <c r="R152" i="8"/>
  <c r="R153" i="8"/>
  <c r="O154" i="8"/>
  <c r="P6" i="18" l="1"/>
  <c r="P10" i="18" s="1"/>
  <c r="S75" i="12"/>
  <c r="V40" i="12"/>
  <c r="V36" i="12"/>
  <c r="V32" i="12"/>
  <c r="V35" i="12"/>
  <c r="R6" i="18"/>
  <c r="R10" i="18" s="1"/>
  <c r="R75" i="12"/>
  <c r="U33" i="12"/>
  <c r="R81" i="12"/>
  <c r="S80" i="12"/>
  <c r="R80" i="12"/>
  <c r="U39" i="12"/>
  <c r="R73" i="12"/>
  <c r="V38" i="12"/>
  <c r="R74" i="12"/>
  <c r="R72" i="12"/>
  <c r="V39" i="12"/>
  <c r="R71" i="12"/>
  <c r="S74" i="12"/>
  <c r="U40" i="12"/>
  <c r="U36" i="12"/>
  <c r="R76" i="12"/>
  <c r="R69" i="12"/>
  <c r="U30" i="12"/>
  <c r="S72" i="12"/>
  <c r="V30" i="12"/>
  <c r="S78" i="12"/>
  <c r="U35" i="12"/>
  <c r="V29" i="12"/>
  <c r="S81" i="12"/>
  <c r="S71" i="12"/>
  <c r="U29" i="12"/>
  <c r="S77" i="12"/>
  <c r="S70" i="12"/>
  <c r="V31" i="12"/>
  <c r="U28" i="12"/>
  <c r="S76" i="12"/>
  <c r="R70" i="12"/>
  <c r="U31" i="12"/>
  <c r="C31" i="19"/>
  <c r="E31" i="19" s="1"/>
  <c r="C28" i="19"/>
  <c r="F28" i="19" s="1"/>
  <c r="C29" i="19"/>
  <c r="F29" i="19" s="1"/>
  <c r="M11" i="18"/>
  <c r="F33" i="19"/>
  <c r="D111" i="8"/>
  <c r="D112" i="8" s="1"/>
  <c r="D113" i="8" s="1"/>
  <c r="D116" i="8" s="1"/>
  <c r="E116" i="8" s="1"/>
  <c r="C82" i="8"/>
  <c r="L13" i="10" a="1"/>
  <c r="L13" i="10" s="1"/>
  <c r="P12" i="10" a="1"/>
  <c r="P12" i="10" s="1"/>
  <c r="K7" i="10" a="1"/>
  <c r="K7" i="10" s="1"/>
  <c r="I27" i="8"/>
  <c r="J15" i="10" a="1"/>
  <c r="J15" i="10" s="1"/>
  <c r="J8" i="10" a="1"/>
  <c r="J8" i="10" s="1"/>
  <c r="M14" i="10" a="1"/>
  <c r="M14" i="10" s="1"/>
  <c r="F40" i="12"/>
  <c r="F39" i="12"/>
  <c r="AH33" i="12"/>
  <c r="AI31" i="12"/>
  <c r="AI33" i="12" s="1"/>
  <c r="L14" i="10" a="1"/>
  <c r="L14" i="10" s="1"/>
  <c r="M9" i="10" a="1"/>
  <c r="M9" i="10" s="1"/>
  <c r="R15" i="10" a="1"/>
  <c r="R15" i="10" s="1"/>
  <c r="T2" i="10"/>
  <c r="S4" i="10" a="1"/>
  <c r="S4" i="10" s="1"/>
  <c r="S5" i="10" a="1"/>
  <c r="S5" i="10" s="1"/>
  <c r="C131" i="8"/>
  <c r="T10" i="10" a="1"/>
  <c r="T10" i="10" s="1"/>
  <c r="L3" i="10" a="1"/>
  <c r="L3" i="10" s="1"/>
  <c r="R3" i="10" a="1"/>
  <c r="R3" i="10" s="1"/>
  <c r="M3" i="10" a="1"/>
  <c r="M3" i="10" s="1"/>
  <c r="S3" i="10" a="1"/>
  <c r="S3" i="10" s="1"/>
  <c r="N3" i="10" a="1"/>
  <c r="N3" i="10" s="1"/>
  <c r="T3" i="10" a="1"/>
  <c r="T3" i="10" s="1"/>
  <c r="O3" i="10" a="1"/>
  <c r="O3" i="10" s="1"/>
  <c r="J3" i="10" a="1"/>
  <c r="J3" i="10" s="1"/>
  <c r="P3" i="10" a="1"/>
  <c r="P3" i="10" s="1"/>
  <c r="Q3" i="10" a="1"/>
  <c r="Q3" i="10" s="1"/>
  <c r="N9" i="10" a="1"/>
  <c r="N9" i="10" s="1"/>
  <c r="M10" i="10" a="1"/>
  <c r="M10" i="10" s="1"/>
  <c r="J11" i="10" a="1"/>
  <c r="J11" i="10" s="1"/>
  <c r="R11" i="10" a="1"/>
  <c r="R11" i="10" s="1"/>
  <c r="M12" i="10" a="1"/>
  <c r="M12" i="10" s="1"/>
  <c r="P13" i="10" a="1"/>
  <c r="P13" i="10" s="1"/>
  <c r="J14" i="10" a="1"/>
  <c r="J14" i="10" s="1"/>
  <c r="P15" i="10" a="1"/>
  <c r="P15" i="10" s="1"/>
  <c r="L6" i="10" a="1"/>
  <c r="L6" i="10" s="1"/>
  <c r="J7" i="10" a="1"/>
  <c r="J7" i="10" s="1"/>
  <c r="S7" i="10" a="1"/>
  <c r="S7" i="10" s="1"/>
  <c r="Q8" i="10" a="1"/>
  <c r="Q8" i="10" s="1"/>
  <c r="N10" i="10" a="1"/>
  <c r="N10" i="10" s="1"/>
  <c r="K11" i="10" a="1"/>
  <c r="K11" i="10" s="1"/>
  <c r="N12" i="10" a="1"/>
  <c r="N12" i="10" s="1"/>
  <c r="Q13" i="10" a="1"/>
  <c r="Q13" i="10" s="1"/>
  <c r="Q14" i="10" a="1"/>
  <c r="Q14" i="10" s="1"/>
  <c r="O9" i="10" a="1"/>
  <c r="O9" i="10" s="1"/>
  <c r="O10" i="10" a="1"/>
  <c r="O10" i="10" s="1"/>
  <c r="L11" i="10" a="1"/>
  <c r="L11" i="10" s="1"/>
  <c r="S11" i="10" a="1"/>
  <c r="S11" i="10" s="1"/>
  <c r="O12" i="10" a="1"/>
  <c r="O12" i="10" s="1"/>
  <c r="J13" i="10" a="1"/>
  <c r="J13" i="10" s="1"/>
  <c r="R13" i="10" a="1"/>
  <c r="R13" i="10" s="1"/>
  <c r="K14" i="10" a="1"/>
  <c r="K14" i="10" s="1"/>
  <c r="M6" i="10" a="1"/>
  <c r="M6" i="10" s="1"/>
  <c r="L7" i="10" a="1"/>
  <c r="L7" i="10" s="1"/>
  <c r="T7" i="10" a="1"/>
  <c r="T7" i="10" s="1"/>
  <c r="P9" i="10" a="1"/>
  <c r="P9" i="10" s="1"/>
  <c r="K13" i="10" a="1"/>
  <c r="K13" i="10" s="1"/>
  <c r="R14" i="10" a="1"/>
  <c r="R14" i="10" s="1"/>
  <c r="M7" i="10" a="1"/>
  <c r="M7" i="10" s="1"/>
  <c r="K8" i="10" a="1"/>
  <c r="K8" i="10" s="1"/>
  <c r="Q9" i="10" a="1"/>
  <c r="Q9" i="10" s="1"/>
  <c r="P10" i="10" a="1"/>
  <c r="P10" i="10" s="1"/>
  <c r="M11" i="10" a="1"/>
  <c r="M11" i="10" s="1"/>
  <c r="T11" i="10" a="1"/>
  <c r="T11" i="10" s="1"/>
  <c r="S14" i="10" a="1"/>
  <c r="S14" i="10" s="1"/>
  <c r="S15" i="10" a="1"/>
  <c r="S15" i="10" s="1"/>
  <c r="J12" i="10" a="1"/>
  <c r="J12" i="10" s="1"/>
  <c r="M13" i="10" a="1"/>
  <c r="M13" i="10" s="1"/>
  <c r="N7" i="10" a="1"/>
  <c r="N7" i="10" s="1"/>
  <c r="J9" i="10" a="1"/>
  <c r="J9" i="10" s="1"/>
  <c r="Q10" i="10" a="1"/>
  <c r="Q10" i="10" s="1"/>
  <c r="N11" i="10" a="1"/>
  <c r="N11" i="10" s="1"/>
  <c r="Q12" i="10" a="1"/>
  <c r="Q12" i="10" s="1"/>
  <c r="K9" i="10" a="1"/>
  <c r="K9" i="10" s="1"/>
  <c r="S9" i="10" a="1"/>
  <c r="S9" i="10" s="1"/>
  <c r="J10" i="10" a="1"/>
  <c r="J10" i="10" s="1"/>
  <c r="N14" i="10" a="1"/>
  <c r="N14" i="10" s="1"/>
  <c r="T15" i="10" a="1"/>
  <c r="T15" i="10" s="1"/>
  <c r="K3" i="10" a="1"/>
  <c r="K3" i="10" s="1"/>
  <c r="Q6" i="10" a="1"/>
  <c r="Q6" i="10" s="1"/>
  <c r="O7" i="10" a="1"/>
  <c r="O7" i="10" s="1"/>
  <c r="L9" i="10" a="1"/>
  <c r="L9" i="10" s="1"/>
  <c r="R10" i="10" a="1"/>
  <c r="R10" i="10" s="1"/>
  <c r="O11" i="10" a="1"/>
  <c r="O11" i="10" s="1"/>
  <c r="K12" i="10" a="1"/>
  <c r="K12" i="10" s="1"/>
  <c r="R12" i="10" a="1"/>
  <c r="R12" i="10" s="1"/>
  <c r="N13" i="10" a="1"/>
  <c r="N13" i="10" s="1"/>
  <c r="N15" i="10" a="1"/>
  <c r="N15" i="10" s="1"/>
  <c r="T9" i="10" a="1"/>
  <c r="T9" i="10" s="1"/>
  <c r="K10" i="10" a="1"/>
  <c r="K10" i="10" s="1"/>
  <c r="S10" i="10" a="1"/>
  <c r="S10" i="10" s="1"/>
  <c r="O14" i="10" a="1"/>
  <c r="O14" i="10" s="1"/>
  <c r="Q15" i="10" a="1"/>
  <c r="Q15" i="10" s="1"/>
  <c r="T13" i="10" a="1"/>
  <c r="T13" i="10" s="1"/>
  <c r="L10" i="10" a="1"/>
  <c r="L10" i="10" s="1"/>
  <c r="S13" i="10" a="1"/>
  <c r="S13" i="10" s="1"/>
  <c r="K6" i="10" a="1"/>
  <c r="K6" i="10" s="1"/>
  <c r="O15" i="10" a="1"/>
  <c r="O15" i="10" s="1"/>
  <c r="T12" i="10" a="1"/>
  <c r="T12" i="10" s="1"/>
  <c r="Q11" i="10" a="1"/>
  <c r="Q11" i="10" s="1"/>
  <c r="Q7" i="10" a="1"/>
  <c r="Q7" i="10" s="1"/>
  <c r="D27" i="8"/>
  <c r="M15" i="10" a="1"/>
  <c r="M15" i="10" s="1"/>
  <c r="O13" i="10" a="1"/>
  <c r="O13" i="10" s="1"/>
  <c r="S12" i="10" a="1"/>
  <c r="S12" i="10" s="1"/>
  <c r="P11" i="10" a="1"/>
  <c r="P11" i="10" s="1"/>
  <c r="P7" i="10" a="1"/>
  <c r="P7" i="10" s="1"/>
  <c r="I17" i="13"/>
  <c r="J16" i="13"/>
  <c r="J17" i="13" s="1"/>
  <c r="O6" i="10" a="1"/>
  <c r="O6" i="10" s="1"/>
  <c r="J6" i="10" a="1"/>
  <c r="J6" i="10" s="1"/>
  <c r="P6" i="10" a="1"/>
  <c r="P6" i="10" s="1"/>
  <c r="N6" i="10" a="1"/>
  <c r="N6" i="10" s="1"/>
  <c r="T6" i="10" a="1"/>
  <c r="T6" i="10" s="1"/>
  <c r="Q5" i="10" a="1"/>
  <c r="Q5" i="10" s="1"/>
  <c r="S79" i="12"/>
  <c r="L8" i="10" a="1"/>
  <c r="L8" i="10" s="1"/>
  <c r="J10" i="13"/>
  <c r="I11" i="13"/>
  <c r="J11" i="13" s="1"/>
  <c r="E30" i="14"/>
  <c r="H3" i="14"/>
  <c r="D24" i="19"/>
  <c r="Q4" i="10" a="1"/>
  <c r="Q4" i="10" s="1"/>
  <c r="E35" i="19"/>
  <c r="F35" i="19"/>
  <c r="O10" i="18"/>
  <c r="G6" i="13"/>
  <c r="G8" i="13" s="1"/>
  <c r="F8" i="13"/>
  <c r="I3" i="14"/>
  <c r="I4" i="14" s="1"/>
  <c r="F30" i="14"/>
  <c r="J3" i="14"/>
  <c r="J4" i="14" s="1"/>
  <c r="O4" i="10" a="1"/>
  <c r="O4" i="10" s="1"/>
  <c r="S10" i="18"/>
  <c r="N8" i="10" a="1"/>
  <c r="N8" i="10" s="1"/>
  <c r="T8" i="10" a="1"/>
  <c r="T8" i="10" s="1"/>
  <c r="O8" i="10" a="1"/>
  <c r="O8" i="10" s="1"/>
  <c r="M8" i="10" a="1"/>
  <c r="M8" i="10" s="1"/>
  <c r="S8" i="10" a="1"/>
  <c r="S8" i="10" s="1"/>
  <c r="V37" i="12"/>
  <c r="U37" i="12"/>
  <c r="V34" i="12"/>
  <c r="U34" i="12"/>
  <c r="F48" i="13"/>
  <c r="F50" i="13" s="1"/>
  <c r="F54" i="13" s="1"/>
  <c r="F52" i="13"/>
  <c r="F7" i="13" s="1"/>
  <c r="E34" i="19"/>
  <c r="F34" i="19"/>
  <c r="S6" i="10" a="1"/>
  <c r="S6" i="10" s="1"/>
  <c r="R77" i="12"/>
  <c r="J49" i="13"/>
  <c r="J53" i="13" s="1"/>
  <c r="I51" i="13"/>
  <c r="I6" i="13" s="1"/>
  <c r="I8" i="13" s="1"/>
  <c r="I47" i="13"/>
  <c r="I49" i="13" s="1"/>
  <c r="I53" i="13" s="1"/>
  <c r="J51" i="13"/>
  <c r="J6" i="13" s="1"/>
  <c r="J8" i="13" s="1"/>
  <c r="G48" i="13"/>
  <c r="G50" i="13" s="1"/>
  <c r="G54" i="13" s="1"/>
  <c r="I12" i="14"/>
  <c r="I13" i="14" s="1"/>
  <c r="H50" i="13"/>
  <c r="H54" i="13" s="1"/>
  <c r="E20" i="19"/>
  <c r="F20" i="19"/>
  <c r="M42" i="13"/>
  <c r="J42" i="13" s="1"/>
  <c r="I42" i="13" s="1"/>
  <c r="L2" i="16"/>
  <c r="K8" i="16" a="1"/>
  <c r="K8" i="16" s="1"/>
  <c r="K12" i="16" a="1"/>
  <c r="K12" i="16" s="1"/>
  <c r="F23" i="19"/>
  <c r="E23" i="19"/>
  <c r="S73" i="12"/>
  <c r="C12" i="19"/>
  <c r="S69" i="12"/>
  <c r="V28" i="12"/>
  <c r="Y23" i="12"/>
  <c r="Y24" i="12" s="1"/>
  <c r="R78" i="12"/>
  <c r="E32" i="19"/>
  <c r="F32" i="19"/>
  <c r="AI30" i="12"/>
  <c r="AI32" i="12" s="1"/>
  <c r="G49" i="13"/>
  <c r="G53" i="13" s="1"/>
  <c r="E19" i="19"/>
  <c r="F19" i="19"/>
  <c r="C14" i="19"/>
  <c r="C21" i="19"/>
  <c r="C11" i="19"/>
  <c r="C26" i="19"/>
  <c r="F16" i="19"/>
  <c r="C10" i="19"/>
  <c r="D27" i="19"/>
  <c r="C25" i="19"/>
  <c r="E28" i="19" l="1"/>
  <c r="F31" i="19"/>
  <c r="E29" i="19"/>
  <c r="I52" i="13"/>
  <c r="I7" i="13" s="1"/>
  <c r="I9" i="13" s="1"/>
  <c r="I48" i="13"/>
  <c r="I50" i="13" s="1"/>
  <c r="I54" i="13" s="1"/>
  <c r="E25" i="19"/>
  <c r="F25" i="19"/>
  <c r="C25" i="8"/>
  <c r="F31" i="8"/>
  <c r="F32" i="8"/>
  <c r="E10" i="19"/>
  <c r="F10" i="19"/>
  <c r="E12" i="19"/>
  <c r="F12" i="19"/>
  <c r="U2" i="10"/>
  <c r="T4" i="10" a="1"/>
  <c r="T4" i="10" s="1"/>
  <c r="T5" i="10" a="1"/>
  <c r="T5" i="10" s="1"/>
  <c r="T14" i="10" a="1"/>
  <c r="T14" i="10" s="1"/>
  <c r="E14" i="19"/>
  <c r="F14" i="19"/>
  <c r="C17" i="19"/>
  <c r="G3" i="14"/>
  <c r="G4" i="14" s="1"/>
  <c r="H4" i="14"/>
  <c r="C15" i="19"/>
  <c r="C9" i="19"/>
  <c r="D31" i="8"/>
  <c r="G11" i="8" s="1"/>
  <c r="C24" i="19"/>
  <c r="E21" i="19"/>
  <c r="F21" i="19"/>
  <c r="G7" i="13"/>
  <c r="G9" i="13" s="1"/>
  <c r="F9" i="13"/>
  <c r="L9" i="16" a="1"/>
  <c r="L9" i="16" s="1"/>
  <c r="M2" i="16"/>
  <c r="L8" i="16" a="1"/>
  <c r="L8" i="16" s="1"/>
  <c r="L12" i="16" a="1"/>
  <c r="L12" i="16" s="1"/>
  <c r="L14" i="16" a="1"/>
  <c r="L14" i="16" s="1"/>
  <c r="L13" i="16" a="1"/>
  <c r="L13" i="16" s="1"/>
  <c r="D32" i="8"/>
  <c r="G12" i="8" s="1"/>
  <c r="J52" i="13"/>
  <c r="J7" i="13" s="1"/>
  <c r="J9" i="13" s="1"/>
  <c r="J48" i="13"/>
  <c r="J50" i="13" s="1"/>
  <c r="J54" i="13" s="1"/>
  <c r="W6" i="18"/>
  <c r="F42" i="12"/>
  <c r="C27" i="19"/>
  <c r="E26" i="19"/>
  <c r="F26" i="19"/>
  <c r="E11" i="19"/>
  <c r="F11" i="19"/>
  <c r="F43" i="12"/>
  <c r="F41" i="12"/>
  <c r="E118" i="8"/>
  <c r="E119" i="8" s="1"/>
  <c r="E122" i="8" s="1"/>
  <c r="E123" i="8" s="1"/>
  <c r="H15" i="8" s="1"/>
  <c r="F116" i="8"/>
  <c r="F118" i="8" s="1"/>
  <c r="F119" i="8" s="1"/>
  <c r="F122" i="8" s="1"/>
  <c r="F123" i="8" s="1"/>
  <c r="J15" i="8" s="1"/>
  <c r="H25" i="8"/>
  <c r="G10" i="8" s="1"/>
  <c r="D36" i="8"/>
  <c r="G5" i="8" s="1"/>
  <c r="I32" i="8"/>
  <c r="G14" i="8" s="1"/>
  <c r="R7" i="10" s="1" a="1"/>
  <c r="R7" i="10" s="1"/>
  <c r="I31" i="8"/>
  <c r="G13" i="8" s="1"/>
  <c r="R6" i="10" s="1" a="1"/>
  <c r="R6" i="10" s="1"/>
  <c r="I15" i="8" l="1"/>
  <c r="H16" i="8"/>
  <c r="O15" i="8"/>
  <c r="E24" i="19"/>
  <c r="F24" i="19"/>
  <c r="X6" i="18"/>
  <c r="X10" i="18" s="1"/>
  <c r="F44" i="12"/>
  <c r="N2" i="16"/>
  <c r="M9" i="16" a="1"/>
  <c r="M9" i="16" s="1"/>
  <c r="M12" i="16" a="1"/>
  <c r="M12" i="16" s="1"/>
  <c r="M14" i="16" a="1"/>
  <c r="M14" i="16" s="1"/>
  <c r="M13" i="16" a="1"/>
  <c r="M13" i="16" s="1"/>
  <c r="M8" i="16" a="1"/>
  <c r="M8" i="16" s="1"/>
  <c r="K15" i="8"/>
  <c r="Q15" i="8"/>
  <c r="J16" i="8"/>
  <c r="H11" i="8"/>
  <c r="I11" i="8" s="1"/>
  <c r="J11" i="8" s="1"/>
  <c r="K11" i="8" s="1"/>
  <c r="L11" i="8" s="1"/>
  <c r="M11" i="8" s="1"/>
  <c r="R8" i="10" a="1"/>
  <c r="R8" i="10" s="1"/>
  <c r="V2" i="10"/>
  <c r="U5" i="10" a="1"/>
  <c r="U5" i="10" s="1"/>
  <c r="U9" i="10" a="1"/>
  <c r="U9" i="10" s="1"/>
  <c r="U4" i="10" a="1"/>
  <c r="U4" i="10" s="1"/>
  <c r="U8" i="10" a="1"/>
  <c r="U8" i="10" s="1"/>
  <c r="U7" i="10" a="1"/>
  <c r="U7" i="10" s="1"/>
  <c r="U12" i="10" a="1"/>
  <c r="U12" i="10" s="1"/>
  <c r="U3" i="10" a="1"/>
  <c r="U3" i="10" s="1"/>
  <c r="U15" i="10" a="1"/>
  <c r="U15" i="10" s="1"/>
  <c r="U10" i="10" a="1"/>
  <c r="U10" i="10" s="1"/>
  <c r="U6" i="10" a="1"/>
  <c r="U6" i="10" s="1"/>
  <c r="U13" i="10" a="1"/>
  <c r="U13" i="10" s="1"/>
  <c r="U11" i="10" a="1"/>
  <c r="U11" i="10" s="1"/>
  <c r="U14" i="10" a="1"/>
  <c r="U14" i="10" s="1"/>
  <c r="W10" i="18"/>
  <c r="E27" i="19"/>
  <c r="F27" i="19"/>
  <c r="E17" i="19"/>
  <c r="F17" i="19"/>
  <c r="H5" i="8"/>
  <c r="I5" i="8" s="1"/>
  <c r="J5" i="8" s="1"/>
  <c r="K5" i="8" s="1"/>
  <c r="L5" i="8" s="1"/>
  <c r="M5" i="8" s="1"/>
  <c r="R4" i="10" a="1"/>
  <c r="R4" i="10" s="1"/>
  <c r="H10" i="8"/>
  <c r="I10" i="8" s="1"/>
  <c r="J10" i="8" s="1"/>
  <c r="K10" i="8" s="1"/>
  <c r="L10" i="8" s="1"/>
  <c r="M10" i="8" s="1"/>
  <c r="R5" i="10" a="1"/>
  <c r="R5" i="10" s="1"/>
  <c r="E9" i="19"/>
  <c r="F9" i="19"/>
  <c r="E15" i="19"/>
  <c r="F15" i="19"/>
  <c r="H12" i="8"/>
  <c r="I12" i="8" s="1"/>
  <c r="J12" i="8" s="1"/>
  <c r="K12" i="8" s="1"/>
  <c r="L12" i="8" s="1"/>
  <c r="M12" i="8" s="1"/>
  <c r="R9" i="10" a="1"/>
  <c r="R9" i="10" s="1"/>
  <c r="N8" i="16" l="1" a="1"/>
  <c r="N8" i="16" s="1"/>
  <c r="O2" i="16"/>
  <c r="N9" i="16" a="1"/>
  <c r="N9" i="16" s="1"/>
  <c r="N14" i="16" a="1"/>
  <c r="N14" i="16" s="1"/>
  <c r="N12" i="16" a="1"/>
  <c r="N12" i="16" s="1"/>
  <c r="N13" i="16" a="1"/>
  <c r="N13" i="16" s="1"/>
  <c r="K16" i="8"/>
  <c r="L16" i="8" s="1"/>
  <c r="M16" i="8" s="1"/>
  <c r="L15" i="8"/>
  <c r="M15" i="8" s="1"/>
  <c r="R15" i="8"/>
  <c r="W2" i="10"/>
  <c r="V4" i="10" a="1"/>
  <c r="V4" i="10" s="1"/>
  <c r="V5" i="10" a="1"/>
  <c r="V5" i="10" s="1"/>
  <c r="V15" i="10" a="1"/>
  <c r="V15" i="10" s="1"/>
  <c r="V7" i="10" a="1"/>
  <c r="V7" i="10" s="1"/>
  <c r="V10" i="10" a="1"/>
  <c r="V10" i="10" s="1"/>
  <c r="V6" i="10" a="1"/>
  <c r="V6" i="10" s="1"/>
  <c r="V13" i="10" a="1"/>
  <c r="V13" i="10" s="1"/>
  <c r="V11" i="10" a="1"/>
  <c r="V11" i="10" s="1"/>
  <c r="V8" i="10" a="1"/>
  <c r="V8" i="10" s="1"/>
  <c r="V12" i="10" a="1"/>
  <c r="V12" i="10" s="1"/>
  <c r="V9" i="10" a="1"/>
  <c r="V9" i="10" s="1"/>
  <c r="V3" i="10" a="1"/>
  <c r="V3" i="10" s="1"/>
  <c r="V14" i="10" a="1"/>
  <c r="V14" i="10" s="1"/>
  <c r="I16" i="8"/>
  <c r="P15" i="8"/>
  <c r="X2" i="10" l="1"/>
  <c r="W4" i="10" a="1"/>
  <c r="W4" i="10" s="1"/>
  <c r="W5" i="10" a="1"/>
  <c r="W5" i="10" s="1"/>
  <c r="W3" i="10" a="1"/>
  <c r="W3" i="10" s="1"/>
  <c r="W15" i="10" a="1"/>
  <c r="W15" i="10" s="1"/>
  <c r="W12" i="10" a="1"/>
  <c r="W12" i="10" s="1"/>
  <c r="W11" i="10" a="1"/>
  <c r="W11" i="10" s="1"/>
  <c r="W13" i="10" a="1"/>
  <c r="W13" i="10" s="1"/>
  <c r="W10" i="10" a="1"/>
  <c r="W10" i="10" s="1"/>
  <c r="W9" i="10" a="1"/>
  <c r="W9" i="10" s="1"/>
  <c r="W7" i="10" a="1"/>
  <c r="W7" i="10" s="1"/>
  <c r="W14" i="10" a="1"/>
  <c r="W14" i="10" s="1"/>
  <c r="W8" i="10" a="1"/>
  <c r="W8" i="10" s="1"/>
  <c r="W6" i="10" a="1"/>
  <c r="W6" i="10" s="1"/>
  <c r="O8" i="16" a="1"/>
  <c r="O8" i="16" s="1"/>
  <c r="O12" i="16" a="1"/>
  <c r="O12" i="16" s="1"/>
  <c r="P2" i="16"/>
  <c r="O9" i="16" a="1"/>
  <c r="O9" i="16" s="1"/>
  <c r="O14" i="16" a="1"/>
  <c r="O14" i="16" s="1"/>
  <c r="O13" i="16" a="1"/>
  <c r="O13" i="16" s="1"/>
  <c r="Q2" i="16" l="1"/>
  <c r="P8" i="16" a="1"/>
  <c r="P8" i="16" s="1"/>
  <c r="P9" i="16" a="1"/>
  <c r="P9" i="16" s="1"/>
  <c r="P14" i="16" a="1"/>
  <c r="P14" i="16" s="1"/>
  <c r="P13" i="16" a="1"/>
  <c r="P13" i="16" s="1"/>
  <c r="P12" i="16" a="1"/>
  <c r="P12" i="16" s="1"/>
  <c r="Y2" i="10"/>
  <c r="X4" i="10" a="1"/>
  <c r="X4" i="10" s="1"/>
  <c r="X5" i="10" a="1"/>
  <c r="X5" i="10" s="1"/>
  <c r="X15" i="10" a="1"/>
  <c r="X15" i="10" s="1"/>
  <c r="X10" i="10" a="1"/>
  <c r="X10" i="10" s="1"/>
  <c r="X12" i="10" a="1"/>
  <c r="X12" i="10" s="1"/>
  <c r="X7" i="10" a="1"/>
  <c r="X7" i="10" s="1"/>
  <c r="X11" i="10" a="1"/>
  <c r="X11" i="10" s="1"/>
  <c r="X14" i="10" a="1"/>
  <c r="X14" i="10" s="1"/>
  <c r="X13" i="10" a="1"/>
  <c r="X13" i="10" s="1"/>
  <c r="X3" i="10" a="1"/>
  <c r="X3" i="10" s="1"/>
  <c r="X9" i="10" a="1"/>
  <c r="X9" i="10" s="1"/>
  <c r="X6" i="10" a="1"/>
  <c r="X6" i="10" s="1"/>
  <c r="X8" i="10" a="1"/>
  <c r="X8" i="10" s="1"/>
  <c r="Z2" i="10" l="1"/>
  <c r="Y4" i="10" a="1"/>
  <c r="Y4" i="10" s="1"/>
  <c r="Y5" i="10" a="1"/>
  <c r="Y5" i="10" s="1"/>
  <c r="Y7" i="10" a="1"/>
  <c r="Y7" i="10" s="1"/>
  <c r="Y11" i="10" a="1"/>
  <c r="Y11" i="10" s="1"/>
  <c r="Y14" i="10" a="1"/>
  <c r="Y14" i="10" s="1"/>
  <c r="Y6" i="10" a="1"/>
  <c r="Y6" i="10" s="1"/>
  <c r="Y15" i="10" a="1"/>
  <c r="Y15" i="10" s="1"/>
  <c r="Y10" i="10" a="1"/>
  <c r="Y10" i="10" s="1"/>
  <c r="Y12" i="10" a="1"/>
  <c r="Y12" i="10" s="1"/>
  <c r="Y13" i="10" a="1"/>
  <c r="Y13" i="10" s="1"/>
  <c r="Y8" i="10" a="1"/>
  <c r="Y8" i="10" s="1"/>
  <c r="Y9" i="10" a="1"/>
  <c r="Y9" i="10" s="1"/>
  <c r="Y3" i="10" a="1"/>
  <c r="Y3" i="10" s="1"/>
  <c r="Q8" i="16" a="1"/>
  <c r="Q8" i="16" s="1"/>
  <c r="Q12" i="16" a="1"/>
  <c r="Q12" i="16" s="1"/>
  <c r="Q13" i="16" a="1"/>
  <c r="Q13" i="16" s="1"/>
  <c r="Q9" i="16" a="1"/>
  <c r="Q9" i="16" s="1"/>
  <c r="R2" i="16"/>
  <c r="Q14" i="16" a="1"/>
  <c r="Q14" i="16" s="1"/>
  <c r="R9" i="16" l="1" a="1"/>
  <c r="R9" i="16" s="1"/>
  <c r="S2" i="16"/>
  <c r="R8" i="16" a="1"/>
  <c r="R8" i="16" s="1"/>
  <c r="R13" i="16" a="1"/>
  <c r="R13" i="16" s="1"/>
  <c r="R12" i="16" a="1"/>
  <c r="R12" i="16" s="1"/>
  <c r="R14" i="16" a="1"/>
  <c r="R14" i="16" s="1"/>
  <c r="AA2" i="10"/>
  <c r="Z4" i="10" a="1"/>
  <c r="Z4" i="10" s="1"/>
  <c r="Z5" i="10" a="1"/>
  <c r="Z5" i="10" s="1"/>
  <c r="Z8" i="10" a="1"/>
  <c r="Z8" i="10" s="1"/>
  <c r="Z6" i="10" a="1"/>
  <c r="Z6" i="10" s="1"/>
  <c r="Z7" i="10" a="1"/>
  <c r="Z7" i="10" s="1"/>
  <c r="Z9" i="10" a="1"/>
  <c r="Z9" i="10" s="1"/>
  <c r="Z12" i="10" a="1"/>
  <c r="Z12" i="10" s="1"/>
  <c r="Z14" i="10" a="1"/>
  <c r="Z14" i="10" s="1"/>
  <c r="Z11" i="10" a="1"/>
  <c r="Z11" i="10" s="1"/>
  <c r="Z15" i="10" a="1"/>
  <c r="Z15" i="10" s="1"/>
  <c r="Z13" i="10" a="1"/>
  <c r="Z13" i="10" s="1"/>
  <c r="Z3" i="10" a="1"/>
  <c r="Z3" i="10" s="1"/>
  <c r="Z10" i="10" a="1"/>
  <c r="Z10" i="10" s="1"/>
  <c r="S9" i="16" l="1" a="1"/>
  <c r="S9" i="16" s="1"/>
  <c r="T2" i="16"/>
  <c r="S8" i="16" a="1"/>
  <c r="S8" i="16" s="1"/>
  <c r="S13" i="16" a="1"/>
  <c r="S13" i="16" s="1"/>
  <c r="S12" i="16" a="1"/>
  <c r="S12" i="16" s="1"/>
  <c r="S14" i="16" a="1"/>
  <c r="S14" i="16" s="1"/>
  <c r="AB2" i="10"/>
  <c r="AA4" i="10" a="1"/>
  <c r="AA4" i="10" s="1"/>
  <c r="AA5" i="10" a="1"/>
  <c r="AA5" i="10" s="1"/>
  <c r="AA3" i="10" a="1"/>
  <c r="AA3" i="10" s="1"/>
  <c r="AA6" i="10" a="1"/>
  <c r="AA6" i="10" s="1"/>
  <c r="AA14" i="10" a="1"/>
  <c r="AA14" i="10" s="1"/>
  <c r="AA13" i="10" a="1"/>
  <c r="AA13" i="10" s="1"/>
  <c r="AA12" i="10" a="1"/>
  <c r="AA12" i="10" s="1"/>
  <c r="AA7" i="10" a="1"/>
  <c r="AA7" i="10" s="1"/>
  <c r="AA8" i="10" a="1"/>
  <c r="AA8" i="10" s="1"/>
  <c r="AA11" i="10" a="1"/>
  <c r="AA11" i="10" s="1"/>
  <c r="AA10" i="10" a="1"/>
  <c r="AA10" i="10" s="1"/>
  <c r="AA15" i="10" a="1"/>
  <c r="AA15" i="10" s="1"/>
  <c r="AA9" i="10" a="1"/>
  <c r="AA9" i="10" s="1"/>
  <c r="AC2" i="10" l="1"/>
  <c r="AB4" i="10" a="1"/>
  <c r="AB4" i="10" s="1"/>
  <c r="AB5" i="10" a="1"/>
  <c r="AB5" i="10" s="1"/>
  <c r="AB13" i="10" a="1"/>
  <c r="AB13" i="10" s="1"/>
  <c r="AB11" i="10" a="1"/>
  <c r="AB11" i="10" s="1"/>
  <c r="AB10" i="10" a="1"/>
  <c r="AB10" i="10" s="1"/>
  <c r="AB14" i="10" a="1"/>
  <c r="AB14" i="10" s="1"/>
  <c r="AB8" i="10" a="1"/>
  <c r="AB8" i="10" s="1"/>
  <c r="AB12" i="10" a="1"/>
  <c r="AB12" i="10" s="1"/>
  <c r="AB7" i="10" a="1"/>
  <c r="AB7" i="10" s="1"/>
  <c r="AB6" i="10" a="1"/>
  <c r="AB6" i="10" s="1"/>
  <c r="AB9" i="10" a="1"/>
  <c r="AB9" i="10" s="1"/>
  <c r="AB3" i="10" a="1"/>
  <c r="AB3" i="10" s="1"/>
  <c r="AB15" i="10" a="1"/>
  <c r="AB15" i="10" s="1"/>
  <c r="T8" i="16" a="1"/>
  <c r="T8" i="16" s="1"/>
  <c r="T9" i="16" a="1"/>
  <c r="T9" i="16" s="1"/>
  <c r="U2" i="16"/>
  <c r="T13" i="16" a="1"/>
  <c r="T13" i="16" s="1"/>
  <c r="T14" i="16" a="1"/>
  <c r="T14" i="16" s="1"/>
  <c r="T12" i="16" a="1"/>
  <c r="T12" i="16" s="1"/>
  <c r="U8" i="16" l="1" a="1"/>
  <c r="U8" i="16" s="1"/>
  <c r="U9" i="16" a="1"/>
  <c r="U9" i="16" s="1"/>
  <c r="V2" i="16"/>
  <c r="U14" i="16" a="1"/>
  <c r="U14" i="16" s="1"/>
  <c r="U13" i="16" a="1"/>
  <c r="U13" i="16" s="1"/>
  <c r="U12" i="16" a="1"/>
  <c r="U12" i="16" s="1"/>
  <c r="AC5" i="10" a="1"/>
  <c r="AC5" i="10" s="1"/>
  <c r="AD2" i="10"/>
  <c r="AC4" i="10" a="1"/>
  <c r="AC4" i="10" s="1"/>
  <c r="AC9" i="10" a="1"/>
  <c r="AC9" i="10" s="1"/>
  <c r="AC3" i="10" a="1"/>
  <c r="AC3" i="10" s="1"/>
  <c r="AC15" i="10" a="1"/>
  <c r="AC15" i="10" s="1"/>
  <c r="AC7" i="10" a="1"/>
  <c r="AC7" i="10" s="1"/>
  <c r="AC13" i="10" a="1"/>
  <c r="AC13" i="10" s="1"/>
  <c r="AC12" i="10" a="1"/>
  <c r="AC12" i="10" s="1"/>
  <c r="AC6" i="10" a="1"/>
  <c r="AC6" i="10" s="1"/>
  <c r="AC8" i="10" a="1"/>
  <c r="AC8" i="10" s="1"/>
  <c r="AC14" i="10" a="1"/>
  <c r="AC14" i="10" s="1"/>
  <c r="AC10" i="10" a="1"/>
  <c r="AC10" i="10" s="1"/>
  <c r="AC11" i="10" a="1"/>
  <c r="AC11" i="10" s="1"/>
  <c r="AE2" i="10" l="1"/>
  <c r="AD4" i="10" a="1"/>
  <c r="AD4" i="10" s="1"/>
  <c r="AD5" i="10" a="1"/>
  <c r="AD5" i="10" s="1"/>
  <c r="AD7" i="10" a="1"/>
  <c r="AD7" i="10" s="1"/>
  <c r="AD15" i="10" a="1"/>
  <c r="AD15" i="10" s="1"/>
  <c r="AD10" i="10" a="1"/>
  <c r="AD10" i="10" s="1"/>
  <c r="AD6" i="10" a="1"/>
  <c r="AD6" i="10" s="1"/>
  <c r="AD11" i="10" a="1"/>
  <c r="AD11" i="10" s="1"/>
  <c r="AD12" i="10" a="1"/>
  <c r="AD12" i="10" s="1"/>
  <c r="AD9" i="10" a="1"/>
  <c r="AD9" i="10" s="1"/>
  <c r="AD13" i="10" a="1"/>
  <c r="AD13" i="10" s="1"/>
  <c r="AD3" i="10" a="1"/>
  <c r="AD3" i="10" s="1"/>
  <c r="AD8" i="10" a="1"/>
  <c r="AD8" i="10" s="1"/>
  <c r="AD14" i="10" a="1"/>
  <c r="AD14" i="10" s="1"/>
  <c r="V8" i="16" a="1"/>
  <c r="V8" i="16" s="1"/>
  <c r="V9" i="16" a="1"/>
  <c r="V9" i="16" s="1"/>
  <c r="V12" i="16" a="1"/>
  <c r="V12" i="16" s="1"/>
  <c r="V14" i="16" a="1"/>
  <c r="V14" i="16" s="1"/>
  <c r="V13" i="16" a="1"/>
  <c r="V13" i="16" s="1"/>
  <c r="W2" i="16"/>
  <c r="W8" i="16" l="1" a="1"/>
  <c r="W8" i="16" s="1"/>
  <c r="W12" i="16" a="1"/>
  <c r="W12" i="16" s="1"/>
  <c r="W14" i="16" a="1"/>
  <c r="W14" i="16" s="1"/>
  <c r="W13" i="16" a="1"/>
  <c r="W13" i="16" s="1"/>
  <c r="W9" i="16" a="1"/>
  <c r="W9" i="16" s="1"/>
  <c r="X2" i="16"/>
  <c r="AE4" i="10" a="1"/>
  <c r="AE4" i="10" s="1"/>
  <c r="AF2" i="10"/>
  <c r="AE5" i="10" a="1"/>
  <c r="AE5" i="10" s="1"/>
  <c r="AE15" i="10" a="1"/>
  <c r="AE15" i="10" s="1"/>
  <c r="AE3" i="10" a="1"/>
  <c r="AE3" i="10" s="1"/>
  <c r="AE9" i="10" a="1"/>
  <c r="AE9" i="10" s="1"/>
  <c r="AE10" i="10" a="1"/>
  <c r="AE10" i="10" s="1"/>
  <c r="AE7" i="10" a="1"/>
  <c r="AE7" i="10" s="1"/>
  <c r="AE13" i="10" a="1"/>
  <c r="AE13" i="10" s="1"/>
  <c r="AE11" i="10" a="1"/>
  <c r="AE11" i="10" s="1"/>
  <c r="AE12" i="10" a="1"/>
  <c r="AE12" i="10" s="1"/>
  <c r="AE6" i="10" a="1"/>
  <c r="AE6" i="10" s="1"/>
  <c r="AE8" i="10" a="1"/>
  <c r="AE8" i="10" s="1"/>
  <c r="AE14" i="10" a="1"/>
  <c r="AE14" i="10" s="1"/>
  <c r="AG2" i="10" l="1"/>
  <c r="AF4" i="10" a="1"/>
  <c r="AF4" i="10" s="1"/>
  <c r="AF5" i="10" a="1"/>
  <c r="AF5" i="10" s="1"/>
  <c r="AF13" i="10" a="1"/>
  <c r="AF13" i="10" s="1"/>
  <c r="AF14" i="10" a="1"/>
  <c r="AF14" i="10" s="1"/>
  <c r="AF11" i="10" a="1"/>
  <c r="AF11" i="10" s="1"/>
  <c r="AF6" i="10" a="1"/>
  <c r="AF6" i="10" s="1"/>
  <c r="AF15" i="10" a="1"/>
  <c r="AF15" i="10" s="1"/>
  <c r="AF9" i="10" a="1"/>
  <c r="AF9" i="10" s="1"/>
  <c r="AF7" i="10" a="1"/>
  <c r="AF7" i="10" s="1"/>
  <c r="AF3" i="10" a="1"/>
  <c r="AF3" i="10" s="1"/>
  <c r="AF10" i="10" a="1"/>
  <c r="AF10" i="10" s="1"/>
  <c r="AF12" i="10" a="1"/>
  <c r="AF12" i="10" s="1"/>
  <c r="AF8" i="10" a="1"/>
  <c r="AF8" i="10" s="1"/>
  <c r="Y2" i="16"/>
  <c r="X9" i="16" a="1"/>
  <c r="X9" i="16" s="1"/>
  <c r="X8" i="16" a="1"/>
  <c r="X8" i="16" s="1"/>
  <c r="X12" i="16" a="1"/>
  <c r="X12" i="16" s="1"/>
  <c r="X14" i="16" a="1"/>
  <c r="X14" i="16" s="1"/>
  <c r="X13" i="16" a="1"/>
  <c r="X13" i="16" s="1"/>
  <c r="Z2" i="16" l="1"/>
  <c r="Y9" i="16" a="1"/>
  <c r="Y9" i="16" s="1"/>
  <c r="Y12" i="16" a="1"/>
  <c r="Y12" i="16" s="1"/>
  <c r="Y14" i="16" a="1"/>
  <c r="Y14" i="16" s="1"/>
  <c r="Y13" i="16" a="1"/>
  <c r="Y13" i="16" s="1"/>
  <c r="Y8" i="16" a="1"/>
  <c r="Y8" i="16" s="1"/>
  <c r="AH2" i="10"/>
  <c r="AG4" i="10" a="1"/>
  <c r="AG4" i="10" s="1"/>
  <c r="AG5" i="10" a="1"/>
  <c r="AG5" i="10" s="1"/>
  <c r="AG14" i="10" a="1"/>
  <c r="AG14" i="10" s="1"/>
  <c r="AG9" i="10" a="1"/>
  <c r="AG9" i="10" s="1"/>
  <c r="AG6" i="10" a="1"/>
  <c r="AG6" i="10" s="1"/>
  <c r="AG15" i="10" a="1"/>
  <c r="AG15" i="10" s="1"/>
  <c r="AG8" i="10" a="1"/>
  <c r="AG8" i="10" s="1"/>
  <c r="AG13" i="10" a="1"/>
  <c r="AG13" i="10" s="1"/>
  <c r="AG10" i="10" a="1"/>
  <c r="AG10" i="10" s="1"/>
  <c r="AG3" i="10" a="1"/>
  <c r="AG3" i="10" s="1"/>
  <c r="AG7" i="10" a="1"/>
  <c r="AG7" i="10" s="1"/>
  <c r="AG11" i="10" a="1"/>
  <c r="AG11" i="10" s="1"/>
  <c r="AG12" i="10" a="1"/>
  <c r="AG12" i="10" s="1"/>
  <c r="AI2" i="10" l="1"/>
  <c r="AH4" i="10" a="1"/>
  <c r="AH4" i="10" s="1"/>
  <c r="AH5" i="10" a="1"/>
  <c r="AH5" i="10" s="1"/>
  <c r="AH10" i="10" a="1"/>
  <c r="AH10" i="10" s="1"/>
  <c r="AH13" i="10" a="1"/>
  <c r="AH13" i="10" s="1"/>
  <c r="AH8" i="10" a="1"/>
  <c r="AH8" i="10" s="1"/>
  <c r="AH9" i="10" a="1"/>
  <c r="AH9" i="10" s="1"/>
  <c r="AH11" i="10" a="1"/>
  <c r="AH11" i="10" s="1"/>
  <c r="AH15" i="10" a="1"/>
  <c r="AH15" i="10" s="1"/>
  <c r="AH3" i="10" a="1"/>
  <c r="AH3" i="10" s="1"/>
  <c r="AH6" i="10" a="1"/>
  <c r="AH6" i="10" s="1"/>
  <c r="AH7" i="10" a="1"/>
  <c r="AH7" i="10" s="1"/>
  <c r="AH12" i="10" a="1"/>
  <c r="AH12" i="10" s="1"/>
  <c r="AH14" i="10" a="1"/>
  <c r="AH14" i="10" s="1"/>
  <c r="Z8" i="16" a="1"/>
  <c r="Z8" i="16" s="1"/>
  <c r="AA2" i="16"/>
  <c r="Z9" i="16" a="1"/>
  <c r="Z9" i="16" s="1"/>
  <c r="Z13" i="16" a="1"/>
  <c r="Z13" i="16" s="1"/>
  <c r="Z12" i="16" a="1"/>
  <c r="Z12" i="16" s="1"/>
  <c r="Z14" i="16" a="1"/>
  <c r="Z14" i="16" s="1"/>
  <c r="AA8" i="16" l="1" a="1"/>
  <c r="AA8" i="16" s="1"/>
  <c r="AB2" i="16"/>
  <c r="AA9" i="16" a="1"/>
  <c r="AA9" i="16" s="1"/>
  <c r="AA13" i="16" a="1"/>
  <c r="AA13" i="16" s="1"/>
  <c r="AA12" i="16" a="1"/>
  <c r="AA12" i="16" s="1"/>
  <c r="AA14" i="16" a="1"/>
  <c r="AA14" i="16" s="1"/>
  <c r="AJ2" i="10"/>
  <c r="AI4" i="10" a="1"/>
  <c r="AI4" i="10" s="1"/>
  <c r="AI5" i="10" a="1"/>
  <c r="AI5" i="10" s="1"/>
  <c r="AI14" i="10" a="1"/>
  <c r="AI14" i="10" s="1"/>
  <c r="AI15" i="10" a="1"/>
  <c r="AI15" i="10" s="1"/>
  <c r="AI3" i="10" a="1"/>
  <c r="AI3" i="10" s="1"/>
  <c r="AI13" i="10" a="1"/>
  <c r="AI13" i="10" s="1"/>
  <c r="AI7" i="10" a="1"/>
  <c r="AI7" i="10" s="1"/>
  <c r="AI12" i="10" a="1"/>
  <c r="AI12" i="10" s="1"/>
  <c r="AI11" i="10" a="1"/>
  <c r="AI11" i="10" s="1"/>
  <c r="AI9" i="10" a="1"/>
  <c r="AI9" i="10" s="1"/>
  <c r="AI10" i="10" a="1"/>
  <c r="AI10" i="10" s="1"/>
  <c r="AI8" i="10" a="1"/>
  <c r="AI8" i="10" s="1"/>
  <c r="AI6" i="10" a="1"/>
  <c r="AI6" i="10" s="1"/>
  <c r="AK2" i="10" l="1"/>
  <c r="AJ4" i="10" a="1"/>
  <c r="AJ4" i="10" s="1"/>
  <c r="AJ5" i="10" a="1"/>
  <c r="AJ5" i="10" s="1"/>
  <c r="AJ12" i="10" a="1"/>
  <c r="AJ12" i="10" s="1"/>
  <c r="AJ3" i="10" a="1"/>
  <c r="AJ3" i="10" s="1"/>
  <c r="AJ8" i="10" a="1"/>
  <c r="AJ8" i="10" s="1"/>
  <c r="AJ15" i="10" a="1"/>
  <c r="AJ15" i="10" s="1"/>
  <c r="AJ6" i="10" a="1"/>
  <c r="AJ6" i="10" s="1"/>
  <c r="AJ13" i="10" a="1"/>
  <c r="AJ13" i="10" s="1"/>
  <c r="AJ7" i="10" a="1"/>
  <c r="AJ7" i="10" s="1"/>
  <c r="AJ10" i="10" a="1"/>
  <c r="AJ10" i="10" s="1"/>
  <c r="AJ14" i="10" a="1"/>
  <c r="AJ14" i="10" s="1"/>
  <c r="AJ11" i="10" a="1"/>
  <c r="AJ11" i="10" s="1"/>
  <c r="AJ9" i="10" a="1"/>
  <c r="AJ9" i="10" s="1"/>
  <c r="AC2" i="16"/>
  <c r="AB8" i="16" a="1"/>
  <c r="AB8" i="16" s="1"/>
  <c r="AB9" i="16" a="1"/>
  <c r="AB9" i="16" s="1"/>
  <c r="AB13" i="16" a="1"/>
  <c r="AB13" i="16" s="1"/>
  <c r="AB12" i="16" a="1"/>
  <c r="AB12" i="16" s="1"/>
  <c r="AB14" i="16" a="1"/>
  <c r="AB14" i="16" s="1"/>
  <c r="AC8" i="16" l="1" a="1"/>
  <c r="AC8" i="16" s="1"/>
  <c r="AC9" i="16" a="1"/>
  <c r="AC9" i="16" s="1"/>
  <c r="AC13" i="16" a="1"/>
  <c r="AC13" i="16" s="1"/>
  <c r="AC14" i="16" a="1"/>
  <c r="AC14" i="16" s="1"/>
  <c r="AC12" i="16" a="1"/>
  <c r="AC12" i="16" s="1"/>
  <c r="AD2" i="16"/>
  <c r="AL2" i="10"/>
  <c r="AK5" i="10" a="1"/>
  <c r="AK5" i="10" s="1"/>
  <c r="AK4" i="10" a="1"/>
  <c r="AK4" i="10" s="1"/>
  <c r="AK3" i="10" a="1"/>
  <c r="AK3" i="10" s="1"/>
  <c r="AK15" i="10" a="1"/>
  <c r="AK15" i="10" s="1"/>
  <c r="AK10" i="10" a="1"/>
  <c r="AK10" i="10" s="1"/>
  <c r="AK9" i="10" a="1"/>
  <c r="AK9" i="10" s="1"/>
  <c r="AK12" i="10" a="1"/>
  <c r="AK12" i="10" s="1"/>
  <c r="AK7" i="10" a="1"/>
  <c r="AK7" i="10" s="1"/>
  <c r="AK11" i="10" a="1"/>
  <c r="AK11" i="10" s="1"/>
  <c r="AK13" i="10" a="1"/>
  <c r="AK13" i="10" s="1"/>
  <c r="AK6" i="10" a="1"/>
  <c r="AK6" i="10" s="1"/>
  <c r="AK14" i="10" a="1"/>
  <c r="AK14" i="10" s="1"/>
  <c r="AK8" i="10" a="1"/>
  <c r="AK8" i="10" s="1"/>
  <c r="AM2" i="10" l="1"/>
  <c r="AL4" i="10" a="1"/>
  <c r="AL4" i="10" s="1"/>
  <c r="AL5" i="10" a="1"/>
  <c r="AL5" i="10" s="1"/>
  <c r="AL14" i="10" a="1"/>
  <c r="AL14" i="10" s="1"/>
  <c r="AL8" i="10" a="1"/>
  <c r="AL8" i="10" s="1"/>
  <c r="AL6" i="10" a="1"/>
  <c r="AL6" i="10" s="1"/>
  <c r="AL7" i="10" a="1"/>
  <c r="AL7" i="10" s="1"/>
  <c r="AL9" i="10" a="1"/>
  <c r="AL9" i="10" s="1"/>
  <c r="AL10" i="10" a="1"/>
  <c r="AL10" i="10" s="1"/>
  <c r="AL12" i="10" a="1"/>
  <c r="AL12" i="10" s="1"/>
  <c r="AL3" i="10" a="1"/>
  <c r="AL3" i="10" s="1"/>
  <c r="AL13" i="10" a="1"/>
  <c r="AL13" i="10" s="1"/>
  <c r="AL15" i="10" a="1"/>
  <c r="AL15" i="10" s="1"/>
  <c r="AL11" i="10" a="1"/>
  <c r="AL11" i="10" s="1"/>
  <c r="AD9" i="16" a="1"/>
  <c r="AD9" i="16" s="1"/>
  <c r="AE2" i="16"/>
  <c r="AD8" i="16" a="1"/>
  <c r="AD8" i="16" s="1"/>
  <c r="AD14" i="16" a="1"/>
  <c r="AD14" i="16" s="1"/>
  <c r="AD13" i="16" a="1"/>
  <c r="AD13" i="16" s="1"/>
  <c r="AD12" i="16" a="1"/>
  <c r="AD12" i="16" s="1"/>
  <c r="AE9" i="16" l="1" a="1"/>
  <c r="AE9" i="16" s="1"/>
  <c r="AF2" i="16"/>
  <c r="AE12" i="16" a="1"/>
  <c r="AE12" i="16" s="1"/>
  <c r="AE14" i="16" a="1"/>
  <c r="AE14" i="16" s="1"/>
  <c r="AE13" i="16" a="1"/>
  <c r="AE13" i="16" s="1"/>
  <c r="AE8" i="16" a="1"/>
  <c r="AE8" i="16" s="1"/>
  <c r="AM4" i="10" a="1"/>
  <c r="AM4" i="10" s="1"/>
  <c r="AM5" i="10" a="1"/>
  <c r="AM5" i="10" s="1"/>
  <c r="AN2" i="10"/>
  <c r="AM15" i="10" a="1"/>
  <c r="AM15" i="10" s="1"/>
  <c r="AM9" i="10" a="1"/>
  <c r="AM9" i="10" s="1"/>
  <c r="AM12" i="10" a="1"/>
  <c r="AM12" i="10" s="1"/>
  <c r="AM11" i="10" a="1"/>
  <c r="AM11" i="10" s="1"/>
  <c r="AM10" i="10" a="1"/>
  <c r="AM10" i="10" s="1"/>
  <c r="AM6" i="10" a="1"/>
  <c r="AM6" i="10" s="1"/>
  <c r="AM8" i="10" a="1"/>
  <c r="AM8" i="10" s="1"/>
  <c r="AM14" i="10" a="1"/>
  <c r="AM14" i="10" s="1"/>
  <c r="AM7" i="10" a="1"/>
  <c r="AM7" i="10" s="1"/>
  <c r="AM3" i="10" a="1"/>
  <c r="AM3" i="10" s="1"/>
  <c r="AM13" i="10" a="1"/>
  <c r="AM13" i="10" s="1"/>
  <c r="AO2" i="10" l="1"/>
  <c r="AN4" i="10" a="1"/>
  <c r="AN4" i="10" s="1"/>
  <c r="AN5" i="10" a="1"/>
  <c r="AN5" i="10" s="1"/>
  <c r="AN8" i="10" a="1"/>
  <c r="AN8" i="10" s="1"/>
  <c r="AN7" i="10" a="1"/>
  <c r="AN7" i="10" s="1"/>
  <c r="AN15" i="10" a="1"/>
  <c r="AN15" i="10" s="1"/>
  <c r="AN14" i="10" a="1"/>
  <c r="AN14" i="10" s="1"/>
  <c r="AN9" i="10" a="1"/>
  <c r="AN9" i="10" s="1"/>
  <c r="AN10" i="10" a="1"/>
  <c r="AN10" i="10" s="1"/>
  <c r="AN12" i="10" a="1"/>
  <c r="AN12" i="10" s="1"/>
  <c r="AN13" i="10" a="1"/>
  <c r="AN13" i="10" s="1"/>
  <c r="AN11" i="10" a="1"/>
  <c r="AN11" i="10" s="1"/>
  <c r="AN6" i="10" a="1"/>
  <c r="AN6" i="10" s="1"/>
  <c r="AN3" i="10" a="1"/>
  <c r="AN3" i="10" s="1"/>
  <c r="AF8" i="16" a="1"/>
  <c r="AF8" i="16" s="1"/>
  <c r="AG2" i="16"/>
  <c r="AF9" i="16" a="1"/>
  <c r="AF9" i="16" s="1"/>
  <c r="AF12" i="16" a="1"/>
  <c r="AF12" i="16" s="1"/>
  <c r="AF14" i="16" a="1"/>
  <c r="AF14" i="16" s="1"/>
  <c r="AF13" i="16" a="1"/>
  <c r="AF13" i="16" s="1"/>
  <c r="AG8" i="16" l="1" a="1"/>
  <c r="AG8" i="16" s="1"/>
  <c r="AG9" i="16" a="1"/>
  <c r="AG9" i="16" s="1"/>
  <c r="AH2" i="16"/>
  <c r="AG12" i="16" a="1"/>
  <c r="AG12" i="16" s="1"/>
  <c r="AG14" i="16" a="1"/>
  <c r="AG14" i="16" s="1"/>
  <c r="AG13" i="16" a="1"/>
  <c r="AG13" i="16" s="1"/>
  <c r="AO4" i="10" a="1"/>
  <c r="AO4" i="10" s="1"/>
  <c r="AP2" i="10"/>
  <c r="AO5" i="10" a="1"/>
  <c r="AO5" i="10" s="1"/>
  <c r="AO12" i="10" a="1"/>
  <c r="AO12" i="10" s="1"/>
  <c r="AO7" i="10" a="1"/>
  <c r="AO7" i="10" s="1"/>
  <c r="AO3" i="10" a="1"/>
  <c r="AO3" i="10" s="1"/>
  <c r="AO10" i="10" a="1"/>
  <c r="AO10" i="10" s="1"/>
  <c r="AO6" i="10" a="1"/>
  <c r="AO6" i="10" s="1"/>
  <c r="AO14" i="10" a="1"/>
  <c r="AO14" i="10" s="1"/>
  <c r="AO11" i="10" a="1"/>
  <c r="AO11" i="10" s="1"/>
  <c r="AO15" i="10" a="1"/>
  <c r="AO15" i="10" s="1"/>
  <c r="AO13" i="10" a="1"/>
  <c r="AO13" i="10" s="1"/>
  <c r="AO8" i="10" a="1"/>
  <c r="AO8" i="10" s="1"/>
  <c r="AO9" i="10" a="1"/>
  <c r="AO9" i="10" s="1"/>
  <c r="AP4" i="10" l="1" a="1"/>
  <c r="AP4" i="10" s="1"/>
  <c r="AP5" i="10" a="1"/>
  <c r="AP5" i="10" s="1"/>
  <c r="AP10" i="10" a="1"/>
  <c r="AP10" i="10" s="1"/>
  <c r="AP6" i="10" a="1"/>
  <c r="AP6" i="10" s="1"/>
  <c r="AP8" i="10" a="1"/>
  <c r="AP8" i="10" s="1"/>
  <c r="AP13" i="10" a="1"/>
  <c r="AP13" i="10" s="1"/>
  <c r="AP7" i="10" a="1"/>
  <c r="AP7" i="10" s="1"/>
  <c r="AP9" i="10" a="1"/>
  <c r="AP9" i="10" s="1"/>
  <c r="AP11" i="10" a="1"/>
  <c r="AP11" i="10" s="1"/>
  <c r="AP15" i="10" a="1"/>
  <c r="AP15" i="10" s="1"/>
  <c r="AP12" i="10" a="1"/>
  <c r="AP12" i="10" s="1"/>
  <c r="AP3" i="10" a="1"/>
  <c r="AP3" i="10" s="1"/>
  <c r="AP14" i="10" a="1"/>
  <c r="AP14" i="10" s="1"/>
  <c r="AH8" i="16" a="1"/>
  <c r="AH8" i="16" s="1"/>
  <c r="AH9" i="16" a="1"/>
  <c r="AH9" i="16" s="1"/>
  <c r="AH12" i="16" a="1"/>
  <c r="AH12" i="16" s="1"/>
  <c r="AH14" i="16" a="1"/>
  <c r="AH14" i="16" s="1"/>
  <c r="AI2" i="16"/>
  <c r="AH13" i="16" a="1"/>
  <c r="AH13" i="16" s="1"/>
  <c r="AI8" i="16" l="1" a="1"/>
  <c r="AI8" i="16" s="1"/>
  <c r="AJ2" i="16"/>
  <c r="AI13" i="16" a="1"/>
  <c r="AI13" i="16" s="1"/>
  <c r="AI9" i="16" a="1"/>
  <c r="AI9" i="16" s="1"/>
  <c r="AI12" i="16" a="1"/>
  <c r="AI12" i="16" s="1"/>
  <c r="AI14" i="16" a="1"/>
  <c r="AI14" i="16" s="1"/>
  <c r="AK2" i="16" l="1"/>
  <c r="AJ9" i="16" a="1"/>
  <c r="AJ9" i="16" s="1"/>
  <c r="AJ8" i="16" a="1"/>
  <c r="AJ8" i="16" s="1"/>
  <c r="AJ13" i="16" a="1"/>
  <c r="AJ13" i="16" s="1"/>
  <c r="AJ12" i="16" a="1"/>
  <c r="AJ12" i="16" s="1"/>
  <c r="AJ14" i="16" a="1"/>
  <c r="AJ14" i="16" s="1"/>
  <c r="AL2" i="16" l="1"/>
  <c r="AK9" i="16" a="1"/>
  <c r="AK9" i="16" s="1"/>
  <c r="AK13" i="16" a="1"/>
  <c r="AK13" i="16" s="1"/>
  <c r="AK12" i="16" a="1"/>
  <c r="AK12" i="16" s="1"/>
  <c r="AK8" i="16" a="1"/>
  <c r="AK8" i="16" s="1"/>
  <c r="AK14" i="16" a="1"/>
  <c r="AK14" i="16" s="1"/>
  <c r="AL8" i="16" l="1" a="1"/>
  <c r="AL8" i="16" s="1"/>
  <c r="AM2" i="16"/>
  <c r="AL13" i="16" a="1"/>
  <c r="AL13" i="16" s="1"/>
  <c r="AL9" i="16" a="1"/>
  <c r="AL9" i="16" s="1"/>
  <c r="AL14" i="16" a="1"/>
  <c r="AL14" i="16" s="1"/>
  <c r="AL12" i="16" a="1"/>
  <c r="AL12" i="16" s="1"/>
  <c r="AM8" i="16" l="1" a="1"/>
  <c r="AM8" i="16" s="1"/>
  <c r="AN2" i="16"/>
  <c r="AM9" i="16" a="1"/>
  <c r="AM9" i="16" s="1"/>
  <c r="AM14" i="16" a="1"/>
  <c r="AM14" i="16" s="1"/>
  <c r="AM13" i="16" a="1"/>
  <c r="AM13" i="16" s="1"/>
  <c r="AM12" i="16" a="1"/>
  <c r="AM12" i="16" s="1"/>
  <c r="AO2" i="16" l="1"/>
  <c r="AP2" i="16" s="1"/>
  <c r="AN8" i="16" a="1"/>
  <c r="AN8" i="16" s="1"/>
  <c r="AO8" i="16" s="1"/>
  <c r="AP8" i="16" s="1"/>
  <c r="AN9" i="16" a="1"/>
  <c r="AN9" i="16" s="1"/>
  <c r="AO9" i="16" s="1"/>
  <c r="AP9" i="16" s="1"/>
  <c r="AN12" i="16" a="1"/>
  <c r="AN12" i="16" s="1"/>
  <c r="AO12" i="16" s="1"/>
  <c r="AP12" i="16" s="1"/>
  <c r="AN14" i="16" a="1"/>
  <c r="AN14" i="16" s="1"/>
  <c r="AO14" i="16" s="1"/>
  <c r="AP14" i="16" s="1"/>
  <c r="AN13" i="16" a="1"/>
  <c r="AN13" i="16" s="1"/>
  <c r="AO13" i="16" s="1"/>
  <c r="AP13" i="16" s="1"/>
  <c r="N7" i="6" l="1"/>
  <c r="O7" i="6"/>
  <c r="N8" i="6"/>
  <c r="O8" i="6"/>
  <c r="S7" i="5"/>
  <c r="T8" i="5"/>
  <c r="U8" i="5"/>
  <c r="T9" i="5"/>
  <c r="U9" i="5"/>
  <c r="T10" i="5"/>
  <c r="U10" i="5"/>
  <c r="Q7" i="4"/>
  <c r="R8" i="4"/>
  <c r="S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X3" authorId="0" shapeId="0" xr:uid="{54823A44-4427-46E3-B15C-EC772D5614CE}">
      <text>
        <r>
          <rPr>
            <b/>
            <sz val="9"/>
            <color indexed="81"/>
            <rFont val="Tahoma"/>
            <family val="2"/>
          </rPr>
          <t>bruno merven:</t>
        </r>
        <r>
          <rPr>
            <sz val="9"/>
            <color indexed="81"/>
            <rFont val="Tahoma"/>
            <family val="2"/>
          </rPr>
          <t xml:space="preserve">
need to add Sox, Nox N2o, CMO, NMVS and PM10 to boilers and methane rich gas conversion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tc={097E2DB2-C7B7-4600-A89B-7CD851423C8C}</author>
    <author>tc={4C0E7D07-76D7-4545-8866-03734547B9CA}</author>
    <author>Fadiel</author>
    <author>tc={93FFD154-6D52-4BCF-87AA-86E4085FDB4E}</author>
  </authors>
  <commentList>
    <comment ref="H13" authorId="0" shapeId="0" xr:uid="{097E2DB2-C7B7-4600-A89B-7CD851423C8C}">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4C0E7D07-76D7-4545-8866-03734547B9CA}">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93FFD154-6D52-4BCF-87AA-86E4085FDB4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tc={579E8DC9-49DE-4128-AB78-3D80E253B2F5}</author>
  </authors>
  <commentList>
    <comment ref="J19" authorId="0" shapeId="0" xr:uid="{579E8DC9-49DE-4128-AB78-3D80E253B2F5}">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<sst xmlns="http://schemas.openxmlformats.org/spreadsheetml/2006/main" count="2201" uniqueCount="839">
  <si>
    <t>Document type:</t>
  </si>
  <si>
    <t>YES</t>
  </si>
  <si>
    <t>DAYNITE</t>
    <phoneticPr fontId="0" type="noConversion"/>
  </si>
  <si>
    <t>PJa</t>
  </si>
  <si>
    <t>PJ</t>
  </si>
  <si>
    <t>PRE</t>
  </si>
  <si>
    <t>SUPH2GD</t>
  </si>
  <si>
    <t>*</t>
  </si>
  <si>
    <t>Years</t>
  </si>
  <si>
    <t>Output Commodity</t>
  </si>
  <si>
    <t>Input Commodity</t>
  </si>
  <si>
    <t>Technology description</t>
  </si>
  <si>
    <t>*Technology Name</t>
  </si>
  <si>
    <t>Vintage</t>
  </si>
  <si>
    <t>PrimaryCG</t>
  </si>
  <si>
    <t>Tslvl</t>
  </si>
  <si>
    <t>Tcap</t>
  </si>
  <si>
    <t>Tact</t>
  </si>
  <si>
    <t>TechDesc</t>
  </si>
  <si>
    <t>TechName</t>
  </si>
  <si>
    <t>Sets</t>
  </si>
  <si>
    <t>FIXOM</t>
  </si>
  <si>
    <t>VAROM</t>
  </si>
  <si>
    <t>NCAP_COST~2030</t>
  </si>
  <si>
    <t>NCAP_COST</t>
  </si>
  <si>
    <t>EFF~2030</t>
  </si>
  <si>
    <t>NCAP_AF</t>
  </si>
  <si>
    <t>LIFE</t>
  </si>
  <si>
    <t>START</t>
  </si>
  <si>
    <t>CAP2ACT</t>
  </si>
  <si>
    <t>Comm-OUT</t>
  </si>
  <si>
    <t>Comm-IN</t>
  </si>
  <si>
    <t>*TechDesc</t>
  </si>
  <si>
    <t>~FI_Process</t>
  </si>
  <si>
    <t>~FI_T</t>
  </si>
  <si>
    <t>Source: UK TIMES</t>
  </si>
  <si>
    <t>DAYNITE</t>
  </si>
  <si>
    <t>SUPH2GC</t>
  </si>
  <si>
    <t>%</t>
  </si>
  <si>
    <t>*Unit</t>
  </si>
  <si>
    <t>Annual availability factor relating the annual activity of a process to the installed capacity, 2010</t>
  </si>
  <si>
    <t>Units of activity/unit of capacity</t>
  </si>
  <si>
    <t>Lifetime</t>
  </si>
  <si>
    <t>NCAP_FOM~2030</t>
  </si>
  <si>
    <t>NCAP_FOM</t>
  </si>
  <si>
    <t>EFF~2050</t>
  </si>
  <si>
    <t>NCAP_AFA</t>
  </si>
  <si>
    <t>NCAP_ILED</t>
  </si>
  <si>
    <t>SUPELC</t>
  </si>
  <si>
    <t/>
  </si>
  <si>
    <t>SUPH2LC</t>
  </si>
  <si>
    <t>Hydrogen liquefaction</t>
  </si>
  <si>
    <t>SH2GH2L_01</t>
  </si>
  <si>
    <t>* Hydrogen liquefaction to HDL</t>
  </si>
  <si>
    <t>€m/capacity unit</t>
  </si>
  <si>
    <t>Fixed Operational &amp; Maintenance Cost - 2030 (2012 prices)</t>
  </si>
  <si>
    <t>Fixed Operational &amp; Maintenance Cost (2012 prices)</t>
  </si>
  <si>
    <t>Investment cost - 2030 (2012 prices)</t>
  </si>
  <si>
    <t>Investment cost (2012 prices)</t>
  </si>
  <si>
    <t xml:space="preserve"> Input per unit of activity - 2025</t>
  </si>
  <si>
    <t xml:space="preserve"> Input per unit of activity - 2010</t>
  </si>
  <si>
    <t>Lifetime of new capacity</t>
  </si>
  <si>
    <t>Auxiliary input</t>
  </si>
  <si>
    <t>INPUT~2025</t>
  </si>
  <si>
    <t>INPUT</t>
  </si>
  <si>
    <t>COMM-IN-A</t>
  </si>
  <si>
    <t>HYDROGEN liquefaction (H2L)</t>
  </si>
  <si>
    <t>Hydrogen Delivery - PIPELINE TRANSMISSION HIGH-PRESSURE</t>
  </si>
  <si>
    <t>SH2GDEL_02</t>
  </si>
  <si>
    <t>SUPH2LD</t>
  </si>
  <si>
    <t>Hydrogen Delivery - ROAD-TANKER DISTRIBUTION</t>
  </si>
  <si>
    <t>SH2LDEL_01</t>
  </si>
  <si>
    <t>Hydrogen Delivery - PIPELINE DISTRIBUTION HIGH-PRESSURE</t>
  </si>
  <si>
    <t>SH2GDEL_01</t>
  </si>
  <si>
    <t>* Pipeline and road tanker distribution</t>
  </si>
  <si>
    <t>years</t>
  </si>
  <si>
    <t>Economic lifetime</t>
  </si>
  <si>
    <t>Activity Cost (Cost per unit of output) - 2020 (2012 prices)</t>
  </si>
  <si>
    <t>Activity Cost (Cost per unit of output) (2012 prices)</t>
  </si>
  <si>
    <t>NCAP_ELIFE</t>
  </si>
  <si>
    <t>ACT_COST~2030</t>
  </si>
  <si>
    <t>ACT_COST</t>
  </si>
  <si>
    <t>HYDROGEN delivery (H2D)</t>
  </si>
  <si>
    <t>No</t>
    <phoneticPr fontId="0" type="noConversion"/>
  </si>
  <si>
    <t>STS</t>
    <phoneticPr fontId="0" type="noConversion"/>
  </si>
  <si>
    <t>Hydrogen Storage - SMALL</t>
  </si>
  <si>
    <t>SH2GSTG_02</t>
  </si>
  <si>
    <t>Hydrogen Storage - LARGE</t>
  </si>
  <si>
    <t>SH2GSTG_01</t>
  </si>
  <si>
    <t>proportion</t>
  </si>
  <si>
    <t>Availability factor</t>
  </si>
  <si>
    <t>Fixed Operational &amp; Maintenance Cost (2010 prices)</t>
  </si>
  <si>
    <t>Investment cost (2010 prices)</t>
  </si>
  <si>
    <t>Storage efficiency</t>
  </si>
  <si>
    <t>S_EFF</t>
  </si>
  <si>
    <t>HYDROGEN storage (H2S)</t>
  </si>
  <si>
    <t>Sector(s):</t>
  </si>
  <si>
    <t>Purpose:</t>
  </si>
  <si>
    <t>Original developer(s):</t>
  </si>
  <si>
    <t>Current maintainer(s):</t>
  </si>
  <si>
    <t>Part of TIM version:</t>
  </si>
  <si>
    <t>Model repository:</t>
  </si>
  <si>
    <t>Licence:</t>
  </si>
  <si>
    <t>CC BY-NC-SA 4.0 (unless specified otherwise)</t>
  </si>
  <si>
    <t>https://creativecommons.org/licenses/by-nc-sa/4.0/</t>
  </si>
  <si>
    <t>New Technologies</t>
  </si>
  <si>
    <t>Supply sector (SUP)</t>
  </si>
  <si>
    <t>Specify techno-economic data for hydrogen chain technologies</t>
  </si>
  <si>
    <t>SATIM</t>
  </si>
  <si>
    <t>Bruno Merven (brunomerven@gmail.com)</t>
  </si>
  <si>
    <t>Ronald M. Dell, ... David A.J. Rand, 2014, Hydrogen, Fuel Cells and Fuel Cell Vehicles in Towards Sustainable Road Transport</t>
  </si>
  <si>
    <t>Campanario et al (2017) Techno-economic assessment of bio-oil aqueous phase-to-liquids via Fischer-Tropsch synthesis and based on supercritical water reforming</t>
  </si>
  <si>
    <t>Marchese et al 2021 CO2 from direct air capture as carbon feedstock for Fischer-Tropsch chemicals and fuels: Energy and economic analysis</t>
  </si>
  <si>
    <t>1989_Bookmatter_ChemicalEngineeringEconomics</t>
  </si>
  <si>
    <t>References:</t>
  </si>
  <si>
    <t>(3) An average for motor gasolines with RON between 91 and 95.</t>
  </si>
  <si>
    <t>(2) Assumes a mixture of 70% propane and 30% butane by mass.</t>
  </si>
  <si>
    <t>(1) For naphtha and heavier oils, the net calorific value is assumed to be 95% of gross.</t>
  </si>
  <si>
    <t>E85</t>
  </si>
  <si>
    <t>Ethanol</t>
  </si>
  <si>
    <r>
      <rPr>
        <i/>
        <sz val="11"/>
        <color rgb="FF212126"/>
        <rFont val="Calibri"/>
        <family val="2"/>
        <scheme val="minor"/>
      </rPr>
      <t>Fuel oil, high-sulphur</t>
    </r>
  </si>
  <si>
    <r>
      <rPr>
        <i/>
        <sz val="11"/>
        <color rgb="FF212126"/>
        <rFont val="Calibri"/>
        <family val="2"/>
        <scheme val="minor"/>
      </rPr>
      <t>Fuel oil, low-sulphur</t>
    </r>
  </si>
  <si>
    <r>
      <rPr>
        <i/>
        <sz val="11"/>
        <color rgb="FF212126"/>
        <rFont val="Calibri"/>
        <family val="2"/>
        <scheme val="minor"/>
      </rPr>
      <t>Gas/diesel oil</t>
    </r>
  </si>
  <si>
    <r>
      <rPr>
        <i/>
        <sz val="11"/>
        <color rgb="FF212126"/>
        <rFont val="Calibri"/>
        <family val="2"/>
        <scheme val="minor"/>
      </rPr>
      <t>Other kerosene</t>
    </r>
  </si>
  <si>
    <r>
      <rPr>
        <i/>
        <sz val="11"/>
        <color rgb="FF212126"/>
        <rFont val="Calibri"/>
        <family val="2"/>
        <scheme val="minor"/>
      </rPr>
      <t>Motor gasoline(3)</t>
    </r>
  </si>
  <si>
    <r>
      <rPr>
        <i/>
        <sz val="11"/>
        <color rgb="FF212126"/>
        <rFont val="Calibri"/>
        <family val="2"/>
        <scheme val="minor"/>
      </rPr>
      <t>Aviation turbine fuel</t>
    </r>
  </si>
  <si>
    <r>
      <rPr>
        <i/>
        <sz val="11"/>
        <color rgb="FF212126"/>
        <rFont val="Calibri"/>
        <family val="2"/>
        <scheme val="minor"/>
      </rPr>
      <t>Aviation gasoline</t>
    </r>
  </si>
  <si>
    <r>
      <rPr>
        <i/>
        <sz val="11"/>
        <color rgb="FF212126"/>
        <rFont val="Calibri"/>
        <family val="2"/>
        <scheme val="minor"/>
      </rPr>
      <t>Naphtha</t>
    </r>
  </si>
  <si>
    <r>
      <rPr>
        <i/>
        <sz val="11"/>
        <color rgb="FF212126"/>
        <rFont val="Calibri"/>
        <family val="2"/>
        <scheme val="minor"/>
      </rPr>
      <t>LPG(2)</t>
    </r>
  </si>
  <si>
    <r>
      <rPr>
        <i/>
        <sz val="11"/>
        <color rgb="FF212126"/>
        <rFont val="Calibri"/>
        <family val="2"/>
        <scheme val="minor"/>
      </rPr>
      <t>Butane</t>
    </r>
  </si>
  <si>
    <r>
      <rPr>
        <i/>
        <sz val="11"/>
        <color rgb="FF212126"/>
        <rFont val="Calibri"/>
        <family val="2"/>
        <scheme val="minor"/>
      </rPr>
      <t>Propane</t>
    </r>
  </si>
  <si>
    <r>
      <rPr>
        <i/>
        <sz val="11"/>
        <color rgb="FF212126"/>
        <rFont val="Calibri"/>
        <family val="2"/>
        <scheme val="minor"/>
      </rPr>
      <t>Ethane</t>
    </r>
  </si>
  <si>
    <t>Net calorific value
(MJ/litre)(1)</t>
  </si>
  <si>
    <r>
      <rPr>
        <i/>
        <sz val="11"/>
        <color rgb="FF212126"/>
        <rFont val="Calibri"/>
        <family val="2"/>
        <scheme val="minor"/>
      </rPr>
      <t>Net calorific value
(GJ/t)(1)</t>
    </r>
  </si>
  <si>
    <r>
      <rPr>
        <i/>
        <sz val="11"/>
        <color rgb="FF212126"/>
        <rFont val="Calibri"/>
        <family val="2"/>
        <scheme val="minor"/>
      </rPr>
      <t>Gross calorific value (GJ/t)</t>
    </r>
  </si>
  <si>
    <r>
      <rPr>
        <i/>
        <sz val="11"/>
        <color rgb="FF212126"/>
        <rFont val="Calibri"/>
        <family val="2"/>
        <scheme val="minor"/>
      </rPr>
      <t>Litres per tonne</t>
    </r>
  </si>
  <si>
    <r>
      <rPr>
        <i/>
        <sz val="11"/>
        <color rgb="FF212126"/>
        <rFont val="Calibri"/>
        <family val="2"/>
        <scheme val="minor"/>
      </rPr>
      <t>Density kg/m3</t>
    </r>
  </si>
  <si>
    <r>
      <rPr>
        <i/>
        <sz val="11"/>
        <color rgb="FF212126"/>
        <rFont val="Calibri"/>
        <family val="2"/>
        <scheme val="minor"/>
      </rPr>
      <t>Product</t>
    </r>
  </si>
  <si>
    <t>IEA Stats Manual Table A3.8 Typical Calorific Values for Selected Petroleum Products</t>
  </si>
  <si>
    <t>MJ/kg</t>
  </si>
  <si>
    <t>H2 LHV: high temp processes</t>
  </si>
  <si>
    <t>H2 HHV: low temp processess</t>
  </si>
  <si>
    <t>H2 Calorific Value</t>
  </si>
  <si>
    <t>M$</t>
  </si>
  <si>
    <t>MEUR</t>
  </si>
  <si>
    <t>M.EUR</t>
  </si>
  <si>
    <t>ZAR2015</t>
  </si>
  <si>
    <t>mR/PJ</t>
  </si>
  <si>
    <t>INVcost 2019 USD/kW</t>
  </si>
  <si>
    <t>average</t>
  </si>
  <si>
    <t>INVcost 2017 USD/kW</t>
  </si>
  <si>
    <t>IEA (2019) -annex</t>
  </si>
  <si>
    <t>Marchese (2021)</t>
  </si>
  <si>
    <t>INVcost 2019 EUR/kW</t>
  </si>
  <si>
    <t>per annum</t>
  </si>
  <si>
    <t>learning rate:</t>
  </si>
  <si>
    <t>ZAR2020</t>
  </si>
  <si>
    <t>mEUR/PJ</t>
  </si>
  <si>
    <t>J</t>
  </si>
  <si>
    <t>EUR/kW</t>
  </si>
  <si>
    <t>installed cost = purchase price x installation factor</t>
  </si>
  <si>
    <t>CAPACT</t>
  </si>
  <si>
    <t>https://www1.oanda.com/currency/converter/</t>
  </si>
  <si>
    <t>USD2019-&gt;ZAR2019</t>
  </si>
  <si>
    <t>ZAR 2019-&gt;2015</t>
  </si>
  <si>
    <t>EUR2019-&gt;USD2019</t>
  </si>
  <si>
    <t>https://www.inflationtool.com/us-dollar?amount=1&amp;year1=2017&amp;year2=2019</t>
  </si>
  <si>
    <t>USD2017-&gt;USD2019 IEA(2019)</t>
  </si>
  <si>
    <t>USD-&gt;EUR</t>
  </si>
  <si>
    <t>EUR2019-&gt;ZAR2019</t>
  </si>
  <si>
    <t>https://inflationcalc.co.za/</t>
  </si>
  <si>
    <t>ZAR 2020-&gt;2015</t>
  </si>
  <si>
    <t xml:space="preserve">(C20+) </t>
  </si>
  <si>
    <t>Other Product</t>
  </si>
  <si>
    <t xml:space="preserve">(C11-C20) </t>
  </si>
  <si>
    <t>(C5-C11)</t>
  </si>
  <si>
    <t>Aviation Fuel Product</t>
  </si>
  <si>
    <t>share:</t>
  </si>
  <si>
    <t>t</t>
  </si>
  <si>
    <t>Total</t>
  </si>
  <si>
    <t>output:</t>
  </si>
  <si>
    <t>kt/t</t>
  </si>
  <si>
    <t>CO2</t>
  </si>
  <si>
    <t>GJ/t</t>
  </si>
  <si>
    <t>Hydrogen</t>
  </si>
  <si>
    <t>Electricity</t>
  </si>
  <si>
    <t>GJ.hr</t>
  </si>
  <si>
    <t>MWh</t>
  </si>
  <si>
    <t>input:</t>
  </si>
  <si>
    <t>Net Efficiency Calc.</t>
  </si>
  <si>
    <t>Jetfuel per annum @ 8000 hrs</t>
  </si>
  <si>
    <t>t.t</t>
  </si>
  <si>
    <t>H2</t>
  </si>
  <si>
    <t>t.hr</t>
  </si>
  <si>
    <t>kg/kg</t>
  </si>
  <si>
    <t>H2O-&gt; H2</t>
  </si>
  <si>
    <t>Other</t>
  </si>
  <si>
    <t>jetfuel C chain length C12-18</t>
  </si>
  <si>
    <t>Suitable for Jet fuel</t>
  </si>
  <si>
    <t>Suitable for Aviation gasoline</t>
  </si>
  <si>
    <t>FT compression</t>
  </si>
  <si>
    <t>Auxiliaries</t>
  </si>
  <si>
    <t>MW</t>
  </si>
  <si>
    <t>Liquid/Wax fraction</t>
  </si>
  <si>
    <t>Gas Fraction Recirculated</t>
  </si>
  <si>
    <t>Gas to Burner</t>
  </si>
  <si>
    <t>t/hr</t>
  </si>
  <si>
    <t>FT Products</t>
  </si>
  <si>
    <t>Absorber Solvent</t>
  </si>
  <si>
    <t>CO2-&gt; RWGS</t>
  </si>
  <si>
    <t>O2 electrolysis</t>
  </si>
  <si>
    <t>Condensed H2O</t>
  </si>
  <si>
    <t>H2O electrolysis</t>
  </si>
  <si>
    <t>CASE 5 (no CC and No Ngas)</t>
  </si>
  <si>
    <t>CASE 4 (No NGAS)</t>
  </si>
  <si>
    <t>Feedstock (t/hour)</t>
  </si>
  <si>
    <t>operation hours/year</t>
  </si>
  <si>
    <t>kt</t>
  </si>
  <si>
    <t>oth</t>
  </si>
  <si>
    <t>other product</t>
  </si>
  <si>
    <t>kt/PJ</t>
  </si>
  <si>
    <t>co2</t>
  </si>
  <si>
    <t>flo emmis</t>
  </si>
  <si>
    <t>flo_shar</t>
  </si>
  <si>
    <t>GJ</t>
  </si>
  <si>
    <t>oke</t>
  </si>
  <si>
    <t>h2</t>
  </si>
  <si>
    <t>oag</t>
  </si>
  <si>
    <t>elc</t>
  </si>
  <si>
    <t>total</t>
  </si>
  <si>
    <t>annum</t>
  </si>
  <si>
    <t>hr</t>
  </si>
  <si>
    <t>output based:</t>
  </si>
  <si>
    <t>input based:</t>
  </si>
  <si>
    <t>flofunc</t>
  </si>
  <si>
    <t>Premium on "green" jet fuel relative to normal</t>
  </si>
  <si>
    <t>-</t>
  </si>
  <si>
    <t>Construction time</t>
  </si>
  <si>
    <t>UFTHGNCO2-N</t>
  </si>
  <si>
    <t>NCAP_TLIFE</t>
  </si>
  <si>
    <t>technical life of plant</t>
  </si>
  <si>
    <t>LO</t>
  </si>
  <si>
    <t>annual availibility min</t>
  </si>
  <si>
    <t>UP</t>
  </si>
  <si>
    <t>annual availibility max</t>
  </si>
  <si>
    <t>running costs</t>
  </si>
  <si>
    <t>fixed costs</t>
  </si>
  <si>
    <t>INVcost (2015 mR/PJa)</t>
  </si>
  <si>
    <t>TOP-OUT</t>
  </si>
  <si>
    <t>FLO_SHAR</t>
  </si>
  <si>
    <t>kerosene: jetfuel</t>
  </si>
  <si>
    <t>aviation gasoline</t>
  </si>
  <si>
    <t>TOP-IN</t>
  </si>
  <si>
    <t>hydrogen feed</t>
  </si>
  <si>
    <t>electricity feed</t>
  </si>
  <si>
    <t>FLO_FUNC</t>
  </si>
  <si>
    <t>conversion efficiency</t>
  </si>
  <si>
    <t>OKG</t>
  </si>
  <si>
    <t>UFTHGNCO2-N-O</t>
  </si>
  <si>
    <t>OAG</t>
  </si>
  <si>
    <t>HGN</t>
  </si>
  <si>
    <t>UFTHGNCO2-N-I</t>
  </si>
  <si>
    <t>UPSELC</t>
  </si>
  <si>
    <t>CO2CAPT</t>
  </si>
  <si>
    <t>PRC_ACTFLO</t>
  </si>
  <si>
    <t>CO2 feed</t>
  </si>
  <si>
    <t>NCAP_START</t>
  </si>
  <si>
    <t>start year</t>
  </si>
  <si>
    <t>parameter</t>
  </si>
  <si>
    <t>process</t>
  </si>
  <si>
    <t>CASE 4: exc. DAC</t>
  </si>
  <si>
    <t>CO2 from direct air capture as carbon feedstock for Fischer-Tropsch chemicals and fuels: Energy and economic analysis</t>
  </si>
  <si>
    <t>COM,NRG,ANNUAL,FOSSIL</t>
  </si>
  <si>
    <t>Dummy commodity</t>
  </si>
  <si>
    <t>IDUM</t>
  </si>
  <si>
    <t>E</t>
  </si>
  <si>
    <t>CO2 Captured</t>
  </si>
  <si>
    <t>PRC,PRE,ANNUAL,IRE</t>
  </si>
  <si>
    <t>PJ,PJa</t>
  </si>
  <si>
    <t>Exports of Green JetFuel</t>
  </si>
  <si>
    <t>PEXOKG</t>
  </si>
  <si>
    <t>T</t>
  </si>
  <si>
    <t>PRC,PRE,ANNUAL</t>
  </si>
  <si>
    <t xml:space="preserve">Conversion Tech from Green </t>
  </si>
  <si>
    <t>XOKGOKE</t>
  </si>
  <si>
    <t>Oil Green JetFuel</t>
  </si>
  <si>
    <t>Fischer-Tropsch SynFuel plant for Chemicals and Jetfuel-NEW</t>
  </si>
  <si>
    <t>COM_GRP,COM_GRPTRU</t>
  </si>
  <si>
    <t>D</t>
  </si>
  <si>
    <t>REGION1</t>
  </si>
  <si>
    <t>ITEMS</t>
  </si>
  <si>
    <t>ANNUAL</t>
  </si>
  <si>
    <t>ACT_BND</t>
  </si>
  <si>
    <t>ACTGRP</t>
  </si>
  <si>
    <t>ACT_EFF</t>
  </si>
  <si>
    <t>FX</t>
  </si>
  <si>
    <t>I/E</t>
  </si>
  <si>
    <t>Item6</t>
  </si>
  <si>
    <t>Item5</t>
  </si>
  <si>
    <t>Item4</t>
  </si>
  <si>
    <t>CommGrp</t>
  </si>
  <si>
    <t>Comm</t>
  </si>
  <si>
    <t>Process</t>
  </si>
  <si>
    <t>Parameter</t>
  </si>
  <si>
    <t>TS DATA</t>
  </si>
  <si>
    <t>PRC_CAPACT</t>
  </si>
  <si>
    <t>PRC_ACTUNT</t>
  </si>
  <si>
    <t>OKE</t>
  </si>
  <si>
    <t>COM_GMAP</t>
  </si>
  <si>
    <t>Value</t>
  </si>
  <si>
    <t>Item3</t>
  </si>
  <si>
    <t>Commodity</t>
  </si>
  <si>
    <t>TID DATA</t>
  </si>
  <si>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</si>
  <si>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</si>
  <si>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</si>
  <si>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</si>
  <si>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</si>
  <si>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Year</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</si>
  <si>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</si>
  <si>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</si>
  <si>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</si>
  <si>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</si>
  <si>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</si>
  <si>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year</t>
    </r>
  </si>
  <si>
    <r>
      <rPr>
        <b/>
        <sz val="11"/>
        <rFont val="Calibri"/>
        <family val="2"/>
      </rPr>
      <t>EFF</t>
    </r>
  </si>
  <si>
    <r>
      <rPr>
        <b/>
        <sz val="11"/>
        <rFont val="Calibri"/>
        <family val="2"/>
      </rPr>
      <t>INVCOST</t>
    </r>
  </si>
  <si>
    <r>
      <rPr>
        <b/>
        <sz val="11"/>
        <rFont val="Calibri"/>
        <family val="2"/>
      </rPr>
      <t>First</t>
    </r>
  </si>
  <si>
    <r>
      <rPr>
        <b/>
        <sz val="11"/>
        <rFont val="Calibri"/>
        <family val="2"/>
      </rPr>
      <t>Technology</t>
    </r>
  </si>
  <si>
    <r>
      <rPr>
        <b/>
        <sz val="9"/>
        <color indexed="49"/>
        <rFont val="Calibri"/>
        <family val="2"/>
      </rPr>
      <t>2000–2050. These costs and efficiencies are only valid for short delivery distances (i.e. approximately 100 km). See the text for a description of the data source.</t>
    </r>
  </si>
  <si>
    <r>
      <rPr>
        <b/>
        <sz val="9"/>
        <color indexed="49"/>
        <rFont val="Calibri"/>
        <family val="2"/>
      </rPr>
      <t>Table 12. Recommended energy system model investment cost and energy efficiency data for tube trailers for the period</t>
    </r>
  </si>
  <si>
    <r>
      <rPr>
        <b/>
        <sz val="11"/>
        <color indexed="8"/>
        <rFont val="Cambria"/>
        <family val="1"/>
      </rPr>
      <t>4.2.2    Tube trailer delivery</t>
    </r>
  </si>
  <si>
    <r>
      <rPr>
        <sz val="11"/>
        <rFont val="Calibri"/>
        <family val="2"/>
      </rPr>
      <t>Small</t>
    </r>
  </si>
  <si>
    <r>
      <rPr>
        <b/>
        <sz val="11"/>
        <rFont val="Calibri"/>
        <family val="2"/>
      </rPr>
      <t>Road tanker*</t>
    </r>
  </si>
  <si>
    <r>
      <rPr>
        <sz val="11"/>
        <rFont val="Calibri"/>
        <family val="2"/>
      </rPr>
      <t>Large</t>
    </r>
  </si>
  <si>
    <r>
      <rPr>
        <b/>
        <sz val="11"/>
        <rFont val="Calibri"/>
        <family val="2"/>
      </rPr>
      <t>Ship*</t>
    </r>
  </si>
  <si>
    <r>
      <rPr>
        <sz val="11"/>
        <rFont val="Calibri"/>
        <family val="2"/>
      </rPr>
      <t>Medium</t>
    </r>
  </si>
  <si>
    <r>
      <rPr>
        <b/>
        <sz val="11"/>
        <rFont val="Calibri"/>
        <family val="2"/>
      </rPr>
      <t>Liquefaction</t>
    </r>
  </si>
  <si>
    <r>
      <rPr>
        <b/>
        <sz val="11"/>
        <rFont val="Calibri"/>
        <family val="2"/>
      </rPr>
      <t>First year</t>
    </r>
  </si>
  <si>
    <r>
      <rPr>
        <b/>
        <sz val="11"/>
        <rFont val="Calibri"/>
        <family val="2"/>
      </rPr>
      <t>Size</t>
    </r>
  </si>
  <si>
    <r>
      <rPr>
        <b/>
        <sz val="9"/>
        <color indexed="49"/>
        <rFont val="Calibri"/>
        <family val="2"/>
      </rPr>
      <t>distance.</t>
    </r>
  </si>
  <si>
    <r>
      <rPr>
        <b/>
        <sz val="9"/>
        <color indexed="49"/>
        <rFont val="Calibri"/>
        <family val="2"/>
      </rPr>
      <t>description of the data source. * Ship and road tanker investment costs and efficiencies are influenced by the delivery</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</si>
  <si>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</si>
  <si>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</si>
  <si>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description of the data source. * Ship and road tanker investment costs and efficiencies are influenced by the delivery distance.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</si>
  <si>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</si>
  <si>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</si>
  <si>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t>4.2.1 Liquid hydrogen delivery</t>
  </si>
  <si>
    <r>
      <rPr>
        <sz val="10"/>
        <rFont val="Cambria"/>
        <family val="1"/>
      </rPr>
      <t>0%</t>
    </r>
  </si>
  <si>
    <r>
      <rPr>
        <sz val="10"/>
        <rFont val="Cambria"/>
        <family val="1"/>
      </rPr>
      <t>100%</t>
    </r>
  </si>
  <si>
    <r>
      <rPr>
        <b/>
        <sz val="10"/>
        <rFont val="Cambria"/>
        <family val="1"/>
      </rPr>
      <t>Electrolysis</t>
    </r>
  </si>
  <si>
    <r>
      <rPr>
        <sz val="10"/>
        <rFont val="Cambria"/>
        <family val="1"/>
      </rPr>
      <t>30%</t>
    </r>
  </si>
  <si>
    <r>
      <rPr>
        <sz val="10"/>
        <rFont val="Cambria"/>
        <family val="1"/>
      </rPr>
      <t>70%</t>
    </r>
  </si>
  <si>
    <r>
      <rPr>
        <b/>
        <sz val="10"/>
        <rFont val="Cambria"/>
        <family val="1"/>
      </rPr>
      <t>Nuclear</t>
    </r>
  </si>
  <si>
    <t>kton CO2/PJ (H2 LHV)</t>
  </si>
  <si>
    <r>
      <rPr>
        <sz val="10"/>
        <rFont val="Cambria"/>
        <family val="1"/>
      </rPr>
      <t>3%</t>
    </r>
  </si>
  <si>
    <r>
      <rPr>
        <sz val="10"/>
        <rFont val="Cambria"/>
        <family val="1"/>
      </rPr>
      <t>97%</t>
    </r>
  </si>
  <si>
    <r>
      <rPr>
        <b/>
        <sz val="10"/>
        <rFont val="Cambria"/>
        <family val="1"/>
      </rPr>
      <t>Biomass and waste</t>
    </r>
  </si>
  <si>
    <t>kton CO2/PJ (H2 HHV)</t>
  </si>
  <si>
    <r>
      <rPr>
        <b/>
        <sz val="10"/>
        <rFont val="Cambria"/>
        <family val="1"/>
      </rPr>
      <t>SMR</t>
    </r>
  </si>
  <si>
    <t>kg CO2/MJ (H2 LHV)</t>
  </si>
  <si>
    <r>
      <rPr>
        <b/>
        <sz val="10"/>
        <rFont val="Cambria"/>
        <family val="1"/>
      </rPr>
      <t>IGCC generation (after
coal gasification)</t>
    </r>
  </si>
  <si>
    <t>kg CO2/MJ (H2 HHV)</t>
  </si>
  <si>
    <r>
      <rPr>
        <b/>
        <sz val="10"/>
        <rFont val="Cambria"/>
        <family val="1"/>
      </rPr>
      <t>Coal gasification</t>
    </r>
  </si>
  <si>
    <t>(Pg 53)</t>
  </si>
  <si>
    <t xml:space="preserve"> kg CO2/kg H2</t>
  </si>
  <si>
    <t>CO2 out from WSG Unit:</t>
  </si>
  <si>
    <r>
      <rPr>
        <b/>
        <sz val="10"/>
        <rFont val="Cambria"/>
        <family val="1"/>
      </rPr>
      <t>Electricity</t>
    </r>
  </si>
  <si>
    <r>
      <rPr>
        <b/>
        <sz val="10"/>
        <rFont val="Cambria"/>
        <family val="1"/>
      </rPr>
      <t>GH2</t>
    </r>
  </si>
  <si>
    <r>
      <rPr>
        <b/>
        <sz val="10"/>
        <rFont val="Cambria"/>
        <family val="1"/>
      </rPr>
      <t>Feedstock</t>
    </r>
  </si>
  <si>
    <t>overall effic coal to H2</t>
  </si>
  <si>
    <t>Efficiency</t>
  </si>
  <si>
    <r>
      <rPr>
        <b/>
        <sz val="10"/>
        <rFont val="Cambria"/>
        <family val="1"/>
      </rPr>
      <t>Energy output</t>
    </r>
  </si>
  <si>
    <r>
      <rPr>
        <b/>
        <sz val="10"/>
        <rFont val="Cambria"/>
        <family val="1"/>
      </rPr>
      <t>Energy input</t>
    </r>
  </si>
  <si>
    <r>
      <rPr>
        <b/>
        <sz val="10"/>
        <rFont val="Cambria"/>
        <family val="1"/>
      </rPr>
      <t>Technology</t>
    </r>
  </si>
  <si>
    <r>
      <rPr>
        <b/>
        <sz val="10"/>
        <color indexed="49"/>
        <rFont val="Cambria"/>
        <family val="1"/>
      </rPr>
      <t>text for a description of the data source.</t>
    </r>
  </si>
  <si>
    <t>D. Simbeck and E. Chang (2002) "Hydrogen Supply: Cost Estimate for Hydrogen Pathways Scoping Analysis", NREL, NREL/SR-540-32525</t>
  </si>
  <si>
    <t>Source:</t>
  </si>
  <si>
    <r>
      <rPr>
        <b/>
        <sz val="10"/>
        <color indexed="49"/>
        <rFont val="Cambria"/>
        <family val="1"/>
      </rPr>
      <t>systems models. Technologies with CCS should increase the electricity input and reduce the feedstock by 4%. See the</t>
    </r>
  </si>
  <si>
    <r>
      <rPr>
        <b/>
        <sz val="10"/>
        <color indexed="49"/>
        <rFont val="Cambria"/>
        <family val="1"/>
      </rPr>
      <t>Table 7. Recommended energy source input and output data for hydrogen production technologies for use in energy</t>
    </r>
  </si>
  <si>
    <t>Coal Gasification</t>
  </si>
  <si>
    <t>Units of R/kW</t>
  </si>
  <si>
    <t>Units of $m(2005) GW-1</t>
  </si>
  <si>
    <r>
      <rPr>
        <sz val="10"/>
        <rFont val="Cambria"/>
        <family val="1"/>
      </rPr>
      <t>5%</t>
    </r>
  </si>
  <si>
    <r>
      <rPr>
        <sz val="10"/>
        <rFont val="Cambria"/>
        <family val="1"/>
      </rPr>
      <t>Small</t>
    </r>
  </si>
  <si>
    <r>
      <rPr>
        <sz val="10"/>
        <rFont val="Cambria"/>
        <family val="1"/>
      </rPr>
      <t>Electrolysis</t>
    </r>
  </si>
  <si>
    <t>Gupta (2009)</t>
  </si>
  <si>
    <r>
      <rPr>
        <sz val="10"/>
        <rFont val="Cambria"/>
        <family val="1"/>
      </rPr>
      <t>Medium</t>
    </r>
  </si>
  <si>
    <t>Small Plant</t>
  </si>
  <si>
    <t>UK_SHEC II (2012)</t>
  </si>
  <si>
    <r>
      <rPr>
        <sz val="10"/>
        <rFont val="Cambria"/>
        <family val="1"/>
      </rPr>
      <t>6%</t>
    </r>
  </si>
  <si>
    <r>
      <rPr>
        <sz val="10"/>
        <rFont val="Cambria"/>
        <family val="1"/>
      </rPr>
      <t>Large</t>
    </r>
  </si>
  <si>
    <r>
      <rPr>
        <sz val="10"/>
        <rFont val="Cambria"/>
        <family val="1"/>
      </rPr>
      <t>Nuclear</t>
    </r>
  </si>
  <si>
    <t>Medium Plant</t>
  </si>
  <si>
    <r>
      <rPr>
        <sz val="10"/>
        <rFont val="Cambria"/>
        <family val="1"/>
      </rPr>
      <t>7%</t>
    </r>
  </si>
  <si>
    <r>
      <rPr>
        <sz val="10"/>
        <rFont val="Cambria"/>
        <family val="1"/>
      </rPr>
      <t>Waste gasification</t>
    </r>
  </si>
  <si>
    <t>Comments</t>
  </si>
  <si>
    <t>Source</t>
  </si>
  <si>
    <t>Volume Units</t>
  </si>
  <si>
    <t>Volume</t>
  </si>
  <si>
    <t>Upper</t>
  </si>
  <si>
    <t>Lower</t>
  </si>
  <si>
    <r>
      <rPr>
        <sz val="10"/>
        <rFont val="Cambria"/>
        <family val="1"/>
      </rPr>
      <t>Biomass oil pyrolysis</t>
    </r>
  </si>
  <si>
    <r>
      <rPr>
        <sz val="10"/>
        <rFont val="Cambria"/>
        <family val="1"/>
      </rPr>
      <t>Biomass gasification</t>
    </r>
  </si>
  <si>
    <t>Summary</t>
  </si>
  <si>
    <t>The efficiency of water electrolyzers lies in the range 58-87%</t>
  </si>
  <si>
    <r>
      <rPr>
        <sz val="10"/>
        <rFont val="Cambria"/>
        <family val="1"/>
      </rPr>
      <t>4%</t>
    </r>
  </si>
  <si>
    <r>
      <rPr>
        <sz val="10"/>
        <rFont val="Cambria"/>
        <family val="1"/>
      </rPr>
      <t>SMR</t>
    </r>
  </si>
  <si>
    <t>Ram B.Gupta, 2009. Hydrogen Fuel: Production, Transport and Storage.ISBN 978-1-4200-4575-8</t>
  </si>
  <si>
    <t>IGCC generation (after coal gasification)</t>
  </si>
  <si>
    <t>Water Electrolysis</t>
  </si>
  <si>
    <r>
      <rPr>
        <sz val="10"/>
        <rFont val="Cambria"/>
        <family val="1"/>
      </rPr>
      <t>Coal gasification</t>
    </r>
  </si>
  <si>
    <t>2025 - 2050</t>
  </si>
  <si>
    <t>2000 - 2025</t>
  </si>
  <si>
    <t>Learning Rate</t>
  </si>
  <si>
    <t>Fixed O&amp;M costs (million ZAR(2010) PJ-1 y-1)</t>
  </si>
  <si>
    <t>Fixed O&amp;M costs ($(2005) GJ-1 y-1)</t>
  </si>
  <si>
    <t>Fixed O&amp;M (% of investment costs)</t>
  </si>
  <si>
    <t>Size</t>
  </si>
  <si>
    <t xml:space="preserve">Technology       </t>
  </si>
  <si>
    <t>Nm3/day = normal m3/day ie: assuming gas at standard temperature and pressure</t>
  </si>
  <si>
    <t>Small SMR Plant</t>
  </si>
  <si>
    <r>
      <rPr>
        <b/>
        <sz val="10"/>
        <color indexed="49"/>
        <rFont val="Cambria"/>
        <family val="1"/>
      </rPr>
      <t>have units $m(2005) GW-1. See the text for a description of the data source.</t>
    </r>
  </si>
  <si>
    <t>Medium SMR Plant</t>
  </si>
  <si>
    <r>
      <rPr>
        <b/>
        <sz val="10"/>
        <color indexed="49"/>
        <rFont val="Cambria"/>
        <family val="1"/>
      </rPr>
      <t>2000–2050, for use in energy systems models. O&amp;M costs have units $(2005) GJ-1 y-1, except for those denoted by * that</t>
    </r>
  </si>
  <si>
    <t>Large SMR Plant</t>
  </si>
  <si>
    <r>
      <rPr>
        <b/>
        <sz val="10"/>
        <color indexed="49"/>
        <rFont val="Cambria"/>
        <family val="1"/>
      </rPr>
      <t>Table 6. Recommended TIAM-UCL annual fixed O&amp;M cost data for hydrogen production technologies for the period</t>
    </r>
  </si>
  <si>
    <t>EIA (2008)</t>
  </si>
  <si>
    <t>67-73%</t>
  </si>
  <si>
    <t>Rand &amp; Dell (2008)</t>
  </si>
  <si>
    <t>75-80%</t>
  </si>
  <si>
    <t>Scholz in Gupta(2009)</t>
  </si>
  <si>
    <t>HHV basis (Case when steam input requires energy in)</t>
  </si>
  <si>
    <t>Nm3/day</t>
  </si>
  <si>
    <t>HHV basis (Case when steam output can't be used)</t>
  </si>
  <si>
    <t>HHV basis - steam inputs and outputs included. Exothermic reaction to oxidsise CO can produce steam for input internally</t>
  </si>
  <si>
    <t>3000 - 30000</t>
  </si>
  <si>
    <t>medium scale for distributed production</t>
  </si>
  <si>
    <t>50 - 3000</t>
  </si>
  <si>
    <t>micro</t>
  </si>
  <si>
    <t>Volume Production (m3 H2)</t>
  </si>
  <si>
    <t>Type</t>
  </si>
  <si>
    <r>
      <rPr>
        <sz val="10"/>
        <rFont val="Cambria"/>
        <family val="1"/>
      </rPr>
      <t>coal gasification)</t>
    </r>
  </si>
  <si>
    <r>
      <rPr>
        <sz val="10"/>
        <rFont val="Cambria"/>
        <family val="1"/>
      </rPr>
      <t>6.3*</t>
    </r>
  </si>
  <si>
    <r>
      <rPr>
        <sz val="10"/>
        <rFont val="Cambria"/>
        <family val="1"/>
      </rPr>
      <t>IGCC generation (after</t>
    </r>
  </si>
  <si>
    <t>The overall thermal efficiencies of steam reformer plants are, at best, only 75-80% and thus, in the absence of CCS the conversion of methane to hydrogen releases significantly more CO2 than burning the methane.</t>
  </si>
  <si>
    <t>Source: Rand &amp; Dell (2008), "Hydrogen Energy Challenges and Prospects"</t>
  </si>
  <si>
    <t>convert 2005$ to 2015 $</t>
  </si>
  <si>
    <r>
      <rPr>
        <b/>
        <sz val="10"/>
        <rFont val="Cambria"/>
        <family val="1"/>
      </rPr>
      <t>Fixed O&amp;M costs</t>
    </r>
  </si>
  <si>
    <r>
      <rPr>
        <b/>
        <sz val="10"/>
        <color indexed="49"/>
        <rFont val="Cambria"/>
        <family val="1"/>
      </rPr>
      <t>2000–2050, for use in energy systems models. O&amp;M costs have units £(2000) GJ-1 y-1, except for those denoted by * that have units £m(2000) GW-1. See the text for a description of the data source.</t>
    </r>
  </si>
  <si>
    <t>kton CH4/PJ IN</t>
  </si>
  <si>
    <t>CH4</t>
  </si>
  <si>
    <r>
      <rPr>
        <b/>
        <sz val="10"/>
        <color indexed="49"/>
        <rFont val="Cambria"/>
        <family val="1"/>
      </rPr>
      <t>Table 5. Recommended UK MARKAL annual fixed O&amp;M cost data for hydrogen production technologies for the period</t>
    </r>
  </si>
  <si>
    <t>kton CO2/PJ IN</t>
  </si>
  <si>
    <t>kton CH4/PJ out</t>
  </si>
  <si>
    <r>
      <rPr>
        <sz val="10"/>
        <rFont val="Cambria"/>
        <family val="1"/>
      </rPr>
      <t>90%</t>
    </r>
  </si>
  <si>
    <r>
      <rPr>
        <sz val="10"/>
        <rFont val="Cambria"/>
        <family val="1"/>
      </rPr>
      <t>85%</t>
    </r>
  </si>
  <si>
    <r>
      <rPr>
        <sz val="10"/>
        <rFont val="Cambria"/>
        <family val="1"/>
      </rPr>
      <t>75%</t>
    </r>
  </si>
  <si>
    <t>kton CO2 eq/PJ out</t>
  </si>
  <si>
    <t>Nm3/Nm3 H2 produced</t>
  </si>
  <si>
    <t>CO2 emissions(77.65% of GHG):</t>
  </si>
  <si>
    <t>kton CO2/PJ out</t>
  </si>
  <si>
    <t>kg CO2 eq/kg net H2 Produced</t>
  </si>
  <si>
    <t>GHG Emissions of SMR =</t>
  </si>
  <si>
    <t>Spath &amp; Mann in Gupta:</t>
  </si>
  <si>
    <t>efficiency</t>
  </si>
  <si>
    <r>
      <rPr>
        <sz val="10"/>
        <rFont val="Cambria"/>
        <family val="1"/>
      </rPr>
      <t>50%</t>
    </r>
  </si>
  <si>
    <t>kg/MJ (LHV)</t>
  </si>
  <si>
    <t>Emission Factor</t>
  </si>
  <si>
    <t>GHG Emissions</t>
  </si>
  <si>
    <t>Calculations</t>
  </si>
  <si>
    <t>AFA</t>
  </si>
  <si>
    <t>HHV basis (steam input requires energy in)</t>
  </si>
  <si>
    <t>M$/PJ; $/GJ</t>
  </si>
  <si>
    <t>CAPEX</t>
  </si>
  <si>
    <t>HHV basis (steam output can't be used)</t>
  </si>
  <si>
    <r>
      <rPr>
        <sz val="10"/>
        <rFont val="Cambria"/>
        <family val="1"/>
      </rPr>
      <t>80%</t>
    </r>
  </si>
  <si>
    <r>
      <rPr>
        <sz val="10"/>
        <rFont val="Cambria"/>
        <family val="1"/>
      </rPr>
      <t>65%</t>
    </r>
  </si>
  <si>
    <t>$2017/kW.H2</t>
  </si>
  <si>
    <t>IEA (2019)</t>
  </si>
  <si>
    <r>
      <rPr>
        <sz val="10"/>
        <rFont val="Cambria"/>
        <family val="1"/>
      </rPr>
      <t>60%</t>
    </r>
  </si>
  <si>
    <t>hydrogen plant efficiency</t>
  </si>
  <si>
    <t>Note: The SMR processes both uses and produces steam</t>
  </si>
  <si>
    <t xml:space="preserve"> Investment costs   ( million ZAR(2010) PJ-1 y-1)</t>
  </si>
  <si>
    <t xml:space="preserve"> Energy efficiency</t>
  </si>
  <si>
    <t xml:space="preserve"> Investment costs   ( $(2005) GJ-1 y-1)</t>
  </si>
  <si>
    <t xml:space="preserve"> First year   </t>
  </si>
  <si>
    <t xml:space="preserve">  Size       </t>
  </si>
  <si>
    <t xml:space="preserve">Technology                                </t>
  </si>
  <si>
    <t>1 gge is equivalent to 1 kg of hydrogen</t>
  </si>
  <si>
    <t>Conversion to compare with IEA (2019) $2017/kWhH2 [USD 2005-&gt;2017]</t>
  </si>
  <si>
    <t xml:space="preserve">The cost is estimated at $5/gasoline gallon equivalent (gge) 2003 US dollar </t>
  </si>
  <si>
    <t>kgO2/kgH2</t>
  </si>
  <si>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</si>
  <si>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Hydrogen produced by SMR at distributed scale is assumed to be more economical than central SMR production</t>
  </si>
  <si>
    <t>kg H2O/kg O2</t>
  </si>
  <si>
    <t>Water Use:O2</t>
  </si>
  <si>
    <r>
      <rPr>
        <b/>
        <sz val="9"/>
        <color indexed="49"/>
        <rFont val="Calibri"/>
        <family val="2"/>
      </rPr>
      <t>the period 2000–2050, for use in energy systems models. Technologies with CCS should reduce the energy efficiencies</t>
    </r>
  </si>
  <si>
    <t xml:space="preserve">95% of hydrogen produced in the world comes from fossil fuels. </t>
  </si>
  <si>
    <t>O2</t>
  </si>
  <si>
    <t>Table 4. Recommended TIAM-UCL investment cost and energy efficiency data for hydrogen production technologies for</t>
  </si>
  <si>
    <t>Capacity range (100 t/h of H2&lt;H&lt;1t/h of H2. 100 t/h for ammonia manufacturing plants and &lt;1 t/h for small decentralised systems</t>
  </si>
  <si>
    <t>used to produce 40% of world hydrogen</t>
  </si>
  <si>
    <r>
      <rPr>
        <sz val="11"/>
        <rFont val="Calibri"/>
        <family val="2"/>
      </rPr>
      <t>90%</t>
    </r>
  </si>
  <si>
    <r>
      <rPr>
        <sz val="11"/>
        <rFont val="Calibri"/>
        <family val="2"/>
      </rPr>
      <t>85%</t>
    </r>
  </si>
  <si>
    <r>
      <rPr>
        <sz val="11"/>
        <rFont val="Calibri"/>
        <family val="2"/>
      </rPr>
      <t>75%</t>
    </r>
  </si>
  <si>
    <r>
      <rPr>
        <sz val="11"/>
        <rFont val="Calibri"/>
        <family val="2"/>
      </rPr>
      <t>Electrolysis</t>
    </r>
  </si>
  <si>
    <t>Steam methane reforming (SMR), the most widely used being Catalytic steam reforming - it is the least expensive</t>
  </si>
  <si>
    <t>kg H2O/MJ (LHV)</t>
  </si>
  <si>
    <t>kg H2O/MJ (HHV)</t>
  </si>
  <si>
    <r>
      <rPr>
        <sz val="11"/>
        <rFont val="Calibri"/>
        <family val="2"/>
      </rPr>
      <t>Nuclear</t>
    </r>
  </si>
  <si>
    <t>kg H2O/kg H2</t>
  </si>
  <si>
    <t>Water Use:H2</t>
  </si>
  <si>
    <r>
      <rPr>
        <sz val="11"/>
        <rFont val="Calibri"/>
        <family val="2"/>
      </rPr>
      <t>50%</t>
    </r>
  </si>
  <si>
    <r>
      <rPr>
        <sz val="11"/>
        <rFont val="Calibri"/>
        <family val="2"/>
      </rPr>
      <t>Waste gasification</t>
    </r>
  </si>
  <si>
    <t>Steam Methane Reforming (SMR)</t>
  </si>
  <si>
    <r>
      <rPr>
        <sz val="11"/>
        <rFont val="Calibri"/>
        <family val="2"/>
      </rPr>
      <t>Biomass oil pyrolysis</t>
    </r>
  </si>
  <si>
    <t>https://www.webqc.org/molecular-weight-of-o.html</t>
  </si>
  <si>
    <t>Molar Mass O:</t>
  </si>
  <si>
    <r>
      <rPr>
        <sz val="11"/>
        <rFont val="Calibri"/>
        <family val="2"/>
      </rPr>
      <t>Biomass gasification</t>
    </r>
  </si>
  <si>
    <t>(Adapted from NREL (2002), "Hydrogen Supply: Cost Estimate for Hydrogen Pathways Scoping Analysis")</t>
  </si>
  <si>
    <t>https://www.webqc.org/molecular-weight-of-h.html</t>
  </si>
  <si>
    <t>Molar Mass H:</t>
  </si>
  <si>
    <t>WATER CONSUMPTION CALCS - INLAND ELECTROLYSIS</t>
  </si>
  <si>
    <r>
      <rPr>
        <b/>
        <sz val="11"/>
        <color indexed="8"/>
        <rFont val="Calibri"/>
        <family val="2"/>
      </rPr>
      <t>Electrolysis</t>
    </r>
    <r>
      <rPr>
        <sz val="11"/>
        <color theme="1"/>
        <rFont val="Calibri"/>
        <family val="2"/>
        <scheme val="minor"/>
      </rPr>
      <t xml:space="preserve"> to split hydrogen and water</t>
    </r>
  </si>
  <si>
    <r>
      <rPr>
        <sz val="11"/>
        <rFont val="Calibri"/>
        <family val="2"/>
      </rPr>
      <t>80%</t>
    </r>
  </si>
  <si>
    <r>
      <rPr>
        <sz val="11"/>
        <rFont val="Calibri"/>
        <family val="2"/>
      </rPr>
      <t>65%</t>
    </r>
  </si>
  <si>
    <r>
      <rPr>
        <sz val="11"/>
        <rFont val="Calibri"/>
        <family val="2"/>
      </rPr>
      <t>SMR</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</si>
  <si>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</si>
  <si>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t>120 - 140</t>
  </si>
  <si>
    <t>Octane Rating</t>
  </si>
  <si>
    <r>
      <rPr>
        <b/>
        <sz val="11"/>
        <color indexed="8"/>
        <rFont val="Calibri"/>
        <family val="2"/>
      </rPr>
      <t>Reforming</t>
    </r>
    <r>
      <rPr>
        <sz val="11"/>
        <color theme="1"/>
        <rFont val="Calibri"/>
        <family val="2"/>
        <scheme val="minor"/>
      </rPr>
      <t xml:space="preserve"> is the technology of choice for converting gaseous and light liquid hydrocarbons</t>
    </r>
  </si>
  <si>
    <t>LHV</t>
  </si>
  <si>
    <t>HHV</t>
  </si>
  <si>
    <r>
      <rPr>
        <sz val="11"/>
        <rFont val="Calibri"/>
        <family val="2"/>
      </rPr>
      <t>60%</t>
    </r>
  </si>
  <si>
    <r>
      <rPr>
        <sz val="11"/>
        <rFont val="Calibri"/>
        <family val="2"/>
      </rPr>
      <t>126*</t>
    </r>
  </si>
  <si>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</si>
  <si>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g/litre</t>
  </si>
  <si>
    <t>density of liquid hydrogen</t>
  </si>
  <si>
    <r>
      <rPr>
        <sz val="11"/>
        <rFont val="Calibri"/>
        <family val="2"/>
      </rPr>
      <t>Coal gasification</t>
    </r>
  </si>
  <si>
    <t>General Notes</t>
  </si>
  <si>
    <t>kg/m3</t>
  </si>
  <si>
    <t>density at standard conditions</t>
  </si>
  <si>
    <t>deg. C</t>
  </si>
  <si>
    <t>Boiling Point</t>
  </si>
  <si>
    <t>Investment costs</t>
  </si>
  <si>
    <t>First year</t>
  </si>
  <si>
    <t xml:space="preserve">Technology    </t>
  </si>
  <si>
    <t>kg/kmol</t>
  </si>
  <si>
    <t>Molar Mass</t>
  </si>
  <si>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</si>
  <si>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t>kJ/(kg.K)</t>
  </si>
  <si>
    <t>Ideal Gas Constant R</t>
  </si>
  <si>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</si>
  <si>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Table 3. Recommended UK MARKAL investment cost and energy efficiency data for hydrogen production technologies</t>
    </r>
  </si>
  <si>
    <t>http://www.psi.org.uk/pdf/2008/HydrogenMARKAL_report.pdf</t>
  </si>
  <si>
    <t>http://www.wholesem.ac.uk/bartlett/energy/research/themes/energy-systems/hydrogen/</t>
  </si>
  <si>
    <t>CONSTANTS</t>
  </si>
  <si>
    <t>UK SHEC PROJECT MARKAL MODEL HYDROGEN SUPPLY TECHNOLOGY TABLES</t>
  </si>
  <si>
    <t>Contents</t>
  </si>
  <si>
    <t>tlife.hrs</t>
  </si>
  <si>
    <t>Alk</t>
  </si>
  <si>
    <t>PEM</t>
  </si>
  <si>
    <t>life (hr)</t>
  </si>
  <si>
    <t>Stack lifetime</t>
  </si>
  <si>
    <t>ZAR 2019 mR/PJ</t>
  </si>
  <si>
    <t>ZAR 2019 R/kW</t>
  </si>
  <si>
    <t>M$/PJ</t>
  </si>
  <si>
    <t>$/J</t>
  </si>
  <si>
    <t>Joules</t>
  </si>
  <si>
    <t>UNITS</t>
  </si>
  <si>
    <t>$Mil.PJ</t>
  </si>
  <si>
    <t>conservative</t>
  </si>
  <si>
    <t>optimistic</t>
  </si>
  <si>
    <t>2019USD/kWe</t>
  </si>
  <si>
    <t>Alkaline</t>
  </si>
  <si>
    <t>IEA long term lower bound</t>
  </si>
  <si>
    <t>OR</t>
  </si>
  <si>
    <t>For comparison, the lower heating value (LHV) of hydrogen is 33.3 kWh/kg H2.</t>
  </si>
  <si>
    <t>LHV-H2</t>
  </si>
  <si>
    <t>ZAR2019-&gt;ZAR2010</t>
  </si>
  <si>
    <t>USD2017-&gt;ZAR2015</t>
  </si>
  <si>
    <t>UELEA1HGN</t>
  </si>
  <si>
    <t>UELEP1HGN</t>
  </si>
  <si>
    <t>Electrical Efficiency (LHV)</t>
  </si>
  <si>
    <t xml:space="preserve">AFA </t>
  </si>
  <si>
    <t>Tlife</t>
  </si>
  <si>
    <t>FOM</t>
  </si>
  <si>
    <t>INVcost (2015 R/kW)</t>
  </si>
  <si>
    <t>Projected from IEA (2019) data</t>
  </si>
  <si>
    <t>Production Plant Hydrogen Electrolysis Alkaline</t>
  </si>
  <si>
    <t>UELEA1</t>
  </si>
  <si>
    <t>Production Plant Hydrogen Electrolysis PEM</t>
  </si>
  <si>
    <t>UELEP1</t>
  </si>
  <si>
    <t>Electrolysis</t>
  </si>
  <si>
    <t>Houchins C. and James B.D. (2020)  2020 DOE Hydrogen and Fuel Cells Program Review:  Hydrogen Storage Cost Analysis (ST100)</t>
  </si>
  <si>
    <t>E4Tech  (2012)  Electrolysis in the EU APPENDIX 2B FCHJU ElectrolysisStudy (ID 1329459)</t>
  </si>
  <si>
    <t>[11] M Bracha, et al., “Large-Scale Hydrogen Liquefaction in Germany” International Journal of Hydrogen Energy 19 (Jan 1994) pp. 53-59.</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</si>
  <si>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</si>
  <si>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[9] DOE Hydrogen Delivery Website and Model http://www.hydrogen.energy.gov/h2a_delivery.html (HDSAM V2.0.6)</t>
  </si>
  <si>
    <t>http://www.eihp.org/unece/drafts/cgh2/GRPE_12a-b/CGH2R-12b.pdf</t>
  </si>
  <si>
    <t>EU 2.35 Factor of Safety Table 7A.5: Minimum Burst Pressure Ratios P. 59-60,</t>
  </si>
  <si>
    <t>http://www-nrd.nhtsa.dot.gov/pdf/nrd-01/esv/esv20/07-0046-O.pdf</t>
  </si>
  <si>
    <t>DOT 2.25 Factor of Safety, Table 4: Hydrogen Cylinder Test Matrix P. 6</t>
  </si>
  <si>
    <t>http://www.eere.energy.gov/hydrogenandfuelcells/storage/hydrogen_storage_testing.html</t>
  </si>
  <si>
    <t>[8] DOE, Website on Tank Safety.</t>
  </si>
  <si>
    <t>http://www.hydrogen.energy.gov/pdfs/review09/pd_37_barclay.pdf</t>
  </si>
  <si>
    <t>[7] Active Magnetic Regenerative Liquefier, John Barclay, Prometheus Energy DOE Annual Merit Review, May 2009</t>
  </si>
  <si>
    <t>[6] Peschka, W. (1992). “Liquid Hydrogen.” Springer-Verlag, New York.</t>
  </si>
  <si>
    <t>[5] Report: “H2A Hydrogen Delivery Infrastructure Analysis Models and Conventional Pathway Options Analysis Results”, May 2008, http://www.hydrogen.energy.gov/h2a_delivery.html</t>
  </si>
  <si>
    <t>http://www.eere.energy.gov/hydrogenandfuelcells/hydrogen_publications.html#h2_storage</t>
  </si>
  <si>
    <t>TIAX LLC, Argonne National Laboratory, 2009</t>
  </si>
  <si>
    <t>[4] Technical Assessment of Compressed Hydrogen Storage for Automotive Applications</t>
  </si>
  <si>
    <t>http://www.nextenergy.org/Modules/Document/upload_documents/Fueling Specification for 70 MPa Compressed Hydrogen Vehicles Release Version A.pdf</t>
  </si>
  <si>
    <t>[3] Next Energy 70MPa Specification Documents:</t>
  </si>
  <si>
    <t>Reported average efficiency of 3.1 kWh/kg for 1 quarter reported data for on site hydrogen generation with a range of 7 to 16 MJ/kg (2 to 4 kWh/kg) excluding outliers</t>
  </si>
  <si>
    <t>Refueling Station Compressor Efficiency, CDP #61, 3/2/09 http://www.nrel.gov/hydrogen/docs/cdp/cdp_61.ppt</t>
  </si>
  <si>
    <t>[2] NREL Composite Data Products from the DOE Tech Validation Program http://www.nrel.gov/hydrogen/proj_learning_demo.html</t>
  </si>
  <si>
    <t>http://webbook.nist.gov/chemistry/</t>
  </si>
  <si>
    <t>[1] NIST Web book site:</t>
  </si>
  <si>
    <t>Compression energy</t>
  </si>
  <si>
    <t>Bar</t>
  </si>
  <si>
    <t>Total USD (2020)</t>
  </si>
  <si>
    <t>DoE (2009)</t>
  </si>
  <si>
    <t>Assembly</t>
  </si>
  <si>
    <t>$15/ft</t>
  </si>
  <si>
    <t>35 ft.</t>
  </si>
  <si>
    <t>Tubing</t>
  </si>
  <si>
    <t>$156 each</t>
  </si>
  <si>
    <t>Pressure Gauges (analog)</t>
  </si>
  <si>
    <t>$1,250 each</t>
  </si>
  <si>
    <t>Block &amp; Bleed Valve</t>
  </si>
  <si>
    <t>$300 each</t>
  </si>
  <si>
    <t>Valve Box./Common Manifold</t>
  </si>
  <si>
    <t>$270 each</t>
  </si>
  <si>
    <t>Manual Shutoff Valves</t>
  </si>
  <si>
    <t>$3,000 each</t>
  </si>
  <si>
    <t>Pressure Relief Device (PRD)</t>
  </si>
  <si>
    <t>Balance of System</t>
  </si>
  <si>
    <t>$50,000/structure</t>
  </si>
  <si>
    <t>Steel Containment Structure</t>
  </si>
  <si>
    <t>$40,000/trailer</t>
  </si>
  <si>
    <t>40’ Trailer</t>
  </si>
  <si>
    <t>$76,851/vessel</t>
  </si>
  <si>
    <t>Type 4 220 kgH2 capacity Pressure Vessel</t>
  </si>
  <si>
    <t>Cost per Trailer @100 Trailers per Year</t>
  </si>
  <si>
    <t>Cost per Unit @100 Trailers per Year</t>
  </si>
  <si>
    <t>Quantity Per System</t>
  </si>
  <si>
    <t>Unit</t>
  </si>
  <si>
    <t>Gotthold (2015 AMR)</t>
  </si>
  <si>
    <t>Carbon fiber volume fraction</t>
  </si>
  <si>
    <t>Adams (2019)</t>
  </si>
  <si>
    <r>
      <rPr>
        <sz val="9"/>
        <rFont val="Calibri"/>
        <family val="2"/>
      </rPr>
      <t>T700S/
Vinyl Ester</t>
    </r>
  </si>
  <si>
    <t>Cascade and Tube Trailer Storage Composite</t>
  </si>
  <si>
    <t>Hexagon Titan XL</t>
  </si>
  <si>
    <t>NA</t>
  </si>
  <si>
    <t>Tube Trailer Pressure (bar)</t>
  </si>
  <si>
    <r>
      <t>Tube Trailer Capacity (kgH</t>
    </r>
    <r>
      <rPr>
        <vertAlign val="subscript"/>
        <sz val="9"/>
        <rFont val="Calibri"/>
        <family val="2"/>
      </rPr>
      <t>2</t>
    </r>
    <r>
      <rPr>
        <sz val="9"/>
        <rFont val="Calibri"/>
        <family val="2"/>
      </rPr>
      <t>)</t>
    </r>
  </si>
  <si>
    <t>Type 4</t>
  </si>
  <si>
    <t>Tube Trailer Vessel Type</t>
  </si>
  <si>
    <t>ANL optimization parameter</t>
  </si>
  <si>
    <t>300-950</t>
  </si>
  <si>
    <t>Cascade Storage Pressure (bar)</t>
  </si>
  <si>
    <t>Based on Linde and FIBA Tech design</t>
  </si>
  <si>
    <t>Type 2</t>
  </si>
  <si>
    <t>Cascade Vessel Type</t>
  </si>
  <si>
    <t>No. of Tanks per Module in Cascade Storage Bank</t>
  </si>
  <si>
    <t>Max dispensed pressure is higher 875 bar</t>
  </si>
  <si>
    <t>Target Vehicle Pressure (bar)</t>
  </si>
  <si>
    <t>Date: October 26th, 2009</t>
  </si>
  <si>
    <t>ANL assumption based on Linde design</t>
  </si>
  <si>
    <r>
      <t>Module Dispensing Capacity (kgH</t>
    </r>
    <r>
      <rPr>
        <vertAlign val="subscript"/>
        <sz val="9"/>
        <rFont val="Calibri"/>
        <family val="2"/>
      </rPr>
      <t>2</t>
    </r>
    <r>
      <rPr>
        <sz val="9"/>
        <rFont val="Calibri"/>
        <family val="2"/>
      </rPr>
      <t>/day/module)</t>
    </r>
  </si>
  <si>
    <t>Approved by: Sunita Satyapal</t>
  </si>
  <si>
    <t>ANL/Linde design</t>
  </si>
  <si>
    <t>Number of refueling modules</t>
  </si>
  <si>
    <t>Originator: Monterey Gardiner</t>
  </si>
  <si>
    <t>HRSAM</t>
  </si>
  <si>
    <r>
      <t>Station Max Daily Dispensing Capacity (kgH</t>
    </r>
    <r>
      <rPr>
        <vertAlign val="subscript"/>
        <sz val="9"/>
        <rFont val="Calibri"/>
        <family val="2"/>
      </rPr>
      <t>2</t>
    </r>
    <r>
      <rPr>
        <sz val="9"/>
        <rFont val="Calibri"/>
        <family val="2"/>
      </rPr>
      <t>/day)</t>
    </r>
  </si>
  <si>
    <t>Title: Energy requirements for hydrogen gas compression and liquefaction as related to vehicle storage needs</t>
  </si>
  <si>
    <t>Dewer</t>
  </si>
  <si>
    <t>Tube Trailer</t>
  </si>
  <si>
    <t>Bulk Storage Method Assumption</t>
  </si>
  <si>
    <t>Date: July 7th, 2009</t>
  </si>
  <si>
    <r>
      <rPr>
        <b/>
        <sz val="11"/>
        <color rgb="FFFFFFFF"/>
        <rFont val="Calibri"/>
        <family val="2"/>
      </rPr>
      <t>Notes/Design Basis</t>
    </r>
  </si>
  <si>
    <r>
      <rPr>
        <b/>
        <sz val="11"/>
        <color rgb="FFFFFFFF"/>
        <rFont val="Calibri"/>
        <family val="2"/>
      </rPr>
      <t>LH2</t>
    </r>
  </si>
  <si>
    <r>
      <rPr>
        <b/>
        <sz val="11"/>
        <color rgb="FFFFFFFF"/>
        <rFont val="Calibri"/>
        <family val="2"/>
      </rPr>
      <t>GH2</t>
    </r>
  </si>
  <si>
    <r>
      <rPr>
        <b/>
        <sz val="11"/>
        <color rgb="FFFFFFFF"/>
        <rFont val="Calibri"/>
        <family val="2"/>
      </rPr>
      <t>Parameter</t>
    </r>
  </si>
  <si>
    <t>Record #: 9013</t>
  </si>
  <si>
    <t>DOE Hydrogen and Fuel Cells Program Record</t>
  </si>
  <si>
    <t>https://www.hydrogen.energy.gov/pdfs/9013_energy_requirements_for_hydrogen_gas_compression.pdf</t>
  </si>
  <si>
    <t>Analyzed 700 bar LDV System Cost Reduction Strategies &amp; Identified Path to Near Ultimate DOE $/kWh target</t>
  </si>
  <si>
    <t>https://www.energy.gov/eere/fuelcells/doe-technical-targets-hydrogen-delivery</t>
  </si>
  <si>
    <t>https://www.hydrogen.energy.gov/storage.html</t>
  </si>
  <si>
    <t>Images taken from https://hdsam.es.anl.gov/</t>
  </si>
  <si>
    <t>logarithmic</t>
  </si>
  <si>
    <t>linear-trend</t>
  </si>
  <si>
    <t>a2</t>
  </si>
  <si>
    <t>a1</t>
  </si>
  <si>
    <t>Chart</t>
  </si>
  <si>
    <t>Tube Trailer x4</t>
  </si>
  <si>
    <t>bar</t>
  </si>
  <si>
    <t>kg</t>
  </si>
  <si>
    <t>USD (2020)</t>
  </si>
  <si>
    <t>Units</t>
  </si>
  <si>
    <t>Pressure (Bar)</t>
  </si>
  <si>
    <t>Capacity</t>
  </si>
  <si>
    <t>Capex</t>
  </si>
  <si>
    <t>Storage</t>
  </si>
  <si>
    <t>daynite</t>
  </si>
  <si>
    <t>vehicle</t>
  </si>
  <si>
    <t>pipeline</t>
  </si>
  <si>
    <t>seasonal</t>
  </si>
  <si>
    <t>turbine</t>
  </si>
  <si>
    <t>Compression (kWh/kg)</t>
  </si>
  <si>
    <t>Compressor efficiency</t>
  </si>
  <si>
    <t>H2 pressure from electrolyser</t>
  </si>
  <si>
    <t>time period</t>
  </si>
  <si>
    <t>application</t>
  </si>
  <si>
    <t>pressure (bar)</t>
  </si>
  <si>
    <t>CH2</t>
  </si>
  <si>
    <t xml:space="preserve">Large scale </t>
  </si>
  <si>
    <t>https://www.in2013dollars.com/us/inflation/2016?endYear=2020&amp;amount=1</t>
  </si>
  <si>
    <t>USD2016-&gt;2020</t>
  </si>
  <si>
    <t>ZAR 2020 -&gt; ZAR 2015</t>
  </si>
  <si>
    <t>https://www.resbank.co.za/en/home</t>
  </si>
  <si>
    <t>USD 2020 -&gt; ZAR 2020</t>
  </si>
  <si>
    <t>Currency</t>
  </si>
  <si>
    <t>2015 mR/PJ</t>
  </si>
  <si>
    <t>ZAR2015/kg</t>
  </si>
  <si>
    <t>USD-2020/kg</t>
  </si>
  <si>
    <t>DoE target-2020</t>
  </si>
  <si>
    <t>DoE target</t>
  </si>
  <si>
    <t>mR</t>
  </si>
  <si>
    <t>ZAR</t>
  </si>
  <si>
    <r>
      <t>10E</t>
    </r>
    <r>
      <rPr>
        <vertAlign val="superscript"/>
        <sz val="11"/>
        <color theme="1"/>
        <rFont val="Calibri"/>
        <family val="2"/>
        <scheme val="minor"/>
      </rPr>
      <t>x</t>
    </r>
  </si>
  <si>
    <t>MJ</t>
  </si>
  <si>
    <t>scaling factor</t>
  </si>
  <si>
    <t>PJ/PJ</t>
  </si>
  <si>
    <t>XTRAHGN</t>
  </si>
  <si>
    <t>n/a</t>
  </si>
  <si>
    <t>HGNXUPS</t>
  </si>
  <si>
    <t>ELC</t>
  </si>
  <si>
    <t xml:space="preserve"> Efficiency</t>
  </si>
  <si>
    <t>Compression</t>
  </si>
  <si>
    <t>HGNSTSUTL</t>
  </si>
  <si>
    <t>estimate</t>
  </si>
  <si>
    <t>STG_EFF</t>
  </si>
  <si>
    <t>yrs</t>
  </si>
  <si>
    <t>2015 mR/PJa</t>
  </si>
  <si>
    <t>PRC,PRE,DAYNITE</t>
  </si>
  <si>
    <t>Hydrogen Compression for Storage at 200 bar</t>
  </si>
  <si>
    <t>PRC,PRE,STGTSS,DAYNITE</t>
  </si>
  <si>
    <t>Utility Scale Storage - Hydrogen</t>
  </si>
  <si>
    <t>COM,NRG,DAYNITE,FOSSIL</t>
  </si>
  <si>
    <t>Hydrogen Upstream Production</t>
  </si>
  <si>
    <t>UPSHGN</t>
  </si>
  <si>
    <t>null</t>
  </si>
  <si>
    <t>NCAP_PKCNT</t>
  </si>
  <si>
    <t>NCAP_BND</t>
  </si>
  <si>
    <t>NCAP_AFC</t>
  </si>
  <si>
    <t>FLO_EFF</t>
  </si>
  <si>
    <t>Production Plant Hydrogen - Large Coal Gasification</t>
  </si>
  <si>
    <t>Production Plant Hydrogen - Large SMR - Coastal</t>
  </si>
  <si>
    <t>Production Plant Hydrogen - Large SMR - Inland</t>
  </si>
  <si>
    <t>kton/PJ</t>
  </si>
  <si>
    <t>mR/Pj</t>
  </si>
  <si>
    <t>mR/Pja</t>
  </si>
  <si>
    <t xml:space="preserve">Annual </t>
  </si>
  <si>
    <t>(sum OUT/IN)</t>
  </si>
  <si>
    <t>*Units</t>
  </si>
  <si>
    <t>Variable O&amp;M Cost</t>
  </si>
  <si>
    <t>Fixed O&amp;M Cost</t>
  </si>
  <si>
    <t>Investment Cost</t>
  </si>
  <si>
    <t>Start Year</t>
  </si>
  <si>
    <t>Minimum Utilisation factor</t>
  </si>
  <si>
    <t>Utilisation factor</t>
  </si>
  <si>
    <t>Output</t>
  </si>
  <si>
    <t>Auxiliary Input fuels</t>
  </si>
  <si>
    <t>Technology Name</t>
  </si>
  <si>
    <t>*Technology Description</t>
  </si>
  <si>
    <t>Start</t>
  </si>
  <si>
    <t>Life</t>
  </si>
  <si>
    <t>Comm-Out</t>
  </si>
  <si>
    <t>Comm-IN-A</t>
  </si>
  <si>
    <t>Other Transformation</t>
  </si>
  <si>
    <t>South Africa</t>
  </si>
  <si>
    <t>Hydrogen Production Technologies</t>
  </si>
  <si>
    <t>Gas Terminals/Pipelines infrastructure</t>
  </si>
  <si>
    <t>New Refineries</t>
  </si>
  <si>
    <t>Existing Refineries</t>
  </si>
  <si>
    <t>Comment</t>
  </si>
  <si>
    <t>Set Memberships</t>
  </si>
  <si>
    <t>Unit(s)</t>
  </si>
  <si>
    <t>Description</t>
  </si>
  <si>
    <t>Name</t>
  </si>
  <si>
    <t>Comp</t>
  </si>
  <si>
    <t>USMRGASHGN</t>
  </si>
  <si>
    <t>USMRGICHGN</t>
  </si>
  <si>
    <t>UCOGCLEHGN</t>
  </si>
  <si>
    <t>UPSGAS</t>
  </si>
  <si>
    <t>UPSGIC</t>
  </si>
  <si>
    <t>UPSCLE</t>
  </si>
  <si>
    <t>Hydrogen Production</t>
  </si>
  <si>
    <t>AFA~UP</t>
  </si>
  <si>
    <t>AFA~LO</t>
  </si>
  <si>
    <t>Auxilliary inputs</t>
  </si>
  <si>
    <t>ENV_ACT~CO2C</t>
  </si>
  <si>
    <t>ZAR/USD Exchange Rate from IRP 2016:</t>
  </si>
  <si>
    <t>Country Name</t>
  </si>
  <si>
    <t>Real effective exchange rate index (2005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</si>
  <si>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</si>
  <si>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</si>
  <si>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</si>
  <si>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</si>
  <si>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</si>
  <si>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</si>
  <si>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</si>
  <si>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</si>
  <si>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</si>
  <si>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</si>
  <si>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July 2013</t>
  </si>
  <si>
    <t>http://search.worldbank.org/data?qterm=gdp%20deflator%20%22south%20africa%22&amp;language=EN</t>
  </si>
  <si>
    <t>GDP deflator (annual change %) for South Africa from "The World Bank"</t>
  </si>
  <si>
    <t>http://beta2.statssa.gov.za/publications/P0141/CPIHistory.pdf</t>
  </si>
  <si>
    <t>INVCOST~2017</t>
  </si>
  <si>
    <t>INVCOST~2030</t>
  </si>
  <si>
    <t>INVCOST~2050</t>
  </si>
  <si>
    <t>EFF~2017</t>
  </si>
  <si>
    <t>EFF~2040</t>
  </si>
  <si>
    <t>INVCOST~2040</t>
  </si>
  <si>
    <t>2015-&gt;2022 ZAR</t>
  </si>
  <si>
    <t>Pja</t>
  </si>
  <si>
    <t>Annual</t>
  </si>
  <si>
    <t>H2 Tech</t>
  </si>
  <si>
    <t>*Production</t>
  </si>
  <si>
    <t>GW</t>
  </si>
  <si>
    <t>*Storage</t>
  </si>
  <si>
    <t>ENV_ACT~CH4C</t>
  </si>
  <si>
    <t>CAPUNIT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</si>
</sst>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 #,##0.00_-;_-* &quot;-&quot;??_-;_-@_-"/>
    <numFmt numFmtId="164" formatCode="0.0"/>
    <numFmt numFmtId="165" formatCode="\Te\x\t"/>
    <numFmt numFmtId="166" formatCode="###0.00;###0.00"/>
    <numFmt numFmtId="167" formatCode="###0.000;###0.000"/>
    <numFmt numFmtId="168" formatCode="###0.0;###0.0"/>
    <numFmt numFmtId="169" formatCode="###0;###0"/>
    <numFmt numFmtId="170" formatCode="_(* #,##0_);_(* \(#,##0\);_(* &quot;-&quot;??_);_(@_)"/>
    <numFmt numFmtId="171" formatCode="_(* #,##0.00_);_(* \(#,##0.00\);_(* &quot;-&quot;??_);_(@_)"/>
    <numFmt numFmtId="172" formatCode="_-* #,##0_-;\-* #,##0_-;_-* &quot;-&quot;??_-;_-@_-"/>
    <numFmt numFmtId="173" formatCode="0.0%"/>
    <numFmt numFmtId="174" formatCode="0.0000"/>
    <numFmt numFmtId="175" formatCode="0.00000"/>
    <numFmt numFmtId="176" formatCode="0.000"/>
    <numFmt numFmtId="177" formatCode="0.000%"/>
    <numFmt numFmtId="178" formatCode="_(* #,##0.0_);_(* \(#,##0.0\);_(* &quot;-&quot;??_);_(@_)"/>
    <numFmt numFmtId="179" formatCode="0.000000"/>
    <numFmt numFmtId="180" formatCode="0.0_)"/>
    <numFmt numFmtId="181" formatCode="[$£-809]#,##0.00;[Red]&quot;-&quot;[$£-809]#,##0.00"/>
    <numFmt numFmtId="182" formatCode="#,##0.000"/>
    <numFmt numFmtId="183" formatCode="#,##0.0000"/>
  </numFmts>
  <fonts count="84" x14ac:knownFonts="1">
    <font>
      <sz val="11"/>
      <color theme="1"/>
      <name val="Calibri"/>
      <family val="2"/>
      <scheme val="minor"/>
    </font>
    <font>
      <sz val="11"/>
      <color theme="1"/>
      <name val="Calibri"/>
      <family val="2"/>
      <scheme val="minor"/>
    </font>
    <font>
      <sz val="11"/>
      <color theme="0"/>
      <name val="Calibri"/>
      <family val="2"/>
      <scheme val="minor"/>
    </font>
    <font>
      <sz val="12"/>
      <color theme="1"/>
      <name val="Calibri"/>
      <family val="2"/>
      <scheme val="minor"/>
    </font>
    <font>
      <sz val="11"/>
      <name val="Calibri"/>
      <family val="2"/>
      <scheme val="minor"/>
    </font>
    <font>
      <b/>
      <u/>
      <sz val="11"/>
      <name val="Calibri"/>
      <family val="2"/>
      <scheme val="minor"/>
    </font>
    <font>
      <sz val="11"/>
      <color theme="7" tint="-0.499984740745262"/>
      <name val="Calibri"/>
      <family val="2"/>
      <scheme val="minor"/>
    </font>
    <font>
      <b/>
      <sz val="11"/>
      <name val="Calibri"/>
      <family val="2"/>
      <scheme val="minor"/>
    </font>
    <font>
      <b/>
      <sz val="11"/>
      <color theme="7" tint="-0.499984740745262"/>
      <name val="Calibri"/>
      <family val="2"/>
      <scheme val="minor"/>
    </font>
    <font>
      <u/>
      <sz val="11"/>
      <color theme="10"/>
      <name val="Calibri"/>
      <family val="2"/>
      <scheme val="minor"/>
    </font>
    <font>
      <sz val="24"/>
      <name val="Calibri"/>
      <family val="2"/>
      <scheme val="minor"/>
    </font>
    <font>
      <i/>
      <sz val="10"/>
      <name val="Calibri"/>
      <family val="2"/>
      <scheme val="minor"/>
    </font>
    <font>
      <b/>
      <sz val="10"/>
      <name val="Calibri"/>
      <family val="2"/>
      <scheme val="minor"/>
    </font>
    <font>
      <b/>
      <sz val="18"/>
      <color theme="0"/>
      <name val="Calibri"/>
      <family val="2"/>
      <scheme val="minor"/>
    </font>
    <font>
      <sz val="10"/>
      <name val="Calibri"/>
      <family val="2"/>
      <scheme val="minor"/>
    </font>
    <font>
      <sz val="10"/>
      <name val="Arial"/>
      <family val="2"/>
    </font>
    <font>
      <sz val="10"/>
      <color theme="1"/>
      <name val="Calibri"/>
      <family val="2"/>
      <scheme val="minor"/>
    </font>
    <font>
      <b/>
      <sz val="15"/>
      <color theme="3"/>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sz val="10"/>
      <color rgb="FF000000"/>
      <name val="Times New Roman"/>
      <family val="1"/>
    </font>
    <font>
      <sz val="11"/>
      <color rgb="FF212126"/>
      <name val="Calibri"/>
      <family val="2"/>
      <scheme val="minor"/>
    </font>
    <font>
      <i/>
      <sz val="11"/>
      <color rgb="FF212126"/>
      <name val="Calibri"/>
      <family val="2"/>
      <scheme val="minor"/>
    </font>
    <font>
      <u/>
      <sz val="10"/>
      <color indexed="12"/>
      <name val="Arial"/>
      <family val="2"/>
    </font>
    <font>
      <sz val="11"/>
      <color rgb="FFFFFF00"/>
      <name val="Calibri"/>
      <family val="2"/>
      <scheme val="minor"/>
    </font>
    <font>
      <sz val="11"/>
      <color theme="9" tint="-0.249977111117893"/>
      <name val="Calibri"/>
      <family val="2"/>
      <scheme val="minor"/>
    </font>
    <font>
      <sz val="16"/>
      <color theme="1"/>
      <name val="Calibri"/>
      <family val="2"/>
      <scheme val="minor"/>
    </font>
    <font>
      <b/>
      <sz val="9"/>
      <color indexed="81"/>
      <name val="Tahoma"/>
      <family val="2"/>
    </font>
    <font>
      <sz val="9"/>
      <color indexed="81"/>
      <name val="Tahoma"/>
      <family val="2"/>
    </font>
    <font>
      <sz val="11"/>
      <color theme="3"/>
      <name val="Calibri"/>
      <family val="2"/>
      <scheme val="minor"/>
    </font>
    <font>
      <sz val="11"/>
      <color rgb="FF000000"/>
      <name val="Calibri"/>
      <family val="2"/>
    </font>
    <font>
      <b/>
      <sz val="11"/>
      <name val="Calibri"/>
      <family val="2"/>
    </font>
    <font>
      <b/>
      <sz val="7"/>
      <name val="Calibri"/>
      <family val="2"/>
    </font>
    <font>
      <b/>
      <sz val="9"/>
      <color indexed="49"/>
      <name val="Calibri"/>
      <family val="2"/>
    </font>
    <font>
      <b/>
      <sz val="6"/>
      <color indexed="49"/>
      <name val="Calibri"/>
      <family val="2"/>
    </font>
    <font>
      <b/>
      <sz val="11"/>
      <color rgb="FF000000"/>
      <name val="Calibri"/>
      <family val="2"/>
    </font>
    <font>
      <sz val="10"/>
      <color theme="1"/>
      <name val="Times New Roman"/>
      <family val="1"/>
    </font>
    <font>
      <b/>
      <sz val="11"/>
      <color indexed="8"/>
      <name val="Cambria"/>
      <family val="1"/>
    </font>
    <font>
      <sz val="11"/>
      <name val="Calibri"/>
      <family val="2"/>
    </font>
    <font>
      <b/>
      <sz val="12"/>
      <color rgb="FF000000"/>
      <name val="Times New Roman"/>
      <family val="1"/>
    </font>
    <font>
      <sz val="10"/>
      <color rgb="FF000000"/>
      <name val="Calibri Light"/>
      <family val="1"/>
      <scheme val="major"/>
    </font>
    <font>
      <sz val="10"/>
      <name val="Cambria"/>
      <family val="1"/>
    </font>
    <font>
      <b/>
      <sz val="10"/>
      <name val="Cambria"/>
      <family val="1"/>
    </font>
    <font>
      <b/>
      <sz val="10"/>
      <color indexed="49"/>
      <name val="Cambria"/>
      <family val="1"/>
    </font>
    <font>
      <b/>
      <u/>
      <sz val="14"/>
      <color theme="1"/>
      <name val="Calibri"/>
      <family val="2"/>
      <scheme val="minor"/>
    </font>
    <font>
      <b/>
      <i/>
      <u/>
      <sz val="11"/>
      <color theme="1"/>
      <name val="Calibri"/>
      <family val="2"/>
      <scheme val="minor"/>
    </font>
    <font>
      <sz val="10"/>
      <name val="Calibri Light"/>
      <family val="1"/>
      <scheme val="major"/>
    </font>
    <font>
      <b/>
      <sz val="10"/>
      <color rgb="FF000000"/>
      <name val="Calibri Light"/>
      <family val="1"/>
      <scheme val="major"/>
    </font>
    <font>
      <b/>
      <sz val="10"/>
      <name val="Calibri Light"/>
      <family val="1"/>
      <scheme val="major"/>
    </font>
    <font>
      <i/>
      <sz val="11"/>
      <color theme="1"/>
      <name val="Calibri"/>
      <family val="2"/>
      <scheme val="minor"/>
    </font>
    <font>
      <b/>
      <u/>
      <sz val="11"/>
      <color theme="1"/>
      <name val="Calibri"/>
      <family val="2"/>
      <scheme val="minor"/>
    </font>
    <font>
      <b/>
      <i/>
      <sz val="11"/>
      <color theme="1"/>
      <name val="Calibri"/>
      <family val="2"/>
      <scheme val="minor"/>
    </font>
    <font>
      <b/>
      <sz val="10"/>
      <color rgb="FF4F81BC"/>
      <name val="Calibri"/>
      <family val="2"/>
    </font>
    <font>
      <b/>
      <sz val="9"/>
      <color rgb="FF4F81BC"/>
      <name val="Calibri"/>
      <family val="2"/>
    </font>
    <font>
      <b/>
      <sz val="14"/>
      <color theme="1"/>
      <name val="Calibri"/>
      <family val="2"/>
      <scheme val="minor"/>
    </font>
    <font>
      <b/>
      <sz val="11"/>
      <color indexed="8"/>
      <name val="Calibri"/>
      <family val="2"/>
    </font>
    <font>
      <sz val="8"/>
      <color rgb="FF800080"/>
      <name val="Arial"/>
      <family val="2"/>
    </font>
    <font>
      <sz val="10"/>
      <color theme="3"/>
      <name val="Arial"/>
      <family val="2"/>
    </font>
    <font>
      <sz val="9"/>
      <name val="Calibri"/>
      <family val="2"/>
    </font>
    <font>
      <sz val="9"/>
      <color rgb="FF000000"/>
      <name val="Calibri"/>
      <family val="2"/>
    </font>
    <font>
      <sz val="9"/>
      <color theme="1"/>
      <name val="Calibri"/>
      <family val="2"/>
      <scheme val="minor"/>
    </font>
    <font>
      <vertAlign val="subscript"/>
      <sz val="9"/>
      <name val="Calibri"/>
      <family val="2"/>
    </font>
    <font>
      <b/>
      <sz val="11"/>
      <color rgb="FFFFFFFF"/>
      <name val="Calibri"/>
      <family val="2"/>
    </font>
    <font>
      <vertAlign val="superscript"/>
      <sz val="11"/>
      <color theme="1"/>
      <name val="Calibri"/>
      <family val="2"/>
      <scheme val="minor"/>
    </font>
    <font>
      <sz val="10"/>
      <color rgb="FFFF0000"/>
      <name val="Arial"/>
      <family val="2"/>
    </font>
    <font>
      <sz val="10"/>
      <color indexed="12"/>
      <name val="Arial"/>
      <family val="2"/>
    </font>
    <font>
      <b/>
      <sz val="10"/>
      <name val="Arial"/>
      <family val="2"/>
    </font>
    <font>
      <sz val="10"/>
      <color theme="6" tint="-0.24994659260841701"/>
      <name val="Arial"/>
      <family val="2"/>
      <charset val="238"/>
    </font>
    <font>
      <b/>
      <sz val="12"/>
      <name val="Arial"/>
      <family val="2"/>
    </font>
    <font>
      <sz val="8"/>
      <color theme="1"/>
      <name val="Calibri"/>
      <family val="2"/>
      <scheme val="minor"/>
    </font>
    <font>
      <b/>
      <sz val="8"/>
      <color rgb="FF800080"/>
      <name val="Arial"/>
      <family val="2"/>
    </font>
    <font>
      <b/>
      <sz val="8"/>
      <color theme="1"/>
      <name val="Calibri"/>
      <family val="2"/>
      <scheme val="minor"/>
    </font>
    <font>
      <sz val="8"/>
      <color indexed="8"/>
      <name val="Arial"/>
      <family val="2"/>
    </font>
    <font>
      <b/>
      <sz val="8"/>
      <name val="Arial"/>
      <family val="2"/>
    </font>
    <font>
      <sz val="8"/>
      <name val="Arial"/>
      <family val="2"/>
    </font>
    <font>
      <b/>
      <sz val="8"/>
      <color indexed="8"/>
      <name val="Arial"/>
      <family val="2"/>
    </font>
    <font>
      <b/>
      <sz val="11"/>
      <color theme="3"/>
      <name val="Calibri"/>
      <family val="2"/>
      <scheme val="minor"/>
    </font>
    <font>
      <sz val="11"/>
      <color rgb="FF3F3F76"/>
      <name val="Calibri"/>
      <family val="2"/>
      <scheme val="minor"/>
    </font>
    <font>
      <b/>
      <sz val="11"/>
      <color rgb="FFFA7D00"/>
      <name val="Calibri"/>
      <family val="2"/>
      <scheme val="minor"/>
    </font>
    <font>
      <sz val="9"/>
      <name val="Times New Roman"/>
      <family val="1"/>
    </font>
    <font>
      <sz val="9"/>
      <color indexed="63"/>
      <name val="Times New Roman"/>
      <family val="1"/>
    </font>
    <font>
      <b/>
      <sz val="13"/>
      <color indexed="56"/>
      <name val="Calibri"/>
      <family val="2"/>
      <scheme val="minor"/>
    </font>
  </fonts>
  <fills count="36">
    <fill>
      <patternFill patternType="none"/>
    </fill>
    <fill>
      <patternFill patternType="gray125"/>
    </fill>
    <fill>
      <patternFill patternType="solid">
        <fgColor theme="4"/>
      </patternFill>
    </fill>
    <fill>
      <patternFill patternType="solid">
        <fgColor theme="0" tint="-0.14999847407452621"/>
        <bgColor indexed="64"/>
      </patternFill>
    </fill>
    <fill>
      <patternFill patternType="solid">
        <fgColor theme="0"/>
        <bgColor indexed="64"/>
      </patternFill>
    </fill>
    <fill>
      <patternFill patternType="solid">
        <fgColor indexed="9"/>
        <bgColor indexed="64"/>
      </patternFill>
    </fill>
    <fill>
      <patternFill patternType="solid">
        <fgColor rgb="FFFFFFCC"/>
        <bgColor indexed="64"/>
      </patternFill>
    </fill>
    <fill>
      <patternFill patternType="solid">
        <fgColor indexed="43"/>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indexed="42"/>
        <bgColor indexed="64"/>
      </patternFill>
    </fill>
    <fill>
      <patternFill patternType="solid">
        <fgColor rgb="FFFFFFFF"/>
      </patternFill>
    </fill>
    <fill>
      <patternFill patternType="solid">
        <fgColor rgb="FFF0F2DF"/>
      </patternFill>
    </fill>
    <fill>
      <patternFill patternType="solid">
        <fgColor rgb="FFFFC0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3"/>
        <bgColor indexed="64"/>
      </patternFill>
    </fill>
    <fill>
      <patternFill patternType="solid">
        <fgColor rgb="FF66FF66"/>
        <bgColor indexed="64"/>
      </patternFill>
    </fill>
    <fill>
      <patternFill patternType="solid">
        <fgColor theme="6" tint="0.59999389629810485"/>
        <bgColor indexed="64"/>
      </patternFill>
    </fill>
    <fill>
      <patternFill patternType="solid">
        <fgColor rgb="FF66FF33"/>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E7E7E7"/>
      </patternFill>
    </fill>
    <fill>
      <patternFill patternType="solid">
        <fgColor rgb="FF4F81BC"/>
      </patternFill>
    </fill>
    <fill>
      <patternFill patternType="solid">
        <fgColor rgb="FFFFC7CE"/>
        <bgColor indexed="64"/>
      </patternFill>
    </fill>
    <fill>
      <patternFill patternType="solid">
        <fgColor rgb="FFFFC7CE"/>
      </patternFill>
    </fill>
    <fill>
      <patternFill patternType="solid">
        <fgColor rgb="FFFFCC99"/>
      </patternFill>
    </fill>
    <fill>
      <patternFill patternType="solid">
        <fgColor rgb="FFF2F2F2"/>
      </patternFill>
    </fill>
    <fill>
      <patternFill patternType="solid">
        <fgColor theme="0" tint="-0.249977111117893"/>
        <bgColor indexed="64"/>
      </patternFill>
    </fill>
    <fill>
      <patternFill patternType="solid">
        <fgColor theme="4" tint="0.39997558519241921"/>
        <bgColor indexed="64"/>
      </patternFill>
    </fill>
  </fills>
  <borders count="31">
    <border>
      <left/>
      <right/>
      <top/>
      <bottom/>
      <diagonal/>
    </border>
    <border>
      <left/>
      <right/>
      <top style="thin">
        <color auto="1"/>
      </top>
      <bottom style="thin">
        <color auto="1"/>
      </bottom>
      <diagonal/>
    </border>
    <border>
      <left/>
      <right/>
      <top/>
      <bottom style="medium">
        <color indexed="64"/>
      </bottom>
      <diagonal/>
    </border>
    <border>
      <left/>
      <right/>
      <top style="thin">
        <color indexed="64"/>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thin">
        <color indexed="62"/>
      </left>
      <right style="thin">
        <color indexed="62"/>
      </right>
      <top style="thin">
        <color indexed="62"/>
      </top>
      <bottom style="thin">
        <color indexed="62"/>
      </bottom>
      <diagonal/>
    </border>
    <border>
      <left style="thin">
        <color indexed="62"/>
      </left>
      <right style="thin">
        <color indexed="62"/>
      </right>
      <top style="thin">
        <color indexed="62"/>
      </top>
      <bottom style="thin">
        <color indexed="62"/>
      </bottom>
      <diagonal/>
    </border>
    <border>
      <left/>
      <right/>
      <top style="thin">
        <color indexed="64"/>
      </top>
      <bottom/>
      <diagonal/>
    </border>
  </borders>
  <cellStyleXfs count="22">
    <xf numFmtId="0" fontId="0" fillId="0" borderId="0"/>
    <xf numFmtId="0" fontId="2" fillId="2" borderId="0" applyNumberFormat="0" applyBorder="0" applyAlignment="0" applyProtection="0"/>
    <xf numFmtId="0" fontId="9" fillId="0" borderId="0" applyNumberFormat="0" applyFill="0" applyBorder="0" applyAlignment="0" applyProtection="0"/>
    <xf numFmtId="0" fontId="15" fillId="0" borderId="0"/>
    <xf numFmtId="0" fontId="17" fillId="0" borderId="4" applyNumberFormat="0" applyFill="0" applyAlignment="0" applyProtection="0"/>
    <xf numFmtId="0" fontId="22" fillId="0" borderId="0"/>
    <xf numFmtId="171" fontId="1"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alignment vertical="top"/>
      <protection locked="0"/>
    </xf>
    <xf numFmtId="9" fontId="1" fillId="0" borderId="0" applyFont="0" applyFill="0" applyBorder="0" applyAlignment="0" applyProtection="0"/>
    <xf numFmtId="9" fontId="15" fillId="0" borderId="0" applyFont="0" applyFill="0" applyBorder="0" applyAlignment="0" applyProtection="0"/>
    <xf numFmtId="181" fontId="18" fillId="30" borderId="0" applyNumberFormat="0" applyBorder="0" applyAlignment="0" applyProtection="0"/>
    <xf numFmtId="4" fontId="69" fillId="0" borderId="0" applyNumberFormat="0" applyFill="0" applyBorder="0" applyAlignment="0" applyProtection="0">
      <alignment horizontal="center"/>
    </xf>
    <xf numFmtId="0" fontId="15" fillId="0" borderId="0"/>
    <xf numFmtId="0" fontId="78" fillId="0" borderId="0" applyNumberFormat="0" applyFill="0" applyBorder="0" applyAlignment="0" applyProtection="0"/>
    <xf numFmtId="0" fontId="18" fillId="31" borderId="0" applyNumberFormat="0" applyBorder="0" applyAlignment="0" applyProtection="0"/>
    <xf numFmtId="0" fontId="79" fillId="32" borderId="26" applyNumberFormat="0" applyAlignment="0" applyProtection="0"/>
    <xf numFmtId="0" fontId="80" fillId="33" borderId="26" applyNumberFormat="0" applyAlignment="0" applyProtection="0"/>
    <xf numFmtId="0" fontId="15" fillId="0" borderId="0"/>
    <xf numFmtId="0" fontId="15" fillId="0" borderId="0"/>
    <xf numFmtId="0" fontId="1" fillId="0" borderId="0"/>
    <xf numFmtId="0" fontId="83" fillId="0" borderId="25" applyNumberFormat="0" applyFill="0" applyAlignment="0" applyProtection="0"/>
  </cellStyleXfs>
  <cellXfs count="372">
    <xf numFmtId="0" fontId="0" fillId="0" borderId="0" xfId="0"/>
    <xf numFmtId="0" fontId="4" fillId="0" borderId="0" xfId="0" applyFont="1"/>
    <xf numFmtId="164" fontId="4" fillId="0" borderId="0" xfId="0" applyNumberFormat="1" applyFont="1"/>
    <xf numFmtId="0" fontId="7" fillId="6" borderId="1" xfId="0" applyFont="1" applyFill="1" applyBorder="1" applyAlignment="1">
      <alignment vertical="center"/>
    </xf>
    <xf numFmtId="0" fontId="0" fillId="0" borderId="0" xfId="0" applyAlignment="1">
      <alignment vertical="center"/>
    </xf>
    <xf numFmtId="165" fontId="0" fillId="0" borderId="0" xfId="0" applyNumberFormat="1" applyAlignment="1">
      <alignment vertical="center"/>
    </xf>
    <xf numFmtId="165" fontId="2" fillId="2" borderId="0" xfId="1" applyNumberFormat="1" applyAlignment="1">
      <alignment vertical="center"/>
    </xf>
    <xf numFmtId="0" fontId="2" fillId="8" borderId="0" xfId="0" applyFont="1" applyFill="1"/>
    <xf numFmtId="0" fontId="13" fillId="8" borderId="0" xfId="0" applyFont="1" applyFill="1" applyAlignment="1">
      <alignment vertical="center"/>
    </xf>
    <xf numFmtId="0" fontId="7" fillId="9" borderId="0" xfId="0" applyFont="1" applyFill="1"/>
    <xf numFmtId="0" fontId="11" fillId="10" borderId="1" xfId="0" applyFont="1" applyFill="1" applyBorder="1" applyAlignment="1">
      <alignment horizontal="left" vertical="center" wrapText="1"/>
    </xf>
    <xf numFmtId="0" fontId="14" fillId="11" borderId="2" xfId="0" applyFont="1" applyFill="1" applyBorder="1" applyAlignment="1">
      <alignment horizontal="left" vertical="center" wrapText="1"/>
    </xf>
    <xf numFmtId="0" fontId="11" fillId="11" borderId="3" xfId="0" applyFont="1" applyFill="1" applyBorder="1" applyAlignment="1">
      <alignment horizontal="left" vertical="center" wrapText="1"/>
    </xf>
    <xf numFmtId="0" fontId="12" fillId="7" borderId="3" xfId="0" applyFont="1" applyFill="1" applyBorder="1" applyAlignment="1">
      <alignment vertical="center" wrapText="1"/>
    </xf>
    <xf numFmtId="2" fontId="4" fillId="0" borderId="0" xfId="0" applyNumberFormat="1" applyFont="1"/>
    <xf numFmtId="0" fontId="12" fillId="7" borderId="3" xfId="0" applyFont="1" applyFill="1" applyBorder="1" applyAlignment="1">
      <alignment vertical="center"/>
    </xf>
    <xf numFmtId="0" fontId="1" fillId="4" borderId="0" xfId="3" applyFont="1" applyFill="1" applyAlignment="1">
      <alignment vertical="center"/>
    </xf>
    <xf numFmtId="0" fontId="1" fillId="3" borderId="0" xfId="3" applyFont="1" applyFill="1" applyAlignment="1">
      <alignment vertical="center"/>
    </xf>
    <xf numFmtId="0" fontId="10" fillId="3" borderId="0" xfId="3" applyFont="1" applyFill="1" applyAlignment="1">
      <alignment vertical="center"/>
    </xf>
    <xf numFmtId="0" fontId="9" fillId="3" borderId="0" xfId="3" applyFont="1" applyFill="1" applyAlignment="1">
      <alignment vertical="center"/>
    </xf>
    <xf numFmtId="0" fontId="1" fillId="5" borderId="0" xfId="3" applyFont="1" applyFill="1" applyAlignment="1">
      <alignment vertical="center"/>
    </xf>
    <xf numFmtId="0" fontId="7" fillId="3" borderId="0" xfId="3" applyFont="1" applyFill="1" applyAlignment="1">
      <alignment vertical="center"/>
    </xf>
    <xf numFmtId="0" fontId="8" fillId="3" borderId="0" xfId="3" applyFont="1" applyFill="1" applyAlignment="1">
      <alignment vertical="center"/>
    </xf>
    <xf numFmtId="0" fontId="5" fillId="4" borderId="0" xfId="3" applyFont="1" applyFill="1" applyAlignment="1">
      <alignment vertical="center"/>
    </xf>
    <xf numFmtId="0" fontId="4" fillId="3" borderId="0" xfId="3" applyFont="1" applyFill="1" applyAlignment="1">
      <alignment vertical="center"/>
    </xf>
    <xf numFmtId="0" fontId="6" fillId="3" borderId="0" xfId="3" applyFont="1" applyFill="1" applyAlignment="1">
      <alignment vertical="center"/>
    </xf>
    <xf numFmtId="0" fontId="4" fillId="4" borderId="0" xfId="3" applyFont="1" applyFill="1" applyAlignment="1">
      <alignment vertical="center"/>
    </xf>
    <xf numFmtId="164" fontId="4" fillId="4" borderId="0" xfId="3" applyNumberFormat="1" applyFont="1" applyFill="1" applyAlignment="1">
      <alignment horizontal="left" vertical="center"/>
    </xf>
    <xf numFmtId="0" fontId="3" fillId="3" borderId="0" xfId="3" applyFont="1" applyFill="1" applyAlignment="1">
      <alignment vertical="center"/>
    </xf>
    <xf numFmtId="0" fontId="16" fillId="4" borderId="0" xfId="3" applyFont="1" applyFill="1" applyAlignment="1">
      <alignment vertical="center"/>
    </xf>
    <xf numFmtId="0" fontId="9" fillId="4" borderId="0" xfId="2" applyFill="1" applyAlignment="1">
      <alignment vertical="center"/>
    </xf>
    <xf numFmtId="0" fontId="21" fillId="0" borderId="0" xfId="0" applyFont="1"/>
    <xf numFmtId="0" fontId="20" fillId="0" borderId="0" xfId="0" applyFont="1"/>
    <xf numFmtId="0" fontId="22" fillId="0" borderId="0" xfId="5" applyAlignment="1">
      <alignment horizontal="left" vertical="top"/>
    </xf>
    <xf numFmtId="0" fontId="0" fillId="0" borderId="0" xfId="0" applyAlignment="1">
      <alignment horizontal="left" vertical="top"/>
    </xf>
    <xf numFmtId="166" fontId="23" fillId="12" borderId="5" xfId="0" applyNumberFormat="1" applyFont="1" applyFill="1" applyBorder="1" applyAlignment="1">
      <alignment horizontal="center" vertical="top" wrapText="1"/>
    </xf>
    <xf numFmtId="166" fontId="23" fillId="13" borderId="5" xfId="0" applyNumberFormat="1" applyFont="1" applyFill="1" applyBorder="1" applyAlignment="1">
      <alignment horizontal="center" vertical="top" wrapText="1"/>
    </xf>
    <xf numFmtId="167" fontId="23" fillId="13" borderId="5" xfId="0" applyNumberFormat="1" applyFont="1" applyFill="1" applyBorder="1" applyAlignment="1">
      <alignment horizontal="center" vertical="top" wrapText="1"/>
    </xf>
    <xf numFmtId="168" fontId="23" fillId="12" borderId="5" xfId="0" applyNumberFormat="1" applyFont="1" applyFill="1" applyBorder="1" applyAlignment="1">
      <alignment horizontal="center" vertical="top" wrapText="1"/>
    </xf>
    <xf numFmtId="0" fontId="24" fillId="13" borderId="5" xfId="0" applyFont="1" applyFill="1" applyBorder="1" applyAlignment="1">
      <alignment horizontal="left" vertical="top" wrapText="1"/>
    </xf>
    <xf numFmtId="169" fontId="23" fillId="13" borderId="5" xfId="0" applyNumberFormat="1" applyFont="1" applyFill="1" applyBorder="1" applyAlignment="1">
      <alignment horizontal="center" vertical="top" wrapText="1"/>
    </xf>
    <xf numFmtId="0" fontId="0" fillId="13" borderId="5" xfId="0" applyFill="1" applyBorder="1" applyAlignment="1">
      <alignment horizontal="left" vertical="top" wrapText="1"/>
    </xf>
    <xf numFmtId="0" fontId="24" fillId="12" borderId="5" xfId="0" applyFont="1" applyFill="1" applyBorder="1" applyAlignment="1">
      <alignment horizontal="center" vertical="top" wrapText="1"/>
    </xf>
    <xf numFmtId="0" fontId="0" fillId="13" borderId="5" xfId="0" applyFill="1" applyBorder="1" applyAlignment="1">
      <alignment horizontal="center" vertical="top" wrapText="1"/>
    </xf>
    <xf numFmtId="0" fontId="0" fillId="12" borderId="5" xfId="0" applyFill="1" applyBorder="1" applyAlignment="1">
      <alignment horizontal="left" vertical="top" wrapText="1"/>
    </xf>
    <xf numFmtId="0" fontId="0" fillId="14" borderId="0" xfId="0" applyFill="1"/>
    <xf numFmtId="0" fontId="0" fillId="15" borderId="6" xfId="0" applyFill="1" applyBorder="1"/>
    <xf numFmtId="0" fontId="0" fillId="0" borderId="6" xfId="0" applyBorder="1"/>
    <xf numFmtId="43" fontId="0" fillId="15" borderId="1" xfId="0" applyNumberFormat="1" applyFill="1" applyBorder="1"/>
    <xf numFmtId="0" fontId="0" fillId="15" borderId="7" xfId="0" applyFill="1" applyBorder="1"/>
    <xf numFmtId="170" fontId="0" fillId="15" borderId="8" xfId="0" applyNumberFormat="1" applyFill="1" applyBorder="1"/>
    <xf numFmtId="170" fontId="0" fillId="15" borderId="1" xfId="0" applyNumberFormat="1" applyFill="1" applyBorder="1"/>
    <xf numFmtId="170" fontId="0" fillId="16" borderId="9" xfId="6" applyNumberFormat="1" applyFont="1" applyFill="1" applyBorder="1"/>
    <xf numFmtId="170" fontId="0" fillId="16" borderId="6" xfId="6" applyNumberFormat="1" applyFont="1" applyFill="1" applyBorder="1"/>
    <xf numFmtId="0" fontId="0" fillId="16" borderId="10" xfId="0" applyFill="1" applyBorder="1"/>
    <xf numFmtId="43" fontId="0" fillId="0" borderId="0" xfId="0" applyNumberFormat="1" applyAlignment="1">
      <alignment horizontal="left"/>
    </xf>
    <xf numFmtId="170" fontId="0" fillId="16" borderId="11" xfId="6" applyNumberFormat="1" applyFont="1" applyFill="1" applyBorder="1"/>
    <xf numFmtId="170" fontId="0" fillId="16" borderId="0" xfId="6" applyNumberFormat="1" applyFont="1" applyFill="1" applyBorder="1"/>
    <xf numFmtId="0" fontId="0" fillId="16" borderId="12" xfId="0" applyFill="1" applyBorder="1"/>
    <xf numFmtId="43" fontId="0" fillId="0" borderId="0" xfId="0" applyNumberFormat="1"/>
    <xf numFmtId="0" fontId="0" fillId="0" borderId="0" xfId="0" applyAlignment="1">
      <alignment horizontal="left"/>
    </xf>
    <xf numFmtId="0" fontId="0" fillId="16" borderId="8" xfId="0" applyFill="1" applyBorder="1"/>
    <xf numFmtId="0" fontId="0" fillId="16" borderId="1" xfId="0" applyFill="1" applyBorder="1"/>
    <xf numFmtId="0" fontId="0" fillId="16" borderId="7" xfId="0" applyFill="1" applyBorder="1"/>
    <xf numFmtId="172" fontId="0" fillId="0" borderId="0" xfId="0" applyNumberFormat="1"/>
    <xf numFmtId="173" fontId="0" fillId="14" borderId="0" xfId="0" applyNumberFormat="1" applyFill="1"/>
    <xf numFmtId="172" fontId="0" fillId="0" borderId="0" xfId="7" applyNumberFormat="1" applyFont="1" applyFill="1"/>
    <xf numFmtId="0" fontId="0" fillId="16" borderId="0" xfId="0" applyFill="1" applyAlignment="1">
      <alignment horizontal="left"/>
    </xf>
    <xf numFmtId="0" fontId="0" fillId="16" borderId="0" xfId="0" applyFill="1" applyAlignment="1">
      <alignment horizontal="center"/>
    </xf>
    <xf numFmtId="174" fontId="0" fillId="17" borderId="5" xfId="0" applyNumberFormat="1" applyFill="1" applyBorder="1" applyAlignment="1">
      <alignment horizontal="center"/>
    </xf>
    <xf numFmtId="17" fontId="0" fillId="17" borderId="5" xfId="0" applyNumberFormat="1" applyFill="1" applyBorder="1" applyAlignment="1">
      <alignment horizontal="left"/>
    </xf>
    <xf numFmtId="174" fontId="0" fillId="17" borderId="0" xfId="0" applyNumberFormat="1" applyFill="1" applyAlignment="1">
      <alignment horizontal="center"/>
    </xf>
    <xf numFmtId="174" fontId="0" fillId="0" borderId="0" xfId="0" applyNumberFormat="1" applyAlignment="1">
      <alignment horizontal="center"/>
    </xf>
    <xf numFmtId="17" fontId="0" fillId="0" borderId="0" xfId="0" applyNumberFormat="1" applyAlignment="1">
      <alignment horizontal="left"/>
    </xf>
    <xf numFmtId="0" fontId="25" fillId="0" borderId="0" xfId="8" applyAlignment="1" applyProtection="1"/>
    <xf numFmtId="9" fontId="1" fillId="0" borderId="0" xfId="9" applyFont="1" applyFill="1" applyBorder="1"/>
    <xf numFmtId="2" fontId="1" fillId="0" borderId="0" xfId="9" applyNumberFormat="1" applyFont="1" applyFill="1" applyBorder="1"/>
    <xf numFmtId="175" fontId="0" fillId="0" borderId="6" xfId="0" applyNumberFormat="1" applyBorder="1"/>
    <xf numFmtId="0" fontId="20" fillId="0" borderId="6" xfId="0" applyFont="1" applyBorder="1"/>
    <xf numFmtId="175" fontId="0" fillId="0" borderId="0" xfId="0" applyNumberFormat="1"/>
    <xf numFmtId="1" fontId="0" fillId="0" borderId="0" xfId="0" applyNumberFormat="1"/>
    <xf numFmtId="2" fontId="0" fillId="0" borderId="0" xfId="0" applyNumberFormat="1"/>
    <xf numFmtId="176" fontId="0" fillId="0" borderId="0" xfId="0" applyNumberFormat="1"/>
    <xf numFmtId="174" fontId="0" fillId="0" borderId="0" xfId="0" applyNumberFormat="1"/>
    <xf numFmtId="0" fontId="0" fillId="18" borderId="0" xfId="0" applyFill="1"/>
    <xf numFmtId="0" fontId="0" fillId="19" borderId="6" xfId="0" applyFill="1" applyBorder="1"/>
    <xf numFmtId="0" fontId="0" fillId="19" borderId="0" xfId="0" applyFill="1"/>
    <xf numFmtId="0" fontId="0" fillId="19" borderId="3" xfId="0" applyFill="1" applyBorder="1"/>
    <xf numFmtId="0" fontId="0" fillId="4" borderId="9" xfId="0" applyFill="1" applyBorder="1"/>
    <xf numFmtId="0" fontId="0" fillId="4" borderId="6" xfId="0" applyFill="1" applyBorder="1"/>
    <xf numFmtId="0" fontId="0" fillId="4" borderId="10" xfId="0" applyFill="1" applyBorder="1"/>
    <xf numFmtId="0" fontId="0" fillId="4" borderId="11" xfId="0" applyFill="1" applyBorder="1"/>
    <xf numFmtId="0" fontId="0" fillId="4" borderId="0" xfId="0" applyFill="1"/>
    <xf numFmtId="0" fontId="0" fillId="4" borderId="12" xfId="0" applyFill="1" applyBorder="1"/>
    <xf numFmtId="1" fontId="0" fillId="4" borderId="0" xfId="0" applyNumberFormat="1" applyFill="1"/>
    <xf numFmtId="0" fontId="20" fillId="4" borderId="11" xfId="0" applyFont="1" applyFill="1" applyBorder="1"/>
    <xf numFmtId="0" fontId="20" fillId="4" borderId="0" xfId="0" applyFont="1" applyFill="1"/>
    <xf numFmtId="0" fontId="0" fillId="4" borderId="8" xfId="0" applyFill="1" applyBorder="1"/>
    <xf numFmtId="0" fontId="0" fillId="4" borderId="1" xfId="0" applyFill="1" applyBorder="1"/>
    <xf numFmtId="0" fontId="0" fillId="4" borderId="7" xfId="0" applyFill="1" applyBorder="1"/>
    <xf numFmtId="9" fontId="19" fillId="0" borderId="0" xfId="0" applyNumberFormat="1" applyFont="1"/>
    <xf numFmtId="0" fontId="26" fillId="0" borderId="0" xfId="0" applyFont="1"/>
    <xf numFmtId="9" fontId="0" fillId="0" borderId="0" xfId="0" applyNumberFormat="1"/>
    <xf numFmtId="9" fontId="0" fillId="14" borderId="0" xfId="0" applyNumberFormat="1" applyFill="1"/>
    <xf numFmtId="177" fontId="0" fillId="0" borderId="0" xfId="9" applyNumberFormat="1" applyFont="1"/>
    <xf numFmtId="172" fontId="27" fillId="0" borderId="0" xfId="0" applyNumberFormat="1" applyFont="1"/>
    <xf numFmtId="176" fontId="19" fillId="0" borderId="0" xfId="0" applyNumberFormat="1" applyFont="1"/>
    <xf numFmtId="0" fontId="19" fillId="0" borderId="0" xfId="0" applyFont="1"/>
    <xf numFmtId="0" fontId="28" fillId="4" borderId="0" xfId="0" applyFont="1" applyFill="1"/>
    <xf numFmtId="0" fontId="31" fillId="20" borderId="0" xfId="0" applyFont="1" applyFill="1"/>
    <xf numFmtId="0" fontId="0" fillId="20" borderId="0" xfId="0" applyFill="1"/>
    <xf numFmtId="169" fontId="32" fillId="12" borderId="5" xfId="0" applyNumberFormat="1" applyFont="1" applyFill="1" applyBorder="1" applyAlignment="1">
      <alignment horizontal="center" vertical="top" wrapText="1"/>
    </xf>
    <xf numFmtId="169" fontId="32" fillId="12" borderId="5" xfId="0" applyNumberFormat="1" applyFont="1" applyFill="1" applyBorder="1" applyAlignment="1">
      <alignment horizontal="left" vertical="top" wrapText="1"/>
    </xf>
    <xf numFmtId="0" fontId="0" fillId="12" borderId="5" xfId="0" applyFill="1" applyBorder="1" applyAlignment="1">
      <alignment horizontal="center" vertical="top" wrapText="1"/>
    </xf>
    <xf numFmtId="0" fontId="0" fillId="12" borderId="0" xfId="0" applyFill="1" applyAlignment="1">
      <alignment horizontal="left" vertical="top"/>
    </xf>
    <xf numFmtId="166" fontId="32" fillId="12" borderId="5" xfId="0" applyNumberFormat="1" applyFont="1" applyFill="1" applyBorder="1" applyAlignment="1">
      <alignment horizontal="center" vertical="top" wrapText="1"/>
    </xf>
    <xf numFmtId="0" fontId="0" fillId="12" borderId="5" xfId="0" applyFill="1" applyBorder="1" applyAlignment="1">
      <alignment vertical="top" wrapText="1"/>
    </xf>
    <xf numFmtId="169" fontId="37" fillId="12" borderId="5" xfId="0" applyNumberFormat="1" applyFont="1" applyFill="1" applyBorder="1" applyAlignment="1">
      <alignment horizontal="center" vertical="top" wrapText="1"/>
    </xf>
    <xf numFmtId="0" fontId="0" fillId="12" borderId="8" xfId="0" applyFill="1" applyBorder="1" applyAlignment="1">
      <alignment horizontal="center" vertical="top" wrapText="1"/>
    </xf>
    <xf numFmtId="0" fontId="0" fillId="12" borderId="1" xfId="0" applyFill="1" applyBorder="1" applyAlignment="1">
      <alignment horizontal="center" vertical="top" wrapText="1"/>
    </xf>
    <xf numFmtId="0" fontId="0" fillId="12" borderId="7" xfId="0" applyFill="1" applyBorder="1" applyAlignment="1">
      <alignment horizontal="center" vertical="top" wrapText="1"/>
    </xf>
    <xf numFmtId="0" fontId="38" fillId="12" borderId="0" xfId="0" applyFont="1" applyFill="1" applyAlignment="1">
      <alignment horizontal="left" vertical="top"/>
    </xf>
    <xf numFmtId="169" fontId="32" fillId="12" borderId="0" xfId="0" applyNumberFormat="1" applyFont="1" applyFill="1" applyAlignment="1">
      <alignment horizontal="center" vertical="top" wrapText="1"/>
    </xf>
    <xf numFmtId="169" fontId="32" fillId="12" borderId="0" xfId="0" applyNumberFormat="1" applyFont="1" applyFill="1" applyAlignment="1">
      <alignment horizontal="left" vertical="top" wrapText="1"/>
    </xf>
    <xf numFmtId="0" fontId="0" fillId="12" borderId="0" xfId="0" applyFill="1" applyAlignment="1">
      <alignment horizontal="left" vertical="top" wrapText="1"/>
    </xf>
    <xf numFmtId="169" fontId="32" fillId="12" borderId="7" xfId="0" applyNumberFormat="1" applyFont="1" applyFill="1" applyBorder="1" applyAlignment="1">
      <alignment horizontal="center" vertical="top" wrapText="1"/>
    </xf>
    <xf numFmtId="169" fontId="32" fillId="12" borderId="7" xfId="0" applyNumberFormat="1" applyFont="1" applyFill="1" applyBorder="1" applyAlignment="1">
      <alignment vertical="top" wrapText="1"/>
    </xf>
    <xf numFmtId="0" fontId="0" fillId="12" borderId="7" xfId="0" applyFill="1" applyBorder="1" applyAlignment="1">
      <alignment vertical="top" wrapText="1"/>
    </xf>
    <xf numFmtId="169" fontId="37" fillId="12" borderId="7" xfId="0" applyNumberFormat="1" applyFont="1" applyFill="1" applyBorder="1" applyAlignment="1">
      <alignment horizontal="center" vertical="top" wrapText="1"/>
    </xf>
    <xf numFmtId="169" fontId="32" fillId="12" borderId="0" xfId="0" applyNumberFormat="1" applyFont="1" applyFill="1" applyAlignment="1">
      <alignment horizontal="left" vertical="top"/>
    </xf>
    <xf numFmtId="0" fontId="41" fillId="12" borderId="0" xfId="0" applyFont="1" applyFill="1" applyAlignment="1">
      <alignment horizontal="left" vertical="top"/>
    </xf>
    <xf numFmtId="0" fontId="42" fillId="12" borderId="5" xfId="0" applyFont="1" applyFill="1" applyBorder="1" applyAlignment="1">
      <alignment horizontal="center" vertical="top" wrapText="1"/>
    </xf>
    <xf numFmtId="0" fontId="42" fillId="12" borderId="5" xfId="0" applyFont="1" applyFill="1" applyBorder="1" applyAlignment="1">
      <alignment horizontal="left" vertical="top" wrapText="1"/>
    </xf>
    <xf numFmtId="164" fontId="0" fillId="0" borderId="0" xfId="0" applyNumberFormat="1"/>
    <xf numFmtId="0" fontId="42" fillId="0" borderId="0" xfId="0" applyFont="1" applyAlignment="1">
      <alignment horizontal="left" vertical="top"/>
    </xf>
    <xf numFmtId="0" fontId="46" fillId="14" borderId="0" xfId="0" applyFont="1" applyFill="1"/>
    <xf numFmtId="0" fontId="0" fillId="21" borderId="0" xfId="0" applyFill="1"/>
    <xf numFmtId="10" fontId="1" fillId="0" borderId="5" xfId="9" applyNumberFormat="1" applyFont="1" applyBorder="1" applyAlignment="1">
      <alignment horizontal="center"/>
    </xf>
    <xf numFmtId="10" fontId="1" fillId="0" borderId="5" xfId="9" applyNumberFormat="1" applyFont="1" applyFill="1" applyBorder="1" applyAlignment="1">
      <alignment horizontal="center"/>
    </xf>
    <xf numFmtId="168" fontId="42" fillId="0" borderId="5" xfId="0" applyNumberFormat="1" applyFont="1" applyBorder="1" applyAlignment="1">
      <alignment horizontal="center" vertical="top" wrapText="1"/>
    </xf>
    <xf numFmtId="0" fontId="42" fillId="0" borderId="5" xfId="0" applyFont="1" applyBorder="1" applyAlignment="1">
      <alignment horizontal="center" vertical="top" wrapText="1"/>
    </xf>
    <xf numFmtId="0" fontId="42" fillId="0" borderId="5" xfId="0" applyFont="1" applyBorder="1" applyAlignment="1">
      <alignment horizontal="left" vertical="top" wrapText="1"/>
    </xf>
    <xf numFmtId="0" fontId="0" fillId="0" borderId="5" xfId="0" applyBorder="1" applyAlignment="1">
      <alignment horizontal="center"/>
    </xf>
    <xf numFmtId="9" fontId="0" fillId="0" borderId="5" xfId="0" applyNumberFormat="1" applyBorder="1" applyAlignment="1">
      <alignment horizontal="center"/>
    </xf>
    <xf numFmtId="0" fontId="0" fillId="0" borderId="5" xfId="0" applyBorder="1"/>
    <xf numFmtId="0" fontId="20" fillId="0" borderId="5" xfId="0" applyFont="1" applyBorder="1" applyAlignment="1">
      <alignment horizontal="center"/>
    </xf>
    <xf numFmtId="0" fontId="47" fillId="0" borderId="0" xfId="0" applyFont="1"/>
    <xf numFmtId="168" fontId="42" fillId="21" borderId="5" xfId="0" applyNumberFormat="1" applyFont="1" applyFill="1" applyBorder="1" applyAlignment="1">
      <alignment horizontal="center" vertical="top" wrapText="1"/>
    </xf>
    <xf numFmtId="0" fontId="48" fillId="0" borderId="5" xfId="0" applyFont="1" applyBorder="1" applyAlignment="1">
      <alignment horizontal="left" vertical="top" wrapText="1"/>
    </xf>
    <xf numFmtId="169" fontId="49" fillId="0" borderId="5" xfId="0" applyNumberFormat="1" applyFont="1" applyBorder="1" applyAlignment="1">
      <alignment horizontal="center" vertical="top" wrapText="1"/>
    </xf>
    <xf numFmtId="0" fontId="49" fillId="0" borderId="5" xfId="0" applyFont="1" applyBorder="1" applyAlignment="1">
      <alignment horizontal="left" vertical="top"/>
    </xf>
    <xf numFmtId="0" fontId="51" fillId="0" borderId="0" xfId="0" applyFont="1"/>
    <xf numFmtId="0" fontId="0" fillId="0" borderId="5" xfId="0" applyBorder="1" applyAlignment="1">
      <alignment horizontal="left"/>
    </xf>
    <xf numFmtId="168" fontId="42" fillId="0" borderId="0" xfId="0" applyNumberFormat="1" applyFont="1" applyAlignment="1">
      <alignment horizontal="center" vertical="top" wrapText="1"/>
    </xf>
    <xf numFmtId="0" fontId="42" fillId="0" borderId="0" xfId="0" applyFont="1" applyAlignment="1">
      <alignment horizontal="center" vertical="top" wrapText="1"/>
    </xf>
    <xf numFmtId="0" fontId="42" fillId="0" borderId="0" xfId="0" applyFont="1" applyAlignment="1">
      <alignment horizontal="left" vertical="top" wrapText="1"/>
    </xf>
    <xf numFmtId="11" fontId="0" fillId="0" borderId="5" xfId="0" applyNumberFormat="1" applyBorder="1" applyAlignment="1">
      <alignment horizontal="center"/>
    </xf>
    <xf numFmtId="10" fontId="0" fillId="0" borderId="5" xfId="0" applyNumberFormat="1" applyBorder="1" applyAlignment="1">
      <alignment horizontal="center"/>
    </xf>
    <xf numFmtId="0" fontId="0" fillId="0" borderId="5" xfId="0" applyBorder="1" applyAlignment="1">
      <alignment horizontal="left" wrapText="1"/>
    </xf>
    <xf numFmtId="0" fontId="52" fillId="0" borderId="0" xfId="0" applyFont="1"/>
    <xf numFmtId="0" fontId="0" fillId="22" borderId="15" xfId="0" applyFill="1" applyBorder="1"/>
    <xf numFmtId="0" fontId="0" fillId="22" borderId="2" xfId="0" applyFill="1" applyBorder="1"/>
    <xf numFmtId="0" fontId="0" fillId="22" borderId="16" xfId="0" applyFill="1" applyBorder="1"/>
    <xf numFmtId="0" fontId="0" fillId="22" borderId="17" xfId="0" applyFill="1" applyBorder="1"/>
    <xf numFmtId="0" fontId="0" fillId="22" borderId="0" xfId="0" applyFill="1"/>
    <xf numFmtId="0" fontId="0" fillId="22" borderId="18" xfId="0" applyFill="1" applyBorder="1"/>
    <xf numFmtId="0" fontId="0" fillId="22" borderId="19" xfId="0" applyFill="1" applyBorder="1"/>
    <xf numFmtId="0" fontId="0" fillId="22" borderId="20" xfId="0" applyFill="1" applyBorder="1"/>
    <xf numFmtId="0" fontId="0" fillId="22" borderId="21" xfId="0" applyFill="1" applyBorder="1"/>
    <xf numFmtId="2" fontId="0" fillId="22" borderId="2" xfId="0" applyNumberFormat="1" applyFill="1" applyBorder="1"/>
    <xf numFmtId="0" fontId="0" fillId="23" borderId="2" xfId="0" applyFill="1" applyBorder="1"/>
    <xf numFmtId="0" fontId="0" fillId="23" borderId="16" xfId="0" applyFill="1" applyBorder="1"/>
    <xf numFmtId="169" fontId="42" fillId="0" borderId="5" xfId="0" applyNumberFormat="1" applyFont="1" applyBorder="1" applyAlignment="1">
      <alignment horizontal="center" vertical="top" wrapText="1"/>
    </xf>
    <xf numFmtId="169" fontId="42" fillId="0" borderId="5" xfId="0" applyNumberFormat="1" applyFont="1" applyBorder="1" applyAlignment="1">
      <alignment horizontal="left" vertical="top" wrapText="1"/>
    </xf>
    <xf numFmtId="164" fontId="0" fillId="22" borderId="0" xfId="0" applyNumberFormat="1" applyFill="1"/>
    <xf numFmtId="0" fontId="0" fillId="23" borderId="0" xfId="0" applyFill="1"/>
    <xf numFmtId="0" fontId="0" fillId="23" borderId="18" xfId="0" applyFill="1" applyBorder="1" applyAlignment="1">
      <alignment wrapText="1"/>
    </xf>
    <xf numFmtId="0" fontId="53" fillId="23" borderId="18" xfId="0" applyFont="1" applyFill="1" applyBorder="1" applyAlignment="1">
      <alignment wrapText="1"/>
    </xf>
    <xf numFmtId="174" fontId="0" fillId="22" borderId="20" xfId="0" applyNumberFormat="1" applyFill="1" applyBorder="1"/>
    <xf numFmtId="0" fontId="0" fillId="23" borderId="20" xfId="0" applyFill="1" applyBorder="1"/>
    <xf numFmtId="0" fontId="0" fillId="23" borderId="21" xfId="0" applyFill="1" applyBorder="1" applyAlignment="1">
      <alignment wrapText="1"/>
    </xf>
    <xf numFmtId="0" fontId="53" fillId="0" borderId="0" xfId="0" applyFont="1"/>
    <xf numFmtId="0" fontId="0" fillId="0" borderId="5" xfId="0" applyBorder="1" applyAlignment="1">
      <alignment horizontal="center" vertical="center"/>
    </xf>
    <xf numFmtId="11" fontId="0" fillId="0" borderId="5" xfId="0" applyNumberFormat="1" applyBorder="1" applyAlignment="1">
      <alignment horizontal="center" vertical="center"/>
    </xf>
    <xf numFmtId="10" fontId="0" fillId="0" borderId="5" xfId="0" applyNumberFormat="1" applyBorder="1" applyAlignment="1">
      <alignment horizontal="center" vertical="center"/>
    </xf>
    <xf numFmtId="169" fontId="42" fillId="24" borderId="5" xfId="0" applyNumberFormat="1" applyFont="1" applyFill="1" applyBorder="1" applyAlignment="1">
      <alignment horizontal="center" vertical="top" wrapText="1"/>
    </xf>
    <xf numFmtId="169" fontId="42" fillId="21" borderId="5" xfId="0" applyNumberFormat="1" applyFont="1" applyFill="1" applyBorder="1" applyAlignment="1">
      <alignment horizontal="center" vertical="top" wrapText="1"/>
    </xf>
    <xf numFmtId="0" fontId="42" fillId="21" borderId="5" xfId="0" applyFont="1" applyFill="1" applyBorder="1" applyAlignment="1">
      <alignment horizontal="center" vertical="top" wrapText="1"/>
    </xf>
    <xf numFmtId="169" fontId="49" fillId="0" borderId="5" xfId="0" applyNumberFormat="1" applyFont="1" applyBorder="1" applyAlignment="1">
      <alignment horizontal="left" vertical="top" wrapText="1"/>
    </xf>
    <xf numFmtId="0" fontId="50" fillId="0" borderId="5" xfId="0" applyFont="1" applyBorder="1" applyAlignment="1">
      <alignment horizontal="left" vertical="top"/>
    </xf>
    <xf numFmtId="178" fontId="19" fillId="24" borderId="0" xfId="6" applyNumberFormat="1" applyFont="1" applyFill="1" applyBorder="1" applyAlignment="1">
      <alignment horizontal="left" vertical="top"/>
    </xf>
    <xf numFmtId="0" fontId="19" fillId="0" borderId="0" xfId="0" applyFont="1" applyAlignment="1">
      <alignment horizontal="left" vertical="top"/>
    </xf>
    <xf numFmtId="0" fontId="54" fillId="0" borderId="0" xfId="0" applyFont="1" applyAlignment="1">
      <alignment horizontal="left" vertical="top"/>
    </xf>
    <xf numFmtId="43" fontId="0" fillId="0" borderId="0" xfId="0" applyNumberFormat="1" applyAlignment="1">
      <alignment horizontal="left" vertical="top"/>
    </xf>
    <xf numFmtId="0" fontId="55" fillId="0" borderId="0" xfId="0" applyFont="1" applyAlignment="1">
      <alignment horizontal="left" vertical="top"/>
    </xf>
    <xf numFmtId="0" fontId="0" fillId="0" borderId="5" xfId="0" applyBorder="1" applyAlignment="1">
      <alignment horizontal="center" vertical="top" wrapText="1"/>
    </xf>
    <xf numFmtId="169" fontId="32" fillId="0" borderId="5" xfId="0" applyNumberFormat="1" applyFont="1" applyBorder="1" applyAlignment="1">
      <alignment horizontal="center" vertical="top" wrapText="1"/>
    </xf>
    <xf numFmtId="169" fontId="32" fillId="0" borderId="5" xfId="0" applyNumberFormat="1" applyFont="1" applyBorder="1" applyAlignment="1">
      <alignment horizontal="left" vertical="top" wrapText="1"/>
    </xf>
    <xf numFmtId="0" fontId="0" fillId="0" borderId="5" xfId="0" applyBorder="1" applyAlignment="1">
      <alignment horizontal="left" vertical="top" wrapText="1"/>
    </xf>
    <xf numFmtId="0" fontId="56" fillId="14" borderId="0" xfId="0" applyFont="1" applyFill="1"/>
    <xf numFmtId="0" fontId="40" fillId="0" borderId="5" xfId="0" applyFont="1" applyBorder="1" applyAlignment="1">
      <alignment horizontal="left" vertical="top" wrapText="1"/>
    </xf>
    <xf numFmtId="176" fontId="0" fillId="0" borderId="5" xfId="0" applyNumberFormat="1" applyBorder="1" applyAlignment="1">
      <alignment horizontal="center"/>
    </xf>
    <xf numFmtId="0" fontId="0" fillId="0" borderId="5" xfId="0" applyBorder="1" applyAlignment="1">
      <alignment wrapText="1"/>
    </xf>
    <xf numFmtId="169" fontId="37" fillId="0" borderId="5" xfId="0" applyNumberFormat="1" applyFont="1" applyBorder="1" applyAlignment="1">
      <alignment horizontal="center" vertical="top" wrapText="1"/>
    </xf>
    <xf numFmtId="0" fontId="20" fillId="0" borderId="5" xfId="0" applyFont="1" applyBorder="1" applyAlignment="1">
      <alignment horizontal="left" vertical="top"/>
    </xf>
    <xf numFmtId="0" fontId="33" fillId="0" borderId="5" xfId="0" applyFont="1" applyBorder="1" applyAlignment="1">
      <alignment horizontal="left" vertical="top"/>
    </xf>
    <xf numFmtId="0" fontId="25" fillId="0" borderId="0" xfId="8" applyFill="1" applyAlignment="1" applyProtection="1"/>
    <xf numFmtId="0" fontId="0" fillId="0" borderId="0" xfId="0" applyAlignment="1">
      <alignment horizontal="center"/>
    </xf>
    <xf numFmtId="1" fontId="0" fillId="0" borderId="0" xfId="0" applyNumberFormat="1" applyAlignment="1">
      <alignment horizontal="center"/>
    </xf>
    <xf numFmtId="11" fontId="0" fillId="0" borderId="0" xfId="0" applyNumberFormat="1"/>
    <xf numFmtId="0" fontId="4" fillId="25" borderId="5" xfId="0" applyFont="1" applyFill="1" applyBorder="1" applyAlignment="1">
      <alignment horizontal="center"/>
    </xf>
    <xf numFmtId="2" fontId="0" fillId="0" borderId="0" xfId="0" applyNumberFormat="1" applyAlignment="1">
      <alignment horizontal="center"/>
    </xf>
    <xf numFmtId="17" fontId="0" fillId="0" borderId="0" xfId="0" applyNumberFormat="1"/>
    <xf numFmtId="0" fontId="0" fillId="0" borderId="0" xfId="0" applyAlignment="1">
      <alignment horizontal="right"/>
    </xf>
    <xf numFmtId="11" fontId="0" fillId="0" borderId="0" xfId="0" applyNumberFormat="1" applyAlignment="1">
      <alignment horizontal="center"/>
    </xf>
    <xf numFmtId="170" fontId="0" fillId="17" borderId="5" xfId="6" applyNumberFormat="1" applyFont="1" applyFill="1" applyBorder="1" applyAlignment="1">
      <alignment horizontal="center"/>
    </xf>
    <xf numFmtId="0" fontId="0" fillId="17" borderId="5" xfId="0" applyFill="1" applyBorder="1" applyAlignment="1">
      <alignment horizontal="center"/>
    </xf>
    <xf numFmtId="0" fontId="0" fillId="16" borderId="5" xfId="0" applyFill="1" applyBorder="1" applyAlignment="1">
      <alignment horizontal="center"/>
    </xf>
    <xf numFmtId="0" fontId="27" fillId="4" borderId="5" xfId="0" applyFont="1" applyFill="1" applyBorder="1" applyAlignment="1">
      <alignment horizontal="center"/>
    </xf>
    <xf numFmtId="176" fontId="27" fillId="0" borderId="5" xfId="0" applyNumberFormat="1" applyFont="1" applyBorder="1" applyAlignment="1">
      <alignment horizontal="center"/>
    </xf>
    <xf numFmtId="0" fontId="0" fillId="25" borderId="5" xfId="0" applyFill="1" applyBorder="1" applyAlignment="1">
      <alignment horizontal="center"/>
    </xf>
    <xf numFmtId="0" fontId="0" fillId="15" borderId="0" xfId="0" applyFill="1" applyAlignment="1">
      <alignment horizontal="center"/>
    </xf>
    <xf numFmtId="0" fontId="58" fillId="0" borderId="0" xfId="3" applyFont="1"/>
    <xf numFmtId="2" fontId="0" fillId="15" borderId="0" xfId="0" applyNumberFormat="1" applyFill="1" applyAlignment="1">
      <alignment horizontal="center"/>
    </xf>
    <xf numFmtId="2" fontId="0" fillId="26" borderId="0" xfId="0" applyNumberFormat="1" applyFill="1" applyAlignment="1">
      <alignment horizontal="center"/>
    </xf>
    <xf numFmtId="2" fontId="0" fillId="27" borderId="0" xfId="0" applyNumberFormat="1" applyFill="1" applyAlignment="1">
      <alignment horizontal="center"/>
    </xf>
    <xf numFmtId="0" fontId="59" fillId="0" borderId="0" xfId="3" applyFont="1" applyAlignment="1">
      <alignment horizontal="center"/>
    </xf>
    <xf numFmtId="1" fontId="0" fillId="26" borderId="0" xfId="0" applyNumberFormat="1" applyFill="1" applyAlignment="1">
      <alignment horizontal="center"/>
    </xf>
    <xf numFmtId="1" fontId="0" fillId="27" borderId="0" xfId="0" applyNumberFormat="1" applyFill="1" applyAlignment="1">
      <alignment horizontal="center"/>
    </xf>
    <xf numFmtId="173" fontId="0" fillId="16" borderId="0" xfId="0" applyNumberFormat="1" applyFill="1"/>
    <xf numFmtId="0" fontId="0" fillId="26" borderId="0" xfId="0" applyFill="1" applyAlignment="1">
      <alignment horizontal="center"/>
    </xf>
    <xf numFmtId="0" fontId="0" fillId="26" borderId="6" xfId="0" applyFill="1" applyBorder="1"/>
    <xf numFmtId="0" fontId="60" fillId="28" borderId="22" xfId="0" applyFont="1" applyFill="1" applyBorder="1" applyAlignment="1">
      <alignment vertical="top" wrapText="1"/>
    </xf>
    <xf numFmtId="9" fontId="61" fillId="28" borderId="22" xfId="0" applyNumberFormat="1" applyFont="1" applyFill="1" applyBorder="1" applyAlignment="1">
      <alignment vertical="top" shrinkToFit="1"/>
    </xf>
    <xf numFmtId="9" fontId="61" fillId="28" borderId="22" xfId="0" applyNumberFormat="1" applyFont="1" applyFill="1" applyBorder="1" applyAlignment="1">
      <alignment horizontal="center" vertical="top" shrinkToFit="1"/>
    </xf>
    <xf numFmtId="0" fontId="60" fillId="0" borderId="0" xfId="0" applyFont="1" applyAlignment="1">
      <alignment vertical="top" wrapText="1"/>
    </xf>
    <xf numFmtId="0" fontId="62" fillId="0" borderId="0" xfId="0" applyFont="1" applyAlignment="1">
      <alignment vertical="top" wrapText="1"/>
    </xf>
    <xf numFmtId="0" fontId="62" fillId="0" borderId="0" xfId="0" applyFont="1" applyAlignment="1">
      <alignment horizontal="center" vertical="top" wrapText="1"/>
    </xf>
    <xf numFmtId="0" fontId="60" fillId="28" borderId="0" xfId="0" applyFont="1" applyFill="1" applyAlignment="1">
      <alignment vertical="top" wrapText="1"/>
    </xf>
    <xf numFmtId="1" fontId="61" fillId="28" borderId="0" xfId="0" applyNumberFormat="1" applyFont="1" applyFill="1" applyAlignment="1">
      <alignment horizontal="center" vertical="top" shrinkToFit="1"/>
    </xf>
    <xf numFmtId="0" fontId="60" fillId="12" borderId="0" xfId="0" applyFont="1" applyFill="1" applyAlignment="1">
      <alignment vertical="top" wrapText="1"/>
    </xf>
    <xf numFmtId="1" fontId="61" fillId="0" borderId="0" xfId="0" applyNumberFormat="1" applyFont="1" applyAlignment="1">
      <alignment horizontal="center" vertical="top" shrinkToFit="1"/>
    </xf>
    <xf numFmtId="0" fontId="60" fillId="28" borderId="0" xfId="0" applyFont="1" applyFill="1" applyAlignment="1">
      <alignment horizontal="center" vertical="top" wrapText="1"/>
    </xf>
    <xf numFmtId="0" fontId="60" fillId="0" borderId="0" xfId="0" applyFont="1" applyAlignment="1">
      <alignment horizontal="center" vertical="top" wrapText="1"/>
    </xf>
    <xf numFmtId="1" fontId="61" fillId="0" borderId="0" xfId="0" applyNumberFormat="1" applyFont="1" applyAlignment="1">
      <alignment vertical="top" shrinkToFit="1"/>
    </xf>
    <xf numFmtId="1" fontId="61" fillId="28" borderId="0" xfId="0" applyNumberFormat="1" applyFont="1" applyFill="1" applyAlignment="1">
      <alignment vertical="top" shrinkToFit="1"/>
    </xf>
    <xf numFmtId="3" fontId="61" fillId="0" borderId="0" xfId="0" applyNumberFormat="1" applyFont="1" applyAlignment="1">
      <alignment vertical="top" shrinkToFit="1"/>
    </xf>
    <xf numFmtId="3" fontId="61" fillId="0" borderId="0" xfId="0" applyNumberFormat="1" applyFont="1" applyAlignment="1">
      <alignment horizontal="center" vertical="top" shrinkToFit="1"/>
    </xf>
    <xf numFmtId="0" fontId="60" fillId="28" borderId="23" xfId="0" applyFont="1" applyFill="1" applyBorder="1" applyAlignment="1">
      <alignment vertical="top" wrapText="1"/>
    </xf>
    <xf numFmtId="0" fontId="60" fillId="28" borderId="23" xfId="0" applyFont="1" applyFill="1" applyBorder="1" applyAlignment="1">
      <alignment horizontal="center" vertical="top" wrapText="1"/>
    </xf>
    <xf numFmtId="0" fontId="33" fillId="29" borderId="24" xfId="0" applyFont="1" applyFill="1" applyBorder="1" applyAlignment="1">
      <alignment vertical="top" wrapText="1"/>
    </xf>
    <xf numFmtId="0" fontId="28" fillId="0" borderId="0" xfId="0" applyFont="1"/>
    <xf numFmtId="179" fontId="0" fillId="0" borderId="0" xfId="0" applyNumberFormat="1"/>
    <xf numFmtId="22" fontId="0" fillId="0" borderId="0" xfId="0" applyNumberFormat="1"/>
    <xf numFmtId="170" fontId="0" fillId="0" borderId="0" xfId="6" applyNumberFormat="1" applyFont="1"/>
    <xf numFmtId="171" fontId="0" fillId="0" borderId="5" xfId="6" applyFont="1" applyFill="1" applyBorder="1"/>
    <xf numFmtId="1" fontId="0" fillId="15" borderId="0" xfId="0" applyNumberFormat="1" applyFill="1" applyAlignment="1">
      <alignment horizontal="center"/>
    </xf>
    <xf numFmtId="0" fontId="0" fillId="27" borderId="0" xfId="0" applyFill="1" applyAlignment="1">
      <alignment horizontal="center"/>
    </xf>
    <xf numFmtId="0" fontId="15" fillId="0" borderId="0" xfId="3"/>
    <xf numFmtId="0" fontId="15" fillId="15" borderId="0" xfId="3" applyFill="1"/>
    <xf numFmtId="0" fontId="15" fillId="16" borderId="0" xfId="3" applyFill="1"/>
    <xf numFmtId="2" fontId="15" fillId="0" borderId="0" xfId="10" applyNumberFormat="1" applyFont="1" applyFill="1" applyAlignment="1">
      <alignment horizontal="right"/>
    </xf>
    <xf numFmtId="2" fontId="15" fillId="15" borderId="0" xfId="10" applyNumberFormat="1" applyFont="1" applyFill="1" applyAlignment="1">
      <alignment horizontal="right"/>
    </xf>
    <xf numFmtId="0" fontId="59" fillId="0" borderId="0" xfId="3" applyFont="1" applyAlignment="1" applyProtection="1">
      <alignment horizontal="left"/>
      <protection locked="0"/>
    </xf>
    <xf numFmtId="2" fontId="15" fillId="0" borderId="0" xfId="3" applyNumberFormat="1"/>
    <xf numFmtId="2" fontId="15" fillId="16" borderId="0" xfId="10" applyNumberFormat="1" applyFont="1" applyFill="1" applyAlignment="1">
      <alignment horizontal="right"/>
    </xf>
    <xf numFmtId="1" fontId="15" fillId="0" borderId="0" xfId="10" applyNumberFormat="1" applyFont="1" applyFill="1" applyAlignment="1">
      <alignment horizontal="right"/>
    </xf>
    <xf numFmtId="180" fontId="59" fillId="0" borderId="0" xfId="3" applyNumberFormat="1" applyFont="1" applyAlignment="1" applyProtection="1">
      <alignment horizontal="left"/>
      <protection locked="0"/>
    </xf>
    <xf numFmtId="1" fontId="66" fillId="0" borderId="0" xfId="10" applyNumberFormat="1" applyFont="1" applyFill="1" applyAlignment="1">
      <alignment horizontal="right"/>
    </xf>
    <xf numFmtId="2" fontId="66" fillId="0" borderId="0" xfId="10" applyNumberFormat="1" applyFont="1" applyFill="1" applyAlignment="1">
      <alignment horizontal="right"/>
    </xf>
    <xf numFmtId="174" fontId="15" fillId="0" borderId="0" xfId="10" applyNumberFormat="1" applyFont="1" applyFill="1" applyAlignment="1">
      <alignment horizontal="right"/>
    </xf>
    <xf numFmtId="2" fontId="67" fillId="15" borderId="2" xfId="3" applyNumberFormat="1" applyFont="1" applyFill="1" applyBorder="1" applyAlignment="1">
      <alignment horizontal="center"/>
    </xf>
    <xf numFmtId="2" fontId="15" fillId="0" borderId="2" xfId="3" applyNumberFormat="1" applyBorder="1" applyAlignment="1">
      <alignment horizontal="center"/>
    </xf>
    <xf numFmtId="2" fontId="15" fillId="15" borderId="2" xfId="3" applyNumberFormat="1" applyFill="1" applyBorder="1" applyAlignment="1">
      <alignment horizontal="center"/>
    </xf>
    <xf numFmtId="2" fontId="15" fillId="16" borderId="2" xfId="3" applyNumberFormat="1" applyFill="1" applyBorder="1" applyAlignment="1">
      <alignment horizontal="center"/>
    </xf>
    <xf numFmtId="0" fontId="15" fillId="0" borderId="2" xfId="3" applyBorder="1" applyAlignment="1">
      <alignment horizontal="center" wrapText="1"/>
    </xf>
    <xf numFmtId="2" fontId="67" fillId="0" borderId="2" xfId="3" applyNumberFormat="1" applyFont="1" applyBorder="1" applyAlignment="1">
      <alignment horizontal="center"/>
    </xf>
    <xf numFmtId="0" fontId="15" fillId="0" borderId="2" xfId="3" applyBorder="1"/>
    <xf numFmtId="0" fontId="68" fillId="0" borderId="0" xfId="3" applyFont="1" applyAlignment="1">
      <alignment horizontal="center" wrapText="1"/>
    </xf>
    <xf numFmtId="0" fontId="68" fillId="15" borderId="3" xfId="3" applyFont="1" applyFill="1" applyBorder="1" applyAlignment="1">
      <alignment horizontal="center" wrapText="1"/>
    </xf>
    <xf numFmtId="0" fontId="68" fillId="0" borderId="3" xfId="3" applyFont="1" applyBorder="1" applyAlignment="1">
      <alignment horizontal="center" wrapText="1"/>
    </xf>
    <xf numFmtId="0" fontId="68" fillId="0" borderId="3" xfId="3" applyFont="1" applyBorder="1" applyAlignment="1">
      <alignment horizontal="center" vertical="center" wrapText="1"/>
    </xf>
    <xf numFmtId="0" fontId="68" fillId="15" borderId="3" xfId="3" applyFont="1" applyFill="1" applyBorder="1" applyAlignment="1">
      <alignment horizontal="center" vertical="center" wrapText="1"/>
    </xf>
    <xf numFmtId="0" fontId="68" fillId="16" borderId="3" xfId="3" applyFont="1" applyFill="1" applyBorder="1" applyAlignment="1">
      <alignment horizontal="center" vertical="center" wrapText="1"/>
    </xf>
    <xf numFmtId="0" fontId="68" fillId="15" borderId="0" xfId="3" applyFont="1" applyFill="1" applyAlignment="1">
      <alignment horizontal="center" wrapText="1"/>
    </xf>
    <xf numFmtId="0" fontId="68" fillId="0" borderId="6" xfId="3" applyFont="1" applyBorder="1" applyAlignment="1">
      <alignment horizontal="center" wrapText="1"/>
    </xf>
    <xf numFmtId="0" fontId="68" fillId="16" borderId="6" xfId="3" applyFont="1" applyFill="1" applyBorder="1" applyAlignment="1">
      <alignment horizontal="center" wrapText="1"/>
    </xf>
    <xf numFmtId="0" fontId="15" fillId="0" borderId="0" xfId="3" applyAlignment="1">
      <alignment horizontal="center"/>
    </xf>
    <xf numFmtId="0" fontId="15" fillId="0" borderId="0" xfId="3" applyAlignment="1" applyProtection="1">
      <alignment horizontal="center"/>
      <protection locked="0"/>
    </xf>
    <xf numFmtId="0" fontId="68" fillId="0" borderId="0" xfId="3" applyFont="1"/>
    <xf numFmtId="0" fontId="15" fillId="16" borderId="0" xfId="3" applyFill="1" applyAlignment="1" applyProtection="1">
      <alignment horizontal="center"/>
      <protection locked="0"/>
    </xf>
    <xf numFmtId="0" fontId="70" fillId="0" borderId="0" xfId="3" applyFont="1" applyAlignment="1">
      <alignment horizontal="center"/>
    </xf>
    <xf numFmtId="0" fontId="70" fillId="16" borderId="0" xfId="3" applyFont="1" applyFill="1" applyAlignment="1">
      <alignment horizontal="center"/>
    </xf>
    <xf numFmtId="0" fontId="70" fillId="0" borderId="0" xfId="3" applyFont="1"/>
    <xf numFmtId="0" fontId="71" fillId="0" borderId="0" xfId="0" applyFont="1"/>
    <xf numFmtId="0" fontId="72" fillId="0" borderId="0" xfId="13" applyFont="1"/>
    <xf numFmtId="0" fontId="73" fillId="0" borderId="0" xfId="0" applyFont="1"/>
    <xf numFmtId="0" fontId="74" fillId="0" borderId="0" xfId="13" applyFont="1"/>
    <xf numFmtId="181" fontId="75" fillId="0" borderId="0" xfId="13" applyNumberFormat="1" applyFont="1"/>
    <xf numFmtId="181" fontId="76" fillId="0" borderId="0" xfId="13" applyNumberFormat="1" applyFont="1"/>
    <xf numFmtId="181" fontId="77" fillId="0" borderId="0" xfId="13" applyNumberFormat="1" applyFont="1"/>
    <xf numFmtId="0" fontId="17" fillId="0" borderId="4" xfId="4" applyAlignment="1">
      <alignment horizontal="left"/>
    </xf>
    <xf numFmtId="2" fontId="15" fillId="21" borderId="27" xfId="3" applyNumberFormat="1" applyFill="1" applyBorder="1"/>
    <xf numFmtId="4" fontId="81" fillId="0" borderId="28" xfId="13" applyNumberFormat="1" applyFont="1" applyBorder="1" applyAlignment="1">
      <alignment horizontal="right" vertical="center" wrapText="1"/>
    </xf>
    <xf numFmtId="4" fontId="81" fillId="0" borderId="28" xfId="3" applyNumberFormat="1" applyFont="1" applyBorder="1" applyAlignment="1">
      <alignment horizontal="right" vertical="center" wrapText="1"/>
    </xf>
    <xf numFmtId="0" fontId="81" fillId="0" borderId="28" xfId="3" applyFont="1" applyBorder="1" applyAlignment="1">
      <alignment horizontal="left" vertical="center" wrapText="1"/>
    </xf>
    <xf numFmtId="0" fontId="82" fillId="34" borderId="28" xfId="13" applyFont="1" applyFill="1" applyBorder="1" applyAlignment="1">
      <alignment horizontal="center" vertical="center" wrapText="1"/>
    </xf>
    <xf numFmtId="0" fontId="82" fillId="34" borderId="28" xfId="3" applyFont="1" applyFill="1" applyBorder="1" applyAlignment="1">
      <alignment horizontal="center" vertical="center" wrapText="1"/>
    </xf>
    <xf numFmtId="0" fontId="15" fillId="0" borderId="0" xfId="13"/>
    <xf numFmtId="0" fontId="81" fillId="0" borderId="0" xfId="3" applyFont="1" applyAlignment="1">
      <alignment horizontal="left" vertical="center"/>
    </xf>
    <xf numFmtId="4" fontId="81" fillId="0" borderId="0" xfId="13" applyNumberFormat="1" applyFont="1" applyAlignment="1">
      <alignment horizontal="left" vertical="center"/>
    </xf>
    <xf numFmtId="4" fontId="81" fillId="0" borderId="0" xfId="3" applyNumberFormat="1" applyFont="1" applyAlignment="1">
      <alignment horizontal="left" vertical="center"/>
    </xf>
    <xf numFmtId="0" fontId="81" fillId="0" borderId="0" xfId="3" applyFont="1" applyAlignment="1">
      <alignment horizontal="left" vertical="center" wrapText="1"/>
    </xf>
    <xf numFmtId="4" fontId="18" fillId="31" borderId="28" xfId="15" applyNumberFormat="1" applyBorder="1" applyAlignment="1" applyProtection="1">
      <alignment horizontal="right" vertical="center" wrapText="1"/>
    </xf>
    <xf numFmtId="4" fontId="81" fillId="0" borderId="28" xfId="0" applyNumberFormat="1" applyFont="1" applyBorder="1" applyAlignment="1">
      <alignment horizontal="right" vertical="center" wrapText="1"/>
    </xf>
    <xf numFmtId="182" fontId="81" fillId="0" borderId="0" xfId="13" applyNumberFormat="1" applyFont="1" applyAlignment="1">
      <alignment horizontal="left" vertical="center"/>
    </xf>
    <xf numFmtId="183" fontId="81" fillId="0" borderId="0" xfId="3" applyNumberFormat="1" applyFont="1" applyAlignment="1">
      <alignment horizontal="left" vertical="center"/>
    </xf>
    <xf numFmtId="4" fontId="15" fillId="0" borderId="0" xfId="3" applyNumberFormat="1"/>
    <xf numFmtId="176" fontId="80" fillId="33" borderId="26" xfId="17" applyNumberFormat="1"/>
    <xf numFmtId="0" fontId="80" fillId="33" borderId="26" xfId="17"/>
    <xf numFmtId="0" fontId="79" fillId="32" borderId="26" xfId="16"/>
    <xf numFmtId="0" fontId="15" fillId="0" borderId="0" xfId="18"/>
    <xf numFmtId="4" fontId="18" fillId="31" borderId="8" xfId="15" applyNumberFormat="1" applyBorder="1" applyAlignment="1">
      <alignment horizontal="left" vertical="center"/>
    </xf>
    <xf numFmtId="4" fontId="81" fillId="14" borderId="8" xfId="18" applyNumberFormat="1" applyFont="1" applyFill="1" applyBorder="1" applyAlignment="1">
      <alignment horizontal="left" vertical="center"/>
    </xf>
    <xf numFmtId="4" fontId="81" fillId="14" borderId="1" xfId="18" applyNumberFormat="1" applyFont="1" applyFill="1" applyBorder="1" applyAlignment="1">
      <alignment horizontal="left" vertical="center"/>
    </xf>
    <xf numFmtId="176" fontId="15" fillId="0" borderId="0" xfId="18" applyNumberFormat="1"/>
    <xf numFmtId="174" fontId="15" fillId="0" borderId="0" xfId="18" applyNumberFormat="1"/>
    <xf numFmtId="4" fontId="18" fillId="31" borderId="0" xfId="15" applyNumberFormat="1" applyAlignment="1">
      <alignment horizontal="left" vertical="center"/>
    </xf>
    <xf numFmtId="4" fontId="81" fillId="0" borderId="0" xfId="18" applyNumberFormat="1" applyFont="1" applyAlignment="1">
      <alignment horizontal="left" vertical="center"/>
    </xf>
    <xf numFmtId="4" fontId="18" fillId="31" borderId="29" xfId="15" applyNumberFormat="1" applyBorder="1" applyAlignment="1">
      <alignment horizontal="right" vertical="center" wrapText="1"/>
    </xf>
    <xf numFmtId="4" fontId="81" fillId="0" borderId="29" xfId="19" applyNumberFormat="1" applyFont="1" applyBorder="1" applyAlignment="1">
      <alignment horizontal="right" vertical="center" wrapText="1"/>
    </xf>
    <xf numFmtId="4" fontId="81" fillId="0" borderId="29" xfId="3" applyNumberFormat="1" applyFont="1" applyBorder="1" applyAlignment="1">
      <alignment horizontal="right" vertical="center" wrapText="1"/>
    </xf>
    <xf numFmtId="0" fontId="81" fillId="0" borderId="29" xfId="3" applyFont="1" applyBorder="1" applyAlignment="1">
      <alignment horizontal="left" vertical="center" wrapText="1"/>
    </xf>
    <xf numFmtId="0" fontId="1" fillId="0" borderId="0" xfId="20"/>
    <xf numFmtId="0" fontId="18" fillId="31" borderId="29" xfId="15" applyBorder="1" applyAlignment="1">
      <alignment horizontal="center" vertical="center" wrapText="1"/>
    </xf>
    <xf numFmtId="0" fontId="82" fillId="35" borderId="29" xfId="19" applyFont="1" applyFill="1" applyBorder="1" applyAlignment="1">
      <alignment horizontal="center" vertical="center" wrapText="1"/>
    </xf>
    <xf numFmtId="0" fontId="82" fillId="34" borderId="29" xfId="13" applyFont="1" applyFill="1" applyBorder="1" applyAlignment="1">
      <alignment horizontal="center" vertical="center" wrapText="1"/>
    </xf>
    <xf numFmtId="0" fontId="82" fillId="34" borderId="29" xfId="3" applyFont="1" applyFill="1" applyBorder="1" applyAlignment="1">
      <alignment horizontal="center" vertical="center" wrapText="1"/>
    </xf>
    <xf numFmtId="181" fontId="83" fillId="0" borderId="25" xfId="21" applyNumberFormat="1"/>
    <xf numFmtId="0" fontId="76" fillId="0" borderId="0" xfId="3" applyFont="1"/>
    <xf numFmtId="165" fontId="78" fillId="0" borderId="0" xfId="14" applyNumberFormat="1" applyFill="1"/>
    <xf numFmtId="0" fontId="78" fillId="0" borderId="0" xfId="14" applyFill="1"/>
    <xf numFmtId="165" fontId="78" fillId="0" borderId="30" xfId="14" applyNumberFormat="1" applyFill="1" applyBorder="1" applyAlignment="1">
      <alignment horizontal="left"/>
    </xf>
    <xf numFmtId="0" fontId="4" fillId="4" borderId="0" xfId="3" applyFont="1" applyFill="1" applyAlignment="1">
      <alignment vertical="center"/>
    </xf>
    <xf numFmtId="0" fontId="10" fillId="4" borderId="0" xfId="3" applyFont="1" applyFill="1" applyAlignment="1">
      <alignment horizontal="center" vertical="center"/>
    </xf>
    <xf numFmtId="0" fontId="9" fillId="4" borderId="0" xfId="2" applyFill="1" applyAlignment="1">
      <alignment vertical="center"/>
    </xf>
    <xf numFmtId="0" fontId="0" fillId="12" borderId="7" xfId="0" applyFill="1" applyBorder="1" applyAlignment="1">
      <alignment horizontal="center" vertical="top" wrapText="1"/>
    </xf>
    <xf numFmtId="0" fontId="0" fillId="12" borderId="1" xfId="0" applyFill="1" applyBorder="1" applyAlignment="1">
      <alignment horizontal="center" vertical="top" wrapText="1"/>
    </xf>
    <xf numFmtId="0" fontId="0" fillId="12" borderId="8" xfId="0" applyFill="1" applyBorder="1" applyAlignment="1">
      <alignment horizontal="center" vertical="top" wrapText="1"/>
    </xf>
    <xf numFmtId="0" fontId="0" fillId="0" borderId="0" xfId="0" applyAlignment="1">
      <alignment horizontal="left" vertical="center" wrapText="1"/>
    </xf>
    <xf numFmtId="0" fontId="49" fillId="0" borderId="5" xfId="0" applyFont="1" applyBorder="1" applyAlignment="1">
      <alignment horizontal="center" vertical="top"/>
    </xf>
    <xf numFmtId="0" fontId="50" fillId="0" borderId="5" xfId="0" applyFont="1" applyBorder="1" applyAlignment="1">
      <alignment horizontal="center" vertical="top"/>
    </xf>
    <xf numFmtId="0" fontId="42" fillId="12" borderId="5" xfId="0" applyFont="1" applyFill="1" applyBorder="1" applyAlignment="1">
      <alignment horizontal="left" vertical="top" wrapText="1"/>
    </xf>
    <xf numFmtId="0" fontId="20" fillId="0" borderId="5" xfId="0" applyFont="1" applyBorder="1" applyAlignment="1">
      <alignment horizontal="center"/>
    </xf>
    <xf numFmtId="0" fontId="49" fillId="0" borderId="5" xfId="0" applyFont="1" applyBorder="1" applyAlignment="1">
      <alignment horizontal="left" vertical="top"/>
    </xf>
    <xf numFmtId="0" fontId="49" fillId="0" borderId="5" xfId="0" applyFont="1" applyBorder="1" applyAlignment="1">
      <alignment horizontal="center" vertical="top" wrapText="1"/>
    </xf>
    <xf numFmtId="0" fontId="49" fillId="0" borderId="7" xfId="0" applyFont="1" applyBorder="1" applyAlignment="1">
      <alignment horizontal="center" vertical="top"/>
    </xf>
    <xf numFmtId="0" fontId="49" fillId="0" borderId="1" xfId="0" applyFont="1" applyBorder="1" applyAlignment="1">
      <alignment horizontal="center" vertical="top"/>
    </xf>
    <xf numFmtId="0" fontId="49" fillId="0" borderId="8" xfId="0" applyFont="1" applyBorder="1" applyAlignment="1">
      <alignment horizontal="center" vertical="top"/>
    </xf>
    <xf numFmtId="0" fontId="49" fillId="0" borderId="5" xfId="0" applyFont="1" applyBorder="1" applyAlignment="1">
      <alignment horizontal="left" vertical="top" wrapText="1"/>
    </xf>
    <xf numFmtId="0" fontId="20" fillId="0" borderId="5" xfId="0" applyFont="1" applyBorder="1" applyAlignment="1">
      <alignment horizontal="center" wrapText="1"/>
    </xf>
    <xf numFmtId="0" fontId="0" fillId="0" borderId="5" xfId="0" applyBorder="1" applyAlignment="1">
      <alignment horizontal="center" vertical="center" wrapText="1"/>
    </xf>
    <xf numFmtId="0" fontId="0" fillId="0" borderId="5" xfId="0" applyBorder="1" applyAlignment="1">
      <alignment horizontal="center" vertical="center"/>
    </xf>
    <xf numFmtId="0" fontId="20" fillId="0" borderId="7" xfId="0" applyFont="1" applyBorder="1" applyAlignment="1">
      <alignment horizontal="center" vertical="top"/>
    </xf>
    <xf numFmtId="0" fontId="20" fillId="0" borderId="1" xfId="0" applyFont="1" applyBorder="1" applyAlignment="1">
      <alignment horizontal="center" vertical="top"/>
    </xf>
    <xf numFmtId="0" fontId="20" fillId="0" borderId="8" xfId="0" applyFont="1" applyBorder="1" applyAlignment="1">
      <alignment horizontal="center" vertical="top"/>
    </xf>
    <xf numFmtId="0" fontId="49" fillId="0" borderId="14" xfId="0" applyFont="1" applyBorder="1" applyAlignment="1">
      <alignment horizontal="left" vertical="top"/>
    </xf>
    <xf numFmtId="0" fontId="49" fillId="0" borderId="13" xfId="0" applyFont="1" applyBorder="1" applyAlignment="1">
      <alignment horizontal="left" vertical="top"/>
    </xf>
    <xf numFmtId="0" fontId="49" fillId="0" borderId="14" xfId="0" applyFont="1" applyBorder="1" applyAlignment="1">
      <alignment horizontal="center" vertical="top" wrapText="1"/>
    </xf>
    <xf numFmtId="0" fontId="49" fillId="0" borderId="13" xfId="0" applyFont="1" applyBorder="1" applyAlignment="1">
      <alignment horizontal="center" vertical="top" wrapText="1"/>
    </xf>
    <xf numFmtId="0" fontId="0" fillId="0" borderId="5" xfId="0" applyBorder="1" applyAlignment="1">
      <alignment horizontal="left" vertical="top" wrapText="1"/>
    </xf>
    <xf numFmtId="0" fontId="20" fillId="0" borderId="0" xfId="0" applyFont="1" applyAlignment="1">
      <alignment horizontal="center" vertical="center"/>
    </xf>
  </cellXfs>
  <cellStyles count="22">
    <cellStyle name="Accent1" xfId="1" builtinId="29"/>
    <cellStyle name="Bad" xfId="15" builtinId="27"/>
    <cellStyle name="Bad 2" xfId="11" xr:uid="{2B7E82F1-E1CA-4302-B431-84D2548D82A7}"/>
    <cellStyle name="Calculation" xfId="17" builtinId="22"/>
    <cellStyle name="Comma 2" xfId="6" xr:uid="{58576C0A-0C51-4ED4-840E-32BF71D6E341}"/>
    <cellStyle name="Comma 2 3 3" xfId="7" xr:uid="{D0C87327-DF77-46D9-858C-6AC6F26EE903}"/>
    <cellStyle name="External" xfId="12" xr:uid="{61D4E690-4B03-4BE6-B587-F5BCC7DB9A68}"/>
    <cellStyle name="Heading 1" xfId="4" builtinId="16"/>
    <cellStyle name="Heading 2 2 2" xfId="21" xr:uid="{2A544DCC-E3F9-4989-9F1B-D417E388C522}"/>
    <cellStyle name="Heading 4" xfId="14" builtinId="19"/>
    <cellStyle name="Hyperlink" xfId="2" builtinId="8"/>
    <cellStyle name="Hyperlink 2" xfId="8" xr:uid="{95700465-0011-4282-BD10-6B0072F5725C}"/>
    <cellStyle name="Input" xfId="16" builtinId="20"/>
    <cellStyle name="Normal" xfId="0" builtinId="0"/>
    <cellStyle name="Normal 13" xfId="20" xr:uid="{A6D5C517-DF70-4B90-BE27-87A6E792C544}"/>
    <cellStyle name="Normal 2" xfId="3" xr:uid="{7087FE7C-195B-45A9-A3C0-D540E83C550D}"/>
    <cellStyle name="Normal 2 2" xfId="13" xr:uid="{D62F4AFB-78C5-40B1-A976-0BE57D75CB17}"/>
    <cellStyle name="Normal 2 2 2" xfId="18" xr:uid="{9A7F23E3-ACAE-451A-BD17-948057160186}"/>
    <cellStyle name="Normal 2 3 2" xfId="19" xr:uid="{623A7E24-7559-445C-A0ED-F85091FA2923}"/>
    <cellStyle name="Normal 7 4 2" xfId="5" xr:uid="{291E1FAD-22B5-40BE-A770-6F8D1B1BEAC4}"/>
    <cellStyle name="Percent 2" xfId="9" xr:uid="{6DB0C260-086B-4273-A468-7A2D277710EB}"/>
    <cellStyle name="Percent 2 2" xfId="10" xr:uid="{F0427A31-2038-4062-A6A7-2D8014DAEBC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1BC0-48A6-8E58-B499178CD71D}"/>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D2EC-4D12-BA08-C5678137DE93}"/>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0302-400B-AB95-02713BB2B05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7C88-4AE5-B767-565D161912AB}"/>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40CF-4135-B9F3-271D7B542C3E}"/>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40CF-4135-B9F3-271D7B542C3E}"/>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2-8B2B-4A6A-84D7-23E72A05EC43}"/>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3E15-4E47-99B2-18E7C47A031E}"/>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9.png"/><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7.png"/><Relationship Id="rId4" Type="http://schemas.openxmlformats.org/officeDocument/2006/relationships/image" Target="../media/image13.pn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1199029</xdr:colOff>
      <xdr:row>153</xdr:row>
      <xdr:rowOff>56029</xdr:rowOff>
    </xdr:from>
    <xdr:ext cx="4714314" cy="3492270"/>
    <xdr:pic>
      <xdr:nvPicPr>
        <xdr:cNvPr id="2" name="Picture 1">
          <a:extLst>
            <a:ext uri="{FF2B5EF4-FFF2-40B4-BE49-F238E27FC236}">
              <a16:creationId xmlns:a16="http://schemas.microsoft.com/office/drawing/2014/main" id="{A65F091E-13C0-4E29-8535-32CBE659F3EC}"/>
            </a:ext>
          </a:extLst>
        </xdr:cNvPr>
        <xdr:cNvPicPr>
          <a:picLocks noChangeAspect="1"/>
        </xdr:cNvPicPr>
      </xdr:nvPicPr>
      <xdr:blipFill>
        <a:blip xmlns:r="http://schemas.openxmlformats.org/officeDocument/2006/relationships" r:embed="rId1"/>
        <a:stretch>
          <a:fillRect/>
        </a:stretch>
      </xdr:blipFill>
      <xdr:spPr>
        <a:xfrm>
          <a:off x="1218079" y="29202529"/>
          <a:ext cx="4714314" cy="3492270"/>
        </a:xfrm>
        <a:prstGeom prst="rect">
          <a:avLst/>
        </a:prstGeom>
      </xdr:spPr>
    </xdr:pic>
    <xdr:clientData/>
  </xdr:oneCellAnchor>
  <xdr:twoCellAnchor>
    <xdr:from>
      <xdr:col>6</xdr:col>
      <xdr:colOff>414618</xdr:colOff>
      <xdr:row>114</xdr:row>
      <xdr:rowOff>89646</xdr:rowOff>
    </xdr:from>
    <xdr:to>
      <xdr:col>10</xdr:col>
      <xdr:colOff>179294</xdr:colOff>
      <xdr:row>120</xdr:row>
      <xdr:rowOff>134471</xdr:rowOff>
    </xdr:to>
    <xdr:graphicFrame macro="">
      <xdr:nvGraphicFramePr>
        <xdr:cNvPr id="3" name="Chart 2">
          <a:extLst>
            <a:ext uri="{FF2B5EF4-FFF2-40B4-BE49-F238E27FC236}">
              <a16:creationId xmlns:a16="http://schemas.microsoft.com/office/drawing/2014/main" id="{E5641AD4-90E0-4FE7-B8FE-0331A0608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717176</xdr:colOff>
      <xdr:row>105</xdr:row>
      <xdr:rowOff>112059</xdr:rowOff>
    </xdr:from>
    <xdr:ext cx="8099613" cy="4753638"/>
    <xdr:pic>
      <xdr:nvPicPr>
        <xdr:cNvPr id="4" name="Picture 3">
          <a:extLst>
            <a:ext uri="{FF2B5EF4-FFF2-40B4-BE49-F238E27FC236}">
              <a16:creationId xmlns:a16="http://schemas.microsoft.com/office/drawing/2014/main" id="{9E8AD3D9-4B0C-45E5-ABA1-6227933CB278}"/>
            </a:ext>
          </a:extLst>
        </xdr:cNvPr>
        <xdr:cNvPicPr>
          <a:picLocks noChangeAspect="1"/>
        </xdr:cNvPicPr>
      </xdr:nvPicPr>
      <xdr:blipFill>
        <a:blip xmlns:r="http://schemas.openxmlformats.org/officeDocument/2006/relationships" r:embed="rId3"/>
        <a:stretch>
          <a:fillRect/>
        </a:stretch>
      </xdr:blipFill>
      <xdr:spPr>
        <a:xfrm>
          <a:off x="6708401" y="20114559"/>
          <a:ext cx="8099613" cy="4753638"/>
        </a:xfrm>
        <a:prstGeom prst="rect">
          <a:avLst/>
        </a:prstGeom>
      </xdr:spPr>
    </xdr:pic>
    <xdr:clientData/>
  </xdr:oneCellAnchor>
  <xdr:twoCellAnchor>
    <xdr:from>
      <xdr:col>19</xdr:col>
      <xdr:colOff>2</xdr:colOff>
      <xdr:row>140</xdr:row>
      <xdr:rowOff>22414</xdr:rowOff>
    </xdr:from>
    <xdr:to>
      <xdr:col>31</xdr:col>
      <xdr:colOff>504267</xdr:colOff>
      <xdr:row>148</xdr:row>
      <xdr:rowOff>302560</xdr:rowOff>
    </xdr:to>
    <xdr:sp macro="" textlink="">
      <xdr:nvSpPr>
        <xdr:cNvPr id="5" name="TextBox 4">
          <a:extLst>
            <a:ext uri="{FF2B5EF4-FFF2-40B4-BE49-F238E27FC236}">
              <a16:creationId xmlns:a16="http://schemas.microsoft.com/office/drawing/2014/main" id="{FED6AC29-7BC0-417E-A589-B28D94607E98}"/>
            </a:ext>
          </a:extLst>
        </xdr:cNvPr>
        <xdr:cNvSpPr txBox="1"/>
      </xdr:nvSpPr>
      <xdr:spPr>
        <a:xfrm>
          <a:off x="11582402" y="26692414"/>
          <a:ext cx="7819465" cy="1689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6" name="TextBox 5">
          <a:extLst>
            <a:ext uri="{FF2B5EF4-FFF2-40B4-BE49-F238E27FC236}">
              <a16:creationId xmlns:a16="http://schemas.microsoft.com/office/drawing/2014/main" id="{DA1E91CF-0451-4947-B84E-50332D6106F5}"/>
            </a:ext>
          </a:extLst>
        </xdr:cNvPr>
        <xdr:cNvSpPr txBox="1"/>
      </xdr:nvSpPr>
      <xdr:spPr>
        <a:xfrm>
          <a:off x="1220320" y="25874382"/>
          <a:ext cx="4115921" cy="21963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oneCellAnchor>
    <xdr:from>
      <xdr:col>5</xdr:col>
      <xdr:colOff>78439</xdr:colOff>
      <xdr:row>128</xdr:row>
      <xdr:rowOff>33618</xdr:rowOff>
    </xdr:from>
    <xdr:ext cx="4451475" cy="1434353"/>
    <xdr:pic>
      <xdr:nvPicPr>
        <xdr:cNvPr id="7" name="Picture 6">
          <a:extLst>
            <a:ext uri="{FF2B5EF4-FFF2-40B4-BE49-F238E27FC236}">
              <a16:creationId xmlns:a16="http://schemas.microsoft.com/office/drawing/2014/main" id="{5BC44A8B-C263-4836-B9E1-D78D92495F5D}"/>
            </a:ext>
          </a:extLst>
        </xdr:cNvPr>
        <xdr:cNvPicPr>
          <a:picLocks noChangeAspect="1"/>
        </xdr:cNvPicPr>
      </xdr:nvPicPr>
      <xdr:blipFill>
        <a:blip xmlns:r="http://schemas.openxmlformats.org/officeDocument/2006/relationships" r:embed="rId4"/>
        <a:stretch>
          <a:fillRect/>
        </a:stretch>
      </xdr:blipFill>
      <xdr:spPr>
        <a:xfrm>
          <a:off x="3126439" y="24417618"/>
          <a:ext cx="4451475" cy="143435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 name="Picture 2">
          <a:extLst>
            <a:ext uri="{FF2B5EF4-FFF2-40B4-BE49-F238E27FC236}">
              <a16:creationId xmlns:a16="http://schemas.microsoft.com/office/drawing/2014/main" id="{0B29474D-4EC2-42CC-903F-0C211162F20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897380" y="5029200"/>
          <a:ext cx="272796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17</xdr:col>
      <xdr:colOff>123264</xdr:colOff>
      <xdr:row>4</xdr:row>
      <xdr:rowOff>168087</xdr:rowOff>
    </xdr:from>
    <xdr:ext cx="5218580" cy="3950074"/>
    <xdr:pic>
      <xdr:nvPicPr>
        <xdr:cNvPr id="3" name="Picture 2">
          <a:extLst>
            <a:ext uri="{FF2B5EF4-FFF2-40B4-BE49-F238E27FC236}">
              <a16:creationId xmlns:a16="http://schemas.microsoft.com/office/drawing/2014/main" id="{F50F8B6A-0301-46D7-9084-CD467F779B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849664" y="930087"/>
          <a:ext cx="5218580" cy="395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0</xdr:colOff>
      <xdr:row>25</xdr:row>
      <xdr:rowOff>0</xdr:rowOff>
    </xdr:from>
    <xdr:ext cx="5853448" cy="5206980"/>
    <xdr:pic>
      <xdr:nvPicPr>
        <xdr:cNvPr id="4" name="Picture 3">
          <a:extLst>
            <a:ext uri="{FF2B5EF4-FFF2-40B4-BE49-F238E27FC236}">
              <a16:creationId xmlns:a16="http://schemas.microsoft.com/office/drawing/2014/main" id="{3D770BF2-BC03-4701-873B-CE462FFFBE81}"/>
            </a:ext>
          </a:extLst>
        </xdr:cNvPr>
        <xdr:cNvPicPr>
          <a:picLocks noChangeAspect="1"/>
        </xdr:cNvPicPr>
      </xdr:nvPicPr>
      <xdr:blipFill>
        <a:blip xmlns:r="http://schemas.openxmlformats.org/officeDocument/2006/relationships" r:embed="rId3"/>
        <a:stretch>
          <a:fillRect/>
        </a:stretch>
      </xdr:blipFill>
      <xdr:spPr>
        <a:xfrm>
          <a:off x="28041600" y="4762500"/>
          <a:ext cx="5853448" cy="520698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314325</xdr:colOff>
      <xdr:row>73</xdr:row>
      <xdr:rowOff>122959</xdr:rowOff>
    </xdr:from>
    <xdr:ext cx="5892331" cy="4487141"/>
    <xdr:pic>
      <xdr:nvPicPr>
        <xdr:cNvPr id="2" name="Picture 1">
          <a:extLst>
            <a:ext uri="{FF2B5EF4-FFF2-40B4-BE49-F238E27FC236}">
              <a16:creationId xmlns:a16="http://schemas.microsoft.com/office/drawing/2014/main" id="{11364323-642E-4A71-B868-EC9D0C8CC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40294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1009651</xdr:colOff>
      <xdr:row>19</xdr:row>
      <xdr:rowOff>95250</xdr:rowOff>
    </xdr:from>
    <xdr:ext cx="5867399" cy="3210035"/>
    <xdr:pic>
      <xdr:nvPicPr>
        <xdr:cNvPr id="3" name="Picture 2">
          <a:extLst>
            <a:ext uri="{FF2B5EF4-FFF2-40B4-BE49-F238E27FC236}">
              <a16:creationId xmlns:a16="http://schemas.microsoft.com/office/drawing/2014/main" id="{59C23524-FB56-4D76-9ACF-E5CA18D9F4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4" name="TextBox 3">
          <a:extLst>
            <a:ext uri="{FF2B5EF4-FFF2-40B4-BE49-F238E27FC236}">
              <a16:creationId xmlns:a16="http://schemas.microsoft.com/office/drawing/2014/main" id="{5E891333-A636-4016-B8FC-70D716937A62}"/>
            </a:ext>
          </a:extLst>
        </xdr:cNvPr>
        <xdr:cNvSpPr txBox="1"/>
      </xdr:nvSpPr>
      <xdr:spPr>
        <a:xfrm>
          <a:off x="3657600" y="14039850"/>
          <a:ext cx="421611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5" name="Chart 4">
          <a:extLst>
            <a:ext uri="{FF2B5EF4-FFF2-40B4-BE49-F238E27FC236}">
              <a16:creationId xmlns:a16="http://schemas.microsoft.com/office/drawing/2014/main" id="{BEBE018D-D2AF-4E25-A217-AC3E19433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6" name="Chart 5">
          <a:extLst>
            <a:ext uri="{FF2B5EF4-FFF2-40B4-BE49-F238E27FC236}">
              <a16:creationId xmlns:a16="http://schemas.microsoft.com/office/drawing/2014/main" id="{1928094A-D1F8-4398-AA26-9E0D8CC76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7" name="Chart 6">
          <a:extLst>
            <a:ext uri="{FF2B5EF4-FFF2-40B4-BE49-F238E27FC236}">
              <a16:creationId xmlns:a16="http://schemas.microsoft.com/office/drawing/2014/main" id="{B81B208F-9FE3-479D-A9E7-B2B339950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295275</xdr:colOff>
      <xdr:row>18</xdr:row>
      <xdr:rowOff>81327</xdr:rowOff>
    </xdr:from>
    <xdr:ext cx="5144626" cy="3310297"/>
    <xdr:pic>
      <xdr:nvPicPr>
        <xdr:cNvPr id="8" name="Picture 7">
          <a:extLst>
            <a:ext uri="{FF2B5EF4-FFF2-40B4-BE49-F238E27FC236}">
              <a16:creationId xmlns:a16="http://schemas.microsoft.com/office/drawing/2014/main" id="{40E8A5CF-DE46-405E-9EBF-A872B642FE65}"/>
            </a:ext>
          </a:extLst>
        </xdr:cNvPr>
        <xdr:cNvPicPr>
          <a:picLocks noChangeAspect="1"/>
        </xdr:cNvPicPr>
      </xdr:nvPicPr>
      <xdr:blipFill>
        <a:blip xmlns:r="http://schemas.openxmlformats.org/officeDocument/2006/relationships" r:embed="rId6"/>
        <a:stretch>
          <a:fillRect/>
        </a:stretch>
      </xdr:blipFill>
      <xdr:spPr>
        <a:xfrm>
          <a:off x="7000875" y="3510327"/>
          <a:ext cx="5144626" cy="3310297"/>
        </a:xfrm>
        <a:prstGeom prst="rect">
          <a:avLst/>
        </a:prstGeom>
      </xdr:spPr>
    </xdr:pic>
    <xdr:clientData/>
  </xdr:oneCellAnchor>
  <xdr:twoCellAnchor>
    <xdr:from>
      <xdr:col>11</xdr:col>
      <xdr:colOff>190500</xdr:colOff>
      <xdr:row>1</xdr:row>
      <xdr:rowOff>90487</xdr:rowOff>
    </xdr:from>
    <xdr:to>
      <xdr:col>18</xdr:col>
      <xdr:colOff>466725</xdr:colOff>
      <xdr:row>15</xdr:row>
      <xdr:rowOff>166687</xdr:rowOff>
    </xdr:to>
    <xdr:graphicFrame macro="">
      <xdr:nvGraphicFramePr>
        <xdr:cNvPr id="9" name="Chart 8">
          <a:extLst>
            <a:ext uri="{FF2B5EF4-FFF2-40B4-BE49-F238E27FC236}">
              <a16:creationId xmlns:a16="http://schemas.microsoft.com/office/drawing/2014/main" id="{36FAC0EB-2086-452F-AEBF-E4C52821B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47625</xdr:colOff>
      <xdr:row>95</xdr:row>
      <xdr:rowOff>28575</xdr:rowOff>
    </xdr:from>
    <xdr:ext cx="6355184" cy="4829849"/>
    <xdr:pic>
      <xdr:nvPicPr>
        <xdr:cNvPr id="2" name="Picture 1">
          <a:extLst>
            <a:ext uri="{FF2B5EF4-FFF2-40B4-BE49-F238E27FC236}">
              <a16:creationId xmlns:a16="http://schemas.microsoft.com/office/drawing/2014/main" id="{3BA64866-6F77-4E83-8289-3D0684225D8E}"/>
            </a:ext>
          </a:extLst>
        </xdr:cNvPr>
        <xdr:cNvPicPr>
          <a:picLocks noChangeAspect="1"/>
        </xdr:cNvPicPr>
      </xdr:nvPicPr>
      <xdr:blipFill>
        <a:blip xmlns:r="http://schemas.openxmlformats.org/officeDocument/2006/relationships" r:embed="rId1"/>
        <a:stretch>
          <a:fillRect/>
        </a:stretch>
      </xdr:blipFill>
      <xdr:spPr>
        <a:xfrm>
          <a:off x="657225" y="18126075"/>
          <a:ext cx="6355184" cy="4829849"/>
        </a:xfrm>
        <a:prstGeom prst="rect">
          <a:avLst/>
        </a:prstGeom>
      </xdr:spPr>
    </xdr:pic>
    <xdr:clientData/>
  </xdr:oneCellAnchor>
  <xdr:oneCellAnchor>
    <xdr:from>
      <xdr:col>10</xdr:col>
      <xdr:colOff>498662</xdr:colOff>
      <xdr:row>93</xdr:row>
      <xdr:rowOff>30256</xdr:rowOff>
    </xdr:from>
    <xdr:ext cx="4734586" cy="4377630"/>
    <xdr:pic>
      <xdr:nvPicPr>
        <xdr:cNvPr id="3" name="Picture 2">
          <a:extLst>
            <a:ext uri="{FF2B5EF4-FFF2-40B4-BE49-F238E27FC236}">
              <a16:creationId xmlns:a16="http://schemas.microsoft.com/office/drawing/2014/main" id="{4EA1C85A-BBC4-4E21-927E-7D2D9CAA8778}"/>
            </a:ext>
          </a:extLst>
        </xdr:cNvPr>
        <xdr:cNvPicPr>
          <a:picLocks noChangeAspect="1"/>
        </xdr:cNvPicPr>
      </xdr:nvPicPr>
      <xdr:blipFill>
        <a:blip xmlns:r="http://schemas.openxmlformats.org/officeDocument/2006/relationships" r:embed="rId2"/>
        <a:stretch>
          <a:fillRect/>
        </a:stretch>
      </xdr:blipFill>
      <xdr:spPr>
        <a:xfrm>
          <a:off x="6594662" y="17746756"/>
          <a:ext cx="4734586" cy="4377630"/>
        </a:xfrm>
        <a:prstGeom prst="rect">
          <a:avLst/>
        </a:prstGeom>
      </xdr:spPr>
    </xdr:pic>
    <xdr:clientData/>
  </xdr:oneCellAnchor>
  <xdr:oneCellAnchor>
    <xdr:from>
      <xdr:col>27</xdr:col>
      <xdr:colOff>66676</xdr:colOff>
      <xdr:row>88</xdr:row>
      <xdr:rowOff>161926</xdr:rowOff>
    </xdr:from>
    <xdr:ext cx="5362574" cy="4285272"/>
    <xdr:pic>
      <xdr:nvPicPr>
        <xdr:cNvPr id="4" name="Picture 3">
          <a:extLst>
            <a:ext uri="{FF2B5EF4-FFF2-40B4-BE49-F238E27FC236}">
              <a16:creationId xmlns:a16="http://schemas.microsoft.com/office/drawing/2014/main" id="{B56730EF-6EC8-4FDA-A83C-2AEC3F9FC0B2}"/>
            </a:ext>
          </a:extLst>
        </xdr:cNvPr>
        <xdr:cNvPicPr>
          <a:picLocks noChangeAspect="1"/>
        </xdr:cNvPicPr>
      </xdr:nvPicPr>
      <xdr:blipFill>
        <a:blip xmlns:r="http://schemas.openxmlformats.org/officeDocument/2006/relationships" r:embed="rId3"/>
        <a:stretch>
          <a:fillRect/>
        </a:stretch>
      </xdr:blipFill>
      <xdr:spPr>
        <a:xfrm>
          <a:off x="16525876" y="16925926"/>
          <a:ext cx="5362574" cy="4285272"/>
        </a:xfrm>
        <a:prstGeom prst="rect">
          <a:avLst/>
        </a:prstGeom>
      </xdr:spPr>
    </xdr:pic>
    <xdr:clientData/>
  </xdr:oneCellAnchor>
  <xdr:oneCellAnchor>
    <xdr:from>
      <xdr:col>36</xdr:col>
      <xdr:colOff>9525</xdr:colOff>
      <xdr:row>88</xdr:row>
      <xdr:rowOff>123825</xdr:rowOff>
    </xdr:from>
    <xdr:ext cx="5801535" cy="2924583"/>
    <xdr:pic>
      <xdr:nvPicPr>
        <xdr:cNvPr id="5" name="Picture 4">
          <a:extLst>
            <a:ext uri="{FF2B5EF4-FFF2-40B4-BE49-F238E27FC236}">
              <a16:creationId xmlns:a16="http://schemas.microsoft.com/office/drawing/2014/main" id="{C7094526-D7B5-478F-8212-83FECF7F64BC}"/>
            </a:ext>
          </a:extLst>
        </xdr:cNvPr>
        <xdr:cNvPicPr>
          <a:picLocks noChangeAspect="1"/>
        </xdr:cNvPicPr>
      </xdr:nvPicPr>
      <xdr:blipFill>
        <a:blip xmlns:r="http://schemas.openxmlformats.org/officeDocument/2006/relationships" r:embed="rId4"/>
        <a:stretch>
          <a:fillRect/>
        </a:stretch>
      </xdr:blipFill>
      <xdr:spPr>
        <a:xfrm>
          <a:off x="21955125" y="16887825"/>
          <a:ext cx="5801535" cy="2924583"/>
        </a:xfrm>
        <a:prstGeom prst="rect">
          <a:avLst/>
        </a:prstGeom>
      </xdr:spPr>
    </xdr:pic>
    <xdr:clientData/>
  </xdr:oneCellAnchor>
  <xdr:oneCellAnchor>
    <xdr:from>
      <xdr:col>1</xdr:col>
      <xdr:colOff>9526</xdr:colOff>
      <xdr:row>71</xdr:row>
      <xdr:rowOff>171450</xdr:rowOff>
    </xdr:from>
    <xdr:ext cx="10724030" cy="2340163"/>
    <xdr:pic>
      <xdr:nvPicPr>
        <xdr:cNvPr id="6" name="Picture 5">
          <a:extLst>
            <a:ext uri="{FF2B5EF4-FFF2-40B4-BE49-F238E27FC236}">
              <a16:creationId xmlns:a16="http://schemas.microsoft.com/office/drawing/2014/main" id="{60291549-A295-4FAE-8E69-5C26E352FA91}"/>
            </a:ext>
          </a:extLst>
        </xdr:cNvPr>
        <xdr:cNvPicPr>
          <a:picLocks noChangeAspect="1"/>
        </xdr:cNvPicPr>
      </xdr:nvPicPr>
      <xdr:blipFill>
        <a:blip xmlns:r="http://schemas.openxmlformats.org/officeDocument/2006/relationships" r:embed="rId5"/>
        <a:stretch>
          <a:fillRect/>
        </a:stretch>
      </xdr:blipFill>
      <xdr:spPr>
        <a:xfrm>
          <a:off x="619126" y="13696950"/>
          <a:ext cx="10724030" cy="2340163"/>
        </a:xfrm>
        <a:prstGeom prst="rect">
          <a:avLst/>
        </a:prstGeom>
      </xdr:spPr>
    </xdr:pic>
    <xdr:clientData/>
  </xdr:oneCellAnchor>
  <xdr:oneCellAnchor>
    <xdr:from>
      <xdr:col>15</xdr:col>
      <xdr:colOff>352425</xdr:colOff>
      <xdr:row>72</xdr:row>
      <xdr:rowOff>38101</xdr:rowOff>
    </xdr:from>
    <xdr:ext cx="10717530" cy="2288600"/>
    <xdr:pic>
      <xdr:nvPicPr>
        <xdr:cNvPr id="7" name="Picture 6">
          <a:extLst>
            <a:ext uri="{FF2B5EF4-FFF2-40B4-BE49-F238E27FC236}">
              <a16:creationId xmlns:a16="http://schemas.microsoft.com/office/drawing/2014/main" id="{4B5FAB7B-22DA-48A5-A3DA-CB95F0D1C878}"/>
            </a:ext>
          </a:extLst>
        </xdr:cNvPr>
        <xdr:cNvPicPr>
          <a:picLocks noChangeAspect="1"/>
        </xdr:cNvPicPr>
      </xdr:nvPicPr>
      <xdr:blipFill>
        <a:blip xmlns:r="http://schemas.openxmlformats.org/officeDocument/2006/relationships" r:embed="rId6"/>
        <a:stretch>
          <a:fillRect/>
        </a:stretch>
      </xdr:blipFill>
      <xdr:spPr>
        <a:xfrm>
          <a:off x="9496425" y="13754101"/>
          <a:ext cx="10717530" cy="2288600"/>
        </a:xfrm>
        <a:prstGeom prst="rect">
          <a:avLst/>
        </a:prstGeom>
      </xdr:spPr>
    </xdr:pic>
    <xdr:clientData/>
  </xdr:oneCellAnchor>
  <xdr:oneCellAnchor>
    <xdr:from>
      <xdr:col>22</xdr:col>
      <xdr:colOff>57150</xdr:colOff>
      <xdr:row>118</xdr:row>
      <xdr:rowOff>28575</xdr:rowOff>
    </xdr:from>
    <xdr:ext cx="5620534" cy="4029637"/>
    <xdr:pic>
      <xdr:nvPicPr>
        <xdr:cNvPr id="8" name="Picture 7">
          <a:extLst>
            <a:ext uri="{FF2B5EF4-FFF2-40B4-BE49-F238E27FC236}">
              <a16:creationId xmlns:a16="http://schemas.microsoft.com/office/drawing/2014/main" id="{4AB84E39-D5BA-48C6-90EE-9C3CE07F25F1}"/>
            </a:ext>
          </a:extLst>
        </xdr:cNvPr>
        <xdr:cNvPicPr>
          <a:picLocks noChangeAspect="1"/>
        </xdr:cNvPicPr>
      </xdr:nvPicPr>
      <xdr:blipFill>
        <a:blip xmlns:r="http://schemas.openxmlformats.org/officeDocument/2006/relationships" r:embed="rId7"/>
        <a:stretch>
          <a:fillRect/>
        </a:stretch>
      </xdr:blipFill>
      <xdr:spPr>
        <a:xfrm>
          <a:off x="13468350" y="22507575"/>
          <a:ext cx="5620534" cy="4029637"/>
        </a:xfrm>
        <a:prstGeom prst="rect">
          <a:avLst/>
        </a:prstGeom>
      </xdr:spPr>
    </xdr:pic>
    <xdr:clientData/>
  </xdr:one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39F2508-B3FD-46D2-8ED4-A57EEA95D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BEB56439-D002-4F74-B2BD-2B5278FCE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593912</xdr:colOff>
      <xdr:row>1</xdr:row>
      <xdr:rowOff>224118</xdr:rowOff>
    </xdr:from>
    <xdr:ext cx="7814378" cy="3153775"/>
    <xdr:pic>
      <xdr:nvPicPr>
        <xdr:cNvPr id="11" name="Picture 10">
          <a:extLst>
            <a:ext uri="{FF2B5EF4-FFF2-40B4-BE49-F238E27FC236}">
              <a16:creationId xmlns:a16="http://schemas.microsoft.com/office/drawing/2014/main" id="{2AAFFCE4-C1D8-41C7-B84E-94DA1A72EA9F}"/>
            </a:ext>
          </a:extLst>
        </xdr:cNvPr>
        <xdr:cNvPicPr>
          <a:picLocks noChangeAspect="1"/>
        </xdr:cNvPicPr>
      </xdr:nvPicPr>
      <xdr:blipFill>
        <a:blip xmlns:r="http://schemas.openxmlformats.org/officeDocument/2006/relationships" r:embed="rId10"/>
        <a:stretch>
          <a:fillRect/>
        </a:stretch>
      </xdr:blipFill>
      <xdr:spPr>
        <a:xfrm>
          <a:off x="6689912" y="376518"/>
          <a:ext cx="7814378" cy="315377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_Veda\Archive\OldSUP_v01.xlsx" TargetMode="External"/><Relationship Id="rId1" Type="http://schemas.openxmlformats.org/officeDocument/2006/relationships/externalLinkPath" Target="/Models/SATIMGE_Veda/Archive/OldSUP_v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row r="8">
          <cell r="B8">
            <v>0</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row r="49">
          <cell r="B49" t="str">
            <v>AGR</v>
          </cell>
          <cell r="C49" t="str">
            <v>Agriculture</v>
          </cell>
        </row>
        <row r="50">
          <cell r="B50" t="str">
            <v>COM</v>
          </cell>
          <cell r="C50" t="str">
            <v>Commerce</v>
          </cell>
        </row>
        <row r="51">
          <cell r="B51" t="str">
            <v>IND</v>
          </cell>
          <cell r="C51" t="str">
            <v>Industry</v>
          </cell>
        </row>
        <row r="52">
          <cell r="B52" t="str">
            <v>PWR</v>
          </cell>
          <cell r="C52" t="str">
            <v>Power</v>
          </cell>
        </row>
        <row r="53">
          <cell r="B53" t="str">
            <v>RES</v>
          </cell>
          <cell r="C53" t="str">
            <v>Residential</v>
          </cell>
        </row>
        <row r="54">
          <cell r="B54" t="str">
            <v>TRA</v>
          </cell>
          <cell r="C54" t="str">
            <v>Transport</v>
          </cell>
        </row>
        <row r="55">
          <cell r="B55" t="str">
            <v>UPS</v>
          </cell>
          <cell r="C55" t="str">
            <v>Upstream</v>
          </cell>
        </row>
        <row r="56">
          <cell r="B56"/>
          <cell r="C56"/>
        </row>
        <row r="57">
          <cell r="B57"/>
          <cell r="C57"/>
        </row>
      </sheetData>
      <sheetData sheetId="3"/>
      <sheetData sheetId="4">
        <row r="51">
          <cell r="E51">
            <v>11.914999999999999</v>
          </cell>
        </row>
      </sheetData>
      <sheetData sheetId="5"/>
      <sheetData sheetId="6"/>
      <sheetData sheetId="7"/>
      <sheetData sheetId="8"/>
      <sheetData sheetId="9"/>
      <sheetData sheetId="10"/>
      <sheetData sheetId="11"/>
      <sheetData sheetId="12"/>
      <sheetData sheetId="13">
        <row r="17">
          <cell r="A17">
            <v>2.54</v>
          </cell>
        </row>
      </sheetData>
      <sheetData sheetId="14"/>
      <sheetData sheetId="15"/>
      <sheetData sheetId="16"/>
      <sheetData sheetId="17"/>
      <sheetData sheetId="18">
        <row r="56">
          <cell r="F56">
            <v>0.34416826003824091</v>
          </cell>
          <cell r="G56">
            <v>0.55066921606118546</v>
          </cell>
          <cell r="H56">
            <v>0.74187380497131927</v>
          </cell>
          <cell r="J56">
            <v>0.74187380497131927</v>
          </cell>
          <cell r="L56">
            <v>0.74187380497131927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9">
          <cell r="D39">
            <v>120.1</v>
          </cell>
        </row>
      </sheetData>
      <sheetData sheetId="35"/>
      <sheetData sheetId="36"/>
      <sheetData sheetId="37"/>
      <sheetData sheetId="38"/>
      <sheetData sheetId="39">
        <row r="6">
          <cell r="B6" t="str">
            <v>UPS</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8993A81-73D6-4673-8E9D-F1E1336B6C56}" userId="Bruno Merven"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13" dT="2021-09-09T10:02:37.71" personId="{E8993A81-73D6-4673-8E9D-F1E1336B6C56}" id="{097E2DB2-C7B7-4600-A89B-7CD851423C8C}">
    <text>OAG doesn't go anywhere at the moment</text>
  </threadedComment>
  <threadedComment ref="H14" dT="2021-09-09T10:02:02.83" personId="{E8993A81-73D6-4673-8E9D-F1E1336B6C56}" id="{4C0E7D07-76D7-4545-8866-03734547B9CA}">
    <text>Changed to Zero to allow model more flexibility on jet fuel.</text>
  </threadedComment>
  <threadedComment ref="G23" dT="2021-09-09T11:55:55.85" personId="{E8993A81-73D6-4673-8E9D-F1E1336B6C56}" id="{93FFD154-6D52-4BCF-87AA-86E4085FDB4E}">
    <text>Assumption until we have better data</text>
  </threadedComment>
</ThreadedComments>
</file>

<file path=xl/threadedComments/threadedComment2.xml><?xml version="1.0" encoding="utf-8"?>
<ThreadedComments xmlns="http://schemas.microsoft.com/office/spreadsheetml/2018/threadedcomments" xmlns:x="http://schemas.openxmlformats.org/spreadsheetml/2006/main">
  <threadedComment ref="J19" dT="2021-09-09T10:42:54.01" personId="{E8993A81-73D6-4673-8E9D-F1E1336B6C56}" id="{579E8DC9-49DE-4128-AB78-3D80E253B2F5}">
    <text>This is arbitrary at the moment and set to avoid unbounded solution in case this becomes a very profitable product.</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reativecommons.org/licenses/by-nc-sa/4.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xml"/><Relationship Id="rId5" Type="http://schemas.openxmlformats.org/officeDocument/2006/relationships/printerSettings" Target="../printerSettings/printerSettings8.bin"/><Relationship Id="rId4" Type="http://schemas.openxmlformats.org/officeDocument/2006/relationships/hyperlink" Target="https://www.webqc.org/molecular-weight-of-o.html"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earch.worldbank.org/data?qterm=gdp%20deflator%20%22south%20africa%22&amp;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8E05A-A755-453F-A2CC-13F04C55B174}">
  <sheetPr codeName="Sheet1"/>
  <dimension ref="A1:Z99"/>
  <sheetViews>
    <sheetView showGridLines="0" topLeftCell="A16" zoomScaleNormal="100" workbookViewId="0">
      <selection activeCell="B41" sqref="B41"/>
    </sheetView>
  </sheetViews>
  <sheetFormatPr defaultColWidth="8.85546875" defaultRowHeight="15" x14ac:dyDescent="0.2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x14ac:dyDescent="0.25">
      <c r="A1" s="16"/>
      <c r="B1" s="16"/>
      <c r="C1" s="16"/>
      <c r="D1" s="16"/>
      <c r="E1" s="17"/>
      <c r="F1" s="17"/>
      <c r="G1" s="17"/>
      <c r="H1" s="17"/>
      <c r="I1" s="17"/>
      <c r="J1" s="17"/>
      <c r="K1" s="17"/>
      <c r="L1" s="17"/>
      <c r="M1" s="17"/>
      <c r="N1" s="17"/>
      <c r="O1" s="17"/>
      <c r="P1" s="17"/>
      <c r="Q1" s="17"/>
      <c r="R1" s="17"/>
      <c r="S1" s="17"/>
      <c r="T1" s="17"/>
      <c r="U1" s="17"/>
      <c r="V1" s="17"/>
      <c r="W1" s="17"/>
      <c r="X1" s="17"/>
      <c r="Y1" s="17"/>
      <c r="Z1" s="17"/>
    </row>
    <row r="2" spans="1:26" x14ac:dyDescent="0.25">
      <c r="A2" s="16"/>
      <c r="B2" s="16"/>
      <c r="C2" s="16"/>
      <c r="D2" s="16"/>
      <c r="E2" s="17"/>
      <c r="F2" s="17"/>
      <c r="G2" s="17"/>
      <c r="H2" s="17"/>
      <c r="I2" s="17"/>
      <c r="J2" s="17"/>
      <c r="K2" s="17"/>
      <c r="L2" s="17"/>
      <c r="M2" s="17"/>
      <c r="N2" s="17"/>
      <c r="O2" s="17"/>
      <c r="P2" s="17"/>
      <c r="Q2" s="17"/>
      <c r="R2" s="17"/>
      <c r="S2" s="17"/>
      <c r="T2" s="17"/>
      <c r="U2" s="17"/>
      <c r="V2" s="17"/>
      <c r="W2" s="17"/>
      <c r="X2" s="17"/>
      <c r="Y2" s="17"/>
      <c r="Z2" s="17"/>
    </row>
    <row r="3" spans="1:26" x14ac:dyDescent="0.25">
      <c r="A3" s="16"/>
      <c r="B3" s="16"/>
      <c r="C3" s="16"/>
      <c r="D3" s="16"/>
      <c r="E3" s="17"/>
      <c r="F3" s="17"/>
      <c r="G3" s="17"/>
      <c r="H3" s="17"/>
      <c r="I3" s="17"/>
      <c r="J3" s="17"/>
      <c r="K3" s="17"/>
      <c r="L3" s="17"/>
      <c r="M3" s="17"/>
      <c r="N3" s="17"/>
      <c r="O3" s="17"/>
      <c r="P3" s="17"/>
      <c r="Q3" s="17"/>
      <c r="R3" s="17"/>
      <c r="S3" s="17"/>
      <c r="T3" s="17"/>
      <c r="U3" s="17"/>
      <c r="V3" s="17"/>
      <c r="W3" s="17"/>
      <c r="X3" s="17"/>
      <c r="Y3" s="17"/>
      <c r="Z3" s="17"/>
    </row>
    <row r="4" spans="1:26" x14ac:dyDescent="0.25">
      <c r="A4" s="16"/>
      <c r="B4" s="16"/>
      <c r="C4" s="16"/>
      <c r="D4" s="16"/>
      <c r="E4" s="17"/>
      <c r="F4" s="17"/>
      <c r="G4" s="17"/>
      <c r="H4" s="17"/>
      <c r="I4" s="17"/>
      <c r="J4" s="17"/>
      <c r="K4" s="17"/>
      <c r="L4" s="17"/>
      <c r="M4" s="17"/>
      <c r="N4" s="17"/>
      <c r="O4" s="17"/>
      <c r="P4" s="17"/>
      <c r="Q4" s="17"/>
      <c r="R4" s="17"/>
      <c r="S4" s="17"/>
      <c r="T4" s="17"/>
      <c r="U4" s="17"/>
      <c r="V4" s="17"/>
      <c r="W4" s="17"/>
      <c r="X4" s="17"/>
      <c r="Y4" s="17"/>
      <c r="Z4" s="17"/>
    </row>
    <row r="5" spans="1:26" x14ac:dyDescent="0.25">
      <c r="A5" s="16"/>
      <c r="B5" s="16"/>
      <c r="C5" s="16"/>
      <c r="D5" s="16"/>
      <c r="E5" s="17"/>
      <c r="F5" s="17"/>
      <c r="G5" s="17"/>
      <c r="H5" s="17"/>
      <c r="I5" s="17"/>
      <c r="J5" s="17"/>
      <c r="K5" s="17"/>
      <c r="L5" s="17"/>
      <c r="M5" s="17"/>
      <c r="N5" s="17"/>
      <c r="O5" s="17"/>
      <c r="P5" s="17"/>
      <c r="Q5" s="17"/>
      <c r="R5" s="17"/>
      <c r="S5" s="17"/>
      <c r="T5" s="17"/>
      <c r="U5" s="17"/>
      <c r="V5" s="17"/>
      <c r="W5" s="17"/>
      <c r="X5" s="17"/>
      <c r="Y5" s="17"/>
      <c r="Z5" s="17"/>
    </row>
    <row r="6" spans="1:26" x14ac:dyDescent="0.25">
      <c r="A6" s="16"/>
      <c r="B6" s="16"/>
      <c r="C6" s="16"/>
      <c r="D6" s="16"/>
      <c r="E6" s="17"/>
      <c r="F6" s="17"/>
      <c r="G6" s="17"/>
      <c r="H6" s="17"/>
      <c r="I6" s="17"/>
      <c r="J6" s="17"/>
      <c r="K6" s="17"/>
      <c r="L6" s="17"/>
      <c r="M6" s="17"/>
      <c r="N6" s="17"/>
      <c r="O6" s="17"/>
      <c r="P6" s="17"/>
      <c r="Q6" s="17"/>
      <c r="R6" s="17"/>
      <c r="S6" s="17"/>
      <c r="T6" s="17"/>
      <c r="U6" s="17"/>
      <c r="V6" s="17"/>
      <c r="W6" s="17"/>
      <c r="X6" s="17"/>
      <c r="Y6" s="17"/>
      <c r="Z6" s="17"/>
    </row>
    <row r="7" spans="1:26" x14ac:dyDescent="0.25">
      <c r="A7" s="16"/>
      <c r="B7" s="16"/>
      <c r="C7" s="16"/>
      <c r="D7" s="16"/>
      <c r="E7" s="17"/>
      <c r="F7" s="17"/>
      <c r="G7" s="17"/>
      <c r="H7" s="17"/>
      <c r="I7" s="17"/>
      <c r="J7" s="17"/>
      <c r="K7" s="17"/>
      <c r="L7" s="17"/>
      <c r="M7" s="17"/>
      <c r="N7" s="17"/>
      <c r="O7" s="17"/>
      <c r="P7" s="17"/>
      <c r="Q7" s="17"/>
      <c r="R7" s="17"/>
      <c r="S7" s="17"/>
      <c r="T7" s="17"/>
      <c r="U7" s="17"/>
      <c r="V7" s="17"/>
      <c r="W7" s="17"/>
      <c r="X7" s="17"/>
      <c r="Y7" s="17"/>
      <c r="Z7" s="17"/>
    </row>
    <row r="8" spans="1:26" x14ac:dyDescent="0.25">
      <c r="A8" s="16"/>
      <c r="B8" s="16"/>
      <c r="C8" s="16"/>
      <c r="D8" s="16"/>
      <c r="E8" s="17"/>
      <c r="F8" s="17"/>
      <c r="G8" s="17"/>
      <c r="H8" s="17"/>
      <c r="I8" s="17"/>
      <c r="J8" s="17"/>
      <c r="K8" s="17"/>
      <c r="L8" s="17"/>
      <c r="M8" s="17"/>
      <c r="N8" s="17"/>
      <c r="O8" s="17"/>
      <c r="P8" s="17"/>
      <c r="Q8" s="17"/>
      <c r="R8" s="17"/>
      <c r="S8" s="17"/>
      <c r="T8" s="17"/>
      <c r="U8" s="17"/>
      <c r="V8" s="17"/>
      <c r="W8" s="17"/>
      <c r="X8" s="17"/>
      <c r="Y8" s="17"/>
      <c r="Z8" s="17"/>
    </row>
    <row r="9" spans="1:26" x14ac:dyDescent="0.25">
      <c r="A9" s="16"/>
      <c r="B9" s="16"/>
      <c r="C9" s="16"/>
      <c r="D9" s="16"/>
      <c r="E9" s="17"/>
      <c r="F9" s="17"/>
      <c r="G9" s="17"/>
      <c r="H9" s="17"/>
      <c r="I9" s="17"/>
      <c r="J9" s="17"/>
      <c r="K9" s="17"/>
      <c r="L9" s="17"/>
      <c r="M9" s="17"/>
      <c r="N9" s="17"/>
      <c r="O9" s="17"/>
      <c r="P9" s="17"/>
      <c r="Q9" s="17"/>
      <c r="R9" s="17"/>
      <c r="S9" s="17"/>
      <c r="T9" s="17"/>
      <c r="U9" s="17"/>
      <c r="V9" s="17"/>
      <c r="W9" s="17"/>
      <c r="X9" s="17"/>
      <c r="Y9" s="17"/>
      <c r="Z9" s="17"/>
    </row>
    <row r="10" spans="1:26" x14ac:dyDescent="0.25">
      <c r="A10" s="16"/>
      <c r="B10" s="16"/>
      <c r="C10" s="16"/>
      <c r="D10" s="16"/>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5">
      <c r="A11" s="16"/>
      <c r="B11" s="16"/>
      <c r="C11" s="16"/>
      <c r="D11" s="16"/>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5">
      <c r="A12" s="16"/>
      <c r="B12" s="16"/>
      <c r="C12" s="16"/>
      <c r="D12" s="16"/>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5">
      <c r="A13" s="16"/>
      <c r="B13" s="16"/>
      <c r="C13" s="16"/>
      <c r="D13" s="16"/>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5">
      <c r="A14" s="16"/>
      <c r="B14" s="16"/>
      <c r="C14" s="16"/>
      <c r="D14" s="16"/>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5">
      <c r="A15" s="16"/>
      <c r="B15" s="16"/>
      <c r="C15" s="16"/>
      <c r="D15" s="16"/>
      <c r="E15" s="17"/>
      <c r="F15" s="17"/>
      <c r="G15" s="17"/>
      <c r="H15" s="17"/>
      <c r="I15" s="17"/>
      <c r="J15" s="17"/>
      <c r="K15" s="17"/>
      <c r="L15" s="17"/>
      <c r="M15" s="17"/>
      <c r="N15" s="17"/>
      <c r="O15" s="17"/>
      <c r="P15" s="17"/>
      <c r="Q15" s="17"/>
      <c r="R15" s="17"/>
      <c r="S15" s="17"/>
      <c r="T15" s="17"/>
      <c r="U15" s="17"/>
      <c r="V15" s="17"/>
      <c r="W15" s="17"/>
      <c r="X15" s="17"/>
      <c r="Y15" s="17"/>
      <c r="Z15" s="17"/>
    </row>
    <row r="16" spans="1:26" ht="102.75" customHeight="1" x14ac:dyDescent="0.25">
      <c r="A16" s="344" t="s">
        <v>108</v>
      </c>
      <c r="B16" s="344"/>
      <c r="C16" s="344"/>
      <c r="D16" s="344"/>
      <c r="E16" s="18"/>
      <c r="F16" s="18"/>
      <c r="G16" s="19"/>
      <c r="H16" s="19"/>
      <c r="I16" s="19"/>
      <c r="J16" s="19"/>
      <c r="K16" s="19"/>
      <c r="L16" s="19"/>
      <c r="M16" s="17"/>
      <c r="N16" s="17"/>
      <c r="O16" s="17"/>
      <c r="P16" s="17"/>
      <c r="Q16" s="17"/>
      <c r="R16" s="17"/>
      <c r="S16" s="17"/>
      <c r="T16" s="17"/>
      <c r="U16" s="17"/>
      <c r="V16" s="17"/>
      <c r="W16" s="17"/>
      <c r="X16" s="17"/>
      <c r="Y16" s="17"/>
      <c r="Z16" s="17"/>
    </row>
    <row r="17" spans="1:26" ht="17.25" customHeight="1" x14ac:dyDescent="0.25">
      <c r="A17" s="20"/>
      <c r="B17" s="20"/>
      <c r="C17" s="20"/>
      <c r="D17" s="20"/>
      <c r="E17" s="17"/>
      <c r="F17" s="17"/>
      <c r="G17" s="17"/>
      <c r="H17" s="17"/>
      <c r="I17" s="17"/>
      <c r="J17" s="17"/>
      <c r="K17" s="17"/>
      <c r="L17" s="17"/>
      <c r="M17" s="17"/>
      <c r="N17" s="17"/>
      <c r="O17" s="17"/>
      <c r="P17" s="17"/>
      <c r="Q17" s="17"/>
      <c r="R17" s="17"/>
      <c r="S17" s="17"/>
      <c r="T17" s="17"/>
      <c r="U17" s="17"/>
      <c r="V17" s="17"/>
      <c r="W17" s="17"/>
      <c r="X17" s="17"/>
      <c r="Y17" s="17"/>
      <c r="Z17" s="17"/>
    </row>
    <row r="18" spans="1:26" ht="17.25" customHeight="1" x14ac:dyDescent="0.25">
      <c r="A18" s="20"/>
      <c r="B18" s="20"/>
      <c r="C18" s="20"/>
      <c r="D18" s="20"/>
      <c r="E18" s="21"/>
      <c r="F18" s="21"/>
      <c r="G18" s="22"/>
      <c r="H18" s="22"/>
      <c r="I18" s="22"/>
      <c r="J18" s="22"/>
      <c r="K18" s="22"/>
      <c r="L18" s="22"/>
      <c r="M18" s="17"/>
      <c r="N18" s="17"/>
      <c r="O18" s="17"/>
      <c r="P18" s="17"/>
      <c r="Q18" s="17"/>
      <c r="R18" s="17"/>
      <c r="S18" s="17"/>
      <c r="T18" s="17"/>
      <c r="U18" s="17"/>
      <c r="V18" s="17"/>
      <c r="W18" s="17"/>
      <c r="X18" s="17"/>
      <c r="Y18" s="17"/>
      <c r="Z18" s="17"/>
    </row>
    <row r="19" spans="1:26" ht="17.25" customHeight="1" x14ac:dyDescent="0.25">
      <c r="A19" s="23" t="s">
        <v>0</v>
      </c>
      <c r="B19" s="343" t="s">
        <v>105</v>
      </c>
      <c r="C19" s="343"/>
      <c r="D19" s="343"/>
      <c r="E19" s="24"/>
      <c r="F19" s="24"/>
      <c r="G19" s="25"/>
      <c r="H19" s="25"/>
      <c r="I19" s="25"/>
      <c r="J19" s="25"/>
      <c r="K19" s="25"/>
      <c r="L19" s="25"/>
      <c r="M19" s="17"/>
      <c r="N19" s="17"/>
      <c r="O19" s="17"/>
      <c r="P19" s="17"/>
      <c r="Q19" s="17"/>
      <c r="R19" s="17"/>
      <c r="S19" s="17"/>
      <c r="T19" s="17"/>
      <c r="U19" s="17"/>
      <c r="V19" s="17"/>
      <c r="W19" s="17"/>
      <c r="X19" s="17"/>
      <c r="Y19" s="17"/>
      <c r="Z19" s="17"/>
    </row>
    <row r="20" spans="1:26" ht="17.25" customHeight="1" x14ac:dyDescent="0.25">
      <c r="A20" s="23" t="s">
        <v>96</v>
      </c>
      <c r="B20" s="343" t="s">
        <v>106</v>
      </c>
      <c r="C20" s="343"/>
      <c r="D20" s="343"/>
      <c r="E20" s="24"/>
      <c r="F20" s="24"/>
      <c r="G20" s="25"/>
      <c r="H20" s="25"/>
      <c r="I20" s="25"/>
      <c r="J20" s="25"/>
      <c r="K20" s="25"/>
      <c r="L20" s="25"/>
      <c r="M20" s="17"/>
      <c r="N20" s="17"/>
      <c r="O20" s="17"/>
      <c r="P20" s="17"/>
      <c r="Q20" s="17"/>
      <c r="R20" s="17"/>
      <c r="S20" s="17"/>
      <c r="T20" s="17"/>
      <c r="U20" s="17"/>
      <c r="V20" s="17"/>
      <c r="W20" s="17"/>
      <c r="X20" s="17"/>
      <c r="Y20" s="17"/>
      <c r="Z20" s="17"/>
    </row>
    <row r="21" spans="1:26" ht="17.25" customHeight="1" x14ac:dyDescent="0.25">
      <c r="A21" s="23" t="s">
        <v>97</v>
      </c>
      <c r="B21" s="26" t="s">
        <v>107</v>
      </c>
      <c r="C21" s="26"/>
      <c r="D21" s="26"/>
      <c r="E21" s="24"/>
      <c r="F21" s="24"/>
      <c r="G21" s="25"/>
      <c r="H21" s="25"/>
      <c r="I21" s="25"/>
      <c r="J21" s="25"/>
      <c r="K21" s="25"/>
      <c r="L21" s="25"/>
      <c r="M21" s="17"/>
      <c r="N21" s="17"/>
      <c r="O21" s="17"/>
      <c r="P21" s="17"/>
      <c r="Q21" s="17"/>
      <c r="R21" s="17"/>
      <c r="S21" s="17"/>
      <c r="T21" s="17"/>
      <c r="U21" s="17"/>
      <c r="V21" s="17"/>
      <c r="W21" s="17"/>
      <c r="X21" s="17"/>
      <c r="Y21" s="17"/>
      <c r="Z21" s="17"/>
    </row>
    <row r="22" spans="1:26" ht="17.25" customHeight="1" x14ac:dyDescent="0.25">
      <c r="A22" s="23"/>
      <c r="B22" s="26"/>
      <c r="C22" s="26"/>
      <c r="D22" s="26"/>
      <c r="E22" s="24"/>
      <c r="F22" s="24"/>
      <c r="G22" s="25"/>
      <c r="H22" s="25"/>
      <c r="I22" s="25"/>
      <c r="J22" s="25"/>
      <c r="K22" s="25"/>
      <c r="L22" s="25"/>
      <c r="M22" s="17"/>
      <c r="N22" s="17"/>
      <c r="O22" s="17"/>
      <c r="P22" s="17"/>
      <c r="Q22" s="17"/>
      <c r="R22" s="17"/>
      <c r="S22" s="17"/>
      <c r="T22" s="17"/>
      <c r="U22" s="17"/>
      <c r="V22" s="17"/>
      <c r="W22" s="17"/>
      <c r="X22" s="17"/>
      <c r="Y22" s="17"/>
      <c r="Z22" s="17"/>
    </row>
    <row r="23" spans="1:26" ht="17.25" customHeight="1" x14ac:dyDescent="0.25">
      <c r="A23" s="23" t="s">
        <v>98</v>
      </c>
      <c r="B23" s="343" t="s">
        <v>109</v>
      </c>
      <c r="C23" s="343"/>
      <c r="D23" s="343"/>
      <c r="E23" s="17"/>
      <c r="F23" s="17"/>
      <c r="G23" s="17"/>
      <c r="H23" s="17"/>
      <c r="I23" s="17"/>
      <c r="J23" s="17"/>
      <c r="K23" s="17"/>
      <c r="L23" s="17"/>
      <c r="M23" s="17"/>
      <c r="N23" s="17"/>
      <c r="O23" s="17"/>
      <c r="P23" s="17"/>
      <c r="Q23" s="17"/>
      <c r="R23" s="17"/>
      <c r="S23" s="17"/>
      <c r="T23" s="17"/>
      <c r="U23" s="17"/>
      <c r="V23" s="17"/>
      <c r="W23" s="17"/>
      <c r="X23" s="17"/>
      <c r="Y23" s="17"/>
      <c r="Z23" s="17"/>
    </row>
    <row r="24" spans="1:26" ht="17.25" customHeight="1" x14ac:dyDescent="0.25">
      <c r="A24" s="23"/>
      <c r="B24" s="26"/>
      <c r="C24" s="26"/>
      <c r="D24" s="26"/>
      <c r="E24" s="17"/>
      <c r="F24" s="17"/>
      <c r="G24" s="17"/>
      <c r="H24" s="17"/>
      <c r="I24" s="17"/>
      <c r="J24" s="17"/>
      <c r="K24" s="17"/>
      <c r="L24" s="17"/>
      <c r="M24" s="17"/>
      <c r="N24" s="17"/>
      <c r="O24" s="17"/>
      <c r="P24" s="17"/>
      <c r="Q24" s="17"/>
      <c r="R24" s="17"/>
      <c r="S24" s="17"/>
      <c r="T24" s="17"/>
      <c r="U24" s="17"/>
      <c r="V24" s="17"/>
      <c r="W24" s="17"/>
      <c r="X24" s="17"/>
      <c r="Y24" s="17"/>
      <c r="Z24" s="17"/>
    </row>
    <row r="25" spans="1:26" ht="17.25" customHeight="1" x14ac:dyDescent="0.25">
      <c r="A25" s="23"/>
      <c r="B25" s="26"/>
      <c r="C25" s="26"/>
      <c r="D25" s="26"/>
      <c r="E25" s="17"/>
      <c r="F25" s="17"/>
      <c r="G25" s="17"/>
      <c r="H25" s="17"/>
      <c r="I25" s="17"/>
      <c r="J25" s="17"/>
      <c r="K25" s="17"/>
      <c r="L25" s="17"/>
      <c r="M25" s="17"/>
      <c r="N25" s="17"/>
      <c r="O25" s="17"/>
      <c r="P25" s="17"/>
      <c r="Q25" s="17"/>
      <c r="R25" s="17"/>
      <c r="S25" s="17"/>
      <c r="T25" s="17"/>
      <c r="U25" s="17"/>
      <c r="V25" s="17"/>
      <c r="W25" s="17"/>
      <c r="X25" s="17"/>
      <c r="Y25" s="17"/>
      <c r="Z25" s="17"/>
    </row>
    <row r="26" spans="1:26" ht="17.25" customHeight="1" x14ac:dyDescent="0.25">
      <c r="A26" s="23" t="s">
        <v>99</v>
      </c>
      <c r="B26" s="343"/>
      <c r="C26" s="343"/>
      <c r="D26" s="343"/>
      <c r="E26" s="17"/>
      <c r="F26" s="17"/>
      <c r="G26" s="17"/>
      <c r="H26" s="17"/>
      <c r="I26" s="17"/>
      <c r="J26" s="17"/>
      <c r="K26" s="17"/>
      <c r="L26" s="17"/>
      <c r="M26" s="17"/>
      <c r="N26" s="17"/>
      <c r="O26" s="17"/>
      <c r="P26" s="17"/>
      <c r="Q26" s="17"/>
      <c r="R26" s="17"/>
      <c r="S26" s="17"/>
      <c r="T26" s="17"/>
      <c r="U26" s="17"/>
      <c r="V26" s="17"/>
      <c r="W26" s="17"/>
      <c r="X26" s="17"/>
      <c r="Y26" s="17"/>
      <c r="Z26" s="17"/>
    </row>
    <row r="27" spans="1:26" ht="17.25" customHeight="1" x14ac:dyDescent="0.25">
      <c r="A27" s="23"/>
      <c r="B27" s="26"/>
      <c r="C27" s="26"/>
      <c r="D27" s="26"/>
      <c r="E27" s="17"/>
      <c r="F27" s="17"/>
      <c r="G27" s="17"/>
      <c r="H27" s="17"/>
      <c r="I27" s="17"/>
      <c r="J27" s="17"/>
      <c r="K27" s="17"/>
      <c r="L27" s="17"/>
      <c r="M27" s="17"/>
      <c r="N27" s="17"/>
      <c r="O27" s="17"/>
      <c r="P27" s="17"/>
      <c r="Q27" s="17"/>
      <c r="R27" s="17"/>
      <c r="S27" s="17"/>
      <c r="T27" s="17"/>
      <c r="U27" s="17"/>
      <c r="V27" s="17"/>
      <c r="W27" s="17"/>
      <c r="X27" s="17"/>
      <c r="Y27" s="17"/>
      <c r="Z27" s="17"/>
    </row>
    <row r="28" spans="1:26" ht="17.25" customHeight="1" x14ac:dyDescent="0.25">
      <c r="A28" s="23"/>
      <c r="B28" s="26"/>
      <c r="C28" s="26"/>
      <c r="D28" s="26"/>
      <c r="E28" s="17"/>
      <c r="F28" s="17"/>
      <c r="G28" s="17"/>
      <c r="H28" s="17"/>
      <c r="I28" s="17"/>
      <c r="J28" s="17"/>
      <c r="K28" s="17"/>
      <c r="L28" s="17"/>
      <c r="M28" s="17"/>
      <c r="N28" s="17"/>
      <c r="O28" s="17"/>
      <c r="P28" s="17"/>
      <c r="Q28" s="17"/>
      <c r="R28" s="17"/>
      <c r="S28" s="17"/>
      <c r="T28" s="17"/>
      <c r="U28" s="17"/>
      <c r="V28" s="17"/>
      <c r="W28" s="17"/>
      <c r="X28" s="17"/>
      <c r="Y28" s="17"/>
      <c r="Z28" s="17"/>
    </row>
    <row r="29" spans="1:26" ht="17.25" customHeight="1" x14ac:dyDescent="0.25">
      <c r="A29" s="23" t="s">
        <v>100</v>
      </c>
      <c r="B29" s="27">
        <v>1</v>
      </c>
      <c r="C29" s="26"/>
      <c r="D29" s="26"/>
      <c r="E29" s="17"/>
      <c r="F29" s="17"/>
      <c r="G29" s="17"/>
      <c r="H29" s="17"/>
      <c r="I29" s="17"/>
      <c r="J29" s="17"/>
      <c r="K29" s="17"/>
      <c r="L29" s="17"/>
      <c r="M29" s="17"/>
      <c r="N29" s="17"/>
      <c r="O29" s="17"/>
      <c r="P29" s="17"/>
      <c r="Q29" s="17"/>
      <c r="R29" s="17"/>
      <c r="S29" s="17"/>
      <c r="T29" s="17"/>
      <c r="U29" s="17"/>
      <c r="V29" s="17"/>
      <c r="W29" s="17"/>
      <c r="X29" s="17"/>
      <c r="Y29" s="17"/>
      <c r="Z29" s="17"/>
    </row>
    <row r="30" spans="1:26" ht="17.25" customHeight="1" x14ac:dyDescent="0.25">
      <c r="A30" s="23" t="s">
        <v>101</v>
      </c>
      <c r="B30" s="345"/>
      <c r="C30" s="343"/>
      <c r="D30" s="343"/>
      <c r="E30" s="28"/>
      <c r="F30" s="28"/>
      <c r="G30" s="17"/>
      <c r="H30" s="17"/>
      <c r="I30" s="17"/>
      <c r="J30" s="17"/>
      <c r="K30" s="17"/>
      <c r="L30" s="17"/>
      <c r="M30" s="17"/>
      <c r="N30" s="17"/>
      <c r="O30" s="17"/>
      <c r="P30" s="17"/>
      <c r="Q30" s="17"/>
      <c r="R30" s="17"/>
      <c r="S30" s="17"/>
      <c r="T30" s="17"/>
      <c r="U30" s="17"/>
      <c r="V30" s="17"/>
      <c r="W30" s="17"/>
      <c r="X30" s="17"/>
      <c r="Y30" s="17"/>
      <c r="Z30" s="17"/>
    </row>
    <row r="31" spans="1:26" ht="17.25" customHeight="1" x14ac:dyDescent="0.25">
      <c r="A31" s="23" t="s">
        <v>102</v>
      </c>
      <c r="B31" s="343" t="s">
        <v>103</v>
      </c>
      <c r="C31" s="343"/>
      <c r="D31" s="343"/>
      <c r="E31" s="28"/>
      <c r="F31" s="28"/>
      <c r="G31" s="17"/>
      <c r="H31" s="17"/>
      <c r="I31" s="17"/>
      <c r="J31" s="17"/>
      <c r="K31" s="17"/>
      <c r="L31" s="17"/>
      <c r="M31" s="17"/>
      <c r="N31" s="17"/>
      <c r="O31" s="17"/>
      <c r="P31" s="17"/>
      <c r="Q31" s="17"/>
      <c r="R31" s="17"/>
      <c r="S31" s="17"/>
      <c r="T31" s="17"/>
      <c r="U31" s="17"/>
      <c r="V31" s="17"/>
      <c r="W31" s="17"/>
      <c r="X31" s="17"/>
      <c r="Y31" s="17"/>
      <c r="Z31" s="17"/>
    </row>
    <row r="32" spans="1:26" ht="17.25" customHeight="1" x14ac:dyDescent="0.25">
      <c r="A32" s="29"/>
      <c r="B32" s="30" t="s">
        <v>104</v>
      </c>
      <c r="C32" s="29"/>
      <c r="D32" s="29"/>
      <c r="E32" s="17"/>
      <c r="F32" s="17"/>
      <c r="G32" s="17"/>
      <c r="H32" s="17"/>
      <c r="I32" s="17"/>
      <c r="J32" s="17"/>
      <c r="K32" s="17"/>
      <c r="L32" s="17"/>
      <c r="M32" s="17"/>
      <c r="N32" s="17"/>
      <c r="O32" s="17"/>
      <c r="P32" s="17"/>
      <c r="Q32" s="17"/>
      <c r="R32" s="17"/>
      <c r="S32" s="17"/>
      <c r="T32" s="17"/>
      <c r="U32" s="17"/>
      <c r="V32" s="17"/>
      <c r="W32" s="17"/>
      <c r="X32" s="17"/>
      <c r="Y32" s="17"/>
      <c r="Z32" s="17"/>
    </row>
    <row r="33" spans="1:26" x14ac:dyDescent="0.25">
      <c r="A33" s="16"/>
      <c r="B33" s="16"/>
      <c r="C33" s="16"/>
      <c r="D33" s="16"/>
      <c r="E33" s="17"/>
      <c r="F33" s="17"/>
      <c r="G33" s="17"/>
      <c r="H33" s="17"/>
      <c r="I33" s="17"/>
      <c r="J33" s="17"/>
      <c r="K33" s="17"/>
      <c r="L33" s="17"/>
      <c r="M33" s="17"/>
      <c r="N33" s="17"/>
      <c r="O33" s="17"/>
      <c r="P33" s="17"/>
      <c r="Q33" s="17"/>
      <c r="R33" s="17"/>
      <c r="S33" s="17"/>
      <c r="T33" s="17"/>
      <c r="U33" s="17"/>
      <c r="V33" s="17"/>
      <c r="W33" s="17"/>
      <c r="X33" s="17"/>
      <c r="Y33" s="17"/>
      <c r="Z33" s="17"/>
    </row>
    <row r="34" spans="1:26" x14ac:dyDescent="0.25">
      <c r="A34" s="16"/>
      <c r="B34" s="16"/>
      <c r="C34" s="16"/>
      <c r="D34" s="16"/>
      <c r="E34" s="17"/>
      <c r="F34" s="17"/>
      <c r="G34" s="17"/>
      <c r="H34" s="17"/>
      <c r="I34" s="17"/>
      <c r="J34" s="17"/>
      <c r="K34" s="17"/>
      <c r="L34" s="17"/>
      <c r="M34" s="17"/>
      <c r="N34" s="17"/>
      <c r="O34" s="17"/>
      <c r="P34" s="17"/>
      <c r="Q34" s="17"/>
      <c r="R34" s="17"/>
      <c r="S34" s="17"/>
      <c r="T34" s="17"/>
      <c r="U34" s="17"/>
      <c r="V34" s="17"/>
      <c r="W34" s="17"/>
      <c r="X34" s="17"/>
      <c r="Y34" s="17"/>
      <c r="Z34" s="17"/>
    </row>
    <row r="35" spans="1:26" x14ac:dyDescent="0.25">
      <c r="A35" s="16"/>
      <c r="B35" s="16"/>
      <c r="C35" s="16"/>
      <c r="D35" s="16"/>
      <c r="E35" s="17"/>
      <c r="F35" s="17"/>
      <c r="G35" s="17"/>
      <c r="H35" s="17"/>
      <c r="I35" s="17"/>
      <c r="J35" s="17"/>
      <c r="K35" s="17"/>
      <c r="L35" s="17"/>
      <c r="M35" s="17"/>
      <c r="N35" s="17"/>
      <c r="O35" s="17"/>
      <c r="P35" s="17"/>
      <c r="Q35" s="17"/>
      <c r="R35" s="17"/>
      <c r="S35" s="17"/>
      <c r="T35" s="17"/>
      <c r="U35" s="17"/>
      <c r="V35" s="17"/>
      <c r="W35" s="17"/>
      <c r="X35" s="17"/>
      <c r="Y35" s="17"/>
      <c r="Z35" s="17"/>
    </row>
    <row r="36" spans="1:26" x14ac:dyDescent="0.25">
      <c r="A36" s="16"/>
      <c r="B36" s="16"/>
      <c r="C36" s="16"/>
      <c r="D36" s="16"/>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5">
      <c r="A37" s="16"/>
      <c r="B37" s="16"/>
      <c r="C37" s="16"/>
      <c r="D37" s="16"/>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5">
      <c r="A38" s="16"/>
      <c r="B38" s="16"/>
      <c r="C38" s="16"/>
      <c r="D38" s="16"/>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5">
      <c r="A39" s="16"/>
      <c r="B39" s="16"/>
      <c r="C39" s="16"/>
      <c r="D39" s="16"/>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5">
      <c r="A40" s="16"/>
      <c r="B40" s="16"/>
      <c r="C40" s="16"/>
      <c r="D40" s="16"/>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5">
      <c r="A41" s="16"/>
      <c r="B41" s="16"/>
      <c r="C41" s="16"/>
      <c r="D41" s="16"/>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5">
      <c r="A42" s="16"/>
      <c r="B42" s="16"/>
      <c r="C42" s="16"/>
      <c r="D42" s="16"/>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sheetData>
  <mergeCells count="7">
    <mergeCell ref="B31:D31"/>
    <mergeCell ref="A16:D16"/>
    <mergeCell ref="B19:D19"/>
    <mergeCell ref="B20:D20"/>
    <mergeCell ref="B23:D23"/>
    <mergeCell ref="B26:D26"/>
    <mergeCell ref="B30:D30"/>
  </mergeCells>
  <hyperlinks>
    <hyperlink ref="B32" r:id="rId1" xr:uid="{6C29BCCF-90E3-407F-A4B5-78C29728C24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B1213-6C31-48A8-83C3-BAB34D61794D}">
  <sheetPr>
    <tabColor theme="4"/>
  </sheetPr>
  <dimension ref="B1:G11"/>
  <sheetViews>
    <sheetView workbookViewId="0">
      <selection activeCell="B6" sqref="B6"/>
    </sheetView>
  </sheetViews>
  <sheetFormatPr defaultRowHeight="15" x14ac:dyDescent="0.25"/>
  <cols>
    <col min="2" max="2" width="21.5703125" bestFit="1" customWidth="1"/>
    <col min="3" max="3" width="69" bestFit="1" customWidth="1"/>
  </cols>
  <sheetData>
    <row r="1" spans="2:7" ht="18" thickBot="1" x14ac:dyDescent="0.35">
      <c r="B1" s="338" t="s">
        <v>833</v>
      </c>
      <c r="C1" s="338"/>
      <c r="D1" s="338"/>
      <c r="E1" s="338"/>
      <c r="F1" s="339"/>
      <c r="G1" s="339"/>
    </row>
    <row r="2" spans="2:7" ht="15.75" thickTop="1" x14ac:dyDescent="0.25">
      <c r="B2" s="339"/>
      <c r="C2" s="339"/>
      <c r="D2" s="339"/>
      <c r="E2" s="339"/>
      <c r="F2" s="339"/>
      <c r="G2" s="339"/>
    </row>
    <row r="3" spans="2:7" x14ac:dyDescent="0.25">
      <c r="B3" s="340" t="s">
        <v>33</v>
      </c>
      <c r="C3" s="341"/>
      <c r="D3" s="341"/>
      <c r="E3" s="341"/>
      <c r="F3" s="341"/>
      <c r="G3" s="341"/>
    </row>
    <row r="4" spans="2:7" x14ac:dyDescent="0.25">
      <c r="B4" s="342" t="s">
        <v>19</v>
      </c>
      <c r="C4" s="342" t="s">
        <v>18</v>
      </c>
      <c r="D4" s="342" t="s">
        <v>17</v>
      </c>
      <c r="E4" s="342" t="s">
        <v>16</v>
      </c>
      <c r="F4" s="342" t="s">
        <v>15</v>
      </c>
      <c r="G4" s="342" t="s">
        <v>20</v>
      </c>
    </row>
    <row r="5" spans="2:7" x14ac:dyDescent="0.25">
      <c r="B5" t="s">
        <v>834</v>
      </c>
    </row>
    <row r="6" spans="2:7" x14ac:dyDescent="0.25">
      <c r="B6" t="str">
        <f>H2_Production!B6</f>
        <v>USMRGASHGN</v>
      </c>
      <c r="C6" t="str">
        <f>H2_Production!A6</f>
        <v>Production Plant Hydrogen - Large SMR - Inland</v>
      </c>
      <c r="D6" t="s">
        <v>4</v>
      </c>
      <c r="E6" t="s">
        <v>831</v>
      </c>
      <c r="F6" t="s">
        <v>832</v>
      </c>
      <c r="G6" t="s">
        <v>5</v>
      </c>
    </row>
    <row r="7" spans="2:7" x14ac:dyDescent="0.25">
      <c r="B7" t="str">
        <f>H2_Production!B10</f>
        <v>USMRGICHGN</v>
      </c>
      <c r="C7" t="str">
        <f>H2_Production!A10</f>
        <v>Production Plant Hydrogen - Large SMR - Coastal</v>
      </c>
      <c r="D7" t="s">
        <v>4</v>
      </c>
      <c r="E7" t="s">
        <v>831</v>
      </c>
      <c r="F7" t="s">
        <v>832</v>
      </c>
      <c r="G7" t="s">
        <v>5</v>
      </c>
    </row>
    <row r="8" spans="2:7" x14ac:dyDescent="0.25">
      <c r="B8" t="str">
        <f>H2_Production!B14</f>
        <v>UCOGCLEHGN</v>
      </c>
      <c r="C8" t="str">
        <f>H2_Production!A14</f>
        <v>Production Plant Hydrogen - Large Coal Gasification</v>
      </c>
      <c r="D8" t="s">
        <v>4</v>
      </c>
      <c r="E8" t="s">
        <v>831</v>
      </c>
      <c r="F8" t="s">
        <v>832</v>
      </c>
      <c r="G8" t="s">
        <v>5</v>
      </c>
    </row>
    <row r="9" spans="2:7" x14ac:dyDescent="0.25">
      <c r="B9" t="str">
        <f>H2_Production!B18</f>
        <v>UELEP1HGN</v>
      </c>
      <c r="C9" t="str">
        <f>H2_Production!A18</f>
        <v>Production Plant Hydrogen Electrolysis PEM</v>
      </c>
      <c r="D9" t="s">
        <v>4</v>
      </c>
      <c r="E9" t="s">
        <v>835</v>
      </c>
      <c r="F9" t="s">
        <v>36</v>
      </c>
      <c r="G9" t="s">
        <v>5</v>
      </c>
    </row>
    <row r="10" spans="2:7" x14ac:dyDescent="0.25">
      <c r="B10" t="str">
        <f>H2_Production!B21</f>
        <v>UELEA1HGN</v>
      </c>
      <c r="C10" t="str">
        <f>H2_Production!A21</f>
        <v>Production Plant Hydrogen Electrolysis Alkaline</v>
      </c>
      <c r="D10" t="s">
        <v>4</v>
      </c>
      <c r="E10" t="s">
        <v>835</v>
      </c>
      <c r="F10" t="s">
        <v>36</v>
      </c>
      <c r="G10" t="s">
        <v>5</v>
      </c>
    </row>
    <row r="11" spans="2:7" x14ac:dyDescent="0.25">
      <c r="B11" t="s">
        <v>836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A4211-008F-49A8-AEFF-BC627C2CC3AB}">
  <sheetPr>
    <tabColor theme="4"/>
  </sheetPr>
  <dimension ref="A1:AE24"/>
  <sheetViews>
    <sheetView tabSelected="1" topLeftCell="D1" workbookViewId="0">
      <selection activeCell="Y4" sqref="Y4"/>
    </sheetView>
  </sheetViews>
  <sheetFormatPr defaultColWidth="11.42578125" defaultRowHeight="12.75" x14ac:dyDescent="0.2"/>
  <cols>
    <col min="1" max="1" width="47" style="258" customWidth="1"/>
    <col min="2" max="2" width="17.28515625" style="258" customWidth="1"/>
    <col min="3" max="3" width="14.28515625" style="258" customWidth="1"/>
    <col min="4" max="10" width="10" style="258" customWidth="1"/>
    <col min="11" max="11" width="10" style="260" customWidth="1"/>
    <col min="12" max="14" width="10" style="258" customWidth="1"/>
    <col min="15" max="18" width="10" style="259" customWidth="1"/>
    <col min="19" max="19" width="10" style="258" customWidth="1"/>
    <col min="20" max="20" width="7.28515625" style="258" customWidth="1"/>
    <col min="21" max="22" width="9.7109375" style="258" customWidth="1"/>
    <col min="23" max="24" width="7.28515625" style="259" customWidth="1"/>
    <col min="25" max="16384" width="11.42578125" style="258"/>
  </cols>
  <sheetData>
    <row r="1" spans="1:31" ht="20.25" thickBot="1" x14ac:dyDescent="0.35">
      <c r="A1" s="291" t="s">
        <v>785</v>
      </c>
      <c r="B1" s="301" t="s">
        <v>802</v>
      </c>
      <c r="C1" s="291"/>
      <c r="D1" s="291"/>
      <c r="E1" s="291"/>
      <c r="F1" s="293"/>
      <c r="G1" s="289"/>
      <c r="H1" s="289"/>
      <c r="I1" s="289"/>
      <c r="J1" s="289"/>
      <c r="K1" s="292"/>
      <c r="L1" s="291"/>
      <c r="M1" s="258" t="s">
        <v>830</v>
      </c>
      <c r="O1" s="258">
        <v>1.4059999999999999</v>
      </c>
      <c r="P1" s="258"/>
      <c r="Q1" s="258"/>
      <c r="R1" s="258"/>
      <c r="W1" s="258"/>
      <c r="X1" s="258"/>
    </row>
    <row r="2" spans="1:31" ht="13.5" thickTop="1" x14ac:dyDescent="0.2">
      <c r="A2" s="287"/>
      <c r="B2" s="288"/>
      <c r="C2" s="288"/>
      <c r="D2" s="288"/>
      <c r="E2" s="288" t="s">
        <v>34</v>
      </c>
      <c r="F2" s="288"/>
      <c r="G2" s="287"/>
      <c r="H2" s="287"/>
      <c r="I2" s="287"/>
      <c r="J2" s="287"/>
      <c r="K2" s="290"/>
      <c r="L2" s="288"/>
      <c r="M2" s="288"/>
      <c r="N2" s="287"/>
      <c r="O2" s="288"/>
      <c r="P2" s="288"/>
      <c r="Q2" s="288"/>
      <c r="R2" s="288"/>
      <c r="S2" s="288"/>
      <c r="T2" s="288"/>
      <c r="U2" s="288"/>
      <c r="V2" s="288"/>
      <c r="W2" s="288"/>
      <c r="X2" s="288"/>
    </row>
    <row r="3" spans="1:31" ht="42.75" customHeight="1" x14ac:dyDescent="0.2">
      <c r="A3" s="285" t="s">
        <v>18</v>
      </c>
      <c r="B3" s="278" t="s">
        <v>19</v>
      </c>
      <c r="C3" s="278" t="s">
        <v>783</v>
      </c>
      <c r="D3" s="278" t="s">
        <v>31</v>
      </c>
      <c r="E3" s="278" t="s">
        <v>782</v>
      </c>
      <c r="F3" s="278" t="s">
        <v>781</v>
      </c>
      <c r="G3" s="278" t="s">
        <v>827</v>
      </c>
      <c r="H3" s="278" t="s">
        <v>25</v>
      </c>
      <c r="I3" s="278" t="s">
        <v>828</v>
      </c>
      <c r="J3" s="278" t="s">
        <v>45</v>
      </c>
      <c r="K3" s="286" t="s">
        <v>803</v>
      </c>
      <c r="L3" s="285" t="s">
        <v>804</v>
      </c>
      <c r="M3" s="278" t="s">
        <v>264</v>
      </c>
      <c r="N3" s="278" t="s">
        <v>780</v>
      </c>
      <c r="O3" s="284" t="s">
        <v>824</v>
      </c>
      <c r="P3" s="284" t="s">
        <v>825</v>
      </c>
      <c r="Q3" s="284" t="s">
        <v>829</v>
      </c>
      <c r="R3" s="284" t="s">
        <v>826</v>
      </c>
      <c r="S3" s="278" t="s">
        <v>21</v>
      </c>
      <c r="T3" s="278" t="s">
        <v>22</v>
      </c>
      <c r="U3" s="278" t="s">
        <v>47</v>
      </c>
      <c r="V3" s="278" t="s">
        <v>758</v>
      </c>
      <c r="W3" s="284" t="s">
        <v>806</v>
      </c>
      <c r="X3" s="284" t="s">
        <v>837</v>
      </c>
      <c r="Y3" s="258" t="s">
        <v>838</v>
      </c>
    </row>
    <row r="4" spans="1:31" ht="51" x14ac:dyDescent="0.2">
      <c r="A4" s="280" t="s">
        <v>779</v>
      </c>
      <c r="B4" s="280" t="s">
        <v>778</v>
      </c>
      <c r="C4" s="280" t="s">
        <v>777</v>
      </c>
      <c r="D4" s="280" t="s">
        <v>10</v>
      </c>
      <c r="E4" s="280" t="s">
        <v>776</v>
      </c>
      <c r="F4" s="280" t="s">
        <v>42</v>
      </c>
      <c r="G4" s="280" t="s">
        <v>371</v>
      </c>
      <c r="H4" s="280" t="s">
        <v>371</v>
      </c>
      <c r="I4" s="280" t="s">
        <v>371</v>
      </c>
      <c r="J4" s="280" t="s">
        <v>371</v>
      </c>
      <c r="K4" s="283" t="s">
        <v>775</v>
      </c>
      <c r="L4" s="281" t="s">
        <v>774</v>
      </c>
      <c r="M4" s="281" t="s">
        <v>805</v>
      </c>
      <c r="N4" s="281" t="s">
        <v>773</v>
      </c>
      <c r="O4" s="282" t="s">
        <v>772</v>
      </c>
      <c r="P4" s="282" t="s">
        <v>772</v>
      </c>
      <c r="Q4" s="282" t="s">
        <v>772</v>
      </c>
      <c r="R4" s="282" t="s">
        <v>772</v>
      </c>
      <c r="S4" s="280" t="s">
        <v>771</v>
      </c>
      <c r="T4" s="280" t="s">
        <v>770</v>
      </c>
      <c r="U4" s="280"/>
      <c r="V4" s="280"/>
      <c r="W4" s="279" t="s">
        <v>182</v>
      </c>
      <c r="X4" s="279" t="s">
        <v>451</v>
      </c>
    </row>
    <row r="5" spans="1:31" ht="26.25" thickBot="1" x14ac:dyDescent="0.25">
      <c r="A5" s="277" t="s">
        <v>769</v>
      </c>
      <c r="B5" s="276"/>
      <c r="C5" s="276"/>
      <c r="D5" s="276"/>
      <c r="E5" s="276"/>
      <c r="F5" s="275" t="s">
        <v>75</v>
      </c>
      <c r="G5" s="275" t="s">
        <v>768</v>
      </c>
      <c r="H5" s="275" t="s">
        <v>768</v>
      </c>
      <c r="I5" s="275" t="s">
        <v>768</v>
      </c>
      <c r="J5" s="275" t="s">
        <v>768</v>
      </c>
      <c r="K5" s="274" t="s">
        <v>767</v>
      </c>
      <c r="L5" s="272" t="s">
        <v>767</v>
      </c>
      <c r="M5" s="272"/>
      <c r="N5" s="272"/>
      <c r="O5" s="273" t="s">
        <v>766</v>
      </c>
      <c r="P5" s="273" t="s">
        <v>766</v>
      </c>
      <c r="Q5" s="273" t="s">
        <v>766</v>
      </c>
      <c r="R5" s="273" t="s">
        <v>766</v>
      </c>
      <c r="S5" s="272" t="s">
        <v>766</v>
      </c>
      <c r="T5" s="272" t="s">
        <v>765</v>
      </c>
      <c r="U5" s="272" t="s">
        <v>75</v>
      </c>
      <c r="V5" s="272"/>
      <c r="W5" s="271" t="s">
        <v>764</v>
      </c>
      <c r="X5" s="271"/>
    </row>
    <row r="6" spans="1:31" x14ac:dyDescent="0.2">
      <c r="A6" s="263" t="s">
        <v>763</v>
      </c>
      <c r="B6" s="226" t="s">
        <v>796</v>
      </c>
      <c r="C6" s="226"/>
      <c r="D6" s="258" t="s">
        <v>799</v>
      </c>
      <c r="F6" s="266">
        <v>40</v>
      </c>
      <c r="G6" s="261">
        <v>0.8</v>
      </c>
      <c r="H6" s="261">
        <v>0.8</v>
      </c>
      <c r="I6" s="261">
        <v>0.8</v>
      </c>
      <c r="J6" s="261">
        <v>0.8</v>
      </c>
      <c r="K6" s="265">
        <v>0.9</v>
      </c>
      <c r="L6" s="261" t="str">
        <f>""</f>
        <v/>
      </c>
      <c r="M6" s="270"/>
      <c r="N6" s="268">
        <v>2080</v>
      </c>
      <c r="O6" s="262">
        <f>$O$1*'Hydrogen-Other'!R30</f>
        <v>180.92689199999998</v>
      </c>
      <c r="P6" s="262">
        <f>$O$1*'Hydrogen-Other'!S30</f>
        <v>140.72091599999999</v>
      </c>
      <c r="Q6" s="262"/>
      <c r="R6" s="262">
        <f>$O$1*'Hydrogen-Other'!T30</f>
        <v>100.51493999999998</v>
      </c>
      <c r="S6" s="261">
        <f>zar.2010*'Hydrogen-Other'!O71</f>
        <v>5.6165845756230484</v>
      </c>
      <c r="T6" s="261"/>
      <c r="U6" s="266">
        <v>-4</v>
      </c>
      <c r="V6" s="261" t="str">
        <f>""</f>
        <v/>
      </c>
      <c r="W6" s="262">
        <f>'Hydrogen-Other'!F39</f>
        <v>88.593333333333334</v>
      </c>
      <c r="X6" s="262">
        <f>'Hydrogen-Other'!F41</f>
        <v>1.2177777777777774</v>
      </c>
      <c r="Y6" s="264">
        <v>1</v>
      </c>
      <c r="Z6" s="264"/>
      <c r="AA6" s="264"/>
      <c r="AB6" s="264"/>
      <c r="AC6" s="264"/>
      <c r="AD6" s="264"/>
      <c r="AE6" s="264"/>
    </row>
    <row r="7" spans="1:31" x14ac:dyDescent="0.2">
      <c r="A7" s="263"/>
      <c r="C7" s="226"/>
      <c r="D7" s="258" t="s">
        <v>262</v>
      </c>
      <c r="F7" s="261"/>
      <c r="G7" s="261"/>
      <c r="H7" s="261"/>
      <c r="I7" s="261"/>
      <c r="J7" s="261"/>
      <c r="K7" s="265"/>
      <c r="L7" s="261"/>
      <c r="M7" s="270">
        <f>0.0634046419567962/G6</f>
        <v>7.9255802445995241E-2</v>
      </c>
      <c r="N7" s="261"/>
      <c r="O7" s="262"/>
      <c r="P7" s="262"/>
      <c r="Q7" s="262"/>
      <c r="R7" s="262"/>
      <c r="S7" s="261"/>
      <c r="T7" s="261"/>
      <c r="U7" s="261"/>
      <c r="V7" s="261"/>
      <c r="W7" s="262"/>
      <c r="X7" s="262"/>
      <c r="Y7" s="264"/>
      <c r="Z7" s="264"/>
      <c r="AA7" s="264"/>
      <c r="AB7" s="264"/>
      <c r="AC7" s="264"/>
      <c r="AD7" s="264"/>
      <c r="AE7" s="264"/>
    </row>
    <row r="8" spans="1:31" x14ac:dyDescent="0.2">
      <c r="C8" s="226"/>
      <c r="E8" s="258" t="s">
        <v>260</v>
      </c>
      <c r="F8" s="261"/>
      <c r="G8" s="261"/>
      <c r="H8" s="261"/>
      <c r="I8" s="261"/>
      <c r="J8" s="261"/>
      <c r="K8" s="265"/>
      <c r="L8" s="261"/>
      <c r="M8" s="261"/>
      <c r="N8" s="261"/>
      <c r="O8" s="262"/>
      <c r="P8" s="262"/>
      <c r="Q8" s="262"/>
      <c r="R8" s="262"/>
      <c r="S8" s="261"/>
      <c r="T8" s="261"/>
      <c r="U8" s="261"/>
      <c r="V8" s="261"/>
      <c r="W8" s="262"/>
      <c r="X8" s="262"/>
      <c r="Y8" s="264"/>
      <c r="Z8" s="264"/>
      <c r="AA8" s="264"/>
      <c r="AB8" s="264"/>
      <c r="AC8" s="264"/>
      <c r="AD8" s="264"/>
      <c r="AE8" s="264"/>
    </row>
    <row r="9" spans="1:31" x14ac:dyDescent="0.2">
      <c r="A9" s="263" t="s">
        <v>7</v>
      </c>
      <c r="B9" s="226"/>
      <c r="C9" s="226"/>
      <c r="F9" s="261"/>
      <c r="G9" s="261"/>
      <c r="H9" s="261"/>
      <c r="I9" s="261"/>
      <c r="J9" s="261"/>
      <c r="K9" s="265"/>
      <c r="L9" s="261"/>
      <c r="M9" s="261"/>
      <c r="N9" s="261"/>
      <c r="O9" s="262"/>
      <c r="P9" s="262"/>
      <c r="Q9" s="262"/>
      <c r="R9" s="262"/>
      <c r="S9" s="261"/>
      <c r="T9" s="261"/>
      <c r="U9" s="261"/>
      <c r="V9" s="261"/>
      <c r="W9" s="262"/>
      <c r="X9" s="262"/>
      <c r="Y9" s="264"/>
      <c r="Z9" s="264"/>
      <c r="AA9" s="264"/>
      <c r="AB9" s="264"/>
      <c r="AC9" s="264"/>
      <c r="AD9" s="264"/>
      <c r="AE9" s="264"/>
    </row>
    <row r="10" spans="1:31" x14ac:dyDescent="0.2">
      <c r="A10" s="263" t="s">
        <v>762</v>
      </c>
      <c r="B10" s="226" t="s">
        <v>797</v>
      </c>
      <c r="C10" s="226"/>
      <c r="D10" s="258" t="s">
        <v>800</v>
      </c>
      <c r="F10" s="266">
        <v>40</v>
      </c>
      <c r="G10" s="261">
        <v>0.8</v>
      </c>
      <c r="H10" s="261">
        <v>0.8</v>
      </c>
      <c r="I10" s="261">
        <v>0.8</v>
      </c>
      <c r="J10" s="261">
        <v>0.8</v>
      </c>
      <c r="K10" s="265">
        <v>0.9</v>
      </c>
      <c r="L10" s="261" t="str">
        <f>""</f>
        <v/>
      </c>
      <c r="M10" s="261"/>
      <c r="N10" s="268">
        <v>2080</v>
      </c>
      <c r="O10" s="262">
        <f>O6</f>
        <v>180.92689199999998</v>
      </c>
      <c r="P10" s="262">
        <f t="shared" ref="P10:R10" si="0">P6</f>
        <v>140.72091599999999</v>
      </c>
      <c r="Q10" s="262"/>
      <c r="R10" s="262">
        <f t="shared" si="0"/>
        <v>100.51493999999998</v>
      </c>
      <c r="S10" s="269">
        <f>S6</f>
        <v>5.6165845756230484</v>
      </c>
      <c r="T10" s="261"/>
      <c r="U10" s="266">
        <v>-4</v>
      </c>
      <c r="V10" s="261" t="str">
        <f>""</f>
        <v/>
      </c>
      <c r="W10" s="262">
        <f>W6</f>
        <v>88.593333333333334</v>
      </c>
      <c r="X10" s="262">
        <f>X6</f>
        <v>1.2177777777777774</v>
      </c>
      <c r="Y10" s="264">
        <v>1</v>
      </c>
      <c r="Z10" s="264"/>
      <c r="AA10" s="264"/>
      <c r="AB10" s="264"/>
      <c r="AC10" s="264"/>
      <c r="AD10" s="264"/>
      <c r="AE10" s="264"/>
    </row>
    <row r="11" spans="1:31" x14ac:dyDescent="0.2">
      <c r="A11" s="263"/>
      <c r="B11" s="226"/>
      <c r="C11" s="226"/>
      <c r="D11" s="258" t="s">
        <v>262</v>
      </c>
      <c r="F11" s="261"/>
      <c r="G11" s="261"/>
      <c r="H11" s="261"/>
      <c r="I11" s="261"/>
      <c r="J11" s="261"/>
      <c r="K11" s="265"/>
      <c r="L11" s="261"/>
      <c r="M11" s="261">
        <f>M7</f>
        <v>7.9255802445995241E-2</v>
      </c>
      <c r="N11" s="261"/>
      <c r="O11" s="262"/>
      <c r="P11" s="262"/>
      <c r="Q11" s="262"/>
      <c r="R11" s="262"/>
      <c r="S11" s="261"/>
      <c r="T11" s="261"/>
      <c r="U11" s="261"/>
      <c r="V11" s="261"/>
      <c r="W11" s="262"/>
      <c r="X11" s="262"/>
      <c r="Y11" s="264"/>
      <c r="Z11" s="264"/>
      <c r="AA11" s="264"/>
      <c r="AB11" s="264"/>
      <c r="AC11" s="264"/>
      <c r="AD11" s="264"/>
      <c r="AE11" s="264"/>
    </row>
    <row r="12" spans="1:31" x14ac:dyDescent="0.2">
      <c r="B12" s="226"/>
      <c r="C12" s="226"/>
      <c r="E12" s="258" t="s">
        <v>260</v>
      </c>
      <c r="F12" s="261"/>
      <c r="G12" s="261"/>
      <c r="H12" s="261"/>
      <c r="I12" s="261"/>
      <c r="J12" s="261"/>
      <c r="K12" s="265"/>
      <c r="L12" s="261"/>
      <c r="M12" s="261"/>
      <c r="N12" s="261"/>
      <c r="O12" s="262"/>
      <c r="P12" s="262"/>
      <c r="Q12" s="262"/>
      <c r="R12" s="262"/>
      <c r="S12" s="261"/>
      <c r="T12" s="261"/>
      <c r="U12" s="261"/>
      <c r="V12" s="261"/>
      <c r="W12" s="262"/>
      <c r="X12" s="262"/>
      <c r="Y12" s="264"/>
      <c r="Z12" s="264"/>
      <c r="AA12" s="264"/>
      <c r="AB12" s="264"/>
      <c r="AC12" s="264"/>
      <c r="AD12" s="264"/>
      <c r="AE12" s="264"/>
    </row>
    <row r="13" spans="1:31" x14ac:dyDescent="0.2">
      <c r="A13" s="263" t="s">
        <v>7</v>
      </c>
      <c r="B13" s="226"/>
      <c r="C13" s="226"/>
      <c r="F13" s="261"/>
      <c r="G13" s="261"/>
      <c r="H13" s="261"/>
      <c r="I13" s="261"/>
      <c r="J13" s="261"/>
      <c r="K13" s="265"/>
      <c r="L13" s="261"/>
      <c r="M13" s="261"/>
      <c r="N13" s="261"/>
      <c r="O13" s="262"/>
      <c r="P13" s="262"/>
      <c r="Q13" s="262"/>
      <c r="R13" s="262"/>
      <c r="S13" s="261"/>
      <c r="T13" s="261"/>
      <c r="U13" s="261"/>
      <c r="V13" s="261"/>
      <c r="W13" s="262"/>
      <c r="X13" s="262"/>
      <c r="Y13" s="264"/>
      <c r="Z13" s="264"/>
      <c r="AA13" s="264"/>
      <c r="AB13" s="264"/>
      <c r="AC13" s="264"/>
      <c r="AD13" s="264"/>
      <c r="AE13" s="264"/>
    </row>
    <row r="14" spans="1:31" x14ac:dyDescent="0.2">
      <c r="A14" s="263" t="s">
        <v>761</v>
      </c>
      <c r="B14" s="226" t="s">
        <v>798</v>
      </c>
      <c r="C14" s="226"/>
      <c r="D14" s="258" t="s">
        <v>801</v>
      </c>
      <c r="F14" s="266">
        <v>40</v>
      </c>
      <c r="G14" s="261">
        <v>0.56000000000000005</v>
      </c>
      <c r="H14" s="261">
        <v>0.56000000000000005</v>
      </c>
      <c r="I14" s="261">
        <v>0.56000000000000005</v>
      </c>
      <c r="J14" s="261">
        <v>0.56000000000000005</v>
      </c>
      <c r="K14" s="265">
        <v>0.9</v>
      </c>
      <c r="L14" s="261" t="str">
        <f>""</f>
        <v/>
      </c>
      <c r="M14" s="261"/>
      <c r="N14" s="268">
        <v>2080</v>
      </c>
      <c r="O14" s="262">
        <f>$O$1*'Hydrogen-Other'!R28</f>
        <v>623.1926279999999</v>
      </c>
      <c r="P14" s="262">
        <f>$O$1*'Hydrogen-Other'!S28</f>
        <v>542.78067599999986</v>
      </c>
      <c r="Q14" s="262"/>
      <c r="R14" s="262">
        <f>$O$1*'Hydrogen-Other'!T28</f>
        <v>482.47171199999985</v>
      </c>
      <c r="S14" s="261">
        <f>zar.2010*'Hydrogen-Other'!O69</f>
        <v>28.082922878115237</v>
      </c>
      <c r="T14" s="261"/>
      <c r="U14" s="266">
        <v>-4</v>
      </c>
      <c r="V14" s="261" t="str">
        <f>""</f>
        <v/>
      </c>
      <c r="W14" s="262">
        <f>'Hydrogen-Other'!B93</f>
        <v>180.83333333333331</v>
      </c>
      <c r="X14" s="262">
        <v>0</v>
      </c>
      <c r="Y14" s="264">
        <v>1</v>
      </c>
      <c r="Z14" s="264"/>
      <c r="AA14" s="264"/>
      <c r="AB14" s="264"/>
      <c r="AC14" s="264"/>
      <c r="AD14" s="264"/>
      <c r="AE14" s="264"/>
    </row>
    <row r="15" spans="1:31" x14ac:dyDescent="0.2">
      <c r="A15" s="263"/>
      <c r="B15" s="226"/>
      <c r="C15" s="226"/>
      <c r="D15" s="258" t="s">
        <v>262</v>
      </c>
      <c r="F15" s="261"/>
      <c r="G15" s="261"/>
      <c r="H15" s="261"/>
      <c r="I15" s="261"/>
      <c r="J15" s="261"/>
      <c r="K15" s="265"/>
      <c r="L15" s="261"/>
      <c r="M15" s="261">
        <f>M7</f>
        <v>7.9255802445995241E-2</v>
      </c>
      <c r="N15" s="261"/>
      <c r="O15" s="262"/>
      <c r="P15" s="262"/>
      <c r="Q15" s="262"/>
      <c r="R15" s="262"/>
      <c r="S15" s="261"/>
      <c r="T15" s="261"/>
      <c r="U15" s="261"/>
      <c r="V15" s="261"/>
      <c r="W15" s="262"/>
      <c r="X15" s="262"/>
      <c r="Y15" s="264"/>
      <c r="Z15" s="264"/>
      <c r="AA15" s="264"/>
      <c r="AB15" s="264"/>
      <c r="AC15" s="264"/>
      <c r="AD15" s="264"/>
      <c r="AE15" s="264"/>
    </row>
    <row r="16" spans="1:31" x14ac:dyDescent="0.2">
      <c r="B16" s="226"/>
      <c r="C16" s="226"/>
      <c r="E16" s="258" t="s">
        <v>260</v>
      </c>
      <c r="F16" s="261"/>
      <c r="G16" s="261"/>
      <c r="H16" s="261"/>
      <c r="I16" s="261"/>
      <c r="J16" s="261"/>
      <c r="K16" s="265"/>
      <c r="L16" s="261"/>
      <c r="M16" s="261"/>
      <c r="N16" s="261"/>
      <c r="O16" s="262"/>
      <c r="P16" s="262"/>
      <c r="Q16" s="262"/>
      <c r="R16" s="262"/>
      <c r="S16" s="261"/>
      <c r="T16" s="261"/>
      <c r="U16" s="261"/>
      <c r="V16" s="261"/>
      <c r="W16" s="262"/>
      <c r="X16" s="262"/>
      <c r="Y16" s="264"/>
      <c r="Z16" s="264"/>
      <c r="AA16" s="264"/>
      <c r="AB16" s="264"/>
      <c r="AC16" s="264"/>
      <c r="AD16" s="264"/>
      <c r="AE16" s="264"/>
    </row>
    <row r="17" spans="1:31" x14ac:dyDescent="0.2">
      <c r="A17" s="263" t="s">
        <v>7</v>
      </c>
      <c r="B17" s="226"/>
      <c r="C17" s="226"/>
      <c r="F17" s="261"/>
      <c r="G17" s="261"/>
      <c r="H17" s="261"/>
      <c r="I17" s="261"/>
      <c r="J17" s="261"/>
      <c r="K17" s="265"/>
      <c r="L17" s="261"/>
      <c r="M17" s="261"/>
      <c r="N17" s="261"/>
      <c r="O17" s="262"/>
      <c r="P17" s="262"/>
      <c r="Q17" s="262"/>
      <c r="R17" s="262"/>
      <c r="S17" s="261"/>
      <c r="T17" s="261"/>
      <c r="U17" s="261"/>
      <c r="V17" s="261"/>
      <c r="W17" s="262"/>
      <c r="X17" s="262"/>
      <c r="Y17" s="264"/>
      <c r="Z17" s="264"/>
      <c r="AA17" s="264"/>
      <c r="AB17" s="264"/>
      <c r="AC17" s="264"/>
      <c r="AD17" s="264"/>
      <c r="AE17" s="264"/>
    </row>
    <row r="18" spans="1:31" x14ac:dyDescent="0.2">
      <c r="A18" s="267" t="s">
        <v>592</v>
      </c>
      <c r="B18" s="226" t="s">
        <v>583</v>
      </c>
      <c r="C18" s="226"/>
      <c r="D18" s="258" t="s">
        <v>262</v>
      </c>
      <c r="F18" s="266">
        <f>'Hydrogen-ELT'!F10</f>
        <v>7.6103500761035017</v>
      </c>
      <c r="G18" s="261">
        <f>'Hydrogen-ELT'!F14</f>
        <v>0.57999999999999996</v>
      </c>
      <c r="H18" s="261">
        <f>'Hydrogen-ELT'!G14</f>
        <v>0.65500000000000003</v>
      </c>
      <c r="I18" s="261">
        <f>'Hydrogen-ELT'!H14</f>
        <v>0.70499999999999996</v>
      </c>
      <c r="J18" s="261">
        <f>'Hydrogen-ELT'!J14</f>
        <v>0.79500000000000171</v>
      </c>
      <c r="K18" s="265">
        <f>'Hydrogen-ELT'!F12</f>
        <v>0.9</v>
      </c>
      <c r="L18" s="261" t="str">
        <f>""</f>
        <v/>
      </c>
      <c r="M18" s="261"/>
      <c r="N18" s="266">
        <v>2028</v>
      </c>
      <c r="O18" s="262">
        <f>$O$1*'Hydrogen-ELT'!F6</f>
        <v>27616.675630252099</v>
      </c>
      <c r="P18" s="262">
        <f>$O$1*'Hydrogen-ELT'!G6</f>
        <v>19045.983193277309</v>
      </c>
      <c r="Q18" s="262">
        <f>$O$1*'Hydrogen-ELT'!H6</f>
        <v>10475.29075630252</v>
      </c>
      <c r="R18" s="262">
        <f>$O$1*'Hydrogen-ELT'!I6</f>
        <v>8817.0915202444612</v>
      </c>
      <c r="S18" s="261">
        <f>$O$1*'Hydrogen-ELT'!F8</f>
        <v>414.25013445378147</v>
      </c>
      <c r="T18" s="261"/>
      <c r="U18" s="266">
        <f>'Hydrogen-ELT'!F16</f>
        <v>-2</v>
      </c>
      <c r="V18" s="261" t="str">
        <f>""</f>
        <v/>
      </c>
      <c r="W18" s="262">
        <v>0</v>
      </c>
      <c r="X18" s="262">
        <v>0</v>
      </c>
      <c r="Y18" s="264">
        <v>31.536000000000001</v>
      </c>
      <c r="Z18" s="264"/>
      <c r="AA18" s="264"/>
      <c r="AB18" s="264"/>
      <c r="AC18" s="264"/>
      <c r="AD18" s="264"/>
      <c r="AE18" s="264"/>
    </row>
    <row r="19" spans="1:31" x14ac:dyDescent="0.2">
      <c r="B19" s="226"/>
      <c r="C19" s="226"/>
      <c r="E19" s="258" t="s">
        <v>260</v>
      </c>
      <c r="L19" s="261"/>
      <c r="M19" s="261"/>
      <c r="N19" s="261"/>
      <c r="T19" s="261"/>
      <c r="V19" s="261"/>
      <c r="W19" s="262"/>
      <c r="X19" s="262"/>
      <c r="Y19" s="264"/>
      <c r="Z19" s="264"/>
      <c r="AA19" s="264"/>
      <c r="AB19" s="264"/>
      <c r="AC19" s="264"/>
      <c r="AD19" s="264"/>
      <c r="AE19" s="264"/>
    </row>
    <row r="20" spans="1:31" x14ac:dyDescent="0.2">
      <c r="A20" s="263" t="s">
        <v>7</v>
      </c>
      <c r="B20" s="226"/>
      <c r="C20" s="226"/>
      <c r="F20" s="261"/>
      <c r="G20" s="261"/>
      <c r="H20" s="261"/>
      <c r="I20" s="261"/>
      <c r="J20" s="261"/>
      <c r="K20" s="265"/>
      <c r="L20" s="261"/>
      <c r="M20" s="261"/>
      <c r="N20" s="261"/>
      <c r="O20" s="262"/>
      <c r="P20" s="262"/>
      <c r="Q20" s="262"/>
      <c r="R20" s="262"/>
      <c r="S20" s="261"/>
      <c r="T20" s="261"/>
      <c r="U20" s="261"/>
      <c r="V20" s="261"/>
      <c r="W20" s="262"/>
      <c r="X20" s="262"/>
      <c r="Y20" s="264"/>
      <c r="Z20" s="264"/>
      <c r="AA20" s="264"/>
      <c r="AB20" s="264"/>
      <c r="AC20" s="264"/>
      <c r="AD20" s="264"/>
      <c r="AE20" s="264"/>
    </row>
    <row r="21" spans="1:31" x14ac:dyDescent="0.2">
      <c r="A21" s="267" t="s">
        <v>590</v>
      </c>
      <c r="B21" s="226" t="s">
        <v>582</v>
      </c>
      <c r="C21" s="226"/>
      <c r="D21" s="258" t="s">
        <v>262</v>
      </c>
      <c r="F21" s="266">
        <f>'Hydrogen-ELT'!F11</f>
        <v>9.512937595129376</v>
      </c>
      <c r="G21" s="261">
        <f>'Hydrogen-ELT'!F15</f>
        <v>0.66500000000000004</v>
      </c>
      <c r="H21" s="261">
        <f>'Hydrogen-ELT'!G15</f>
        <v>0.68</v>
      </c>
      <c r="I21" s="261">
        <f>'Hydrogen-ELT'!H15</f>
        <v>0.75</v>
      </c>
      <c r="J21" s="261">
        <f>'Hydrogen-ELT'!I15</f>
        <v>0.81579999999999941</v>
      </c>
      <c r="K21" s="265">
        <f>'Hydrogen-ELT'!F13</f>
        <v>0.9</v>
      </c>
      <c r="L21" s="261" t="str">
        <f>""</f>
        <v/>
      </c>
      <c r="M21" s="261"/>
      <c r="N21" s="266">
        <v>2028</v>
      </c>
      <c r="O21" s="262">
        <f>$O$1*'Hydrogen-ELT'!F7</f>
        <v>18093.684033613445</v>
      </c>
      <c r="P21" s="262">
        <f>$O$1*'Hydrogen-ELT'!G7</f>
        <v>13332.188235294116</v>
      </c>
      <c r="Q21" s="262">
        <f>$O$1*'Hydrogen-ELT'!H7</f>
        <v>8570.6924369747903</v>
      </c>
      <c r="R21" s="262">
        <f>$O$1*'Hydrogen-ELT'!H7</f>
        <v>8570.6924369747903</v>
      </c>
      <c r="S21" s="261">
        <f>$O$1*'Hydrogen-ELT'!F9</f>
        <v>271.40526050420164</v>
      </c>
      <c r="T21" s="261"/>
      <c r="U21" s="266">
        <f>'Hydrogen-ELT'!F17</f>
        <v>-2</v>
      </c>
      <c r="V21" s="261" t="str">
        <f>""</f>
        <v/>
      </c>
      <c r="W21" s="262">
        <v>0</v>
      </c>
      <c r="X21" s="262">
        <v>0</v>
      </c>
      <c r="Y21" s="264">
        <f>Y18</f>
        <v>31.536000000000001</v>
      </c>
      <c r="Z21" s="264"/>
      <c r="AA21" s="264"/>
      <c r="AB21" s="264"/>
      <c r="AC21" s="264"/>
      <c r="AD21" s="264"/>
      <c r="AE21" s="264"/>
    </row>
    <row r="22" spans="1:31" x14ac:dyDescent="0.2">
      <c r="B22" s="226"/>
      <c r="C22" s="226"/>
      <c r="E22" s="258" t="s">
        <v>260</v>
      </c>
      <c r="F22" s="261"/>
      <c r="G22" s="261"/>
      <c r="H22" s="261"/>
      <c r="I22" s="261"/>
      <c r="J22" s="261"/>
      <c r="K22" s="265"/>
      <c r="L22" s="261"/>
      <c r="M22" s="261"/>
      <c r="N22" s="261"/>
      <c r="O22" s="262"/>
      <c r="P22" s="262"/>
      <c r="Q22" s="262"/>
      <c r="R22" s="262"/>
      <c r="S22" s="261"/>
      <c r="T22" s="261"/>
      <c r="V22" s="261"/>
      <c r="W22" s="262"/>
      <c r="X22" s="262"/>
      <c r="Y22" s="264"/>
      <c r="Z22" s="264"/>
      <c r="AA22" s="264"/>
      <c r="AB22" s="264"/>
      <c r="AC22" s="264"/>
      <c r="AD22" s="264"/>
      <c r="AE22" s="264"/>
    </row>
    <row r="23" spans="1:31" x14ac:dyDescent="0.2">
      <c r="B23" s="226"/>
      <c r="C23" s="226"/>
      <c r="F23" s="261"/>
      <c r="G23" s="261"/>
      <c r="H23" s="261"/>
      <c r="I23" s="261"/>
      <c r="J23" s="261"/>
      <c r="K23" s="265"/>
      <c r="L23" s="261"/>
      <c r="M23" s="261"/>
      <c r="N23" s="261"/>
      <c r="O23" s="262"/>
      <c r="P23" s="262"/>
      <c r="Q23" s="262"/>
      <c r="R23" s="262"/>
      <c r="S23" s="261"/>
      <c r="T23" s="261"/>
      <c r="U23" s="261"/>
      <c r="V23" s="261"/>
      <c r="W23" s="262"/>
      <c r="X23" s="262"/>
      <c r="Y23" s="264"/>
      <c r="Z23" s="264"/>
      <c r="AA23" s="264"/>
      <c r="AB23" s="264"/>
      <c r="AC23" s="264"/>
      <c r="AD23" s="264"/>
      <c r="AE23" s="264"/>
    </row>
    <row r="24" spans="1:31" x14ac:dyDescent="0.2">
      <c r="A24" s="263" t="s">
        <v>7</v>
      </c>
      <c r="B24" s="226"/>
      <c r="C24" s="226"/>
      <c r="F24" s="261"/>
      <c r="G24" s="261"/>
      <c r="H24" s="261"/>
      <c r="I24" s="261"/>
      <c r="J24" s="261"/>
      <c r="K24" s="265"/>
      <c r="L24" s="261"/>
      <c r="M24" s="261"/>
      <c r="N24" s="261"/>
      <c r="O24" s="262"/>
      <c r="P24" s="262"/>
      <c r="Q24" s="262"/>
      <c r="R24" s="262"/>
      <c r="S24" s="261"/>
      <c r="T24" s="261"/>
      <c r="U24" s="261"/>
      <c r="V24" s="261"/>
      <c r="W24" s="262"/>
      <c r="X24" s="262"/>
      <c r="Y24" s="264"/>
      <c r="Z24" s="264"/>
      <c r="AA24" s="264"/>
      <c r="AB24" s="264"/>
      <c r="AC24" s="264"/>
      <c r="AD24" s="264"/>
      <c r="AE24" s="264"/>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7AAA-C1D0-400B-A651-3FAAF8F86FAB}">
  <sheetPr codeName="Sheet4">
    <tabColor theme="7" tint="-0.499984740745262"/>
  </sheetPr>
  <dimension ref="A1:X10"/>
  <sheetViews>
    <sheetView zoomScaleNormal="100" workbookViewId="0">
      <selection activeCell="E3" sqref="E3"/>
    </sheetView>
  </sheetViews>
  <sheetFormatPr defaultColWidth="8.85546875" defaultRowHeight="15" x14ac:dyDescent="0.25"/>
  <cols>
    <col min="1" max="1" width="23.7109375" style="1" customWidth="1"/>
    <col min="2" max="2" width="29.28515625" style="1" customWidth="1"/>
    <col min="3" max="5" width="12.85546875" style="1" customWidth="1"/>
    <col min="6" max="8" width="8.85546875" style="1"/>
    <col min="9" max="15" width="16.7109375" style="1" customWidth="1"/>
    <col min="16" max="16" width="8.85546875" style="1"/>
    <col min="17" max="17" width="11.7109375" style="1" customWidth="1"/>
    <col min="18" max="18" width="11.7109375" style="1" bestFit="1" customWidth="1"/>
    <col min="19" max="19" width="21" style="1" bestFit="1" customWidth="1"/>
    <col min="20" max="16384" width="8.85546875" style="1"/>
  </cols>
  <sheetData>
    <row r="1" spans="1:24" ht="23.25" x14ac:dyDescent="0.25">
      <c r="A1" s="8" t="s">
        <v>66</v>
      </c>
      <c r="B1" s="7"/>
    </row>
    <row r="2" spans="1:24" x14ac:dyDescent="0.25">
      <c r="A2" s="4" t="s">
        <v>35</v>
      </c>
    </row>
    <row r="3" spans="1:24" x14ac:dyDescent="0.25">
      <c r="E3" s="6"/>
      <c r="Q3" s="6" t="s">
        <v>33</v>
      </c>
      <c r="R3" s="5"/>
      <c r="S3" s="5"/>
      <c r="T3" s="5"/>
      <c r="U3" s="5"/>
      <c r="V3" s="5"/>
      <c r="W3" s="5"/>
    </row>
    <row r="4" spans="1:24" x14ac:dyDescent="0.25">
      <c r="A4" s="13" t="s">
        <v>19</v>
      </c>
      <c r="B4" s="13" t="s">
        <v>32</v>
      </c>
      <c r="C4" s="13" t="s">
        <v>31</v>
      </c>
      <c r="D4" s="13" t="s">
        <v>30</v>
      </c>
      <c r="E4" s="13" t="s">
        <v>65</v>
      </c>
      <c r="F4" s="13" t="s">
        <v>28</v>
      </c>
      <c r="G4" s="13" t="s">
        <v>27</v>
      </c>
      <c r="H4" s="13" t="s">
        <v>29</v>
      </c>
      <c r="I4" s="13" t="s">
        <v>26</v>
      </c>
      <c r="J4" s="13" t="s">
        <v>64</v>
      </c>
      <c r="K4" s="13" t="s">
        <v>63</v>
      </c>
      <c r="L4" s="13" t="s">
        <v>24</v>
      </c>
      <c r="M4" s="13" t="s">
        <v>23</v>
      </c>
      <c r="N4" s="13" t="s">
        <v>44</v>
      </c>
      <c r="O4" s="13" t="s">
        <v>43</v>
      </c>
      <c r="Q4" s="3" t="s">
        <v>20</v>
      </c>
      <c r="R4" s="3" t="s">
        <v>19</v>
      </c>
      <c r="S4" s="3" t="s">
        <v>18</v>
      </c>
      <c r="T4" s="3" t="s">
        <v>17</v>
      </c>
      <c r="U4" s="3" t="s">
        <v>16</v>
      </c>
      <c r="V4" s="3" t="s">
        <v>15</v>
      </c>
      <c r="W4" s="3" t="s">
        <v>14</v>
      </c>
      <c r="X4" s="3" t="s">
        <v>13</v>
      </c>
    </row>
    <row r="5" spans="1:24" ht="77.25" thickBot="1" x14ac:dyDescent="0.3">
      <c r="A5" s="12" t="s">
        <v>12</v>
      </c>
      <c r="B5" s="12" t="s">
        <v>11</v>
      </c>
      <c r="C5" s="12" t="s">
        <v>10</v>
      </c>
      <c r="D5" s="12" t="s">
        <v>9</v>
      </c>
      <c r="E5" s="12" t="s">
        <v>62</v>
      </c>
      <c r="F5" s="12"/>
      <c r="G5" s="12" t="s">
        <v>61</v>
      </c>
      <c r="H5" s="12" t="s">
        <v>41</v>
      </c>
      <c r="I5" s="12" t="s">
        <v>40</v>
      </c>
      <c r="J5" s="12" t="s">
        <v>60</v>
      </c>
      <c r="K5" s="12" t="s">
        <v>59</v>
      </c>
      <c r="L5" s="12" t="s">
        <v>58</v>
      </c>
      <c r="M5" s="12" t="s">
        <v>57</v>
      </c>
      <c r="N5" s="12" t="s">
        <v>56</v>
      </c>
      <c r="O5" s="12" t="s">
        <v>55</v>
      </c>
      <c r="Q5" s="11" t="s">
        <v>7</v>
      </c>
      <c r="R5" s="11"/>
      <c r="S5" s="11"/>
      <c r="T5" s="11"/>
      <c r="U5" s="11"/>
      <c r="V5" s="11"/>
      <c r="W5" s="11"/>
      <c r="X5" s="11"/>
    </row>
    <row r="6" spans="1:24" x14ac:dyDescent="0.25">
      <c r="A6" s="10" t="s">
        <v>39</v>
      </c>
      <c r="B6" s="10"/>
      <c r="C6" s="10"/>
      <c r="D6" s="10"/>
      <c r="E6" s="10"/>
      <c r="F6" s="10" t="s">
        <v>8</v>
      </c>
      <c r="G6" s="10" t="s">
        <v>8</v>
      </c>
      <c r="H6" s="10"/>
      <c r="I6" s="10" t="s">
        <v>38</v>
      </c>
      <c r="J6" s="10"/>
      <c r="K6" s="10"/>
      <c r="L6" s="10" t="s">
        <v>54</v>
      </c>
      <c r="M6" s="10" t="s">
        <v>54</v>
      </c>
      <c r="N6" s="10" t="s">
        <v>54</v>
      </c>
      <c r="O6" s="10" t="s">
        <v>54</v>
      </c>
      <c r="Q6" s="10" t="s">
        <v>7</v>
      </c>
      <c r="R6" s="10"/>
      <c r="S6" s="10"/>
      <c r="T6" s="10"/>
      <c r="U6" s="10"/>
      <c r="V6" s="10"/>
      <c r="W6" s="10"/>
      <c r="X6" s="10"/>
    </row>
    <row r="7" spans="1:24" x14ac:dyDescent="0.25">
      <c r="A7" s="9" t="s">
        <v>53</v>
      </c>
      <c r="B7" s="9"/>
      <c r="C7" s="9"/>
      <c r="D7" s="9"/>
      <c r="E7" s="9"/>
      <c r="F7" s="9"/>
      <c r="G7" s="9"/>
      <c r="H7" s="9"/>
      <c r="I7" s="9"/>
      <c r="J7" s="9"/>
      <c r="K7" s="9"/>
      <c r="L7" s="9"/>
      <c r="M7" s="9"/>
      <c r="N7" s="9"/>
      <c r="O7" s="9"/>
      <c r="Q7" s="9" t="str">
        <f>A7</f>
        <v>* Hydrogen liquefaction to HDL</v>
      </c>
      <c r="R7" s="9"/>
      <c r="S7" s="9"/>
      <c r="T7" s="9"/>
      <c r="U7" s="9"/>
      <c r="V7" s="9"/>
      <c r="W7" s="9"/>
      <c r="X7" s="9"/>
    </row>
    <row r="8" spans="1:24" x14ac:dyDescent="0.25">
      <c r="A8" s="1" t="s">
        <v>52</v>
      </c>
      <c r="B8" s="1" t="s">
        <v>51</v>
      </c>
      <c r="C8" s="1" t="s">
        <v>37</v>
      </c>
      <c r="F8" s="1">
        <v>2019</v>
      </c>
      <c r="G8" s="1">
        <v>20</v>
      </c>
      <c r="H8" s="1">
        <v>1</v>
      </c>
      <c r="I8" s="1">
        <v>0.96</v>
      </c>
      <c r="J8" s="1">
        <v>1</v>
      </c>
      <c r="K8" s="1">
        <v>1</v>
      </c>
      <c r="L8" s="14">
        <v>18.309289932000002</v>
      </c>
      <c r="M8" s="14">
        <v>7.3237159728000005</v>
      </c>
      <c r="N8" s="14">
        <v>1.2816502952400002</v>
      </c>
      <c r="O8" s="14">
        <v>0.51266011809600009</v>
      </c>
      <c r="Q8" s="1" t="s">
        <v>5</v>
      </c>
      <c r="R8" s="1" t="str">
        <f>A8</f>
        <v>SH2GH2L_01</v>
      </c>
      <c r="S8" s="1" t="str">
        <f>B8</f>
        <v>Hydrogen liquefaction</v>
      </c>
      <c r="T8" s="1" t="s">
        <v>4</v>
      </c>
      <c r="U8" s="1" t="s">
        <v>3</v>
      </c>
      <c r="V8" s="1" t="s">
        <v>2</v>
      </c>
      <c r="X8" s="1" t="s">
        <v>1</v>
      </c>
    </row>
    <row r="9" spans="1:24" x14ac:dyDescent="0.25">
      <c r="B9" s="1" t="s">
        <v>49</v>
      </c>
      <c r="D9" s="1" t="s">
        <v>50</v>
      </c>
    </row>
    <row r="10" spans="1:24" x14ac:dyDescent="0.25">
      <c r="B10" s="1" t="s">
        <v>49</v>
      </c>
      <c r="E10" s="1" t="s">
        <v>48</v>
      </c>
      <c r="J10" s="14">
        <v>0.2195</v>
      </c>
      <c r="K10" s="14">
        <v>0.17647058823529393</v>
      </c>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91EF1-6591-42F7-B3BA-ADC13DCE9BA5}">
  <sheetPr codeName="Sheet5">
    <tabColor theme="9" tint="0.79998168889431442"/>
  </sheetPr>
  <dimension ref="A1:Z10"/>
  <sheetViews>
    <sheetView workbookViewId="0">
      <selection activeCell="D3" sqref="D3"/>
    </sheetView>
  </sheetViews>
  <sheetFormatPr defaultColWidth="8.85546875" defaultRowHeight="15" x14ac:dyDescent="0.25"/>
  <cols>
    <col min="1" max="1" width="15" style="1" customWidth="1"/>
    <col min="2" max="2" width="57.42578125" style="1" bestFit="1" customWidth="1"/>
    <col min="3" max="4" width="12.42578125" style="1" customWidth="1"/>
    <col min="5" max="17" width="14.28515625" style="1" customWidth="1"/>
    <col min="18" max="19" width="8.85546875" style="1"/>
    <col min="20" max="20" width="11.7109375" style="1" bestFit="1" customWidth="1"/>
    <col min="21" max="21" width="56.42578125" style="1" bestFit="1" customWidth="1"/>
    <col min="22" max="16384" width="8.85546875" style="1"/>
  </cols>
  <sheetData>
    <row r="1" spans="1:26" ht="23.25" x14ac:dyDescent="0.25">
      <c r="A1" s="8" t="s">
        <v>82</v>
      </c>
      <c r="B1" s="7"/>
    </row>
    <row r="2" spans="1:26" x14ac:dyDescent="0.25">
      <c r="A2" s="4" t="s">
        <v>35</v>
      </c>
    </row>
    <row r="3" spans="1:26" x14ac:dyDescent="0.25">
      <c r="D3" s="6"/>
      <c r="S3" s="6" t="s">
        <v>33</v>
      </c>
      <c r="T3" s="5"/>
      <c r="U3" s="5"/>
      <c r="V3" s="5"/>
      <c r="W3" s="5"/>
      <c r="X3" s="5"/>
      <c r="Y3" s="5"/>
    </row>
    <row r="4" spans="1:26" ht="25.5" x14ac:dyDescent="0.25">
      <c r="A4" s="13" t="s">
        <v>19</v>
      </c>
      <c r="B4" s="13" t="s">
        <v>32</v>
      </c>
      <c r="C4" s="13" t="s">
        <v>31</v>
      </c>
      <c r="D4" s="13" t="s">
        <v>30</v>
      </c>
      <c r="E4" s="13" t="s">
        <v>28</v>
      </c>
      <c r="F4" s="13" t="s">
        <v>27</v>
      </c>
      <c r="G4" s="13" t="s">
        <v>29</v>
      </c>
      <c r="H4" s="13" t="s">
        <v>26</v>
      </c>
      <c r="I4" s="13" t="s">
        <v>64</v>
      </c>
      <c r="J4" s="13" t="s">
        <v>63</v>
      </c>
      <c r="K4" s="13" t="s">
        <v>24</v>
      </c>
      <c r="L4" s="13" t="s">
        <v>23</v>
      </c>
      <c r="M4" s="13" t="s">
        <v>44</v>
      </c>
      <c r="N4" s="13" t="s">
        <v>43</v>
      </c>
      <c r="O4" s="13" t="s">
        <v>81</v>
      </c>
      <c r="P4" s="13" t="s">
        <v>80</v>
      </c>
      <c r="Q4" s="13" t="s">
        <v>79</v>
      </c>
      <c r="S4" s="3" t="s">
        <v>20</v>
      </c>
      <c r="T4" s="3" t="s">
        <v>19</v>
      </c>
      <c r="U4" s="3" t="s">
        <v>18</v>
      </c>
      <c r="V4" s="3" t="s">
        <v>17</v>
      </c>
      <c r="W4" s="3" t="s">
        <v>16</v>
      </c>
      <c r="X4" s="3" t="s">
        <v>15</v>
      </c>
      <c r="Y4" s="3" t="s">
        <v>14</v>
      </c>
      <c r="Z4" s="3" t="s">
        <v>13</v>
      </c>
    </row>
    <row r="5" spans="1:26" ht="102.75" thickBot="1" x14ac:dyDescent="0.3">
      <c r="A5" s="12" t="s">
        <v>12</v>
      </c>
      <c r="B5" s="12" t="s">
        <v>11</v>
      </c>
      <c r="C5" s="12" t="s">
        <v>10</v>
      </c>
      <c r="D5" s="12" t="s">
        <v>9</v>
      </c>
      <c r="E5" s="12" t="s">
        <v>61</v>
      </c>
      <c r="F5" s="12" t="s">
        <v>61</v>
      </c>
      <c r="G5" s="12" t="s">
        <v>41</v>
      </c>
      <c r="H5" s="12" t="s">
        <v>40</v>
      </c>
      <c r="I5" s="12" t="s">
        <v>60</v>
      </c>
      <c r="J5" s="12" t="s">
        <v>59</v>
      </c>
      <c r="K5" s="12" t="s">
        <v>58</v>
      </c>
      <c r="L5" s="12" t="s">
        <v>57</v>
      </c>
      <c r="M5" s="12" t="s">
        <v>56</v>
      </c>
      <c r="N5" s="12" t="s">
        <v>55</v>
      </c>
      <c r="O5" s="12" t="s">
        <v>78</v>
      </c>
      <c r="P5" s="12" t="s">
        <v>77</v>
      </c>
      <c r="Q5" s="12" t="s">
        <v>76</v>
      </c>
      <c r="S5" s="11" t="s">
        <v>7</v>
      </c>
      <c r="T5" s="11"/>
      <c r="U5" s="11"/>
      <c r="V5" s="11"/>
      <c r="W5" s="11"/>
      <c r="X5" s="11"/>
      <c r="Y5" s="11"/>
      <c r="Z5" s="11"/>
    </row>
    <row r="6" spans="1:26" x14ac:dyDescent="0.25">
      <c r="A6" s="10" t="s">
        <v>39</v>
      </c>
      <c r="B6" s="10"/>
      <c r="C6" s="10"/>
      <c r="D6" s="10"/>
      <c r="E6" s="10" t="s">
        <v>8</v>
      </c>
      <c r="F6" s="10" t="s">
        <v>8</v>
      </c>
      <c r="G6" s="10"/>
      <c r="H6" s="10"/>
      <c r="I6" s="10"/>
      <c r="J6" s="10"/>
      <c r="K6" s="10" t="s">
        <v>54</v>
      </c>
      <c r="L6" s="10" t="s">
        <v>54</v>
      </c>
      <c r="M6" s="10" t="s">
        <v>54</v>
      </c>
      <c r="N6" s="10" t="s">
        <v>54</v>
      </c>
      <c r="O6" s="10" t="s">
        <v>54</v>
      </c>
      <c r="P6" s="10" t="s">
        <v>54</v>
      </c>
      <c r="Q6" s="10" t="s">
        <v>75</v>
      </c>
      <c r="S6" s="10" t="s">
        <v>7</v>
      </c>
      <c r="T6" s="10"/>
      <c r="U6" s="10"/>
      <c r="V6" s="10"/>
      <c r="W6" s="10"/>
      <c r="X6" s="10"/>
      <c r="Y6" s="10"/>
      <c r="Z6" s="10"/>
    </row>
    <row r="7" spans="1:26" x14ac:dyDescent="0.25">
      <c r="A7" s="9" t="s">
        <v>74</v>
      </c>
      <c r="B7" s="9"/>
      <c r="C7" s="9"/>
      <c r="D7" s="9"/>
      <c r="E7" s="9"/>
      <c r="F7" s="9"/>
      <c r="G7" s="9"/>
      <c r="H7" s="9"/>
      <c r="I7" s="9"/>
      <c r="J7" s="9"/>
      <c r="K7" s="9"/>
      <c r="L7" s="9"/>
      <c r="M7" s="9"/>
      <c r="N7" s="9"/>
      <c r="O7" s="9"/>
      <c r="P7" s="9"/>
      <c r="Q7" s="9"/>
      <c r="S7" s="9" t="str">
        <f>A7</f>
        <v>* Pipeline and road tanker distribution</v>
      </c>
      <c r="T7" s="9"/>
      <c r="U7" s="9"/>
      <c r="V7" s="9"/>
      <c r="W7" s="9"/>
      <c r="X7" s="9"/>
      <c r="Y7" s="9"/>
      <c r="Z7" s="9"/>
    </row>
    <row r="8" spans="1:26" x14ac:dyDescent="0.25">
      <c r="A8" s="1" t="s">
        <v>73</v>
      </c>
      <c r="B8" s="1" t="s">
        <v>72</v>
      </c>
      <c r="C8" s="1" t="s">
        <v>37</v>
      </c>
      <c r="D8" s="1" t="s">
        <v>6</v>
      </c>
      <c r="E8" s="1">
        <v>2019</v>
      </c>
      <c r="F8" s="1">
        <v>80</v>
      </c>
      <c r="G8" s="1">
        <v>1</v>
      </c>
      <c r="H8" s="1">
        <v>1</v>
      </c>
      <c r="I8" s="1">
        <v>1</v>
      </c>
      <c r="J8" s="1">
        <v>1</v>
      </c>
      <c r="K8" s="2">
        <v>7.6759636785390413</v>
      </c>
      <c r="L8" s="2">
        <v>7.6759636785390413</v>
      </c>
      <c r="M8" s="2">
        <v>0.15351927357078055</v>
      </c>
      <c r="N8" s="2">
        <v>0.15351927357078055</v>
      </c>
      <c r="O8" s="2"/>
      <c r="P8" s="2"/>
      <c r="Q8" s="1">
        <v>30</v>
      </c>
      <c r="S8" s="1" t="s">
        <v>5</v>
      </c>
      <c r="T8" s="1" t="str">
        <f t="shared" ref="T8:U10" si="0">A8</f>
        <v>SH2GDEL_01</v>
      </c>
      <c r="U8" s="1" t="str">
        <f t="shared" si="0"/>
        <v>Hydrogen Delivery - PIPELINE DISTRIBUTION HIGH-PRESSURE</v>
      </c>
      <c r="V8" s="1" t="s">
        <v>4</v>
      </c>
      <c r="W8" s="1" t="s">
        <v>3</v>
      </c>
      <c r="X8" s="1" t="s">
        <v>2</v>
      </c>
    </row>
    <row r="9" spans="1:26" x14ac:dyDescent="0.25">
      <c r="A9" s="1" t="s">
        <v>71</v>
      </c>
      <c r="B9" s="1" t="s">
        <v>70</v>
      </c>
      <c r="C9" s="1" t="s">
        <v>50</v>
      </c>
      <c r="D9" s="1" t="s">
        <v>69</v>
      </c>
      <c r="E9" s="1">
        <v>2019</v>
      </c>
      <c r="F9" s="1">
        <v>15</v>
      </c>
      <c r="G9" s="1">
        <v>1</v>
      </c>
      <c r="H9" s="1">
        <v>1</v>
      </c>
      <c r="I9" s="1">
        <v>1</v>
      </c>
      <c r="J9" s="1">
        <v>1</v>
      </c>
      <c r="K9" s="2">
        <v>4.9113986500408195</v>
      </c>
      <c r="L9" s="2">
        <v>4.9113986500408195</v>
      </c>
      <c r="M9" s="2">
        <v>1.2278496625102049</v>
      </c>
      <c r="N9" s="2">
        <v>1.2278496625102049</v>
      </c>
      <c r="O9" s="2">
        <v>0.55714989777013546</v>
      </c>
      <c r="P9" s="2">
        <v>0.55714989777013546</v>
      </c>
      <c r="T9" s="1" t="str">
        <f t="shared" si="0"/>
        <v>SH2LDEL_01</v>
      </c>
      <c r="U9" s="1" t="str">
        <f t="shared" si="0"/>
        <v>Hydrogen Delivery - ROAD-TANKER DISTRIBUTION</v>
      </c>
      <c r="V9" s="1" t="s">
        <v>4</v>
      </c>
      <c r="W9" s="1" t="s">
        <v>3</v>
      </c>
      <c r="X9" s="1" t="s">
        <v>2</v>
      </c>
    </row>
    <row r="10" spans="1:26" x14ac:dyDescent="0.25">
      <c r="A10" s="1" t="s">
        <v>68</v>
      </c>
      <c r="B10" s="1" t="s">
        <v>67</v>
      </c>
      <c r="C10" s="1" t="s">
        <v>37</v>
      </c>
      <c r="D10" s="1" t="s">
        <v>6</v>
      </c>
      <c r="E10" s="1">
        <v>2019</v>
      </c>
      <c r="F10" s="1">
        <v>80</v>
      </c>
      <c r="G10" s="1">
        <v>1</v>
      </c>
      <c r="H10" s="1">
        <v>1</v>
      </c>
      <c r="I10" s="1">
        <v>1</v>
      </c>
      <c r="J10" s="1">
        <v>1</v>
      </c>
      <c r="K10" s="2">
        <v>2.506548</v>
      </c>
      <c r="L10" s="2">
        <v>2.506548</v>
      </c>
      <c r="M10" s="2">
        <v>5.0131000000000002E-2</v>
      </c>
      <c r="N10" s="2">
        <v>5.0131000000000002E-2</v>
      </c>
      <c r="O10" s="2"/>
      <c r="P10" s="2"/>
      <c r="Q10" s="1">
        <v>30</v>
      </c>
      <c r="T10" s="1" t="str">
        <f t="shared" si="0"/>
        <v>SH2GDEL_02</v>
      </c>
      <c r="U10" s="1" t="str">
        <f t="shared" si="0"/>
        <v>Hydrogen Delivery - PIPELINE TRANSMISSION HIGH-PRESSURE</v>
      </c>
      <c r="V10" s="1" t="s">
        <v>4</v>
      </c>
      <c r="W10" s="1" t="s">
        <v>3</v>
      </c>
      <c r="X10" s="1" t="s">
        <v>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4A435-2318-4AEA-94BB-CD27E5AC7573}">
  <sheetPr codeName="Sheet6">
    <tabColor theme="5" tint="0.59999389629810485"/>
  </sheetPr>
  <dimension ref="A1:V8"/>
  <sheetViews>
    <sheetView workbookViewId="0">
      <selection activeCell="M3" sqref="M3"/>
    </sheetView>
  </sheetViews>
  <sheetFormatPr defaultColWidth="8.85546875" defaultRowHeight="15" x14ac:dyDescent="0.25"/>
  <cols>
    <col min="1" max="1" width="17.7109375" style="1" customWidth="1"/>
    <col min="2" max="2" width="24.42578125" style="1" bestFit="1" customWidth="1"/>
    <col min="3" max="4" width="10.42578125" style="1" customWidth="1"/>
    <col min="5" max="8" width="8.85546875" style="1"/>
    <col min="9" max="9" width="14.42578125" style="1" bestFit="1" customWidth="1"/>
    <col min="10" max="10" width="15.28515625" style="1" bestFit="1" customWidth="1"/>
    <col min="11" max="11" width="10.7109375" style="1" customWidth="1"/>
    <col min="12" max="12" width="6.42578125" customWidth="1"/>
    <col min="13" max="13" width="11.42578125" style="1" bestFit="1" customWidth="1"/>
    <col min="14" max="14" width="11.85546875" style="1" bestFit="1" customWidth="1"/>
    <col min="15" max="15" width="23.28515625" style="1" bestFit="1" customWidth="1"/>
    <col min="16" max="21" width="8.85546875" style="1"/>
    <col min="22" max="22" width="2.7109375" customWidth="1"/>
    <col min="23" max="16384" width="8.85546875" style="1"/>
  </cols>
  <sheetData>
    <row r="1" spans="1:20" ht="23.25" x14ac:dyDescent="0.25">
      <c r="A1" s="8" t="s">
        <v>95</v>
      </c>
      <c r="B1" s="7"/>
    </row>
    <row r="2" spans="1:20" x14ac:dyDescent="0.25">
      <c r="A2" s="4" t="s">
        <v>35</v>
      </c>
    </row>
    <row r="3" spans="1:20" x14ac:dyDescent="0.25">
      <c r="D3" s="6"/>
      <c r="M3" s="6"/>
      <c r="N3" s="5"/>
      <c r="O3" s="5"/>
      <c r="P3" s="5"/>
      <c r="Q3" s="5"/>
      <c r="R3" s="5"/>
      <c r="S3" s="5"/>
    </row>
    <row r="4" spans="1:20" x14ac:dyDescent="0.25">
      <c r="A4" s="13" t="s">
        <v>19</v>
      </c>
      <c r="B4" s="13" t="s">
        <v>32</v>
      </c>
      <c r="C4" s="13" t="s">
        <v>31</v>
      </c>
      <c r="D4" s="13" t="s">
        <v>30</v>
      </c>
      <c r="E4" s="13" t="s">
        <v>28</v>
      </c>
      <c r="F4" s="13" t="s">
        <v>27</v>
      </c>
      <c r="G4" s="13" t="s">
        <v>29</v>
      </c>
      <c r="H4" s="13" t="s">
        <v>94</v>
      </c>
      <c r="I4" s="13" t="s">
        <v>24</v>
      </c>
      <c r="J4" s="13" t="s">
        <v>44</v>
      </c>
      <c r="K4" s="13" t="s">
        <v>26</v>
      </c>
      <c r="M4" s="15" t="s">
        <v>20</v>
      </c>
      <c r="N4" s="15" t="s">
        <v>19</v>
      </c>
      <c r="O4" s="15" t="s">
        <v>18</v>
      </c>
      <c r="P4" s="15" t="s">
        <v>17</v>
      </c>
      <c r="Q4" s="15" t="s">
        <v>16</v>
      </c>
      <c r="R4" s="15" t="s">
        <v>15</v>
      </c>
      <c r="S4" s="15" t="s">
        <v>14</v>
      </c>
      <c r="T4" s="15" t="s">
        <v>13</v>
      </c>
    </row>
    <row r="5" spans="1:20" ht="47.25" customHeight="1" thickBot="1" x14ac:dyDescent="0.3">
      <c r="A5" s="12" t="s">
        <v>12</v>
      </c>
      <c r="B5" s="12" t="s">
        <v>11</v>
      </c>
      <c r="C5" s="12" t="s">
        <v>10</v>
      </c>
      <c r="D5" s="12" t="s">
        <v>9</v>
      </c>
      <c r="E5" s="12"/>
      <c r="F5" s="12" t="s">
        <v>61</v>
      </c>
      <c r="G5" s="12" t="s">
        <v>41</v>
      </c>
      <c r="H5" s="12" t="s">
        <v>93</v>
      </c>
      <c r="I5" s="12" t="s">
        <v>92</v>
      </c>
      <c r="J5" s="12" t="s">
        <v>91</v>
      </c>
      <c r="K5" s="12" t="s">
        <v>90</v>
      </c>
      <c r="M5" s="11" t="s">
        <v>7</v>
      </c>
      <c r="N5" s="11"/>
      <c r="O5" s="11"/>
      <c r="P5" s="11"/>
      <c r="Q5" s="11"/>
      <c r="R5" s="11"/>
      <c r="S5" s="11"/>
      <c r="T5" s="11"/>
    </row>
    <row r="6" spans="1:20" ht="24.75" customHeight="1" x14ac:dyDescent="0.25">
      <c r="A6" s="10" t="s">
        <v>39</v>
      </c>
      <c r="B6" s="10"/>
      <c r="C6" s="10"/>
      <c r="D6" s="10"/>
      <c r="E6" s="10"/>
      <c r="F6" s="10" t="s">
        <v>8</v>
      </c>
      <c r="G6" s="10"/>
      <c r="H6" s="10"/>
      <c r="I6" s="10" t="s">
        <v>54</v>
      </c>
      <c r="J6" s="10" t="s">
        <v>54</v>
      </c>
      <c r="K6" s="10" t="s">
        <v>89</v>
      </c>
      <c r="M6" s="10" t="s">
        <v>7</v>
      </c>
      <c r="N6" s="10"/>
      <c r="O6" s="10"/>
      <c r="P6" s="10"/>
      <c r="Q6" s="10"/>
      <c r="R6" s="10"/>
      <c r="S6" s="10"/>
      <c r="T6" s="10"/>
    </row>
    <row r="7" spans="1:20" x14ac:dyDescent="0.25">
      <c r="A7" s="1" t="s">
        <v>88</v>
      </c>
      <c r="B7" s="1" t="s">
        <v>87</v>
      </c>
      <c r="C7" s="1" t="s">
        <v>37</v>
      </c>
      <c r="D7" s="1" t="s">
        <v>37</v>
      </c>
      <c r="E7" s="1">
        <v>2019</v>
      </c>
      <c r="F7" s="1">
        <v>40</v>
      </c>
      <c r="G7" s="1">
        <v>1</v>
      </c>
      <c r="H7" s="1">
        <v>1</v>
      </c>
      <c r="I7" s="14">
        <v>3.53</v>
      </c>
      <c r="J7" s="14">
        <v>0.32078581007977441</v>
      </c>
      <c r="K7" s="1">
        <v>1</v>
      </c>
      <c r="M7" s="1" t="s">
        <v>84</v>
      </c>
      <c r="N7" s="1" t="str">
        <f>A7</f>
        <v>SH2GSTG_01</v>
      </c>
      <c r="O7" s="1" t="str">
        <f>B7</f>
        <v>Hydrogen Storage - LARGE</v>
      </c>
      <c r="P7" s="1" t="s">
        <v>4</v>
      </c>
      <c r="Q7" s="1" t="s">
        <v>3</v>
      </c>
      <c r="R7" s="1" t="s">
        <v>2</v>
      </c>
      <c r="T7" s="1" t="s">
        <v>83</v>
      </c>
    </row>
    <row r="8" spans="1:20" x14ac:dyDescent="0.25">
      <c r="A8" s="1" t="s">
        <v>86</v>
      </c>
      <c r="B8" s="1" t="s">
        <v>85</v>
      </c>
      <c r="C8" s="1" t="s">
        <v>6</v>
      </c>
      <c r="D8" s="1" t="s">
        <v>6</v>
      </c>
      <c r="E8" s="1">
        <v>2019</v>
      </c>
      <c r="F8" s="1">
        <v>40</v>
      </c>
      <c r="G8" s="1">
        <v>1</v>
      </c>
      <c r="H8" s="1">
        <v>1</v>
      </c>
      <c r="I8" s="14">
        <v>23.67</v>
      </c>
      <c r="J8" s="14">
        <v>0.93888529779446184</v>
      </c>
      <c r="K8" s="1">
        <v>1</v>
      </c>
      <c r="M8" s="1" t="s">
        <v>84</v>
      </c>
      <c r="N8" s="1" t="str">
        <f>A8</f>
        <v>SH2GSTG_02</v>
      </c>
      <c r="O8" s="1" t="str">
        <f>B8</f>
        <v>Hydrogen Storage - SMALL</v>
      </c>
      <c r="P8" s="1" t="s">
        <v>4</v>
      </c>
      <c r="Q8" s="1" t="s">
        <v>3</v>
      </c>
      <c r="R8" s="1" t="s">
        <v>2</v>
      </c>
      <c r="T8" s="1" t="s">
        <v>83</v>
      </c>
    </row>
  </sheetData>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26288-3760-4CDD-958E-AC4E8675D4B4}">
  <sheetPr>
    <tabColor theme="6" tint="0.79998168889431442"/>
  </sheetPr>
  <dimension ref="A1:V174"/>
  <sheetViews>
    <sheetView workbookViewId="0">
      <selection activeCell="C32" sqref="C32"/>
    </sheetView>
  </sheetViews>
  <sheetFormatPr defaultRowHeight="15" x14ac:dyDescent="0.25"/>
  <cols>
    <col min="1" max="2" width="20.28515625" customWidth="1"/>
    <col min="3" max="3" width="16.140625" customWidth="1"/>
    <col min="4" max="4" width="12.28515625" customWidth="1"/>
    <col min="5" max="5" width="10.140625" customWidth="1"/>
    <col min="7" max="11" width="12.28515625" bestFit="1" customWidth="1"/>
  </cols>
  <sheetData>
    <row r="1" spans="1:18" s="108" customFormat="1" ht="21" x14ac:dyDescent="0.35">
      <c r="A1" s="108" t="s">
        <v>271</v>
      </c>
    </row>
    <row r="2" spans="1:18" x14ac:dyDescent="0.25">
      <c r="A2" t="s">
        <v>152</v>
      </c>
      <c r="B2" t="s">
        <v>270</v>
      </c>
    </row>
    <row r="3" spans="1:18" x14ac:dyDescent="0.25">
      <c r="A3" t="s">
        <v>269</v>
      </c>
      <c r="C3" t="s">
        <v>268</v>
      </c>
      <c r="G3">
        <v>2020</v>
      </c>
      <c r="H3">
        <v>2030</v>
      </c>
      <c r="I3">
        <v>2035</v>
      </c>
      <c r="J3">
        <v>2040</v>
      </c>
      <c r="K3">
        <v>2050</v>
      </c>
      <c r="L3">
        <v>2060</v>
      </c>
      <c r="M3">
        <v>2070</v>
      </c>
      <c r="O3">
        <v>2030</v>
      </c>
      <c r="P3">
        <v>2035</v>
      </c>
      <c r="Q3">
        <v>2040</v>
      </c>
      <c r="R3">
        <v>2050</v>
      </c>
    </row>
    <row r="4" spans="1:18" x14ac:dyDescent="0.25">
      <c r="A4" t="s">
        <v>238</v>
      </c>
      <c r="B4" t="s">
        <v>267</v>
      </c>
      <c r="C4" t="s">
        <v>266</v>
      </c>
      <c r="G4">
        <v>2030</v>
      </c>
    </row>
    <row r="5" spans="1:18" x14ac:dyDescent="0.25">
      <c r="A5" t="s">
        <v>238</v>
      </c>
      <c r="B5" t="s">
        <v>265</v>
      </c>
      <c r="C5" t="s">
        <v>264</v>
      </c>
      <c r="D5" t="s">
        <v>263</v>
      </c>
      <c r="G5" s="81">
        <f>D36</f>
        <v>107.3755695536401</v>
      </c>
      <c r="H5" s="81">
        <f t="shared" ref="H5:M5" si="0">G5</f>
        <v>107.3755695536401</v>
      </c>
      <c r="I5" s="81">
        <f t="shared" si="0"/>
        <v>107.3755695536401</v>
      </c>
      <c r="J5" s="81">
        <f t="shared" si="0"/>
        <v>107.3755695536401</v>
      </c>
      <c r="K5" s="81">
        <f t="shared" si="0"/>
        <v>107.3755695536401</v>
      </c>
      <c r="L5" s="81">
        <f t="shared" si="0"/>
        <v>107.3755695536401</v>
      </c>
      <c r="M5" s="81">
        <f t="shared" si="0"/>
        <v>107.3755695536401</v>
      </c>
    </row>
    <row r="6" spans="1:18" x14ac:dyDescent="0.25">
      <c r="A6" t="s">
        <v>261</v>
      </c>
      <c r="B6" t="s">
        <v>254</v>
      </c>
      <c r="C6" t="s">
        <v>252</v>
      </c>
      <c r="D6" t="s">
        <v>262</v>
      </c>
    </row>
    <row r="7" spans="1:18" x14ac:dyDescent="0.25">
      <c r="A7" t="s">
        <v>261</v>
      </c>
      <c r="B7" t="s">
        <v>253</v>
      </c>
      <c r="C7" t="s">
        <v>252</v>
      </c>
      <c r="D7" t="s">
        <v>260</v>
      </c>
    </row>
    <row r="8" spans="1:18" x14ac:dyDescent="0.25">
      <c r="A8" t="s">
        <v>258</v>
      </c>
      <c r="B8" t="s">
        <v>251</v>
      </c>
      <c r="C8" t="s">
        <v>248</v>
      </c>
      <c r="D8" t="s">
        <v>259</v>
      </c>
    </row>
    <row r="9" spans="1:18" x14ac:dyDescent="0.25">
      <c r="A9" t="s">
        <v>258</v>
      </c>
      <c r="B9" t="s">
        <v>250</v>
      </c>
      <c r="C9" t="s">
        <v>248</v>
      </c>
      <c r="D9" s="107" t="s">
        <v>257</v>
      </c>
    </row>
    <row r="10" spans="1:18" x14ac:dyDescent="0.25">
      <c r="A10" t="s">
        <v>238</v>
      </c>
      <c r="B10" t="s">
        <v>256</v>
      </c>
      <c r="C10" t="s">
        <v>255</v>
      </c>
      <c r="D10" t="s">
        <v>236</v>
      </c>
      <c r="G10" s="83">
        <f>H25</f>
        <v>0.31638916581378673</v>
      </c>
      <c r="H10" s="83">
        <f t="shared" ref="H10:M12" si="1">G10</f>
        <v>0.31638916581378673</v>
      </c>
      <c r="I10" s="83">
        <f t="shared" si="1"/>
        <v>0.31638916581378673</v>
      </c>
      <c r="J10" s="83">
        <f t="shared" si="1"/>
        <v>0.31638916581378673</v>
      </c>
      <c r="K10" s="83">
        <f t="shared" si="1"/>
        <v>0.31638916581378673</v>
      </c>
      <c r="L10" s="83">
        <f t="shared" si="1"/>
        <v>0.31638916581378673</v>
      </c>
      <c r="M10" s="83">
        <f t="shared" si="1"/>
        <v>0.31638916581378673</v>
      </c>
    </row>
    <row r="11" spans="1:18" x14ac:dyDescent="0.25">
      <c r="A11" t="s">
        <v>238</v>
      </c>
      <c r="B11" t="s">
        <v>254</v>
      </c>
      <c r="C11" t="s">
        <v>249</v>
      </c>
      <c r="D11" t="str">
        <f>D6</f>
        <v>UPSELC</v>
      </c>
      <c r="E11" t="s">
        <v>252</v>
      </c>
      <c r="G11" s="83">
        <f>D31</f>
        <v>7.7782839184601632E-2</v>
      </c>
      <c r="H11" s="83">
        <f t="shared" si="1"/>
        <v>7.7782839184601632E-2</v>
      </c>
      <c r="I11" s="83">
        <f t="shared" si="1"/>
        <v>7.7782839184601632E-2</v>
      </c>
      <c r="J11" s="83">
        <f t="shared" si="1"/>
        <v>7.7782839184601632E-2</v>
      </c>
      <c r="K11" s="83">
        <f t="shared" si="1"/>
        <v>7.7782839184601632E-2</v>
      </c>
      <c r="L11" s="83">
        <f t="shared" si="1"/>
        <v>7.7782839184601632E-2</v>
      </c>
      <c r="M11" s="83">
        <f t="shared" si="1"/>
        <v>7.7782839184601632E-2</v>
      </c>
    </row>
    <row r="12" spans="1:18" x14ac:dyDescent="0.25">
      <c r="A12" t="s">
        <v>238</v>
      </c>
      <c r="B12" t="s">
        <v>253</v>
      </c>
      <c r="C12" t="s">
        <v>249</v>
      </c>
      <c r="D12" t="str">
        <f>D7</f>
        <v>HGN</v>
      </c>
      <c r="E12" t="s">
        <v>252</v>
      </c>
      <c r="G12" s="83">
        <f>D32</f>
        <v>0.92221716081539828</v>
      </c>
      <c r="H12" s="83">
        <f t="shared" si="1"/>
        <v>0.92221716081539828</v>
      </c>
      <c r="I12" s="83">
        <f t="shared" si="1"/>
        <v>0.92221716081539828</v>
      </c>
      <c r="J12" s="83">
        <f t="shared" si="1"/>
        <v>0.92221716081539828</v>
      </c>
      <c r="K12" s="83">
        <f t="shared" si="1"/>
        <v>0.92221716081539828</v>
      </c>
      <c r="L12" s="83">
        <f t="shared" si="1"/>
        <v>0.92221716081539828</v>
      </c>
      <c r="M12" s="83">
        <f t="shared" si="1"/>
        <v>0.92221716081539828</v>
      </c>
    </row>
    <row r="13" spans="1:18" x14ac:dyDescent="0.25">
      <c r="A13" t="s">
        <v>238</v>
      </c>
      <c r="B13" t="s">
        <v>251</v>
      </c>
      <c r="C13" t="s">
        <v>249</v>
      </c>
      <c r="D13" t="str">
        <f>D8</f>
        <v>OAG</v>
      </c>
      <c r="E13" t="s">
        <v>248</v>
      </c>
      <c r="G13" s="83">
        <f>I31</f>
        <v>0.5118329249859862</v>
      </c>
      <c r="H13" s="106">
        <v>0.05</v>
      </c>
      <c r="I13" s="83">
        <f t="shared" ref="I13:M14" si="2">H13</f>
        <v>0.05</v>
      </c>
      <c r="J13" s="83">
        <f t="shared" si="2"/>
        <v>0.05</v>
      </c>
      <c r="K13" s="83">
        <f t="shared" si="2"/>
        <v>0.05</v>
      </c>
      <c r="L13" s="83">
        <f t="shared" si="2"/>
        <v>0.05</v>
      </c>
      <c r="M13" s="83">
        <f t="shared" si="2"/>
        <v>0.05</v>
      </c>
    </row>
    <row r="14" spans="1:18" x14ac:dyDescent="0.25">
      <c r="A14" t="s">
        <v>238</v>
      </c>
      <c r="B14" t="s">
        <v>250</v>
      </c>
      <c r="C14" t="s">
        <v>249</v>
      </c>
      <c r="D14" t="str">
        <f>D9</f>
        <v>OKG</v>
      </c>
      <c r="E14" t="s">
        <v>248</v>
      </c>
      <c r="G14" s="83">
        <f>I32</f>
        <v>0.48816707501401374</v>
      </c>
      <c r="H14" s="106">
        <v>0</v>
      </c>
      <c r="I14" s="83">
        <f t="shared" si="2"/>
        <v>0</v>
      </c>
      <c r="J14" s="83">
        <f t="shared" si="2"/>
        <v>0</v>
      </c>
      <c r="K14" s="83">
        <f t="shared" si="2"/>
        <v>0</v>
      </c>
      <c r="L14" s="83">
        <f t="shared" si="2"/>
        <v>0</v>
      </c>
      <c r="M14" s="83">
        <f t="shared" si="2"/>
        <v>0</v>
      </c>
    </row>
    <row r="15" spans="1:18" x14ac:dyDescent="0.25">
      <c r="A15" t="s">
        <v>238</v>
      </c>
      <c r="B15" t="s">
        <v>247</v>
      </c>
      <c r="C15" t="s">
        <v>24</v>
      </c>
      <c r="D15" t="s">
        <v>236</v>
      </c>
      <c r="G15" s="64">
        <f>D123</f>
        <v>477.77194211017741</v>
      </c>
      <c r="H15" s="64">
        <f>E123</f>
        <v>409.54154566812338</v>
      </c>
      <c r="I15" s="105">
        <f>AVERAGE(H15,J15)</f>
        <v>370.42417059229018</v>
      </c>
      <c r="J15" s="59">
        <f>F123</f>
        <v>331.30679551645699</v>
      </c>
      <c r="K15" s="59">
        <f>J15 * (1-$D$115)^(K$3-J$3)</f>
        <v>284.83453783282306</v>
      </c>
      <c r="L15" s="59">
        <f>K15</f>
        <v>284.83453783282306</v>
      </c>
      <c r="M15" s="59">
        <f>L15</f>
        <v>284.83453783282306</v>
      </c>
      <c r="O15" s="104">
        <f>H15/G15</f>
        <v>0.85719044919067344</v>
      </c>
      <c r="P15">
        <f>I15/G15</f>
        <v>0.77531587341909647</v>
      </c>
      <c r="Q15">
        <f>J15/G15</f>
        <v>0.69344129764751949</v>
      </c>
      <c r="R15">
        <f>K15/G15</f>
        <v>0.59617259350725604</v>
      </c>
    </row>
    <row r="16" spans="1:18" x14ac:dyDescent="0.25">
      <c r="A16" t="s">
        <v>238</v>
      </c>
      <c r="B16" t="s">
        <v>246</v>
      </c>
      <c r="C16" t="s">
        <v>44</v>
      </c>
      <c r="D16" t="s">
        <v>236</v>
      </c>
      <c r="E16" s="103">
        <v>0.04</v>
      </c>
      <c r="G16" s="59">
        <f>$E$16*G15</f>
        <v>19.110877684407097</v>
      </c>
      <c r="H16" s="59">
        <f>$E$16*H15</f>
        <v>16.381661826724937</v>
      </c>
      <c r="I16" s="59">
        <f>$E$16*I15</f>
        <v>14.816966823691608</v>
      </c>
      <c r="J16" s="59">
        <f>$E$16*J15</f>
        <v>13.252271820658279</v>
      </c>
      <c r="K16" s="59">
        <f>$E$16*K15</f>
        <v>11.393381513312923</v>
      </c>
      <c r="L16" s="59">
        <f>K16</f>
        <v>11.393381513312923</v>
      </c>
      <c r="M16" s="59">
        <f>L16</f>
        <v>11.393381513312923</v>
      </c>
    </row>
    <row r="17" spans="1:13" ht="14.25" customHeight="1" x14ac:dyDescent="0.25">
      <c r="A17" t="s">
        <v>238</v>
      </c>
      <c r="B17" t="s">
        <v>245</v>
      </c>
      <c r="C17" t="s">
        <v>81</v>
      </c>
      <c r="D17" t="s">
        <v>236</v>
      </c>
      <c r="E17" s="102"/>
      <c r="G17" s="101"/>
      <c r="H17" s="59"/>
      <c r="I17" s="59"/>
      <c r="J17" s="59"/>
      <c r="K17" s="59"/>
    </row>
    <row r="18" spans="1:13" x14ac:dyDescent="0.25">
      <c r="A18" t="s">
        <v>238</v>
      </c>
      <c r="B18" t="s">
        <v>244</v>
      </c>
      <c r="C18" t="s">
        <v>46</v>
      </c>
      <c r="D18" t="s">
        <v>243</v>
      </c>
      <c r="G18" s="81">
        <f>C44/8760</f>
        <v>0.91324200913242004</v>
      </c>
      <c r="H18" s="81">
        <f t="shared" ref="H18:M21" si="3">G18</f>
        <v>0.91324200913242004</v>
      </c>
      <c r="I18" s="81">
        <f t="shared" si="3"/>
        <v>0.91324200913242004</v>
      </c>
      <c r="J18" s="81">
        <f t="shared" si="3"/>
        <v>0.91324200913242004</v>
      </c>
      <c r="K18" s="81">
        <f t="shared" si="3"/>
        <v>0.91324200913242004</v>
      </c>
      <c r="L18" s="81">
        <f t="shared" si="3"/>
        <v>0.91324200913242004</v>
      </c>
      <c r="M18" s="81">
        <f t="shared" si="3"/>
        <v>0.91324200913242004</v>
      </c>
    </row>
    <row r="19" spans="1:13" x14ac:dyDescent="0.25">
      <c r="A19" t="s">
        <v>238</v>
      </c>
      <c r="B19" t="s">
        <v>242</v>
      </c>
      <c r="C19" t="s">
        <v>46</v>
      </c>
      <c r="D19" t="s">
        <v>241</v>
      </c>
      <c r="G19" s="81">
        <v>0.5</v>
      </c>
      <c r="H19" s="81">
        <f t="shared" si="3"/>
        <v>0.5</v>
      </c>
      <c r="I19" s="81">
        <f t="shared" si="3"/>
        <v>0.5</v>
      </c>
      <c r="J19" s="81">
        <f t="shared" si="3"/>
        <v>0.5</v>
      </c>
      <c r="K19" s="81">
        <f t="shared" si="3"/>
        <v>0.5</v>
      </c>
      <c r="L19" s="81">
        <f t="shared" si="3"/>
        <v>0.5</v>
      </c>
      <c r="M19" s="81">
        <f t="shared" si="3"/>
        <v>0.5</v>
      </c>
    </row>
    <row r="20" spans="1:13" x14ac:dyDescent="0.25">
      <c r="A20" t="s">
        <v>238</v>
      </c>
      <c r="B20" t="s">
        <v>240</v>
      </c>
      <c r="C20" t="s">
        <v>239</v>
      </c>
      <c r="D20" t="s">
        <v>236</v>
      </c>
      <c r="G20">
        <v>25</v>
      </c>
      <c r="H20" s="81">
        <f t="shared" si="3"/>
        <v>25</v>
      </c>
      <c r="I20" s="81">
        <f t="shared" si="3"/>
        <v>25</v>
      </c>
      <c r="J20" s="81">
        <f t="shared" si="3"/>
        <v>25</v>
      </c>
      <c r="K20" s="81">
        <f t="shared" si="3"/>
        <v>25</v>
      </c>
      <c r="L20" s="81">
        <f t="shared" si="3"/>
        <v>25</v>
      </c>
      <c r="M20" s="81">
        <f t="shared" si="3"/>
        <v>25</v>
      </c>
    </row>
    <row r="21" spans="1:13" x14ac:dyDescent="0.25">
      <c r="A21" t="s">
        <v>238</v>
      </c>
      <c r="B21" t="s">
        <v>237</v>
      </c>
      <c r="C21" t="s">
        <v>47</v>
      </c>
      <c r="D21" t="s">
        <v>236</v>
      </c>
      <c r="G21">
        <v>-6</v>
      </c>
      <c r="H21" s="81">
        <f t="shared" si="3"/>
        <v>-6</v>
      </c>
      <c r="I21" s="81">
        <f t="shared" si="3"/>
        <v>-6</v>
      </c>
      <c r="J21" s="81">
        <f t="shared" si="3"/>
        <v>-6</v>
      </c>
      <c r="K21" s="81">
        <f t="shared" si="3"/>
        <v>-6</v>
      </c>
      <c r="L21" s="81">
        <f t="shared" si="3"/>
        <v>-6</v>
      </c>
      <c r="M21" s="81">
        <f t="shared" si="3"/>
        <v>-6</v>
      </c>
    </row>
    <row r="22" spans="1:13" x14ac:dyDescent="0.25">
      <c r="H22" s="81"/>
      <c r="I22" s="81"/>
      <c r="J22" s="81"/>
      <c r="K22" s="81"/>
      <c r="L22" s="81"/>
      <c r="M22" s="81"/>
    </row>
    <row r="23" spans="1:13" x14ac:dyDescent="0.25">
      <c r="B23" t="s">
        <v>235</v>
      </c>
      <c r="G23" s="100">
        <v>0.5</v>
      </c>
    </row>
    <row r="25" spans="1:13" x14ac:dyDescent="0.25">
      <c r="A25" s="99" t="s">
        <v>234</v>
      </c>
      <c r="B25" s="98" t="s">
        <v>233</v>
      </c>
      <c r="C25" s="98">
        <f>D27/I27</f>
        <v>3.1606644855486539</v>
      </c>
      <c r="D25" s="98"/>
      <c r="E25" s="98"/>
      <c r="F25" s="98"/>
      <c r="G25" s="98" t="s">
        <v>232</v>
      </c>
      <c r="H25" s="98">
        <f>I27/D27</f>
        <v>0.31638916581378673</v>
      </c>
      <c r="I25" s="98"/>
      <c r="J25" s="97"/>
    </row>
    <row r="26" spans="1:13" x14ac:dyDescent="0.25">
      <c r="A26" s="93"/>
      <c r="B26" s="92"/>
      <c r="C26" s="92"/>
      <c r="D26" s="92" t="s">
        <v>231</v>
      </c>
      <c r="E26" s="92" t="s">
        <v>230</v>
      </c>
      <c r="F26" s="92"/>
      <c r="G26" s="92"/>
      <c r="H26" s="92"/>
      <c r="I26" s="92" t="s">
        <v>231</v>
      </c>
      <c r="J26" s="91" t="s">
        <v>230</v>
      </c>
    </row>
    <row r="27" spans="1:13" x14ac:dyDescent="0.25">
      <c r="A27" s="93"/>
      <c r="B27" s="96" t="s">
        <v>229</v>
      </c>
      <c r="C27" s="96" t="s">
        <v>224</v>
      </c>
      <c r="D27" s="96">
        <f>SUM(D28:D29)</f>
        <v>2764.0029890109895</v>
      </c>
      <c r="E27" s="96"/>
      <c r="F27" s="96"/>
      <c r="G27" s="96" t="s">
        <v>229</v>
      </c>
      <c r="H27" s="96" t="s">
        <v>224</v>
      </c>
      <c r="I27" s="96">
        <f>SUM(I28:I29)</f>
        <v>874.50060000000008</v>
      </c>
      <c r="J27" s="95"/>
    </row>
    <row r="28" spans="1:13" x14ac:dyDescent="0.25">
      <c r="A28" s="93"/>
      <c r="B28" s="92" t="s">
        <v>228</v>
      </c>
      <c r="C28" s="92" t="s">
        <v>224</v>
      </c>
      <c r="D28" s="92">
        <f>C81</f>
        <v>214.99200000000002</v>
      </c>
      <c r="E28" s="92"/>
      <c r="F28" s="92"/>
      <c r="G28" s="92" t="s">
        <v>227</v>
      </c>
      <c r="H28" s="92" t="s">
        <v>224</v>
      </c>
      <c r="I28" s="92">
        <f>C88*Q147</f>
        <v>447.59819999999996</v>
      </c>
      <c r="J28" s="91">
        <f>I28*8760</f>
        <v>3920960.2319999998</v>
      </c>
    </row>
    <row r="29" spans="1:13" x14ac:dyDescent="0.25">
      <c r="A29" s="93"/>
      <c r="B29" s="92" t="s">
        <v>226</v>
      </c>
      <c r="C29" s="92" t="s">
        <v>224</v>
      </c>
      <c r="D29" s="94">
        <f>C71</f>
        <v>2549.0109890109893</v>
      </c>
      <c r="E29" s="92"/>
      <c r="F29" s="92"/>
      <c r="G29" s="92" t="s">
        <v>225</v>
      </c>
      <c r="H29" s="92" t="s">
        <v>224</v>
      </c>
      <c r="I29" s="92">
        <f>C89*Q148</f>
        <v>426.90240000000006</v>
      </c>
      <c r="J29" s="91">
        <f>I29*8760</f>
        <v>3739665.0240000007</v>
      </c>
    </row>
    <row r="30" spans="1:13" x14ac:dyDescent="0.25">
      <c r="A30" s="90" t="s">
        <v>223</v>
      </c>
      <c r="B30" s="89"/>
      <c r="C30" s="89"/>
      <c r="D30" s="89"/>
      <c r="E30" s="89"/>
      <c r="F30" s="89"/>
      <c r="G30" s="89"/>
      <c r="H30" s="89"/>
      <c r="I30" s="89"/>
      <c r="J30" s="88"/>
    </row>
    <row r="31" spans="1:13" x14ac:dyDescent="0.25">
      <c r="A31" s="93"/>
      <c r="B31" s="92" t="str">
        <f>B28</f>
        <v>elc</v>
      </c>
      <c r="C31" s="92" t="s">
        <v>38</v>
      </c>
      <c r="D31" s="92">
        <f>D28/$D$27</f>
        <v>7.7782839184601632E-2</v>
      </c>
      <c r="E31" s="92"/>
      <c r="F31" s="92">
        <f>F28/$D$27</f>
        <v>0</v>
      </c>
      <c r="G31" s="92" t="str">
        <f>G28</f>
        <v>oag</v>
      </c>
      <c r="H31" s="92" t="s">
        <v>38</v>
      </c>
      <c r="I31" s="92">
        <f>I28/$I$27</f>
        <v>0.5118329249859862</v>
      </c>
      <c r="J31" s="91"/>
    </row>
    <row r="32" spans="1:13" x14ac:dyDescent="0.25">
      <c r="A32" s="93"/>
      <c r="B32" s="92" t="str">
        <f>B29</f>
        <v>h2</v>
      </c>
      <c r="C32" s="92" t="s">
        <v>38</v>
      </c>
      <c r="D32" s="92">
        <f>D29/$D$27</f>
        <v>0.92221716081539828</v>
      </c>
      <c r="E32" s="92"/>
      <c r="F32" s="92">
        <f>F29/$D$27</f>
        <v>0</v>
      </c>
      <c r="G32" s="92" t="str">
        <f>G29</f>
        <v>oke</v>
      </c>
      <c r="H32" s="92" t="s">
        <v>38</v>
      </c>
      <c r="I32" s="92">
        <f>I29/$I$27</f>
        <v>0.48816707501401374</v>
      </c>
      <c r="J32" s="91"/>
    </row>
    <row r="33" spans="1:10" x14ac:dyDescent="0.25">
      <c r="A33" s="93"/>
      <c r="B33" s="92"/>
      <c r="C33" s="92"/>
      <c r="D33" s="92"/>
      <c r="E33" s="92"/>
      <c r="F33" s="92"/>
      <c r="G33" s="92"/>
      <c r="H33" s="92"/>
      <c r="I33" s="92"/>
      <c r="J33" s="91"/>
    </row>
    <row r="34" spans="1:10" x14ac:dyDescent="0.25">
      <c r="A34" s="90" t="s">
        <v>222</v>
      </c>
      <c r="B34" s="89"/>
      <c r="C34" s="89"/>
      <c r="D34" s="89"/>
      <c r="E34" s="89"/>
      <c r="F34" s="89"/>
      <c r="G34" s="89"/>
      <c r="H34" s="89"/>
      <c r="I34" s="89"/>
      <c r="J34" s="88"/>
    </row>
    <row r="35" spans="1:10" x14ac:dyDescent="0.25">
      <c r="A35" s="93"/>
      <c r="B35" s="92" t="s">
        <v>221</v>
      </c>
      <c r="C35" s="92" t="s">
        <v>178</v>
      </c>
      <c r="D35" s="92">
        <f>C50</f>
        <v>93.9</v>
      </c>
      <c r="E35" s="92"/>
      <c r="F35" s="92"/>
      <c r="G35" s="92"/>
      <c r="H35" s="92"/>
      <c r="I35" s="92"/>
      <c r="J35" s="91"/>
    </row>
    <row r="36" spans="1:10" x14ac:dyDescent="0.25">
      <c r="A36" s="93"/>
      <c r="B36" s="92"/>
      <c r="C36" s="92" t="s">
        <v>220</v>
      </c>
      <c r="D36" s="92">
        <f>D35/(I27*0.001)</f>
        <v>107.3755695536401</v>
      </c>
      <c r="E36" s="92"/>
      <c r="F36" s="92"/>
      <c r="G36" s="92"/>
      <c r="H36" s="92"/>
      <c r="I36" s="92"/>
      <c r="J36" s="91"/>
    </row>
    <row r="37" spans="1:10" x14ac:dyDescent="0.25">
      <c r="A37" s="93"/>
      <c r="B37" s="92"/>
      <c r="C37" s="92"/>
      <c r="D37" s="92"/>
      <c r="E37" s="92"/>
      <c r="F37" s="92"/>
      <c r="G37" s="92"/>
      <c r="H37" s="92"/>
      <c r="I37" s="92"/>
      <c r="J37" s="91"/>
    </row>
    <row r="38" spans="1:10" x14ac:dyDescent="0.25">
      <c r="A38" s="90" t="s">
        <v>219</v>
      </c>
      <c r="B38" s="89"/>
      <c r="C38" s="89"/>
      <c r="D38" s="89"/>
      <c r="E38" s="89"/>
      <c r="F38" s="89"/>
      <c r="G38" s="89"/>
      <c r="H38" s="89"/>
      <c r="I38" s="89"/>
      <c r="J38" s="88"/>
    </row>
    <row r="39" spans="1:10" x14ac:dyDescent="0.25">
      <c r="A39" s="93"/>
      <c r="B39" s="92"/>
      <c r="C39" s="92"/>
      <c r="D39" s="92"/>
      <c r="E39" s="92"/>
      <c r="F39" s="92"/>
      <c r="G39" s="92" t="s">
        <v>218</v>
      </c>
      <c r="H39" s="92" t="s">
        <v>178</v>
      </c>
      <c r="I39" s="92">
        <f>C92</f>
        <v>6.94</v>
      </c>
      <c r="J39" s="91">
        <f>I39*8760</f>
        <v>60794.400000000001</v>
      </c>
    </row>
    <row r="40" spans="1:10" x14ac:dyDescent="0.25">
      <c r="A40" s="90"/>
      <c r="B40" s="89"/>
      <c r="C40" s="89"/>
      <c r="D40" s="89"/>
      <c r="E40" s="89"/>
      <c r="F40" s="89"/>
      <c r="G40" s="89"/>
      <c r="H40" s="89" t="s">
        <v>217</v>
      </c>
      <c r="I40" s="89"/>
      <c r="J40" s="88">
        <f>J39/1000</f>
        <v>60.794400000000003</v>
      </c>
    </row>
    <row r="44" spans="1:10" x14ac:dyDescent="0.25">
      <c r="A44" t="s">
        <v>152</v>
      </c>
      <c r="B44" t="s">
        <v>216</v>
      </c>
      <c r="C44">
        <v>8000</v>
      </c>
    </row>
    <row r="46" spans="1:10" x14ac:dyDescent="0.25">
      <c r="A46" t="s">
        <v>215</v>
      </c>
      <c r="C46" t="s">
        <v>214</v>
      </c>
      <c r="D46" t="s">
        <v>213</v>
      </c>
    </row>
    <row r="47" spans="1:10" x14ac:dyDescent="0.25">
      <c r="A47" t="s">
        <v>212</v>
      </c>
      <c r="B47" t="s">
        <v>206</v>
      </c>
      <c r="C47">
        <v>193.3</v>
      </c>
      <c r="D47">
        <v>256.5</v>
      </c>
    </row>
    <row r="48" spans="1:10" x14ac:dyDescent="0.25">
      <c r="A48" t="s">
        <v>211</v>
      </c>
      <c r="B48" t="s">
        <v>206</v>
      </c>
      <c r="C48">
        <v>74.5</v>
      </c>
      <c r="D48">
        <v>994.3</v>
      </c>
    </row>
    <row r="49" spans="1:4" x14ac:dyDescent="0.25">
      <c r="A49" t="s">
        <v>210</v>
      </c>
      <c r="B49" t="s">
        <v>206</v>
      </c>
      <c r="C49">
        <v>103.4</v>
      </c>
      <c r="D49">
        <v>137.19999999999999</v>
      </c>
    </row>
    <row r="50" spans="1:4" x14ac:dyDescent="0.25">
      <c r="A50" t="s">
        <v>209</v>
      </c>
      <c r="B50" t="s">
        <v>206</v>
      </c>
      <c r="C50">
        <v>93.9</v>
      </c>
      <c r="D50">
        <v>142.4</v>
      </c>
    </row>
    <row r="51" spans="1:4" x14ac:dyDescent="0.25">
      <c r="A51" s="47" t="s">
        <v>208</v>
      </c>
      <c r="B51" s="47" t="s">
        <v>206</v>
      </c>
      <c r="C51" s="47">
        <v>0</v>
      </c>
      <c r="D51" s="47">
        <v>0</v>
      </c>
    </row>
    <row r="52" spans="1:4" x14ac:dyDescent="0.25">
      <c r="A52" s="47" t="s">
        <v>207</v>
      </c>
      <c r="B52" s="47" t="s">
        <v>206</v>
      </c>
      <c r="C52" s="47">
        <f>SUM(C53:C58)</f>
        <v>114.49999999999999</v>
      </c>
      <c r="D52" s="47">
        <f>SUM(D53:D58)</f>
        <v>163.14000000000001</v>
      </c>
    </row>
    <row r="53" spans="1:4" x14ac:dyDescent="0.25">
      <c r="A53" s="87" t="s">
        <v>205</v>
      </c>
      <c r="B53" s="87"/>
      <c r="C53" s="87">
        <v>5.8</v>
      </c>
      <c r="D53" s="87">
        <v>8.3000000000000007</v>
      </c>
    </row>
    <row r="54" spans="1:4" x14ac:dyDescent="0.25">
      <c r="A54" s="86" t="s">
        <v>204</v>
      </c>
      <c r="B54" s="86"/>
      <c r="C54" s="86">
        <v>82.1</v>
      </c>
      <c r="D54" s="86">
        <v>128.6</v>
      </c>
    </row>
    <row r="55" spans="1:4" x14ac:dyDescent="0.25">
      <c r="A55" s="86" t="s">
        <v>203</v>
      </c>
      <c r="B55" s="86"/>
      <c r="C55" s="86"/>
      <c r="D55" s="86"/>
    </row>
    <row r="56" spans="1:4" x14ac:dyDescent="0.25">
      <c r="A56" s="86" t="s">
        <v>175</v>
      </c>
      <c r="B56" s="86"/>
      <c r="C56" s="86">
        <v>9.94</v>
      </c>
      <c r="D56" s="86">
        <v>9.75</v>
      </c>
    </row>
    <row r="57" spans="1:4" x14ac:dyDescent="0.25">
      <c r="A57" s="86" t="s">
        <v>174</v>
      </c>
      <c r="B57" s="86"/>
      <c r="C57" s="86">
        <v>9.7200000000000006</v>
      </c>
      <c r="D57" s="86">
        <v>9.66</v>
      </c>
    </row>
    <row r="58" spans="1:4" x14ac:dyDescent="0.25">
      <c r="A58" s="85" t="s">
        <v>172</v>
      </c>
      <c r="B58" s="85"/>
      <c r="C58" s="85">
        <v>6.94</v>
      </c>
      <c r="D58" s="85">
        <v>6.83</v>
      </c>
    </row>
    <row r="59" spans="1:4" x14ac:dyDescent="0.25">
      <c r="A59" s="47" t="s">
        <v>185</v>
      </c>
      <c r="B59" s="47" t="s">
        <v>202</v>
      </c>
      <c r="C59" s="47">
        <f>SUM(C60:C63)</f>
        <v>59.720000000000006</v>
      </c>
      <c r="D59" s="47">
        <f>SUM(D60:D63)</f>
        <v>67.08</v>
      </c>
    </row>
    <row r="60" spans="1:4" x14ac:dyDescent="0.25">
      <c r="A60" s="86" t="s">
        <v>201</v>
      </c>
      <c r="B60" s="86"/>
      <c r="C60" s="86">
        <v>0.63</v>
      </c>
      <c r="D60" s="86">
        <v>0.83</v>
      </c>
    </row>
    <row r="61" spans="1:4" x14ac:dyDescent="0.25">
      <c r="A61" s="86" t="s">
        <v>200</v>
      </c>
      <c r="B61" s="86"/>
      <c r="C61" s="86">
        <v>59.09</v>
      </c>
      <c r="D61" s="86">
        <v>66.25</v>
      </c>
    </row>
    <row r="62" spans="1:4" x14ac:dyDescent="0.25">
      <c r="A62" s="86"/>
      <c r="B62" s="86"/>
      <c r="C62" s="86"/>
      <c r="D62" s="86"/>
    </row>
    <row r="63" spans="1:4" x14ac:dyDescent="0.25">
      <c r="A63" s="85"/>
      <c r="B63" s="85"/>
      <c r="C63" s="85"/>
      <c r="D63" s="85"/>
    </row>
    <row r="65" spans="1:4" x14ac:dyDescent="0.25">
      <c r="A65" s="84" t="s">
        <v>175</v>
      </c>
      <c r="B65" s="84" t="s">
        <v>199</v>
      </c>
    </row>
    <row r="66" spans="1:4" x14ac:dyDescent="0.25">
      <c r="A66" s="84" t="s">
        <v>174</v>
      </c>
      <c r="B66" s="84" t="s">
        <v>198</v>
      </c>
      <c r="C66" t="s">
        <v>197</v>
      </c>
    </row>
    <row r="67" spans="1:4" x14ac:dyDescent="0.25">
      <c r="A67" s="84" t="s">
        <v>172</v>
      </c>
      <c r="B67" s="84" t="s">
        <v>196</v>
      </c>
    </row>
    <row r="69" spans="1:4" x14ac:dyDescent="0.25">
      <c r="A69" t="s">
        <v>195</v>
      </c>
      <c r="B69" t="s">
        <v>194</v>
      </c>
      <c r="C69">
        <v>9.1</v>
      </c>
    </row>
    <row r="70" spans="1:4" x14ac:dyDescent="0.25">
      <c r="A70" t="s">
        <v>192</v>
      </c>
      <c r="B70" t="s">
        <v>193</v>
      </c>
      <c r="C70" s="83">
        <f>C47/$C$69</f>
        <v>21.241758241758244</v>
      </c>
      <c r="D70" s="83">
        <f>D47/$C$69</f>
        <v>28.186813186813186</v>
      </c>
    </row>
    <row r="71" spans="1:4" x14ac:dyDescent="0.25">
      <c r="A71" t="s">
        <v>192</v>
      </c>
      <c r="B71" t="s">
        <v>186</v>
      </c>
      <c r="C71" s="80">
        <f>C70*V135</f>
        <v>2549.0109890109893</v>
      </c>
      <c r="D71" s="83"/>
    </row>
    <row r="72" spans="1:4" x14ac:dyDescent="0.25">
      <c r="A72" t="s">
        <v>192</v>
      </c>
      <c r="B72" t="s">
        <v>191</v>
      </c>
      <c r="C72" s="82">
        <f>C70/C87</f>
        <v>1.0804556582786493</v>
      </c>
    </row>
    <row r="74" spans="1:4" x14ac:dyDescent="0.25">
      <c r="A74" s="64" t="s">
        <v>190</v>
      </c>
      <c r="B74" s="64"/>
    </row>
    <row r="75" spans="1:4" x14ac:dyDescent="0.25">
      <c r="A75">
        <f>C89*C44</f>
        <v>77760</v>
      </c>
      <c r="B75" t="s">
        <v>178</v>
      </c>
    </row>
    <row r="76" spans="1:4" x14ac:dyDescent="0.25">
      <c r="A76" s="81">
        <f>A75*Q148*0.000001</f>
        <v>3.4152192000000001</v>
      </c>
      <c r="B76" t="s">
        <v>4</v>
      </c>
    </row>
    <row r="78" spans="1:4" x14ac:dyDescent="0.25">
      <c r="A78" t="s">
        <v>189</v>
      </c>
    </row>
    <row r="79" spans="1:4" x14ac:dyDescent="0.25">
      <c r="C79" t="s">
        <v>188</v>
      </c>
    </row>
    <row r="80" spans="1:4" x14ac:dyDescent="0.25">
      <c r="A80" s="32" t="s">
        <v>185</v>
      </c>
      <c r="B80" s="32" t="s">
        <v>187</v>
      </c>
      <c r="C80" s="32">
        <f>C59*1</f>
        <v>59.720000000000006</v>
      </c>
    </row>
    <row r="81" spans="1:3" x14ac:dyDescent="0.25">
      <c r="A81" t="s">
        <v>185</v>
      </c>
      <c r="B81" t="s">
        <v>186</v>
      </c>
      <c r="C81">
        <f>C80*3.6</f>
        <v>214.99200000000002</v>
      </c>
    </row>
    <row r="82" spans="1:3" x14ac:dyDescent="0.25">
      <c r="A82" s="32" t="s">
        <v>185</v>
      </c>
      <c r="B82" t="s">
        <v>183</v>
      </c>
      <c r="C82" s="81">
        <f>C81/C87</f>
        <v>10.935503560528995</v>
      </c>
    </row>
    <row r="83" spans="1:3" x14ac:dyDescent="0.25">
      <c r="A83" s="32" t="s">
        <v>184</v>
      </c>
      <c r="B83" t="s">
        <v>183</v>
      </c>
      <c r="C83" s="80">
        <f>C71/C87</f>
        <v>129.6546789934379</v>
      </c>
    </row>
    <row r="84" spans="1:3" x14ac:dyDescent="0.25">
      <c r="A84" s="32" t="s">
        <v>182</v>
      </c>
      <c r="B84" t="s">
        <v>181</v>
      </c>
      <c r="C84" s="79">
        <f>(C50*0.001)/C87</f>
        <v>4.7761953204476099E-3</v>
      </c>
    </row>
    <row r="85" spans="1:3" x14ac:dyDescent="0.25">
      <c r="A85" s="78"/>
      <c r="B85" s="47"/>
      <c r="C85" s="77"/>
    </row>
    <row r="86" spans="1:3" x14ac:dyDescent="0.25">
      <c r="A86" s="32" t="s">
        <v>176</v>
      </c>
      <c r="B86" s="32"/>
      <c r="C86" s="32" t="s">
        <v>180</v>
      </c>
    </row>
    <row r="87" spans="1:3" x14ac:dyDescent="0.25">
      <c r="A87" s="32" t="s">
        <v>179</v>
      </c>
      <c r="B87" s="32" t="s">
        <v>178</v>
      </c>
      <c r="C87" s="32">
        <f>SUM(C88:C89)</f>
        <v>19.66</v>
      </c>
    </row>
    <row r="88" spans="1:3" x14ac:dyDescent="0.25">
      <c r="A88" t="s">
        <v>175</v>
      </c>
      <c r="B88" t="s">
        <v>178</v>
      </c>
      <c r="C88">
        <v>9.94</v>
      </c>
    </row>
    <row r="89" spans="1:3" x14ac:dyDescent="0.25">
      <c r="A89" t="s">
        <v>174</v>
      </c>
      <c r="B89" t="s">
        <v>178</v>
      </c>
      <c r="C89">
        <v>9.7200000000000006</v>
      </c>
    </row>
    <row r="90" spans="1:3" x14ac:dyDescent="0.25">
      <c r="A90" s="32" t="s">
        <v>173</v>
      </c>
    </row>
    <row r="91" spans="1:3" x14ac:dyDescent="0.25">
      <c r="A91" s="32" t="s">
        <v>179</v>
      </c>
      <c r="B91" s="32" t="s">
        <v>178</v>
      </c>
      <c r="C91" s="32">
        <f>SUM(C92:C93)</f>
        <v>6.94</v>
      </c>
    </row>
    <row r="92" spans="1:3" x14ac:dyDescent="0.25">
      <c r="A92" t="s">
        <v>172</v>
      </c>
      <c r="B92" t="s">
        <v>178</v>
      </c>
      <c r="C92">
        <v>6.94</v>
      </c>
    </row>
    <row r="94" spans="1:3" x14ac:dyDescent="0.25">
      <c r="A94" s="32" t="s">
        <v>177</v>
      </c>
    </row>
    <row r="95" spans="1:3" x14ac:dyDescent="0.25">
      <c r="A95" s="32" t="s">
        <v>176</v>
      </c>
    </row>
    <row r="96" spans="1:3" x14ac:dyDescent="0.25">
      <c r="A96" t="s">
        <v>175</v>
      </c>
      <c r="C96" s="76">
        <f>C88/$C$87</f>
        <v>0.50559511698880977</v>
      </c>
    </row>
    <row r="97" spans="1:6" x14ac:dyDescent="0.25">
      <c r="A97" t="s">
        <v>174</v>
      </c>
      <c r="C97" s="76">
        <f>C89/$C$87</f>
        <v>0.49440488301119029</v>
      </c>
    </row>
    <row r="98" spans="1:6" x14ac:dyDescent="0.25">
      <c r="A98" s="32" t="s">
        <v>173</v>
      </c>
      <c r="C98" s="75"/>
    </row>
    <row r="99" spans="1:6" x14ac:dyDescent="0.25">
      <c r="A99" t="s">
        <v>172</v>
      </c>
      <c r="C99" s="75">
        <f>C92/$C$91</f>
        <v>1</v>
      </c>
    </row>
    <row r="101" spans="1:6" x14ac:dyDescent="0.25">
      <c r="A101" s="70" t="s">
        <v>171</v>
      </c>
      <c r="B101" s="69">
        <f>1/1.2</f>
        <v>0.83333333333333337</v>
      </c>
      <c r="C101" t="s">
        <v>170</v>
      </c>
    </row>
    <row r="102" spans="1:6" x14ac:dyDescent="0.25">
      <c r="A102" s="70" t="s">
        <v>169</v>
      </c>
      <c r="B102" s="69">
        <v>15.7</v>
      </c>
      <c r="C102" s="74" t="s">
        <v>162</v>
      </c>
    </row>
    <row r="103" spans="1:6" x14ac:dyDescent="0.25">
      <c r="A103" s="69" t="s">
        <v>168</v>
      </c>
      <c r="B103" s="69">
        <v>1.145</v>
      </c>
      <c r="C103" t="s">
        <v>152</v>
      </c>
    </row>
    <row r="104" spans="1:6" x14ac:dyDescent="0.25">
      <c r="A104" s="69" t="s">
        <v>167</v>
      </c>
      <c r="B104" s="69">
        <v>1.04</v>
      </c>
      <c r="C104" t="s">
        <v>166</v>
      </c>
      <c r="D104" s="73"/>
      <c r="E104" s="72"/>
    </row>
    <row r="105" spans="1:6" x14ac:dyDescent="0.25">
      <c r="A105" s="71" t="s">
        <v>165</v>
      </c>
      <c r="B105" s="69">
        <v>1.1200000000000001</v>
      </c>
      <c r="C105" t="s">
        <v>162</v>
      </c>
    </row>
    <row r="106" spans="1:6" x14ac:dyDescent="0.25">
      <c r="A106" s="70" t="s">
        <v>164</v>
      </c>
      <c r="B106" s="69">
        <f>1/1.19</f>
        <v>0.84033613445378152</v>
      </c>
    </row>
    <row r="107" spans="1:6" x14ac:dyDescent="0.25">
      <c r="A107" s="70" t="s">
        <v>163</v>
      </c>
      <c r="B107" s="69">
        <v>15.5</v>
      </c>
      <c r="C107" t="s">
        <v>162</v>
      </c>
    </row>
    <row r="109" spans="1:6" x14ac:dyDescent="0.25">
      <c r="A109" s="68" t="s">
        <v>161</v>
      </c>
      <c r="B109" s="68">
        <f>C44</f>
        <v>8000</v>
      </c>
      <c r="C109" t="s">
        <v>152</v>
      </c>
      <c r="D109" t="s">
        <v>160</v>
      </c>
    </row>
    <row r="110" spans="1:6" x14ac:dyDescent="0.25">
      <c r="A110" s="68">
        <f>8760*3600</f>
        <v>31536000</v>
      </c>
      <c r="B110" s="67" t="s">
        <v>158</v>
      </c>
      <c r="C110" t="s">
        <v>152</v>
      </c>
      <c r="D110" s="66">
        <f>530*F110</f>
        <v>1060</v>
      </c>
      <c r="E110" t="s">
        <v>159</v>
      </c>
      <c r="F110">
        <v>2</v>
      </c>
    </row>
    <row r="111" spans="1:6" x14ac:dyDescent="0.25">
      <c r="A111" s="68">
        <f>A110*B109/8760</f>
        <v>28800000</v>
      </c>
      <c r="B111" s="67" t="s">
        <v>158</v>
      </c>
      <c r="C111" t="s">
        <v>152</v>
      </c>
      <c r="D111" s="66">
        <f>D110/A111 *1000000</f>
        <v>36.805555555555557</v>
      </c>
      <c r="E111" t="s">
        <v>157</v>
      </c>
      <c r="F111" s="59"/>
    </row>
    <row r="112" spans="1:6" x14ac:dyDescent="0.25">
      <c r="C112" t="s">
        <v>152</v>
      </c>
      <c r="D112" s="66">
        <f>D111*B102</f>
        <v>577.84722222222217</v>
      </c>
      <c r="E112" t="s">
        <v>156</v>
      </c>
    </row>
    <row r="113" spans="1:6" x14ac:dyDescent="0.25">
      <c r="C113" t="s">
        <v>152</v>
      </c>
      <c r="D113" s="66">
        <f>D112*B101</f>
        <v>481.53935185185185</v>
      </c>
      <c r="E113" t="s">
        <v>146</v>
      </c>
    </row>
    <row r="115" spans="1:6" x14ac:dyDescent="0.25">
      <c r="C115" t="s">
        <v>155</v>
      </c>
      <c r="D115" s="65">
        <v>1.4999999999999999E-2</v>
      </c>
      <c r="E115" t="s">
        <v>154</v>
      </c>
    </row>
    <row r="116" spans="1:6" x14ac:dyDescent="0.25">
      <c r="B116" s="60" t="s">
        <v>152</v>
      </c>
      <c r="D116" s="64">
        <f>D113</f>
        <v>481.53935185185185</v>
      </c>
      <c r="E116" s="59">
        <f>D116 * (1-$D$115)^($F$117-$E$117)</f>
        <v>413.99403993277372</v>
      </c>
      <c r="F116" s="59">
        <f>E116 * (1-$D$115)^($E$117-$D$117)</f>
        <v>355.92327904405289</v>
      </c>
    </row>
    <row r="117" spans="1:6" x14ac:dyDescent="0.25">
      <c r="C117" s="63"/>
      <c r="D117" s="62">
        <v>2020</v>
      </c>
      <c r="E117" s="62">
        <v>2030</v>
      </c>
      <c r="F117" s="61">
        <v>2040</v>
      </c>
    </row>
    <row r="118" spans="1:6" x14ac:dyDescent="0.25">
      <c r="A118" s="59"/>
      <c r="B118" s="60" t="s">
        <v>152</v>
      </c>
      <c r="C118" s="58" t="s">
        <v>153</v>
      </c>
      <c r="D118" s="57">
        <f>D110</f>
        <v>1060</v>
      </c>
      <c r="E118" s="57">
        <f>E116/$D$116*$D$118</f>
        <v>911.31426879469166</v>
      </c>
      <c r="F118" s="57">
        <f>F116/$D$116*$D$118</f>
        <v>783.48461934792783</v>
      </c>
    </row>
    <row r="119" spans="1:6" x14ac:dyDescent="0.25">
      <c r="A119" s="59"/>
      <c r="B119" s="60" t="s">
        <v>152</v>
      </c>
      <c r="C119" s="58" t="s">
        <v>148</v>
      </c>
      <c r="D119" s="57">
        <f>D118*$B$105</f>
        <v>1187.2</v>
      </c>
      <c r="E119" s="57">
        <f>E118*$B$105</f>
        <v>1020.6719810500548</v>
      </c>
      <c r="F119" s="56">
        <f>F118*$B$105</f>
        <v>877.5027736696793</v>
      </c>
    </row>
    <row r="120" spans="1:6" x14ac:dyDescent="0.25">
      <c r="A120" s="59"/>
      <c r="B120" s="55" t="s">
        <v>151</v>
      </c>
      <c r="C120" s="58" t="s">
        <v>148</v>
      </c>
      <c r="D120" s="57">
        <f>D121*$B$104</f>
        <v>925.6</v>
      </c>
      <c r="E120" s="57">
        <f>E121*$B$104</f>
        <v>790.4</v>
      </c>
      <c r="F120" s="56">
        <f>F121*$B$104</f>
        <v>587.6</v>
      </c>
    </row>
    <row r="121" spans="1:6" x14ac:dyDescent="0.25">
      <c r="B121" s="55" t="s">
        <v>151</v>
      </c>
      <c r="C121" s="54" t="s">
        <v>150</v>
      </c>
      <c r="D121" s="53">
        <v>890</v>
      </c>
      <c r="E121" s="53">
        <v>760</v>
      </c>
      <c r="F121" s="52">
        <v>565</v>
      </c>
    </row>
    <row r="122" spans="1:6" x14ac:dyDescent="0.25">
      <c r="B122" s="32" t="s">
        <v>149</v>
      </c>
      <c r="C122" s="49" t="s">
        <v>148</v>
      </c>
      <c r="D122" s="51">
        <f>AVERAGE(D119:D120)</f>
        <v>1056.4000000000001</v>
      </c>
      <c r="E122" s="51">
        <f>AVERAGE(E119:E120)</f>
        <v>905.53599052502739</v>
      </c>
      <c r="F122" s="50">
        <f>AVERAGE(F119:F120)</f>
        <v>732.5513868348396</v>
      </c>
    </row>
    <row r="123" spans="1:6" x14ac:dyDescent="0.25">
      <c r="B123" t="s">
        <v>147</v>
      </c>
      <c r="C123" s="49" t="s">
        <v>146</v>
      </c>
      <c r="D123" s="48">
        <f>D122/$A$111 *1000000 *($B$107*$B$106)</f>
        <v>477.77194211017741</v>
      </c>
      <c r="E123" s="48">
        <f>E122/$A$111 *1000000 *($B$107*$B$106)</f>
        <v>409.54154566812338</v>
      </c>
      <c r="F123" s="48">
        <f>F122/$A$111 *1000000 *($B$107*$B$106)</f>
        <v>331.30679551645699</v>
      </c>
    </row>
    <row r="131" spans="3:22" x14ac:dyDescent="0.25">
      <c r="C131" s="47">
        <f>SUM(C132:C135)</f>
        <v>39.935850000000002</v>
      </c>
      <c r="D131" t="s">
        <v>145</v>
      </c>
      <c r="E131" s="47"/>
    </row>
    <row r="132" spans="3:22" x14ac:dyDescent="0.25">
      <c r="C132">
        <f>D132</f>
        <v>1.97</v>
      </c>
      <c r="D132">
        <v>1.97</v>
      </c>
      <c r="E132" t="s">
        <v>144</v>
      </c>
    </row>
    <row r="133" spans="3:22" x14ac:dyDescent="0.25">
      <c r="C133">
        <f>D133</f>
        <v>0.49</v>
      </c>
      <c r="D133">
        <v>0.49</v>
      </c>
      <c r="E133" t="s">
        <v>144</v>
      </c>
    </row>
    <row r="134" spans="3:22" x14ac:dyDescent="0.25">
      <c r="C134">
        <f>D134*$B$103</f>
        <v>0.83584999999999998</v>
      </c>
      <c r="D134">
        <v>0.73</v>
      </c>
      <c r="E134" t="s">
        <v>143</v>
      </c>
    </row>
    <row r="135" spans="3:22" x14ac:dyDescent="0.25">
      <c r="C135">
        <f>D135*$B$103</f>
        <v>36.64</v>
      </c>
      <c r="D135">
        <v>32</v>
      </c>
      <c r="E135" t="s">
        <v>143</v>
      </c>
      <c r="T135" s="46" t="s">
        <v>142</v>
      </c>
      <c r="U135" s="46" t="s">
        <v>139</v>
      </c>
      <c r="V135" s="46">
        <f>V137</f>
        <v>120</v>
      </c>
    </row>
    <row r="136" spans="3:22" x14ac:dyDescent="0.25">
      <c r="T136" s="45" t="s">
        <v>141</v>
      </c>
      <c r="U136" s="45" t="s">
        <v>139</v>
      </c>
      <c r="V136" s="45">
        <v>140</v>
      </c>
    </row>
    <row r="137" spans="3:22" x14ac:dyDescent="0.25">
      <c r="T137" s="45" t="s">
        <v>140</v>
      </c>
      <c r="U137" s="45" t="s">
        <v>139</v>
      </c>
      <c r="V137" s="45">
        <v>120</v>
      </c>
    </row>
    <row r="139" spans="3:22" x14ac:dyDescent="0.25">
      <c r="M139" s="32" t="s">
        <v>138</v>
      </c>
    </row>
    <row r="141" spans="3:22" ht="75" x14ac:dyDescent="0.25">
      <c r="M141" s="41" t="s">
        <v>137</v>
      </c>
      <c r="N141" s="44" t="s">
        <v>136</v>
      </c>
      <c r="O141" s="41" t="s">
        <v>135</v>
      </c>
      <c r="P141" s="44" t="s">
        <v>134</v>
      </c>
      <c r="Q141" s="43" t="s">
        <v>133</v>
      </c>
      <c r="R141" s="42" t="s">
        <v>132</v>
      </c>
      <c r="T141" s="33"/>
    </row>
    <row r="142" spans="3:22" x14ac:dyDescent="0.25">
      <c r="M142" s="41" t="s">
        <v>131</v>
      </c>
      <c r="N142" s="38">
        <v>366.3</v>
      </c>
      <c r="O142" s="40">
        <v>2730</v>
      </c>
      <c r="P142" s="35">
        <v>51.9</v>
      </c>
      <c r="Q142" s="36">
        <v>47.51</v>
      </c>
      <c r="R142" s="35">
        <f t="shared" ref="R142:R153" si="4">Q142/O142*1000</f>
        <v>17.402930402930401</v>
      </c>
      <c r="T142" s="33"/>
    </row>
    <row r="143" spans="3:22" x14ac:dyDescent="0.25">
      <c r="M143" s="41" t="s">
        <v>130</v>
      </c>
      <c r="N143" s="38">
        <v>507.6</v>
      </c>
      <c r="O143" s="40">
        <v>1970</v>
      </c>
      <c r="P143" s="35">
        <v>50.32</v>
      </c>
      <c r="Q143" s="36">
        <v>46.33</v>
      </c>
      <c r="R143" s="35">
        <f t="shared" si="4"/>
        <v>23.517766497461928</v>
      </c>
      <c r="T143" s="33"/>
    </row>
    <row r="144" spans="3:22" x14ac:dyDescent="0.25">
      <c r="M144" s="41" t="s">
        <v>129</v>
      </c>
      <c r="N144" s="38">
        <v>572.70000000000005</v>
      </c>
      <c r="O144" s="40">
        <v>1746</v>
      </c>
      <c r="P144" s="35">
        <v>49.51</v>
      </c>
      <c r="Q144" s="36">
        <v>45.72</v>
      </c>
      <c r="R144" s="35">
        <f t="shared" si="4"/>
        <v>26.185567010309278</v>
      </c>
    </row>
    <row r="145" spans="13:20" x14ac:dyDescent="0.25">
      <c r="M145" s="41" t="s">
        <v>128</v>
      </c>
      <c r="N145" s="38">
        <v>522.20000000000005</v>
      </c>
      <c r="O145" s="40">
        <v>1915</v>
      </c>
      <c r="P145" s="35">
        <v>50.08</v>
      </c>
      <c r="Q145" s="36">
        <v>46.15</v>
      </c>
      <c r="R145" s="35">
        <f t="shared" si="4"/>
        <v>24.099216710182766</v>
      </c>
    </row>
    <row r="146" spans="13:20" x14ac:dyDescent="0.25">
      <c r="M146" s="41" t="s">
        <v>127</v>
      </c>
      <c r="N146" s="38">
        <v>690.6</v>
      </c>
      <c r="O146" s="40">
        <v>1448</v>
      </c>
      <c r="P146" s="35">
        <v>47.73</v>
      </c>
      <c r="Q146" s="36">
        <v>45.34</v>
      </c>
      <c r="R146" s="35">
        <f t="shared" si="4"/>
        <v>31.312154696132598</v>
      </c>
    </row>
    <row r="147" spans="13:20" ht="30" x14ac:dyDescent="0.25">
      <c r="M147" s="41" t="s">
        <v>126</v>
      </c>
      <c r="N147" s="38">
        <v>716.8</v>
      </c>
      <c r="O147" s="40">
        <v>1395</v>
      </c>
      <c r="P147" s="35">
        <v>47.4</v>
      </c>
      <c r="Q147" s="36">
        <v>45.03</v>
      </c>
      <c r="R147" s="35">
        <f t="shared" si="4"/>
        <v>32.27956989247312</v>
      </c>
    </row>
    <row r="148" spans="13:20" ht="45" x14ac:dyDescent="0.25">
      <c r="M148" s="41" t="s">
        <v>125</v>
      </c>
      <c r="N148" s="38">
        <v>802.6</v>
      </c>
      <c r="O148" s="40">
        <v>1246</v>
      </c>
      <c r="P148" s="35">
        <v>46.23</v>
      </c>
      <c r="Q148" s="36">
        <v>43.92</v>
      </c>
      <c r="R148" s="35">
        <f t="shared" si="4"/>
        <v>35.24879614767255</v>
      </c>
    </row>
    <row r="149" spans="13:20" ht="45" x14ac:dyDescent="0.25">
      <c r="M149" s="41" t="s">
        <v>124</v>
      </c>
      <c r="N149" s="38">
        <v>740.7</v>
      </c>
      <c r="O149" s="40">
        <v>1350</v>
      </c>
      <c r="P149" s="35">
        <v>47.1</v>
      </c>
      <c r="Q149" s="36">
        <v>44.75</v>
      </c>
      <c r="R149" s="35">
        <f t="shared" si="4"/>
        <v>33.148148148148152</v>
      </c>
    </row>
    <row r="150" spans="13:20" ht="30" x14ac:dyDescent="0.25">
      <c r="M150" s="41" t="s">
        <v>123</v>
      </c>
      <c r="N150" s="38">
        <v>802.6</v>
      </c>
      <c r="O150" s="40">
        <v>1246</v>
      </c>
      <c r="P150" s="35">
        <v>46.23</v>
      </c>
      <c r="Q150" s="36">
        <v>43.92</v>
      </c>
      <c r="R150" s="35">
        <f t="shared" si="4"/>
        <v>35.24879614767255</v>
      </c>
    </row>
    <row r="151" spans="13:20" ht="30" x14ac:dyDescent="0.25">
      <c r="M151" s="41" t="s">
        <v>122</v>
      </c>
      <c r="N151" s="38">
        <v>843.9</v>
      </c>
      <c r="O151" s="40">
        <v>1185</v>
      </c>
      <c r="P151" s="35">
        <v>45.66</v>
      </c>
      <c r="Q151" s="36">
        <v>43.38</v>
      </c>
      <c r="R151" s="35">
        <f t="shared" si="4"/>
        <v>36.607594936708864</v>
      </c>
    </row>
    <row r="152" spans="13:20" ht="45" x14ac:dyDescent="0.25">
      <c r="M152" s="41" t="s">
        <v>121</v>
      </c>
      <c r="N152" s="38">
        <v>925.1</v>
      </c>
      <c r="O152" s="40">
        <v>1081</v>
      </c>
      <c r="P152" s="35">
        <v>44.4</v>
      </c>
      <c r="Q152" s="36">
        <v>42.18</v>
      </c>
      <c r="R152" s="35">
        <f t="shared" si="4"/>
        <v>39.01942645698427</v>
      </c>
    </row>
    <row r="153" spans="13:20" ht="45" x14ac:dyDescent="0.25">
      <c r="M153" s="41" t="s">
        <v>120</v>
      </c>
      <c r="N153" s="38">
        <v>963.4</v>
      </c>
      <c r="O153" s="40">
        <v>1038</v>
      </c>
      <c r="P153" s="35">
        <v>43.76</v>
      </c>
      <c r="Q153" s="36">
        <v>41.57</v>
      </c>
      <c r="R153" s="35">
        <f t="shared" si="4"/>
        <v>40.048169556840072</v>
      </c>
    </row>
    <row r="154" spans="13:20" x14ac:dyDescent="0.25">
      <c r="M154" s="39" t="s">
        <v>119</v>
      </c>
      <c r="N154" s="38"/>
      <c r="O154" s="40">
        <f>1000/0.789</f>
        <v>1267.4271229404308</v>
      </c>
      <c r="P154" s="35"/>
      <c r="Q154" s="36"/>
      <c r="R154" s="35">
        <v>23.399999869999998</v>
      </c>
      <c r="S154" s="33"/>
      <c r="T154" s="33"/>
    </row>
    <row r="155" spans="13:20" x14ac:dyDescent="0.25">
      <c r="M155" s="39" t="s">
        <v>118</v>
      </c>
      <c r="N155" s="38"/>
      <c r="O155" s="37"/>
      <c r="P155" s="35"/>
      <c r="Q155" s="36"/>
      <c r="R155" s="35">
        <v>23.000259429209784</v>
      </c>
      <c r="S155" s="33"/>
      <c r="T155" s="33"/>
    </row>
    <row r="156" spans="13:20" x14ac:dyDescent="0.25">
      <c r="M156" s="33"/>
      <c r="N156" s="34" t="s">
        <v>117</v>
      </c>
      <c r="O156" s="34"/>
      <c r="P156" s="34"/>
      <c r="Q156" s="34"/>
      <c r="R156" s="34"/>
      <c r="S156" s="33"/>
      <c r="T156" s="33"/>
    </row>
    <row r="157" spans="13:20" x14ac:dyDescent="0.25">
      <c r="M157" s="33"/>
      <c r="N157" t="s">
        <v>116</v>
      </c>
      <c r="S157" s="34"/>
    </row>
    <row r="158" spans="13:20" x14ac:dyDescent="0.25">
      <c r="M158" s="33"/>
      <c r="N158" t="s">
        <v>115</v>
      </c>
    </row>
    <row r="170" spans="1:1" x14ac:dyDescent="0.25">
      <c r="A170" s="32" t="s">
        <v>114</v>
      </c>
    </row>
    <row r="171" spans="1:1" x14ac:dyDescent="0.25">
      <c r="A171" t="s">
        <v>113</v>
      </c>
    </row>
    <row r="172" spans="1:1" x14ac:dyDescent="0.25">
      <c r="A172" t="s">
        <v>112</v>
      </c>
    </row>
    <row r="173" spans="1:1" x14ac:dyDescent="0.25">
      <c r="A173" t="s">
        <v>111</v>
      </c>
    </row>
    <row r="174" spans="1:1" x14ac:dyDescent="0.25">
      <c r="A174" s="31" t="s">
        <v>110</v>
      </c>
    </row>
  </sheetData>
  <dataConsolidate/>
  <hyperlinks>
    <hyperlink ref="C102" r:id="rId1" xr:uid="{3C79BEB7-C2BE-416A-BDCE-5939A92CEACE}"/>
  </hyperlinks>
  <pageMargins left="0.7" right="0.7" top="0.75" bottom="0.75" header="0.3" footer="0.3"/>
  <pageSetup paperSize="9" orientation="portrait" verticalDpi="0" r:id="rId2"/>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1B94-4C88-4626-8A50-76E99A559600}">
  <sheetPr>
    <tabColor theme="6" tint="0.59999389629810485"/>
  </sheetPr>
  <dimension ref="A1:F9"/>
  <sheetViews>
    <sheetView workbookViewId="0">
      <selection activeCell="C32" sqref="C32"/>
    </sheetView>
  </sheetViews>
  <sheetFormatPr defaultRowHeight="15" x14ac:dyDescent="0.25"/>
  <cols>
    <col min="1" max="1" width="6.28515625" bestFit="1" customWidth="1"/>
    <col min="2" max="2" width="8.85546875" bestFit="1" customWidth="1"/>
    <col min="3" max="3" width="16.28515625" bestFit="1" customWidth="1"/>
    <col min="4" max="4" width="56.5703125" bestFit="1" customWidth="1"/>
    <col min="5" max="5" width="6.28515625" bestFit="1" customWidth="1"/>
    <col min="6" max="6" width="23.140625" bestFit="1" customWidth="1"/>
  </cols>
  <sheetData>
    <row r="1" spans="1:6" x14ac:dyDescent="0.25">
      <c r="A1" t="s">
        <v>290</v>
      </c>
      <c r="B1" t="s">
        <v>289</v>
      </c>
    </row>
    <row r="2" spans="1:6" x14ac:dyDescent="0.25">
      <c r="B2" t="s">
        <v>288</v>
      </c>
      <c r="C2" t="s">
        <v>261</v>
      </c>
      <c r="D2" t="s">
        <v>261</v>
      </c>
      <c r="F2" t="s">
        <v>287</v>
      </c>
    </row>
    <row r="3" spans="1:6" x14ac:dyDescent="0.25">
      <c r="B3" t="s">
        <v>288</v>
      </c>
      <c r="C3" t="s">
        <v>258</v>
      </c>
      <c r="D3" t="s">
        <v>258</v>
      </c>
      <c r="F3" t="s">
        <v>287</v>
      </c>
    </row>
    <row r="4" spans="1:6" x14ac:dyDescent="0.25">
      <c r="B4" t="s">
        <v>281</v>
      </c>
      <c r="C4" t="s">
        <v>238</v>
      </c>
      <c r="D4" t="s">
        <v>286</v>
      </c>
      <c r="E4" t="s">
        <v>278</v>
      </c>
      <c r="F4" t="s">
        <v>282</v>
      </c>
    </row>
    <row r="5" spans="1:6" x14ac:dyDescent="0.25">
      <c r="B5" t="s">
        <v>275</v>
      </c>
      <c r="C5" t="s">
        <v>257</v>
      </c>
      <c r="D5" t="s">
        <v>285</v>
      </c>
      <c r="E5" t="s">
        <v>4</v>
      </c>
      <c r="F5" t="s">
        <v>272</v>
      </c>
    </row>
    <row r="6" spans="1:6" x14ac:dyDescent="0.25">
      <c r="B6" t="s">
        <v>281</v>
      </c>
      <c r="C6" t="s">
        <v>284</v>
      </c>
      <c r="D6" t="s">
        <v>283</v>
      </c>
      <c r="E6" t="s">
        <v>278</v>
      </c>
      <c r="F6" t="s">
        <v>282</v>
      </c>
    </row>
    <row r="7" spans="1:6" x14ac:dyDescent="0.25">
      <c r="B7" t="s">
        <v>281</v>
      </c>
      <c r="C7" t="s">
        <v>280</v>
      </c>
      <c r="D7" t="s">
        <v>279</v>
      </c>
      <c r="E7" t="s">
        <v>278</v>
      </c>
      <c r="F7" t="s">
        <v>277</v>
      </c>
    </row>
    <row r="8" spans="1:6" x14ac:dyDescent="0.25">
      <c r="B8" t="s">
        <v>275</v>
      </c>
      <c r="C8" t="s">
        <v>263</v>
      </c>
      <c r="D8" t="s">
        <v>276</v>
      </c>
      <c r="E8" t="s">
        <v>4</v>
      </c>
      <c r="F8" t="s">
        <v>272</v>
      </c>
    </row>
    <row r="9" spans="1:6" x14ac:dyDescent="0.25">
      <c r="B9" t="s">
        <v>275</v>
      </c>
      <c r="C9" t="s">
        <v>274</v>
      </c>
      <c r="D9" t="s">
        <v>273</v>
      </c>
      <c r="E9" t="s">
        <v>4</v>
      </c>
      <c r="F9" t="s">
        <v>272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E8EE0-58F6-467A-8A15-0642F2CF3881}">
  <sheetPr>
    <tabColor theme="6" tint="0.59999389629810485"/>
  </sheetPr>
  <dimension ref="A1:AP19"/>
  <sheetViews>
    <sheetView workbookViewId="0">
      <selection activeCell="C32" sqref="C32"/>
    </sheetView>
  </sheetViews>
  <sheetFormatPr defaultRowHeight="15" x14ac:dyDescent="0.25"/>
  <cols>
    <col min="1" max="1" width="8.28515625" bestFit="1" customWidth="1"/>
    <col min="2" max="2" width="12.140625" bestFit="1" customWidth="1"/>
    <col min="3" max="3" width="14.140625" bestFit="1" customWidth="1"/>
    <col min="4" max="4" width="9.42578125" bestFit="1" customWidth="1"/>
    <col min="5" max="6" width="16.28515625" bestFit="1" customWidth="1"/>
    <col min="7" max="7" width="8.5703125" bestFit="1" customWidth="1"/>
    <col min="8" max="8" width="6.140625" bestFit="1" customWidth="1"/>
    <col min="9" max="9" width="3.42578125" bestFit="1" customWidth="1"/>
    <col min="10" max="10" width="8.28515625" bestFit="1" customWidth="1"/>
    <col min="11" max="17" width="5" bestFit="1" customWidth="1"/>
    <col min="18" max="18" width="9.28515625" bestFit="1" customWidth="1"/>
    <col min="19" max="19" width="5.5703125" bestFit="1" customWidth="1"/>
    <col min="20" max="27" width="5" bestFit="1" customWidth="1"/>
    <col min="28" max="28" width="8.28515625" bestFit="1" customWidth="1"/>
    <col min="29" max="32" width="5" bestFit="1" customWidth="1"/>
    <col min="33" max="33" width="8.28515625" bestFit="1" customWidth="1"/>
    <col min="34" max="37" width="5" bestFit="1" customWidth="1"/>
    <col min="38" max="38" width="8.28515625" bestFit="1" customWidth="1"/>
    <col min="39" max="39" width="5" bestFit="1" customWidth="1"/>
    <col min="40" max="42" width="8.28515625" bestFit="1" customWidth="1"/>
  </cols>
  <sheetData>
    <row r="1" spans="1:42" x14ac:dyDescent="0.25">
      <c r="A1" t="s">
        <v>304</v>
      </c>
      <c r="B1" t="s">
        <v>289</v>
      </c>
    </row>
    <row r="2" spans="1:42" x14ac:dyDescent="0.25">
      <c r="A2" t="s">
        <v>7</v>
      </c>
      <c r="B2" t="s">
        <v>303</v>
      </c>
      <c r="C2" t="s">
        <v>302</v>
      </c>
      <c r="D2" t="s">
        <v>301</v>
      </c>
      <c r="E2" t="s">
        <v>300</v>
      </c>
      <c r="F2" t="s">
        <v>299</v>
      </c>
      <c r="G2" t="s">
        <v>298</v>
      </c>
      <c r="H2" t="s">
        <v>297</v>
      </c>
      <c r="I2" t="s">
        <v>296</v>
      </c>
      <c r="J2">
        <v>2012</v>
      </c>
      <c r="K2">
        <f t="shared" ref="K2:AL2" si="0">1+J2</f>
        <v>2013</v>
      </c>
      <c r="L2">
        <f t="shared" si="0"/>
        <v>2014</v>
      </c>
      <c r="M2">
        <f t="shared" si="0"/>
        <v>2015</v>
      </c>
      <c r="N2">
        <f t="shared" si="0"/>
        <v>2016</v>
      </c>
      <c r="O2">
        <f t="shared" si="0"/>
        <v>2017</v>
      </c>
      <c r="P2">
        <f t="shared" si="0"/>
        <v>2018</v>
      </c>
      <c r="Q2">
        <f t="shared" si="0"/>
        <v>2019</v>
      </c>
      <c r="R2">
        <f t="shared" si="0"/>
        <v>2020</v>
      </c>
      <c r="S2">
        <f t="shared" si="0"/>
        <v>2021</v>
      </c>
      <c r="T2">
        <f t="shared" si="0"/>
        <v>2022</v>
      </c>
      <c r="U2">
        <f t="shared" si="0"/>
        <v>2023</v>
      </c>
      <c r="V2">
        <f t="shared" si="0"/>
        <v>2024</v>
      </c>
      <c r="W2">
        <f t="shared" si="0"/>
        <v>2025</v>
      </c>
      <c r="X2">
        <f t="shared" si="0"/>
        <v>2026</v>
      </c>
      <c r="Y2">
        <f t="shared" si="0"/>
        <v>2027</v>
      </c>
      <c r="Z2">
        <f t="shared" si="0"/>
        <v>2028</v>
      </c>
      <c r="AA2">
        <f t="shared" si="0"/>
        <v>2029</v>
      </c>
      <c r="AB2">
        <f t="shared" si="0"/>
        <v>2030</v>
      </c>
      <c r="AC2">
        <f t="shared" si="0"/>
        <v>2031</v>
      </c>
      <c r="AD2">
        <f t="shared" si="0"/>
        <v>2032</v>
      </c>
      <c r="AE2">
        <f t="shared" si="0"/>
        <v>2033</v>
      </c>
      <c r="AF2">
        <f t="shared" si="0"/>
        <v>2034</v>
      </c>
      <c r="AG2">
        <f t="shared" si="0"/>
        <v>2035</v>
      </c>
      <c r="AH2">
        <f t="shared" si="0"/>
        <v>2036</v>
      </c>
      <c r="AI2">
        <f t="shared" si="0"/>
        <v>2037</v>
      </c>
      <c r="AJ2">
        <f t="shared" si="0"/>
        <v>2038</v>
      </c>
      <c r="AK2">
        <f t="shared" si="0"/>
        <v>2039</v>
      </c>
      <c r="AL2">
        <f t="shared" si="0"/>
        <v>2040</v>
      </c>
      <c r="AM2">
        <f>5+AL2</f>
        <v>2045</v>
      </c>
      <c r="AN2">
        <f>5+AM2</f>
        <v>2050</v>
      </c>
      <c r="AO2">
        <f>10+AN2</f>
        <v>2060</v>
      </c>
      <c r="AP2">
        <f>10+AO2</f>
        <v>2070</v>
      </c>
    </row>
    <row r="3" spans="1:42" x14ac:dyDescent="0.25">
      <c r="B3" t="s">
        <v>81</v>
      </c>
      <c r="C3" t="s">
        <v>238</v>
      </c>
      <c r="D3" t="s">
        <v>236</v>
      </c>
      <c r="E3" t="s">
        <v>236</v>
      </c>
      <c r="F3" t="s">
        <v>236</v>
      </c>
      <c r="G3" t="s">
        <v>236</v>
      </c>
      <c r="H3" t="s">
        <v>236</v>
      </c>
      <c r="I3">
        <v>0</v>
      </c>
      <c r="J3" s="80" t="str" cm="1">
        <f t="array" ref="J3">_xlfn.IFNA(INDEX('Aviation Synfuel Data'!$G$4:$M$22,MATCH('Aviation Synfuel-TSData'!$B3&amp;'Aviation Synfuel-TSData'!$C3&amp;$D3,'Aviation Synfuel Data'!$C$4:$C$22&amp;'Aviation Synfuel Data'!$A$4:$A$22&amp;'Aviation Synfuel Data'!$D$4:$D$22,0),MATCH(J$2,'Aviation Synfuel Data'!$G$3:$M$3,0)),"null")</f>
        <v>null</v>
      </c>
      <c r="K3" s="80" t="str" cm="1">
        <f t="array" ref="K3">_xlfn.IFNA(INDEX('Aviation Synfuel Data'!$G$4:$M$22,MATCH('Aviation Synfuel-TSData'!$B3&amp;'Aviation Synfuel-TSData'!$C3&amp;$D3,'Aviation Synfuel Data'!$C$4:$C$22&amp;'Aviation Synfuel Data'!$A$4:$A$22&amp;'Aviation Synfuel Data'!$D$4:$D$22,0),MATCH(K$2,'Aviation Synfuel Data'!$G$3:$M$3,0)),"null")</f>
        <v>null</v>
      </c>
      <c r="L3" s="80" t="str" cm="1">
        <f t="array" ref="L3">_xlfn.IFNA(INDEX('Aviation Synfuel Data'!$G$4:$M$22,MATCH('Aviation Synfuel-TSData'!$B3&amp;'Aviation Synfuel-TSData'!$C3&amp;$D3,'Aviation Synfuel Data'!$C$4:$C$22&amp;'Aviation Synfuel Data'!$A$4:$A$22&amp;'Aviation Synfuel Data'!$D$4:$D$22,0),MATCH(L$2,'Aviation Synfuel Data'!$G$3:$M$3,0)),"null")</f>
        <v>null</v>
      </c>
      <c r="M3" s="80" t="str" cm="1">
        <f t="array" ref="M3">_xlfn.IFNA(INDEX('Aviation Synfuel Data'!$G$4:$M$22,MATCH('Aviation Synfuel-TSData'!$B3&amp;'Aviation Synfuel-TSData'!$C3&amp;$D3,'Aviation Synfuel Data'!$C$4:$C$22&amp;'Aviation Synfuel Data'!$A$4:$A$22&amp;'Aviation Synfuel Data'!$D$4:$D$22,0),MATCH(M$2,'Aviation Synfuel Data'!$G$3:$M$3,0)),"null")</f>
        <v>null</v>
      </c>
      <c r="N3" s="80" t="str" cm="1">
        <f t="array" ref="N3">_xlfn.IFNA(INDEX('Aviation Synfuel Data'!$G$4:$M$22,MATCH('Aviation Synfuel-TSData'!$B3&amp;'Aviation Synfuel-TSData'!$C3&amp;$D3,'Aviation Synfuel Data'!$C$4:$C$22&amp;'Aviation Synfuel Data'!$A$4:$A$22&amp;'Aviation Synfuel Data'!$D$4:$D$22,0),MATCH(N$2,'Aviation Synfuel Data'!$G$3:$M$3,0)),"null")</f>
        <v>null</v>
      </c>
      <c r="O3" s="80" t="str" cm="1">
        <f t="array" ref="O3">_xlfn.IFNA(INDEX('Aviation Synfuel Data'!$G$4:$M$22,MATCH('Aviation Synfuel-TSData'!$B3&amp;'Aviation Synfuel-TSData'!$C3&amp;$D3,'Aviation Synfuel Data'!$C$4:$C$22&amp;'Aviation Synfuel Data'!$A$4:$A$22&amp;'Aviation Synfuel Data'!$D$4:$D$22,0),MATCH(O$2,'Aviation Synfuel Data'!$G$3:$M$3,0)),"null")</f>
        <v>null</v>
      </c>
      <c r="P3" s="80" t="str" cm="1">
        <f t="array" ref="P3">_xlfn.IFNA(INDEX('Aviation Synfuel Data'!$G$4:$M$22,MATCH('Aviation Synfuel-TSData'!$B3&amp;'Aviation Synfuel-TSData'!$C3&amp;$D3,'Aviation Synfuel Data'!$C$4:$C$22&amp;'Aviation Synfuel Data'!$A$4:$A$22&amp;'Aviation Synfuel Data'!$D$4:$D$22,0),MATCH(P$2,'Aviation Synfuel Data'!$G$3:$M$3,0)),"null")</f>
        <v>null</v>
      </c>
      <c r="Q3" s="80" t="str" cm="1">
        <f t="array" ref="Q3">_xlfn.IFNA(INDEX('Aviation Synfuel Data'!$G$4:$M$22,MATCH('Aviation Synfuel-TSData'!$B3&amp;'Aviation Synfuel-TSData'!$C3&amp;$D3,'Aviation Synfuel Data'!$C$4:$C$22&amp;'Aviation Synfuel Data'!$A$4:$A$22&amp;'Aviation Synfuel Data'!$D$4:$D$22,0),MATCH(Q$2,'Aviation Synfuel Data'!$G$3:$M$3,0)),"null")</f>
        <v>null</v>
      </c>
      <c r="R3" s="80" cm="1">
        <f t="array" ref="R3">_xlfn.IFNA(INDEX('Aviation Synfuel Data'!$G$4:$M$22,MATCH('Aviation Synfuel-TSData'!$B3&amp;'Aviation Synfuel-TSData'!$C3&amp;$D3,'Aviation Synfuel Data'!$C$4:$C$22&amp;'Aviation Synfuel Data'!$A$4:$A$22&amp;'Aviation Synfuel Data'!$D$4:$D$22,0),MATCH(R$2,'Aviation Synfuel Data'!$G$3:$M$3,0)),"null")</f>
        <v>0</v>
      </c>
      <c r="S3" s="80" t="str" cm="1">
        <f t="array" ref="S3">_xlfn.IFNA(INDEX('Aviation Synfuel Data'!$G$4:$M$22,MATCH('Aviation Synfuel-TSData'!$B3&amp;'Aviation Synfuel-TSData'!$C3&amp;$D3,'Aviation Synfuel Data'!$C$4:$C$22&amp;'Aviation Synfuel Data'!$A$4:$A$22&amp;'Aviation Synfuel Data'!$D$4:$D$22,0),MATCH(S$2,'Aviation Synfuel Data'!$G$3:$M$3,0)),"null")</f>
        <v>null</v>
      </c>
      <c r="T3" s="80" t="str" cm="1">
        <f t="array" ref="T3">_xlfn.IFNA(INDEX('Aviation Synfuel Data'!$G$4:$M$22,MATCH('Aviation Synfuel-TSData'!$B3&amp;'Aviation Synfuel-TSData'!$C3&amp;$D3,'Aviation Synfuel Data'!$C$4:$C$22&amp;'Aviation Synfuel Data'!$A$4:$A$22&amp;'Aviation Synfuel Data'!$D$4:$D$22,0),MATCH(T$2,'Aviation Synfuel Data'!$G$3:$M$3,0)),"null")</f>
        <v>null</v>
      </c>
      <c r="U3" s="80" t="str" cm="1">
        <f t="array" ref="U3">_xlfn.IFNA(INDEX('Aviation Synfuel Data'!$G$4:$M$22,MATCH('Aviation Synfuel-TSData'!$B3&amp;'Aviation Synfuel-TSData'!$C3&amp;$D3,'Aviation Synfuel Data'!$C$4:$C$22&amp;'Aviation Synfuel Data'!$A$4:$A$22&amp;'Aviation Synfuel Data'!$D$4:$D$22,0),MATCH(U$2,'Aviation Synfuel Data'!$G$3:$M$3,0)),"null")</f>
        <v>null</v>
      </c>
      <c r="V3" s="80" t="str" cm="1">
        <f t="array" ref="V3">_xlfn.IFNA(INDEX('Aviation Synfuel Data'!$G$4:$M$22,MATCH('Aviation Synfuel-TSData'!$B3&amp;'Aviation Synfuel-TSData'!$C3&amp;$D3,'Aviation Synfuel Data'!$C$4:$C$22&amp;'Aviation Synfuel Data'!$A$4:$A$22&amp;'Aviation Synfuel Data'!$D$4:$D$22,0),MATCH(V$2,'Aviation Synfuel Data'!$G$3:$M$3,0)),"null")</f>
        <v>null</v>
      </c>
      <c r="W3" s="80" t="str" cm="1">
        <f t="array" ref="W3">_xlfn.IFNA(INDEX('Aviation Synfuel Data'!$G$4:$M$22,MATCH('Aviation Synfuel-TSData'!$B3&amp;'Aviation Synfuel-TSData'!$C3&amp;$D3,'Aviation Synfuel Data'!$C$4:$C$22&amp;'Aviation Synfuel Data'!$A$4:$A$22&amp;'Aviation Synfuel Data'!$D$4:$D$22,0),MATCH(W$2,'Aviation Synfuel Data'!$G$3:$M$3,0)),"null")</f>
        <v>null</v>
      </c>
      <c r="X3" s="80" t="str" cm="1">
        <f t="array" ref="X3">_xlfn.IFNA(INDEX('Aviation Synfuel Data'!$G$4:$M$22,MATCH('Aviation Synfuel-TSData'!$B3&amp;'Aviation Synfuel-TSData'!$C3&amp;$D3,'Aviation Synfuel Data'!$C$4:$C$22&amp;'Aviation Synfuel Data'!$A$4:$A$22&amp;'Aviation Synfuel Data'!$D$4:$D$22,0),MATCH(X$2,'Aviation Synfuel Data'!$G$3:$M$3,0)),"null")</f>
        <v>null</v>
      </c>
      <c r="Y3" s="80" t="str" cm="1">
        <f t="array" ref="Y3">_xlfn.IFNA(INDEX('Aviation Synfuel Data'!$G$4:$M$22,MATCH('Aviation Synfuel-TSData'!$B3&amp;'Aviation Synfuel-TSData'!$C3&amp;$D3,'Aviation Synfuel Data'!$C$4:$C$22&amp;'Aviation Synfuel Data'!$A$4:$A$22&amp;'Aviation Synfuel Data'!$D$4:$D$22,0),MATCH(Y$2,'Aviation Synfuel Data'!$G$3:$M$3,0)),"null")</f>
        <v>null</v>
      </c>
      <c r="Z3" s="80" t="str" cm="1">
        <f t="array" ref="Z3">_xlfn.IFNA(INDEX('Aviation Synfuel Data'!$G$4:$M$22,MATCH('Aviation Synfuel-TSData'!$B3&amp;'Aviation Synfuel-TSData'!$C3&amp;$D3,'Aviation Synfuel Data'!$C$4:$C$22&amp;'Aviation Synfuel Data'!$A$4:$A$22&amp;'Aviation Synfuel Data'!$D$4:$D$22,0),MATCH(Z$2,'Aviation Synfuel Data'!$G$3:$M$3,0)),"null")</f>
        <v>null</v>
      </c>
      <c r="AA3" s="80" t="str" cm="1">
        <f t="array" ref="AA3">_xlfn.IFNA(INDEX('Aviation Synfuel Data'!$G$4:$M$22,MATCH('Aviation Synfuel-TSData'!$B3&amp;'Aviation Synfuel-TSData'!$C3&amp;$D3,'Aviation Synfuel Data'!$C$4:$C$22&amp;'Aviation Synfuel Data'!$A$4:$A$22&amp;'Aviation Synfuel Data'!$D$4:$D$22,0),MATCH(AA$2,'Aviation Synfuel Data'!$G$3:$M$3,0)),"null")</f>
        <v>null</v>
      </c>
      <c r="AB3" s="80" cm="1">
        <f t="array" ref="AB3">_xlfn.IFNA(INDEX('Aviation Synfuel Data'!$G$4:$M$22,MATCH('Aviation Synfuel-TSData'!$B3&amp;'Aviation Synfuel-TSData'!$C3&amp;$D3,'Aviation Synfuel Data'!$C$4:$C$22&amp;'Aviation Synfuel Data'!$A$4:$A$22&amp;'Aviation Synfuel Data'!$D$4:$D$22,0),MATCH(AB$2,'Aviation Synfuel Data'!$G$3:$M$3,0)),"null")</f>
        <v>0</v>
      </c>
      <c r="AC3" s="80" t="str" cm="1">
        <f t="array" ref="AC3">_xlfn.IFNA(INDEX('Aviation Synfuel Data'!$G$4:$M$22,MATCH('Aviation Synfuel-TSData'!$B3&amp;'Aviation Synfuel-TSData'!$C3&amp;$D3,'Aviation Synfuel Data'!$C$4:$C$22&amp;'Aviation Synfuel Data'!$A$4:$A$22&amp;'Aviation Synfuel Data'!$D$4:$D$22,0),MATCH(AC$2,'Aviation Synfuel Data'!$G$3:$M$3,0)),"null")</f>
        <v>null</v>
      </c>
      <c r="AD3" s="80" t="str" cm="1">
        <f t="array" ref="AD3">_xlfn.IFNA(INDEX('Aviation Synfuel Data'!$G$4:$M$22,MATCH('Aviation Synfuel-TSData'!$B3&amp;'Aviation Synfuel-TSData'!$C3&amp;$D3,'Aviation Synfuel Data'!$C$4:$C$22&amp;'Aviation Synfuel Data'!$A$4:$A$22&amp;'Aviation Synfuel Data'!$D$4:$D$22,0),MATCH(AD$2,'Aviation Synfuel Data'!$G$3:$M$3,0)),"null")</f>
        <v>null</v>
      </c>
      <c r="AE3" s="80" t="str" cm="1">
        <f t="array" ref="AE3">_xlfn.IFNA(INDEX('Aviation Synfuel Data'!$G$4:$M$22,MATCH('Aviation Synfuel-TSData'!$B3&amp;'Aviation Synfuel-TSData'!$C3&amp;$D3,'Aviation Synfuel Data'!$C$4:$C$22&amp;'Aviation Synfuel Data'!$A$4:$A$22&amp;'Aviation Synfuel Data'!$D$4:$D$22,0),MATCH(AE$2,'Aviation Synfuel Data'!$G$3:$M$3,0)),"null")</f>
        <v>null</v>
      </c>
      <c r="AF3" s="80" t="str" cm="1">
        <f t="array" ref="AF3">_xlfn.IFNA(INDEX('Aviation Synfuel Data'!$G$4:$M$22,MATCH('Aviation Synfuel-TSData'!$B3&amp;'Aviation Synfuel-TSData'!$C3&amp;$D3,'Aviation Synfuel Data'!$C$4:$C$22&amp;'Aviation Synfuel Data'!$A$4:$A$22&amp;'Aviation Synfuel Data'!$D$4:$D$22,0),MATCH(AF$2,'Aviation Synfuel Data'!$G$3:$M$3,0)),"null")</f>
        <v>null</v>
      </c>
      <c r="AG3" s="80" cm="1">
        <f t="array" ref="AG3">_xlfn.IFNA(INDEX('Aviation Synfuel Data'!$G$4:$M$22,MATCH('Aviation Synfuel-TSData'!$B3&amp;'Aviation Synfuel-TSData'!$C3&amp;$D3,'Aviation Synfuel Data'!$C$4:$C$22&amp;'Aviation Synfuel Data'!$A$4:$A$22&amp;'Aviation Synfuel Data'!$D$4:$D$22,0),MATCH(AG$2,'Aviation Synfuel Data'!$G$3:$M$3,0)),"null")</f>
        <v>0</v>
      </c>
      <c r="AH3" s="80" t="str" cm="1">
        <f t="array" ref="AH3">_xlfn.IFNA(INDEX('Aviation Synfuel Data'!$G$4:$M$22,MATCH('Aviation Synfuel-TSData'!$B3&amp;'Aviation Synfuel-TSData'!$C3&amp;$D3,'Aviation Synfuel Data'!$C$4:$C$22&amp;'Aviation Synfuel Data'!$A$4:$A$22&amp;'Aviation Synfuel Data'!$D$4:$D$22,0),MATCH(AH$2,'Aviation Synfuel Data'!$G$3:$M$3,0)),"null")</f>
        <v>null</v>
      </c>
      <c r="AI3" s="80" t="str" cm="1">
        <f t="array" ref="AI3">_xlfn.IFNA(INDEX('Aviation Synfuel Data'!$G$4:$M$22,MATCH('Aviation Synfuel-TSData'!$B3&amp;'Aviation Synfuel-TSData'!$C3&amp;$D3,'Aviation Synfuel Data'!$C$4:$C$22&amp;'Aviation Synfuel Data'!$A$4:$A$22&amp;'Aviation Synfuel Data'!$D$4:$D$22,0),MATCH(AI$2,'Aviation Synfuel Data'!$G$3:$M$3,0)),"null")</f>
        <v>null</v>
      </c>
      <c r="AJ3" s="80" t="str" cm="1">
        <f t="array" ref="AJ3">_xlfn.IFNA(INDEX('Aviation Synfuel Data'!$G$4:$M$22,MATCH('Aviation Synfuel-TSData'!$B3&amp;'Aviation Synfuel-TSData'!$C3&amp;$D3,'Aviation Synfuel Data'!$C$4:$C$22&amp;'Aviation Synfuel Data'!$A$4:$A$22&amp;'Aviation Synfuel Data'!$D$4:$D$22,0),MATCH(AJ$2,'Aviation Synfuel Data'!$G$3:$M$3,0)),"null")</f>
        <v>null</v>
      </c>
      <c r="AK3" s="80" t="str" cm="1">
        <f t="array" ref="AK3">_xlfn.IFNA(INDEX('Aviation Synfuel Data'!$G$4:$M$22,MATCH('Aviation Synfuel-TSData'!$B3&amp;'Aviation Synfuel-TSData'!$C3&amp;$D3,'Aviation Synfuel Data'!$C$4:$C$22&amp;'Aviation Synfuel Data'!$A$4:$A$22&amp;'Aviation Synfuel Data'!$D$4:$D$22,0),MATCH(AK$2,'Aviation Synfuel Data'!$G$3:$M$3,0)),"null")</f>
        <v>null</v>
      </c>
      <c r="AL3" s="80" cm="1">
        <f t="array" ref="AL3">_xlfn.IFNA(INDEX('Aviation Synfuel Data'!$G$4:$M$22,MATCH('Aviation Synfuel-TSData'!$B3&amp;'Aviation Synfuel-TSData'!$C3&amp;$D3,'Aviation Synfuel Data'!$C$4:$C$22&amp;'Aviation Synfuel Data'!$A$4:$A$22&amp;'Aviation Synfuel Data'!$D$4:$D$22,0),MATCH(AL$2,'Aviation Synfuel Data'!$G$3:$M$3,0)),"null")</f>
        <v>0</v>
      </c>
      <c r="AM3" s="80" t="str" cm="1">
        <f t="array" ref="AM3">_xlfn.IFNA(INDEX('Aviation Synfuel Data'!$G$4:$M$22,MATCH('Aviation Synfuel-TSData'!$B3&amp;'Aviation Synfuel-TSData'!$C3&amp;$D3,'Aviation Synfuel Data'!$C$4:$C$22&amp;'Aviation Synfuel Data'!$A$4:$A$22&amp;'Aviation Synfuel Data'!$D$4:$D$22,0),MATCH(AM$2,'Aviation Synfuel Data'!$G$3:$M$3,0)),"null")</f>
        <v>null</v>
      </c>
      <c r="AN3" s="80" cm="1">
        <f t="array" ref="AN3">_xlfn.IFNA(INDEX('Aviation Synfuel Data'!$G$4:$M$22,MATCH('Aviation Synfuel-TSData'!$B3&amp;'Aviation Synfuel-TSData'!$C3&amp;$D3,'Aviation Synfuel Data'!$C$4:$C$22&amp;'Aviation Synfuel Data'!$A$4:$A$22&amp;'Aviation Synfuel Data'!$D$4:$D$22,0),MATCH(AN$2,'Aviation Synfuel Data'!$G$3:$M$3,0)),"null")</f>
        <v>0</v>
      </c>
      <c r="AO3" s="80" cm="1">
        <f t="array" ref="AO3">_xlfn.IFNA(INDEX('Aviation Synfuel Data'!$G$4:$M$22,MATCH('Aviation Synfuel-TSData'!$B3&amp;'Aviation Synfuel-TSData'!$C3&amp;$D3,'Aviation Synfuel Data'!$C$4:$C$22&amp;'Aviation Synfuel Data'!$A$4:$A$22&amp;'Aviation Synfuel Data'!$D$4:$D$22,0),MATCH(AO$2,'Aviation Synfuel Data'!$G$3:$M$3,0)),"null")</f>
        <v>0</v>
      </c>
      <c r="AP3" s="80" cm="1">
        <f t="array" ref="AP3">_xlfn.IFNA(INDEX('Aviation Synfuel Data'!$G$4:$M$22,MATCH('Aviation Synfuel-TSData'!$B3&amp;'Aviation Synfuel-TSData'!$C3&amp;$D3,'Aviation Synfuel Data'!$C$4:$C$22&amp;'Aviation Synfuel Data'!$A$4:$A$22&amp;'Aviation Synfuel Data'!$D$4:$D$22,0),MATCH(AP$2,'Aviation Synfuel Data'!$G$3:$M$3,0)),"null")</f>
        <v>0</v>
      </c>
    </row>
    <row r="4" spans="1:42" x14ac:dyDescent="0.25">
      <c r="B4" t="s">
        <v>264</v>
      </c>
      <c r="C4" t="s">
        <v>238</v>
      </c>
      <c r="D4" t="s">
        <v>236</v>
      </c>
      <c r="E4" t="s">
        <v>263</v>
      </c>
      <c r="F4" t="s">
        <v>236</v>
      </c>
      <c r="G4" t="s">
        <v>236</v>
      </c>
      <c r="H4" t="s">
        <v>236</v>
      </c>
      <c r="I4">
        <v>0</v>
      </c>
      <c r="J4" s="82" t="str" cm="1">
        <f t="array" ref="J4">_xlfn.IFNA(INDEX('Aviation Synfuel Data'!$G$4:$M$22,MATCH('Aviation Synfuel-TSData'!$B4&amp;'Aviation Synfuel-TSData'!$C4&amp;$E4,'Aviation Synfuel Data'!$C$4:$C$22&amp;'Aviation Synfuel Data'!$A$4:$A$22&amp;'Aviation Synfuel Data'!$D$4:$D$22,0),MATCH(J$2,'Aviation Synfuel Data'!$G$3:$M$3,0)),"null")</f>
        <v>null</v>
      </c>
      <c r="K4" s="82" t="str" cm="1">
        <f t="array" ref="K4">_xlfn.IFNA(INDEX('Aviation Synfuel Data'!$G$4:$M$22,MATCH('Aviation Synfuel-TSData'!$B4&amp;'Aviation Synfuel-TSData'!$C4&amp;$E4,'Aviation Synfuel Data'!$C$4:$C$22&amp;'Aviation Synfuel Data'!$A$4:$A$22&amp;'Aviation Synfuel Data'!$D$4:$D$22,0),MATCH(K$2,'Aviation Synfuel Data'!$G$3:$M$3,0)),"null")</f>
        <v>null</v>
      </c>
      <c r="L4" s="82" t="str" cm="1">
        <f t="array" ref="L4">_xlfn.IFNA(INDEX('Aviation Synfuel Data'!$G$4:$M$22,MATCH('Aviation Synfuel-TSData'!$B4&amp;'Aviation Synfuel-TSData'!$C4&amp;$E4,'Aviation Synfuel Data'!$C$4:$C$22&amp;'Aviation Synfuel Data'!$A$4:$A$22&amp;'Aviation Synfuel Data'!$D$4:$D$22,0),MATCH(L$2,'Aviation Synfuel Data'!$G$3:$M$3,0)),"null")</f>
        <v>null</v>
      </c>
      <c r="M4" s="82" t="str" cm="1">
        <f t="array" ref="M4">_xlfn.IFNA(INDEX('Aviation Synfuel Data'!$G$4:$M$22,MATCH('Aviation Synfuel-TSData'!$B4&amp;'Aviation Synfuel-TSData'!$C4&amp;$E4,'Aviation Synfuel Data'!$C$4:$C$22&amp;'Aviation Synfuel Data'!$A$4:$A$22&amp;'Aviation Synfuel Data'!$D$4:$D$22,0),MATCH(M$2,'Aviation Synfuel Data'!$G$3:$M$3,0)),"null")</f>
        <v>null</v>
      </c>
      <c r="N4" s="82" t="str" cm="1">
        <f t="array" ref="N4">_xlfn.IFNA(INDEX('Aviation Synfuel Data'!$G$4:$M$22,MATCH('Aviation Synfuel-TSData'!$B4&amp;'Aviation Synfuel-TSData'!$C4&amp;$E4,'Aviation Synfuel Data'!$C$4:$C$22&amp;'Aviation Synfuel Data'!$A$4:$A$22&amp;'Aviation Synfuel Data'!$D$4:$D$22,0),MATCH(N$2,'Aviation Synfuel Data'!$G$3:$M$3,0)),"null")</f>
        <v>null</v>
      </c>
      <c r="O4" s="82" t="str" cm="1">
        <f t="array" ref="O4">_xlfn.IFNA(INDEX('Aviation Synfuel Data'!$G$4:$M$22,MATCH('Aviation Synfuel-TSData'!$B4&amp;'Aviation Synfuel-TSData'!$C4&amp;$E4,'Aviation Synfuel Data'!$C$4:$C$22&amp;'Aviation Synfuel Data'!$A$4:$A$22&amp;'Aviation Synfuel Data'!$D$4:$D$22,0),MATCH(O$2,'Aviation Synfuel Data'!$G$3:$M$3,0)),"null")</f>
        <v>null</v>
      </c>
      <c r="P4" s="82" t="str" cm="1">
        <f t="array" ref="P4">_xlfn.IFNA(INDEX('Aviation Synfuel Data'!$G$4:$M$22,MATCH('Aviation Synfuel-TSData'!$B4&amp;'Aviation Synfuel-TSData'!$C4&amp;$E4,'Aviation Synfuel Data'!$C$4:$C$22&amp;'Aviation Synfuel Data'!$A$4:$A$22&amp;'Aviation Synfuel Data'!$D$4:$D$22,0),MATCH(P$2,'Aviation Synfuel Data'!$G$3:$M$3,0)),"null")</f>
        <v>null</v>
      </c>
      <c r="Q4" s="82" t="str" cm="1">
        <f t="array" ref="Q4">_xlfn.IFNA(INDEX('Aviation Synfuel Data'!$G$4:$M$22,MATCH('Aviation Synfuel-TSData'!$B4&amp;'Aviation Synfuel-TSData'!$C4&amp;$E4,'Aviation Synfuel Data'!$C$4:$C$22&amp;'Aviation Synfuel Data'!$A$4:$A$22&amp;'Aviation Synfuel Data'!$D$4:$D$22,0),MATCH(Q$2,'Aviation Synfuel Data'!$G$3:$M$3,0)),"null")</f>
        <v>null</v>
      </c>
      <c r="R4" s="82" cm="1">
        <f t="array" ref="R4">_xlfn.IFNA(INDEX('Aviation Synfuel Data'!$G$4:$M$22,MATCH('Aviation Synfuel-TSData'!$B4&amp;'Aviation Synfuel-TSData'!$C4&amp;$E4,'Aviation Synfuel Data'!$C$4:$C$22&amp;'Aviation Synfuel Data'!$A$4:$A$22&amp;'Aviation Synfuel Data'!$D$4:$D$22,0),MATCH(R$2,'Aviation Synfuel Data'!$G$3:$M$3,0)),"null")</f>
        <v>107.3755695536401</v>
      </c>
      <c r="S4" s="82" t="str" cm="1">
        <f t="array" ref="S4">_xlfn.IFNA(INDEX('Aviation Synfuel Data'!$G$4:$M$22,MATCH('Aviation Synfuel-TSData'!$B4&amp;'Aviation Synfuel-TSData'!$C4&amp;$E4,'Aviation Synfuel Data'!$C$4:$C$22&amp;'Aviation Synfuel Data'!$A$4:$A$22&amp;'Aviation Synfuel Data'!$D$4:$D$22,0),MATCH(S$2,'Aviation Synfuel Data'!$G$3:$M$3,0)),"null")</f>
        <v>null</v>
      </c>
      <c r="T4" s="82" t="str" cm="1">
        <f t="array" ref="T4">_xlfn.IFNA(INDEX('Aviation Synfuel Data'!$G$4:$M$22,MATCH('Aviation Synfuel-TSData'!$B4&amp;'Aviation Synfuel-TSData'!$C4&amp;$E4,'Aviation Synfuel Data'!$C$4:$C$22&amp;'Aviation Synfuel Data'!$A$4:$A$22&amp;'Aviation Synfuel Data'!$D$4:$D$22,0),MATCH(T$2,'Aviation Synfuel Data'!$G$3:$M$3,0)),"null")</f>
        <v>null</v>
      </c>
      <c r="U4" s="82" t="str" cm="1">
        <f t="array" ref="U4">_xlfn.IFNA(INDEX('Aviation Synfuel Data'!$G$4:$M$22,MATCH('Aviation Synfuel-TSData'!$B4&amp;'Aviation Synfuel-TSData'!$C4&amp;$E4,'Aviation Synfuel Data'!$C$4:$C$22&amp;'Aviation Synfuel Data'!$A$4:$A$22&amp;'Aviation Synfuel Data'!$D$4:$D$22,0),MATCH(U$2,'Aviation Synfuel Data'!$G$3:$M$3,0)),"null")</f>
        <v>null</v>
      </c>
      <c r="V4" s="82" t="str" cm="1">
        <f t="array" ref="V4">_xlfn.IFNA(INDEX('Aviation Synfuel Data'!$G$4:$M$22,MATCH('Aviation Synfuel-TSData'!$B4&amp;'Aviation Synfuel-TSData'!$C4&amp;$E4,'Aviation Synfuel Data'!$C$4:$C$22&amp;'Aviation Synfuel Data'!$A$4:$A$22&amp;'Aviation Synfuel Data'!$D$4:$D$22,0),MATCH(V$2,'Aviation Synfuel Data'!$G$3:$M$3,0)),"null")</f>
        <v>null</v>
      </c>
      <c r="W4" s="82" t="str" cm="1">
        <f t="array" ref="W4">_xlfn.IFNA(INDEX('Aviation Synfuel Data'!$G$4:$M$22,MATCH('Aviation Synfuel-TSData'!$B4&amp;'Aviation Synfuel-TSData'!$C4&amp;$E4,'Aviation Synfuel Data'!$C$4:$C$22&amp;'Aviation Synfuel Data'!$A$4:$A$22&amp;'Aviation Synfuel Data'!$D$4:$D$22,0),MATCH(W$2,'Aviation Synfuel Data'!$G$3:$M$3,0)),"null")</f>
        <v>null</v>
      </c>
      <c r="X4" s="82" t="str" cm="1">
        <f t="array" ref="X4">_xlfn.IFNA(INDEX('Aviation Synfuel Data'!$G$4:$M$22,MATCH('Aviation Synfuel-TSData'!$B4&amp;'Aviation Synfuel-TSData'!$C4&amp;$E4,'Aviation Synfuel Data'!$C$4:$C$22&amp;'Aviation Synfuel Data'!$A$4:$A$22&amp;'Aviation Synfuel Data'!$D$4:$D$22,0),MATCH(X$2,'Aviation Synfuel Data'!$G$3:$M$3,0)),"null")</f>
        <v>null</v>
      </c>
      <c r="Y4" s="82" t="str" cm="1">
        <f t="array" ref="Y4">_xlfn.IFNA(INDEX('Aviation Synfuel Data'!$G$4:$M$22,MATCH('Aviation Synfuel-TSData'!$B4&amp;'Aviation Synfuel-TSData'!$C4&amp;$E4,'Aviation Synfuel Data'!$C$4:$C$22&amp;'Aviation Synfuel Data'!$A$4:$A$22&amp;'Aviation Synfuel Data'!$D$4:$D$22,0),MATCH(Y$2,'Aviation Synfuel Data'!$G$3:$M$3,0)),"null")</f>
        <v>null</v>
      </c>
      <c r="Z4" s="82" t="str" cm="1">
        <f t="array" ref="Z4">_xlfn.IFNA(INDEX('Aviation Synfuel Data'!$G$4:$M$22,MATCH('Aviation Synfuel-TSData'!$B4&amp;'Aviation Synfuel-TSData'!$C4&amp;$E4,'Aviation Synfuel Data'!$C$4:$C$22&amp;'Aviation Synfuel Data'!$A$4:$A$22&amp;'Aviation Synfuel Data'!$D$4:$D$22,0),MATCH(Z$2,'Aviation Synfuel Data'!$G$3:$M$3,0)),"null")</f>
        <v>null</v>
      </c>
      <c r="AA4" s="82" t="str" cm="1">
        <f t="array" ref="AA4">_xlfn.IFNA(INDEX('Aviation Synfuel Data'!$G$4:$M$22,MATCH('Aviation Synfuel-TSData'!$B4&amp;'Aviation Synfuel-TSData'!$C4&amp;$E4,'Aviation Synfuel Data'!$C$4:$C$22&amp;'Aviation Synfuel Data'!$A$4:$A$22&amp;'Aviation Synfuel Data'!$D$4:$D$22,0),MATCH(AA$2,'Aviation Synfuel Data'!$G$3:$M$3,0)),"null")</f>
        <v>null</v>
      </c>
      <c r="AB4" s="82" cm="1">
        <f t="array" ref="AB4">_xlfn.IFNA(INDEX('Aviation Synfuel Data'!$G$4:$M$22,MATCH('Aviation Synfuel-TSData'!$B4&amp;'Aviation Synfuel-TSData'!$C4&amp;$E4,'Aviation Synfuel Data'!$C$4:$C$22&amp;'Aviation Synfuel Data'!$A$4:$A$22&amp;'Aviation Synfuel Data'!$D$4:$D$22,0),MATCH(AB$2,'Aviation Synfuel Data'!$G$3:$M$3,0)),"null")</f>
        <v>107.3755695536401</v>
      </c>
      <c r="AC4" s="82" t="str" cm="1">
        <f t="array" ref="AC4">_xlfn.IFNA(INDEX('Aviation Synfuel Data'!$G$4:$M$22,MATCH('Aviation Synfuel-TSData'!$B4&amp;'Aviation Synfuel-TSData'!$C4&amp;$E4,'Aviation Synfuel Data'!$C$4:$C$22&amp;'Aviation Synfuel Data'!$A$4:$A$22&amp;'Aviation Synfuel Data'!$D$4:$D$22,0),MATCH(AC$2,'Aviation Synfuel Data'!$G$3:$M$3,0)),"null")</f>
        <v>null</v>
      </c>
      <c r="AD4" s="82" t="str" cm="1">
        <f t="array" ref="AD4">_xlfn.IFNA(INDEX('Aviation Synfuel Data'!$G$4:$M$22,MATCH('Aviation Synfuel-TSData'!$B4&amp;'Aviation Synfuel-TSData'!$C4&amp;$E4,'Aviation Synfuel Data'!$C$4:$C$22&amp;'Aviation Synfuel Data'!$A$4:$A$22&amp;'Aviation Synfuel Data'!$D$4:$D$22,0),MATCH(AD$2,'Aviation Synfuel Data'!$G$3:$M$3,0)),"null")</f>
        <v>null</v>
      </c>
      <c r="AE4" s="82" t="str" cm="1">
        <f t="array" ref="AE4">_xlfn.IFNA(INDEX('Aviation Synfuel Data'!$G$4:$M$22,MATCH('Aviation Synfuel-TSData'!$B4&amp;'Aviation Synfuel-TSData'!$C4&amp;$E4,'Aviation Synfuel Data'!$C$4:$C$22&amp;'Aviation Synfuel Data'!$A$4:$A$22&amp;'Aviation Synfuel Data'!$D$4:$D$22,0),MATCH(AE$2,'Aviation Synfuel Data'!$G$3:$M$3,0)),"null")</f>
        <v>null</v>
      </c>
      <c r="AF4" s="82" t="str" cm="1">
        <f t="array" ref="AF4">_xlfn.IFNA(INDEX('Aviation Synfuel Data'!$G$4:$M$22,MATCH('Aviation Synfuel-TSData'!$B4&amp;'Aviation Synfuel-TSData'!$C4&amp;$E4,'Aviation Synfuel Data'!$C$4:$C$22&amp;'Aviation Synfuel Data'!$A$4:$A$22&amp;'Aviation Synfuel Data'!$D$4:$D$22,0),MATCH(AF$2,'Aviation Synfuel Data'!$G$3:$M$3,0)),"null")</f>
        <v>null</v>
      </c>
      <c r="AG4" s="82" cm="1">
        <f t="array" ref="AG4">_xlfn.IFNA(INDEX('Aviation Synfuel Data'!$G$4:$M$22,MATCH('Aviation Synfuel-TSData'!$B4&amp;'Aviation Synfuel-TSData'!$C4&amp;$E4,'Aviation Synfuel Data'!$C$4:$C$22&amp;'Aviation Synfuel Data'!$A$4:$A$22&amp;'Aviation Synfuel Data'!$D$4:$D$22,0),MATCH(AG$2,'Aviation Synfuel Data'!$G$3:$M$3,0)),"null")</f>
        <v>107.3755695536401</v>
      </c>
      <c r="AH4" s="82" t="str" cm="1">
        <f t="array" ref="AH4">_xlfn.IFNA(INDEX('Aviation Synfuel Data'!$G$4:$M$22,MATCH('Aviation Synfuel-TSData'!$B4&amp;'Aviation Synfuel-TSData'!$C4&amp;$E4,'Aviation Synfuel Data'!$C$4:$C$22&amp;'Aviation Synfuel Data'!$A$4:$A$22&amp;'Aviation Synfuel Data'!$D$4:$D$22,0),MATCH(AH$2,'Aviation Synfuel Data'!$G$3:$M$3,0)),"null")</f>
        <v>null</v>
      </c>
      <c r="AI4" s="82" t="str" cm="1">
        <f t="array" ref="AI4">_xlfn.IFNA(INDEX('Aviation Synfuel Data'!$G$4:$M$22,MATCH('Aviation Synfuel-TSData'!$B4&amp;'Aviation Synfuel-TSData'!$C4&amp;$E4,'Aviation Synfuel Data'!$C$4:$C$22&amp;'Aviation Synfuel Data'!$A$4:$A$22&amp;'Aviation Synfuel Data'!$D$4:$D$22,0),MATCH(AI$2,'Aviation Synfuel Data'!$G$3:$M$3,0)),"null")</f>
        <v>null</v>
      </c>
      <c r="AJ4" s="82" t="str" cm="1">
        <f t="array" ref="AJ4">_xlfn.IFNA(INDEX('Aviation Synfuel Data'!$G$4:$M$22,MATCH('Aviation Synfuel-TSData'!$B4&amp;'Aviation Synfuel-TSData'!$C4&amp;$E4,'Aviation Synfuel Data'!$C$4:$C$22&amp;'Aviation Synfuel Data'!$A$4:$A$22&amp;'Aviation Synfuel Data'!$D$4:$D$22,0),MATCH(AJ$2,'Aviation Synfuel Data'!$G$3:$M$3,0)),"null")</f>
        <v>null</v>
      </c>
      <c r="AK4" s="82" t="str" cm="1">
        <f t="array" ref="AK4">_xlfn.IFNA(INDEX('Aviation Synfuel Data'!$G$4:$M$22,MATCH('Aviation Synfuel-TSData'!$B4&amp;'Aviation Synfuel-TSData'!$C4&amp;$E4,'Aviation Synfuel Data'!$C$4:$C$22&amp;'Aviation Synfuel Data'!$A$4:$A$22&amp;'Aviation Synfuel Data'!$D$4:$D$22,0),MATCH(AK$2,'Aviation Synfuel Data'!$G$3:$M$3,0)),"null")</f>
        <v>null</v>
      </c>
      <c r="AL4" s="82" cm="1">
        <f t="array" ref="AL4">_xlfn.IFNA(INDEX('Aviation Synfuel Data'!$G$4:$M$22,MATCH('Aviation Synfuel-TSData'!$B4&amp;'Aviation Synfuel-TSData'!$C4&amp;$E4,'Aviation Synfuel Data'!$C$4:$C$22&amp;'Aviation Synfuel Data'!$A$4:$A$22&amp;'Aviation Synfuel Data'!$D$4:$D$22,0),MATCH(AL$2,'Aviation Synfuel Data'!$G$3:$M$3,0)),"null")</f>
        <v>107.3755695536401</v>
      </c>
      <c r="AM4" s="82" t="str" cm="1">
        <f t="array" ref="AM4">_xlfn.IFNA(INDEX('Aviation Synfuel Data'!$G$4:$M$22,MATCH('Aviation Synfuel-TSData'!$B4&amp;'Aviation Synfuel-TSData'!$C4&amp;$E4,'Aviation Synfuel Data'!$C$4:$C$22&amp;'Aviation Synfuel Data'!$A$4:$A$22&amp;'Aviation Synfuel Data'!$D$4:$D$22,0),MATCH(AM$2,'Aviation Synfuel Data'!$G$3:$M$3,0)),"null")</f>
        <v>null</v>
      </c>
      <c r="AN4" s="82" cm="1">
        <f t="array" ref="AN4">_xlfn.IFNA(INDEX('Aviation Synfuel Data'!$G$4:$M$22,MATCH('Aviation Synfuel-TSData'!$B4&amp;'Aviation Synfuel-TSData'!$C4&amp;$E4,'Aviation Synfuel Data'!$C$4:$C$22&amp;'Aviation Synfuel Data'!$A$4:$A$22&amp;'Aviation Synfuel Data'!$D$4:$D$22,0),MATCH(AN$2,'Aviation Synfuel Data'!$G$3:$M$3,0)),"null")</f>
        <v>107.3755695536401</v>
      </c>
      <c r="AO4" s="82" cm="1">
        <f t="array" ref="AO4">_xlfn.IFNA(INDEX('Aviation Synfuel Data'!$G$4:$M$22,MATCH('Aviation Synfuel-TSData'!$B4&amp;'Aviation Synfuel-TSData'!$C4&amp;$E4,'Aviation Synfuel Data'!$C$4:$C$22&amp;'Aviation Synfuel Data'!$A$4:$A$22&amp;'Aviation Synfuel Data'!$D$4:$D$22,0),MATCH(AO$2,'Aviation Synfuel Data'!$G$3:$M$3,0)),"null")</f>
        <v>107.3755695536401</v>
      </c>
      <c r="AP4" s="82"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x14ac:dyDescent="0.25">
      <c r="B5" t="s">
        <v>255</v>
      </c>
      <c r="C5" t="s">
        <v>238</v>
      </c>
      <c r="D5" t="s">
        <v>236</v>
      </c>
      <c r="E5" t="s">
        <v>261</v>
      </c>
      <c r="F5" t="s">
        <v>258</v>
      </c>
      <c r="G5" t="s">
        <v>291</v>
      </c>
      <c r="H5" t="s">
        <v>236</v>
      </c>
      <c r="I5">
        <v>0</v>
      </c>
      <c r="J5" s="82" t="str" cm="1">
        <f t="array" ref="J5">_xlfn.IFNA(INDEX('Aviation Synfuel Data'!$G$4:$M$22,MATCH('Aviation Synfuel-TSData'!$B5&amp;'Aviation Synfuel-TSData'!$C5&amp;$D5,'Aviation Synfuel Data'!$C$4:$C$22&amp;'Aviation Synfuel Data'!$A$4:$A$22&amp;'Aviation Synfuel Data'!$D$4:$D$22,0),MATCH(J$2,'Aviation Synfuel Data'!$G$3:$M$3,0)),"null")</f>
        <v>null</v>
      </c>
      <c r="K5" s="82" t="str" cm="1">
        <f t="array" ref="K5">_xlfn.IFNA(INDEX('Aviation Synfuel Data'!$G$4:$M$22,MATCH('Aviation Synfuel-TSData'!$B5&amp;'Aviation Synfuel-TSData'!$C5&amp;$D5,'Aviation Synfuel Data'!$C$4:$C$22&amp;'Aviation Synfuel Data'!$A$4:$A$22&amp;'Aviation Synfuel Data'!$D$4:$D$22,0),MATCH(K$2,'Aviation Synfuel Data'!$G$3:$M$3,0)),"null")</f>
        <v>null</v>
      </c>
      <c r="L5" s="82" t="str" cm="1">
        <f t="array" ref="L5">_xlfn.IFNA(INDEX('Aviation Synfuel Data'!$G$4:$M$22,MATCH('Aviation Synfuel-TSData'!$B5&amp;'Aviation Synfuel-TSData'!$C5&amp;$D5,'Aviation Synfuel Data'!$C$4:$C$22&amp;'Aviation Synfuel Data'!$A$4:$A$22&amp;'Aviation Synfuel Data'!$D$4:$D$22,0),MATCH(L$2,'Aviation Synfuel Data'!$G$3:$M$3,0)),"null")</f>
        <v>null</v>
      </c>
      <c r="M5" s="82" t="str" cm="1">
        <f t="array" ref="M5">_xlfn.IFNA(INDEX('Aviation Synfuel Data'!$G$4:$M$22,MATCH('Aviation Synfuel-TSData'!$B5&amp;'Aviation Synfuel-TSData'!$C5&amp;$D5,'Aviation Synfuel Data'!$C$4:$C$22&amp;'Aviation Synfuel Data'!$A$4:$A$22&amp;'Aviation Synfuel Data'!$D$4:$D$22,0),MATCH(M$2,'Aviation Synfuel Data'!$G$3:$M$3,0)),"null")</f>
        <v>null</v>
      </c>
      <c r="N5" s="82" t="str" cm="1">
        <f t="array" ref="N5">_xlfn.IFNA(INDEX('Aviation Synfuel Data'!$G$4:$M$22,MATCH('Aviation Synfuel-TSData'!$B5&amp;'Aviation Synfuel-TSData'!$C5&amp;$D5,'Aviation Synfuel Data'!$C$4:$C$22&amp;'Aviation Synfuel Data'!$A$4:$A$22&amp;'Aviation Synfuel Data'!$D$4:$D$22,0),MATCH(N$2,'Aviation Synfuel Data'!$G$3:$M$3,0)),"null")</f>
        <v>null</v>
      </c>
      <c r="O5" s="82" t="str" cm="1">
        <f t="array" ref="O5">_xlfn.IFNA(INDEX('Aviation Synfuel Data'!$G$4:$M$22,MATCH('Aviation Synfuel-TSData'!$B5&amp;'Aviation Synfuel-TSData'!$C5&amp;$D5,'Aviation Synfuel Data'!$C$4:$C$22&amp;'Aviation Synfuel Data'!$A$4:$A$22&amp;'Aviation Synfuel Data'!$D$4:$D$22,0),MATCH(O$2,'Aviation Synfuel Data'!$G$3:$M$3,0)),"null")</f>
        <v>null</v>
      </c>
      <c r="P5" s="82" t="str" cm="1">
        <f t="array" ref="P5">_xlfn.IFNA(INDEX('Aviation Synfuel Data'!$G$4:$M$22,MATCH('Aviation Synfuel-TSData'!$B5&amp;'Aviation Synfuel-TSData'!$C5&amp;$D5,'Aviation Synfuel Data'!$C$4:$C$22&amp;'Aviation Synfuel Data'!$A$4:$A$22&amp;'Aviation Synfuel Data'!$D$4:$D$22,0),MATCH(P$2,'Aviation Synfuel Data'!$G$3:$M$3,0)),"null")</f>
        <v>null</v>
      </c>
      <c r="Q5" s="82" t="str" cm="1">
        <f t="array" ref="Q5">_xlfn.IFNA(INDEX('Aviation Synfuel Data'!$G$4:$M$22,MATCH('Aviation Synfuel-TSData'!$B5&amp;'Aviation Synfuel-TSData'!$C5&amp;$D5,'Aviation Synfuel Data'!$C$4:$C$22&amp;'Aviation Synfuel Data'!$A$4:$A$22&amp;'Aviation Synfuel Data'!$D$4:$D$22,0),MATCH(Q$2,'Aviation Synfuel Data'!$G$3:$M$3,0)),"null")</f>
        <v>null</v>
      </c>
      <c r="R5" s="82" cm="1">
        <f t="array" ref="R5">_xlfn.IFNA(INDEX('Aviation Synfuel Data'!$G$4:$M$22,MATCH('Aviation Synfuel-TSData'!$B5&amp;'Aviation Synfuel-TSData'!$C5&amp;$D5,'Aviation Synfuel Data'!$C$4:$C$22&amp;'Aviation Synfuel Data'!$A$4:$A$22&amp;'Aviation Synfuel Data'!$D$4:$D$22,0),MATCH(R$2,'Aviation Synfuel Data'!$G$3:$M$3,0)),"null")</f>
        <v>0.31638916581378673</v>
      </c>
      <c r="S5" s="82" t="str" cm="1">
        <f t="array" ref="S5">_xlfn.IFNA(INDEX('Aviation Synfuel Data'!$G$4:$M$22,MATCH('Aviation Synfuel-TSData'!$B5&amp;'Aviation Synfuel-TSData'!$C5&amp;$D5,'Aviation Synfuel Data'!$C$4:$C$22&amp;'Aviation Synfuel Data'!$A$4:$A$22&amp;'Aviation Synfuel Data'!$D$4:$D$22,0),MATCH(S$2,'Aviation Synfuel Data'!$G$3:$M$3,0)),"null")</f>
        <v>null</v>
      </c>
      <c r="T5" s="82" t="str" cm="1">
        <f t="array" ref="T5">_xlfn.IFNA(INDEX('Aviation Synfuel Data'!$G$4:$M$22,MATCH('Aviation Synfuel-TSData'!$B5&amp;'Aviation Synfuel-TSData'!$C5&amp;$D5,'Aviation Synfuel Data'!$C$4:$C$22&amp;'Aviation Synfuel Data'!$A$4:$A$22&amp;'Aviation Synfuel Data'!$D$4:$D$22,0),MATCH(T$2,'Aviation Synfuel Data'!$G$3:$M$3,0)),"null")</f>
        <v>null</v>
      </c>
      <c r="U5" s="82" t="str" cm="1">
        <f t="array" ref="U5">_xlfn.IFNA(INDEX('Aviation Synfuel Data'!$G$4:$M$22,MATCH('Aviation Synfuel-TSData'!$B5&amp;'Aviation Synfuel-TSData'!$C5&amp;$D5,'Aviation Synfuel Data'!$C$4:$C$22&amp;'Aviation Synfuel Data'!$A$4:$A$22&amp;'Aviation Synfuel Data'!$D$4:$D$22,0),MATCH(U$2,'Aviation Synfuel Data'!$G$3:$M$3,0)),"null")</f>
        <v>null</v>
      </c>
      <c r="V5" s="82" t="str" cm="1">
        <f t="array" ref="V5">_xlfn.IFNA(INDEX('Aviation Synfuel Data'!$G$4:$M$22,MATCH('Aviation Synfuel-TSData'!$B5&amp;'Aviation Synfuel-TSData'!$C5&amp;$D5,'Aviation Synfuel Data'!$C$4:$C$22&amp;'Aviation Synfuel Data'!$A$4:$A$22&amp;'Aviation Synfuel Data'!$D$4:$D$22,0),MATCH(V$2,'Aviation Synfuel Data'!$G$3:$M$3,0)),"null")</f>
        <v>null</v>
      </c>
      <c r="W5" s="82" t="str" cm="1">
        <f t="array" ref="W5">_xlfn.IFNA(INDEX('Aviation Synfuel Data'!$G$4:$M$22,MATCH('Aviation Synfuel-TSData'!$B5&amp;'Aviation Synfuel-TSData'!$C5&amp;$D5,'Aviation Synfuel Data'!$C$4:$C$22&amp;'Aviation Synfuel Data'!$A$4:$A$22&amp;'Aviation Synfuel Data'!$D$4:$D$22,0),MATCH(W$2,'Aviation Synfuel Data'!$G$3:$M$3,0)),"null")</f>
        <v>null</v>
      </c>
      <c r="X5" s="82" t="str" cm="1">
        <f t="array" ref="X5">_xlfn.IFNA(INDEX('Aviation Synfuel Data'!$G$4:$M$22,MATCH('Aviation Synfuel-TSData'!$B5&amp;'Aviation Synfuel-TSData'!$C5&amp;$D5,'Aviation Synfuel Data'!$C$4:$C$22&amp;'Aviation Synfuel Data'!$A$4:$A$22&amp;'Aviation Synfuel Data'!$D$4:$D$22,0),MATCH(X$2,'Aviation Synfuel Data'!$G$3:$M$3,0)),"null")</f>
        <v>null</v>
      </c>
      <c r="Y5" s="82" t="str" cm="1">
        <f t="array" ref="Y5">_xlfn.IFNA(INDEX('Aviation Synfuel Data'!$G$4:$M$22,MATCH('Aviation Synfuel-TSData'!$B5&amp;'Aviation Synfuel-TSData'!$C5&amp;$D5,'Aviation Synfuel Data'!$C$4:$C$22&amp;'Aviation Synfuel Data'!$A$4:$A$22&amp;'Aviation Synfuel Data'!$D$4:$D$22,0),MATCH(Y$2,'Aviation Synfuel Data'!$G$3:$M$3,0)),"null")</f>
        <v>null</v>
      </c>
      <c r="Z5" s="82" t="str" cm="1">
        <f t="array" ref="Z5">_xlfn.IFNA(INDEX('Aviation Synfuel Data'!$G$4:$M$22,MATCH('Aviation Synfuel-TSData'!$B5&amp;'Aviation Synfuel-TSData'!$C5&amp;$D5,'Aviation Synfuel Data'!$C$4:$C$22&amp;'Aviation Synfuel Data'!$A$4:$A$22&amp;'Aviation Synfuel Data'!$D$4:$D$22,0),MATCH(Z$2,'Aviation Synfuel Data'!$G$3:$M$3,0)),"null")</f>
        <v>null</v>
      </c>
      <c r="AA5" s="82" t="str" cm="1">
        <f t="array" ref="AA5">_xlfn.IFNA(INDEX('Aviation Synfuel Data'!$G$4:$M$22,MATCH('Aviation Synfuel-TSData'!$B5&amp;'Aviation Synfuel-TSData'!$C5&amp;$D5,'Aviation Synfuel Data'!$C$4:$C$22&amp;'Aviation Synfuel Data'!$A$4:$A$22&amp;'Aviation Synfuel Data'!$D$4:$D$22,0),MATCH(AA$2,'Aviation Synfuel Data'!$G$3:$M$3,0)),"null")</f>
        <v>null</v>
      </c>
      <c r="AB5" s="82" cm="1">
        <f t="array" ref="AB5">_xlfn.IFNA(INDEX('Aviation Synfuel Data'!$G$4:$M$22,MATCH('Aviation Synfuel-TSData'!$B5&amp;'Aviation Synfuel-TSData'!$C5&amp;$D5,'Aviation Synfuel Data'!$C$4:$C$22&amp;'Aviation Synfuel Data'!$A$4:$A$22&amp;'Aviation Synfuel Data'!$D$4:$D$22,0),MATCH(AB$2,'Aviation Synfuel Data'!$G$3:$M$3,0)),"null")</f>
        <v>0.31638916581378673</v>
      </c>
      <c r="AC5" s="82" t="str" cm="1">
        <f t="array" ref="AC5">_xlfn.IFNA(INDEX('Aviation Synfuel Data'!$G$4:$M$22,MATCH('Aviation Synfuel-TSData'!$B5&amp;'Aviation Synfuel-TSData'!$C5&amp;$D5,'Aviation Synfuel Data'!$C$4:$C$22&amp;'Aviation Synfuel Data'!$A$4:$A$22&amp;'Aviation Synfuel Data'!$D$4:$D$22,0),MATCH(AC$2,'Aviation Synfuel Data'!$G$3:$M$3,0)),"null")</f>
        <v>null</v>
      </c>
      <c r="AD5" s="82" t="str" cm="1">
        <f t="array" ref="AD5">_xlfn.IFNA(INDEX('Aviation Synfuel Data'!$G$4:$M$22,MATCH('Aviation Synfuel-TSData'!$B5&amp;'Aviation Synfuel-TSData'!$C5&amp;$D5,'Aviation Synfuel Data'!$C$4:$C$22&amp;'Aviation Synfuel Data'!$A$4:$A$22&amp;'Aviation Synfuel Data'!$D$4:$D$22,0),MATCH(AD$2,'Aviation Synfuel Data'!$G$3:$M$3,0)),"null")</f>
        <v>null</v>
      </c>
      <c r="AE5" s="82" t="str" cm="1">
        <f t="array" ref="AE5">_xlfn.IFNA(INDEX('Aviation Synfuel Data'!$G$4:$M$22,MATCH('Aviation Synfuel-TSData'!$B5&amp;'Aviation Synfuel-TSData'!$C5&amp;$D5,'Aviation Synfuel Data'!$C$4:$C$22&amp;'Aviation Synfuel Data'!$A$4:$A$22&amp;'Aviation Synfuel Data'!$D$4:$D$22,0),MATCH(AE$2,'Aviation Synfuel Data'!$G$3:$M$3,0)),"null")</f>
        <v>null</v>
      </c>
      <c r="AF5" s="82" t="str" cm="1">
        <f t="array" ref="AF5">_xlfn.IFNA(INDEX('Aviation Synfuel Data'!$G$4:$M$22,MATCH('Aviation Synfuel-TSData'!$B5&amp;'Aviation Synfuel-TSData'!$C5&amp;$D5,'Aviation Synfuel Data'!$C$4:$C$22&amp;'Aviation Synfuel Data'!$A$4:$A$22&amp;'Aviation Synfuel Data'!$D$4:$D$22,0),MATCH(AF$2,'Aviation Synfuel Data'!$G$3:$M$3,0)),"null")</f>
        <v>null</v>
      </c>
      <c r="AG5" s="82" cm="1">
        <f t="array" ref="AG5">_xlfn.IFNA(INDEX('Aviation Synfuel Data'!$G$4:$M$22,MATCH('Aviation Synfuel-TSData'!$B5&amp;'Aviation Synfuel-TSData'!$C5&amp;$D5,'Aviation Synfuel Data'!$C$4:$C$22&amp;'Aviation Synfuel Data'!$A$4:$A$22&amp;'Aviation Synfuel Data'!$D$4:$D$22,0),MATCH(AG$2,'Aviation Synfuel Data'!$G$3:$M$3,0)),"null")</f>
        <v>0.31638916581378673</v>
      </c>
      <c r="AH5" s="82" t="str" cm="1">
        <f t="array" ref="AH5">_xlfn.IFNA(INDEX('Aviation Synfuel Data'!$G$4:$M$22,MATCH('Aviation Synfuel-TSData'!$B5&amp;'Aviation Synfuel-TSData'!$C5&amp;$D5,'Aviation Synfuel Data'!$C$4:$C$22&amp;'Aviation Synfuel Data'!$A$4:$A$22&amp;'Aviation Synfuel Data'!$D$4:$D$22,0),MATCH(AH$2,'Aviation Synfuel Data'!$G$3:$M$3,0)),"null")</f>
        <v>null</v>
      </c>
      <c r="AI5" s="82" t="str" cm="1">
        <f t="array" ref="AI5">_xlfn.IFNA(INDEX('Aviation Synfuel Data'!$G$4:$M$22,MATCH('Aviation Synfuel-TSData'!$B5&amp;'Aviation Synfuel-TSData'!$C5&amp;$D5,'Aviation Synfuel Data'!$C$4:$C$22&amp;'Aviation Synfuel Data'!$A$4:$A$22&amp;'Aviation Synfuel Data'!$D$4:$D$22,0),MATCH(AI$2,'Aviation Synfuel Data'!$G$3:$M$3,0)),"null")</f>
        <v>null</v>
      </c>
      <c r="AJ5" s="82" t="str" cm="1">
        <f t="array" ref="AJ5">_xlfn.IFNA(INDEX('Aviation Synfuel Data'!$G$4:$M$22,MATCH('Aviation Synfuel-TSData'!$B5&amp;'Aviation Synfuel-TSData'!$C5&amp;$D5,'Aviation Synfuel Data'!$C$4:$C$22&amp;'Aviation Synfuel Data'!$A$4:$A$22&amp;'Aviation Synfuel Data'!$D$4:$D$22,0),MATCH(AJ$2,'Aviation Synfuel Data'!$G$3:$M$3,0)),"null")</f>
        <v>null</v>
      </c>
      <c r="AK5" s="82" t="str" cm="1">
        <f t="array" ref="AK5">_xlfn.IFNA(INDEX('Aviation Synfuel Data'!$G$4:$M$22,MATCH('Aviation Synfuel-TSData'!$B5&amp;'Aviation Synfuel-TSData'!$C5&amp;$D5,'Aviation Synfuel Data'!$C$4:$C$22&amp;'Aviation Synfuel Data'!$A$4:$A$22&amp;'Aviation Synfuel Data'!$D$4:$D$22,0),MATCH(AK$2,'Aviation Synfuel Data'!$G$3:$M$3,0)),"null")</f>
        <v>null</v>
      </c>
      <c r="AL5" s="82" cm="1">
        <f t="array" ref="AL5">_xlfn.IFNA(INDEX('Aviation Synfuel Data'!$G$4:$M$22,MATCH('Aviation Synfuel-TSData'!$B5&amp;'Aviation Synfuel-TSData'!$C5&amp;$D5,'Aviation Synfuel Data'!$C$4:$C$22&amp;'Aviation Synfuel Data'!$A$4:$A$22&amp;'Aviation Synfuel Data'!$D$4:$D$22,0),MATCH(AL$2,'Aviation Synfuel Data'!$G$3:$M$3,0)),"null")</f>
        <v>0.31638916581378673</v>
      </c>
      <c r="AM5" s="82" t="str" cm="1">
        <f t="array" ref="AM5">_xlfn.IFNA(INDEX('Aviation Synfuel Data'!$G$4:$M$22,MATCH('Aviation Synfuel-TSData'!$B5&amp;'Aviation Synfuel-TSData'!$C5&amp;$D5,'Aviation Synfuel Data'!$C$4:$C$22&amp;'Aviation Synfuel Data'!$A$4:$A$22&amp;'Aviation Synfuel Data'!$D$4:$D$22,0),MATCH(AM$2,'Aviation Synfuel Data'!$G$3:$M$3,0)),"null")</f>
        <v>null</v>
      </c>
      <c r="AN5" s="82" cm="1">
        <f t="array" ref="AN5">_xlfn.IFNA(INDEX('Aviation Synfuel Data'!$G$4:$M$22,MATCH('Aviation Synfuel-TSData'!$B5&amp;'Aviation Synfuel-TSData'!$C5&amp;$D5,'Aviation Synfuel Data'!$C$4:$C$22&amp;'Aviation Synfuel Data'!$A$4:$A$22&amp;'Aviation Synfuel Data'!$D$4:$D$22,0),MATCH(AN$2,'Aviation Synfuel Data'!$G$3:$M$3,0)),"null")</f>
        <v>0.31638916581378673</v>
      </c>
      <c r="AO5" s="82" cm="1">
        <f t="array" ref="AO5">_xlfn.IFNA(INDEX('Aviation Synfuel Data'!$G$4:$M$22,MATCH('Aviation Synfuel-TSData'!$B5&amp;'Aviation Synfuel-TSData'!$C5&amp;$D5,'Aviation Synfuel Data'!$C$4:$C$22&amp;'Aviation Synfuel Data'!$A$4:$A$22&amp;'Aviation Synfuel Data'!$D$4:$D$22,0),MATCH(AO$2,'Aviation Synfuel Data'!$G$3:$M$3,0)),"null")</f>
        <v>0.31638916581378673</v>
      </c>
      <c r="AP5" s="82"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x14ac:dyDescent="0.25">
      <c r="B6" t="s">
        <v>249</v>
      </c>
      <c r="C6" t="s">
        <v>238</v>
      </c>
      <c r="D6" t="str">
        <f>'Aviation Synfuel Data'!D8</f>
        <v>OAG</v>
      </c>
      <c r="E6" t="s">
        <v>258</v>
      </c>
      <c r="F6" t="s">
        <v>236</v>
      </c>
      <c r="G6" t="s">
        <v>291</v>
      </c>
      <c r="H6" t="s">
        <v>241</v>
      </c>
      <c r="I6">
        <v>3</v>
      </c>
      <c r="J6" s="82" t="str" cm="1">
        <f t="array" ref="J6">_xlfn.IFNA(INDEX('Aviation Synfuel Data'!$G$4:$M$22,MATCH('Aviation Synfuel-TSData'!$B6&amp;'Aviation Synfuel-TSData'!$C6&amp;$D6,'Aviation Synfuel Data'!$C$4:$C$22&amp;'Aviation Synfuel Data'!$A$4:$A$22&amp;'Aviation Synfuel Data'!$D$4:$D$22,0),MATCH(J$2,'Aviation Synfuel Data'!$G$3:$M$3,0)),"null")</f>
        <v>null</v>
      </c>
      <c r="K6" s="82" t="str" cm="1">
        <f t="array" ref="K6">_xlfn.IFNA(INDEX('Aviation Synfuel Data'!$G$4:$M$22,MATCH('Aviation Synfuel-TSData'!$B6&amp;'Aviation Synfuel-TSData'!$C6&amp;$D6,'Aviation Synfuel Data'!$C$4:$C$22&amp;'Aviation Synfuel Data'!$A$4:$A$22&amp;'Aviation Synfuel Data'!$D$4:$D$22,0),MATCH(K$2,'Aviation Synfuel Data'!$G$3:$M$3,0)),"null")</f>
        <v>null</v>
      </c>
      <c r="L6" s="82" t="str" cm="1">
        <f t="array" ref="L6">_xlfn.IFNA(INDEX('Aviation Synfuel Data'!$G$4:$M$22,MATCH('Aviation Synfuel-TSData'!$B6&amp;'Aviation Synfuel-TSData'!$C6&amp;$D6,'Aviation Synfuel Data'!$C$4:$C$22&amp;'Aviation Synfuel Data'!$A$4:$A$22&amp;'Aviation Synfuel Data'!$D$4:$D$22,0),MATCH(L$2,'Aviation Synfuel Data'!$G$3:$M$3,0)),"null")</f>
        <v>null</v>
      </c>
      <c r="M6" s="82" t="str" cm="1">
        <f t="array" ref="M6">_xlfn.IFNA(INDEX('Aviation Synfuel Data'!$G$4:$M$22,MATCH('Aviation Synfuel-TSData'!$B6&amp;'Aviation Synfuel-TSData'!$C6&amp;$D6,'Aviation Synfuel Data'!$C$4:$C$22&amp;'Aviation Synfuel Data'!$A$4:$A$22&amp;'Aviation Synfuel Data'!$D$4:$D$22,0),MATCH(M$2,'Aviation Synfuel Data'!$G$3:$M$3,0)),"null")</f>
        <v>null</v>
      </c>
      <c r="N6" s="82" t="str" cm="1">
        <f t="array" ref="N6">_xlfn.IFNA(INDEX('Aviation Synfuel Data'!$G$4:$M$22,MATCH('Aviation Synfuel-TSData'!$B6&amp;'Aviation Synfuel-TSData'!$C6&amp;$D6,'Aviation Synfuel Data'!$C$4:$C$22&amp;'Aviation Synfuel Data'!$A$4:$A$22&amp;'Aviation Synfuel Data'!$D$4:$D$22,0),MATCH(N$2,'Aviation Synfuel Data'!$G$3:$M$3,0)),"null")</f>
        <v>null</v>
      </c>
      <c r="O6" s="82" t="str" cm="1">
        <f t="array" ref="O6">_xlfn.IFNA(INDEX('Aviation Synfuel Data'!$G$4:$M$22,MATCH('Aviation Synfuel-TSData'!$B6&amp;'Aviation Synfuel-TSData'!$C6&amp;$D6,'Aviation Synfuel Data'!$C$4:$C$22&amp;'Aviation Synfuel Data'!$A$4:$A$22&amp;'Aviation Synfuel Data'!$D$4:$D$22,0),MATCH(O$2,'Aviation Synfuel Data'!$G$3:$M$3,0)),"null")</f>
        <v>null</v>
      </c>
      <c r="P6" s="82" t="str" cm="1">
        <f t="array" ref="P6">_xlfn.IFNA(INDEX('Aviation Synfuel Data'!$G$4:$M$22,MATCH('Aviation Synfuel-TSData'!$B6&amp;'Aviation Synfuel-TSData'!$C6&amp;$D6,'Aviation Synfuel Data'!$C$4:$C$22&amp;'Aviation Synfuel Data'!$A$4:$A$22&amp;'Aviation Synfuel Data'!$D$4:$D$22,0),MATCH(P$2,'Aviation Synfuel Data'!$G$3:$M$3,0)),"null")</f>
        <v>null</v>
      </c>
      <c r="Q6" s="82" t="str" cm="1">
        <f t="array" ref="Q6">_xlfn.IFNA(INDEX('Aviation Synfuel Data'!$G$4:$M$22,MATCH('Aviation Synfuel-TSData'!$B6&amp;'Aviation Synfuel-TSData'!$C6&amp;$D6,'Aviation Synfuel Data'!$C$4:$C$22&amp;'Aviation Synfuel Data'!$A$4:$A$22&amp;'Aviation Synfuel Data'!$D$4:$D$22,0),MATCH(Q$2,'Aviation Synfuel Data'!$G$3:$M$3,0)),"null")</f>
        <v>null</v>
      </c>
      <c r="R6" s="82" cm="1">
        <f t="array" ref="R6">_xlfn.IFNA(INDEX('Aviation Synfuel Data'!$G$4:$M$22,MATCH('Aviation Synfuel-TSData'!$B6&amp;'Aviation Synfuel-TSData'!$C6&amp;$D6,'Aviation Synfuel Data'!$C$4:$C$22&amp;'Aviation Synfuel Data'!$A$4:$A$22&amp;'Aviation Synfuel Data'!$D$4:$D$22,0),MATCH(R$2,'Aviation Synfuel Data'!$G$3:$M$3,0)),"null")</f>
        <v>0.5118329249859862</v>
      </c>
      <c r="S6" s="82" t="str" cm="1">
        <f t="array" ref="S6">_xlfn.IFNA(INDEX('Aviation Synfuel Data'!$G$4:$M$22,MATCH('Aviation Synfuel-TSData'!$B6&amp;'Aviation Synfuel-TSData'!$C6&amp;$D6,'Aviation Synfuel Data'!$C$4:$C$22&amp;'Aviation Synfuel Data'!$A$4:$A$22&amp;'Aviation Synfuel Data'!$D$4:$D$22,0),MATCH(S$2,'Aviation Synfuel Data'!$G$3:$M$3,0)),"null")</f>
        <v>null</v>
      </c>
      <c r="T6" s="82" t="str" cm="1">
        <f t="array" ref="T6">_xlfn.IFNA(INDEX('Aviation Synfuel Data'!$G$4:$M$22,MATCH('Aviation Synfuel-TSData'!$B6&amp;'Aviation Synfuel-TSData'!$C6&amp;$D6,'Aviation Synfuel Data'!$C$4:$C$22&amp;'Aviation Synfuel Data'!$A$4:$A$22&amp;'Aviation Synfuel Data'!$D$4:$D$22,0),MATCH(T$2,'Aviation Synfuel Data'!$G$3:$M$3,0)),"null")</f>
        <v>null</v>
      </c>
      <c r="U6" s="82" t="str" cm="1">
        <f t="array" ref="U6">_xlfn.IFNA(INDEX('Aviation Synfuel Data'!$G$4:$M$22,MATCH('Aviation Synfuel-TSData'!$B6&amp;'Aviation Synfuel-TSData'!$C6&amp;$D6,'Aviation Synfuel Data'!$C$4:$C$22&amp;'Aviation Synfuel Data'!$A$4:$A$22&amp;'Aviation Synfuel Data'!$D$4:$D$22,0),MATCH(U$2,'Aviation Synfuel Data'!$G$3:$M$3,0)),"null")</f>
        <v>null</v>
      </c>
      <c r="V6" s="82" t="str" cm="1">
        <f t="array" ref="V6">_xlfn.IFNA(INDEX('Aviation Synfuel Data'!$G$4:$M$22,MATCH('Aviation Synfuel-TSData'!$B6&amp;'Aviation Synfuel-TSData'!$C6&amp;$D6,'Aviation Synfuel Data'!$C$4:$C$22&amp;'Aviation Synfuel Data'!$A$4:$A$22&amp;'Aviation Synfuel Data'!$D$4:$D$22,0),MATCH(V$2,'Aviation Synfuel Data'!$G$3:$M$3,0)),"null")</f>
        <v>null</v>
      </c>
      <c r="W6" s="82" t="str" cm="1">
        <f t="array" ref="W6">_xlfn.IFNA(INDEX('Aviation Synfuel Data'!$G$4:$M$22,MATCH('Aviation Synfuel-TSData'!$B6&amp;'Aviation Synfuel-TSData'!$C6&amp;$D6,'Aviation Synfuel Data'!$C$4:$C$22&amp;'Aviation Synfuel Data'!$A$4:$A$22&amp;'Aviation Synfuel Data'!$D$4:$D$22,0),MATCH(W$2,'Aviation Synfuel Data'!$G$3:$M$3,0)),"null")</f>
        <v>null</v>
      </c>
      <c r="X6" s="82" t="str" cm="1">
        <f t="array" ref="X6">_xlfn.IFNA(INDEX('Aviation Synfuel Data'!$G$4:$M$22,MATCH('Aviation Synfuel-TSData'!$B6&amp;'Aviation Synfuel-TSData'!$C6&amp;$D6,'Aviation Synfuel Data'!$C$4:$C$22&amp;'Aviation Synfuel Data'!$A$4:$A$22&amp;'Aviation Synfuel Data'!$D$4:$D$22,0),MATCH(X$2,'Aviation Synfuel Data'!$G$3:$M$3,0)),"null")</f>
        <v>null</v>
      </c>
      <c r="Y6" s="82" t="str" cm="1">
        <f t="array" ref="Y6">_xlfn.IFNA(INDEX('Aviation Synfuel Data'!$G$4:$M$22,MATCH('Aviation Synfuel-TSData'!$B6&amp;'Aviation Synfuel-TSData'!$C6&amp;$D6,'Aviation Synfuel Data'!$C$4:$C$22&amp;'Aviation Synfuel Data'!$A$4:$A$22&amp;'Aviation Synfuel Data'!$D$4:$D$22,0),MATCH(Y$2,'Aviation Synfuel Data'!$G$3:$M$3,0)),"null")</f>
        <v>null</v>
      </c>
      <c r="Z6" s="82" t="str" cm="1">
        <f t="array" ref="Z6">_xlfn.IFNA(INDEX('Aviation Synfuel Data'!$G$4:$M$22,MATCH('Aviation Synfuel-TSData'!$B6&amp;'Aviation Synfuel-TSData'!$C6&amp;$D6,'Aviation Synfuel Data'!$C$4:$C$22&amp;'Aviation Synfuel Data'!$A$4:$A$22&amp;'Aviation Synfuel Data'!$D$4:$D$22,0),MATCH(Z$2,'Aviation Synfuel Data'!$G$3:$M$3,0)),"null")</f>
        <v>null</v>
      </c>
      <c r="AA6" s="82" t="str" cm="1">
        <f t="array" ref="AA6">_xlfn.IFNA(INDEX('Aviation Synfuel Data'!$G$4:$M$22,MATCH('Aviation Synfuel-TSData'!$B6&amp;'Aviation Synfuel-TSData'!$C6&amp;$D6,'Aviation Synfuel Data'!$C$4:$C$22&amp;'Aviation Synfuel Data'!$A$4:$A$22&amp;'Aviation Synfuel Data'!$D$4:$D$22,0),MATCH(AA$2,'Aviation Synfuel Data'!$G$3:$M$3,0)),"null")</f>
        <v>null</v>
      </c>
      <c r="AB6" s="82" cm="1">
        <f t="array" ref="AB6">_xlfn.IFNA(INDEX('Aviation Synfuel Data'!$G$4:$M$22,MATCH('Aviation Synfuel-TSData'!$B6&amp;'Aviation Synfuel-TSData'!$C6&amp;$D6,'Aviation Synfuel Data'!$C$4:$C$22&amp;'Aviation Synfuel Data'!$A$4:$A$22&amp;'Aviation Synfuel Data'!$D$4:$D$22,0),MATCH(AB$2,'Aviation Synfuel Data'!$G$3:$M$3,0)),"null")</f>
        <v>0.05</v>
      </c>
      <c r="AC6" s="82" t="str" cm="1">
        <f t="array" ref="AC6">_xlfn.IFNA(INDEX('Aviation Synfuel Data'!$G$4:$M$22,MATCH('Aviation Synfuel-TSData'!$B6&amp;'Aviation Synfuel-TSData'!$C6&amp;$D6,'Aviation Synfuel Data'!$C$4:$C$22&amp;'Aviation Synfuel Data'!$A$4:$A$22&amp;'Aviation Synfuel Data'!$D$4:$D$22,0),MATCH(AC$2,'Aviation Synfuel Data'!$G$3:$M$3,0)),"null")</f>
        <v>null</v>
      </c>
      <c r="AD6" s="82" t="str" cm="1">
        <f t="array" ref="AD6">_xlfn.IFNA(INDEX('Aviation Synfuel Data'!$G$4:$M$22,MATCH('Aviation Synfuel-TSData'!$B6&amp;'Aviation Synfuel-TSData'!$C6&amp;$D6,'Aviation Synfuel Data'!$C$4:$C$22&amp;'Aviation Synfuel Data'!$A$4:$A$22&amp;'Aviation Synfuel Data'!$D$4:$D$22,0),MATCH(AD$2,'Aviation Synfuel Data'!$G$3:$M$3,0)),"null")</f>
        <v>null</v>
      </c>
      <c r="AE6" s="82" t="str" cm="1">
        <f t="array" ref="AE6">_xlfn.IFNA(INDEX('Aviation Synfuel Data'!$G$4:$M$22,MATCH('Aviation Synfuel-TSData'!$B6&amp;'Aviation Synfuel-TSData'!$C6&amp;$D6,'Aviation Synfuel Data'!$C$4:$C$22&amp;'Aviation Synfuel Data'!$A$4:$A$22&amp;'Aviation Synfuel Data'!$D$4:$D$22,0),MATCH(AE$2,'Aviation Synfuel Data'!$G$3:$M$3,0)),"null")</f>
        <v>null</v>
      </c>
      <c r="AF6" s="82" t="str" cm="1">
        <f t="array" ref="AF6">_xlfn.IFNA(INDEX('Aviation Synfuel Data'!$G$4:$M$22,MATCH('Aviation Synfuel-TSData'!$B6&amp;'Aviation Synfuel-TSData'!$C6&amp;$D6,'Aviation Synfuel Data'!$C$4:$C$22&amp;'Aviation Synfuel Data'!$A$4:$A$22&amp;'Aviation Synfuel Data'!$D$4:$D$22,0),MATCH(AF$2,'Aviation Synfuel Data'!$G$3:$M$3,0)),"null")</f>
        <v>null</v>
      </c>
      <c r="AG6" s="82" cm="1">
        <f t="array" ref="AG6">_xlfn.IFNA(INDEX('Aviation Synfuel Data'!$G$4:$M$22,MATCH('Aviation Synfuel-TSData'!$B6&amp;'Aviation Synfuel-TSData'!$C6&amp;$D6,'Aviation Synfuel Data'!$C$4:$C$22&amp;'Aviation Synfuel Data'!$A$4:$A$22&amp;'Aviation Synfuel Data'!$D$4:$D$22,0),MATCH(AG$2,'Aviation Synfuel Data'!$G$3:$M$3,0)),"null")</f>
        <v>0.05</v>
      </c>
      <c r="AH6" s="82" t="str" cm="1">
        <f t="array" ref="AH6">_xlfn.IFNA(INDEX('Aviation Synfuel Data'!$G$4:$M$22,MATCH('Aviation Synfuel-TSData'!$B6&amp;'Aviation Synfuel-TSData'!$C6&amp;$D6,'Aviation Synfuel Data'!$C$4:$C$22&amp;'Aviation Synfuel Data'!$A$4:$A$22&amp;'Aviation Synfuel Data'!$D$4:$D$22,0),MATCH(AH$2,'Aviation Synfuel Data'!$G$3:$M$3,0)),"null")</f>
        <v>null</v>
      </c>
      <c r="AI6" s="82" t="str" cm="1">
        <f t="array" ref="AI6">_xlfn.IFNA(INDEX('Aviation Synfuel Data'!$G$4:$M$22,MATCH('Aviation Synfuel-TSData'!$B6&amp;'Aviation Synfuel-TSData'!$C6&amp;$D6,'Aviation Synfuel Data'!$C$4:$C$22&amp;'Aviation Synfuel Data'!$A$4:$A$22&amp;'Aviation Synfuel Data'!$D$4:$D$22,0),MATCH(AI$2,'Aviation Synfuel Data'!$G$3:$M$3,0)),"null")</f>
        <v>null</v>
      </c>
      <c r="AJ6" s="82" t="str" cm="1">
        <f t="array" ref="AJ6">_xlfn.IFNA(INDEX('Aviation Synfuel Data'!$G$4:$M$22,MATCH('Aviation Synfuel-TSData'!$B6&amp;'Aviation Synfuel-TSData'!$C6&amp;$D6,'Aviation Synfuel Data'!$C$4:$C$22&amp;'Aviation Synfuel Data'!$A$4:$A$22&amp;'Aviation Synfuel Data'!$D$4:$D$22,0),MATCH(AJ$2,'Aviation Synfuel Data'!$G$3:$M$3,0)),"null")</f>
        <v>null</v>
      </c>
      <c r="AK6" s="82" t="str" cm="1">
        <f t="array" ref="AK6">_xlfn.IFNA(INDEX('Aviation Synfuel Data'!$G$4:$M$22,MATCH('Aviation Synfuel-TSData'!$B6&amp;'Aviation Synfuel-TSData'!$C6&amp;$D6,'Aviation Synfuel Data'!$C$4:$C$22&amp;'Aviation Synfuel Data'!$A$4:$A$22&amp;'Aviation Synfuel Data'!$D$4:$D$22,0),MATCH(AK$2,'Aviation Synfuel Data'!$G$3:$M$3,0)),"null")</f>
        <v>null</v>
      </c>
      <c r="AL6" s="82" cm="1">
        <f t="array" ref="AL6">_xlfn.IFNA(INDEX('Aviation Synfuel Data'!$G$4:$M$22,MATCH('Aviation Synfuel-TSData'!$B6&amp;'Aviation Synfuel-TSData'!$C6&amp;$D6,'Aviation Synfuel Data'!$C$4:$C$22&amp;'Aviation Synfuel Data'!$A$4:$A$22&amp;'Aviation Synfuel Data'!$D$4:$D$22,0),MATCH(AL$2,'Aviation Synfuel Data'!$G$3:$M$3,0)),"null")</f>
        <v>0.05</v>
      </c>
      <c r="AM6" s="82" t="str" cm="1">
        <f t="array" ref="AM6">_xlfn.IFNA(INDEX('Aviation Synfuel Data'!$G$4:$M$22,MATCH('Aviation Synfuel-TSData'!$B6&amp;'Aviation Synfuel-TSData'!$C6&amp;$D6,'Aviation Synfuel Data'!$C$4:$C$22&amp;'Aviation Synfuel Data'!$A$4:$A$22&amp;'Aviation Synfuel Data'!$D$4:$D$22,0),MATCH(AM$2,'Aviation Synfuel Data'!$G$3:$M$3,0)),"null")</f>
        <v>null</v>
      </c>
      <c r="AN6" s="82" cm="1">
        <f t="array" ref="AN6">_xlfn.IFNA(INDEX('Aviation Synfuel Data'!$G$4:$M$22,MATCH('Aviation Synfuel-TSData'!$B6&amp;'Aviation Synfuel-TSData'!$C6&amp;$D6,'Aviation Synfuel Data'!$C$4:$C$22&amp;'Aviation Synfuel Data'!$A$4:$A$22&amp;'Aviation Synfuel Data'!$D$4:$D$22,0),MATCH(AN$2,'Aviation Synfuel Data'!$G$3:$M$3,0)),"null")</f>
        <v>0.05</v>
      </c>
      <c r="AO6" s="82" cm="1">
        <f t="array" ref="AO6">_xlfn.IFNA(INDEX('Aviation Synfuel Data'!$G$4:$M$22,MATCH('Aviation Synfuel-TSData'!$B6&amp;'Aviation Synfuel-TSData'!$C6&amp;$D6,'Aviation Synfuel Data'!$C$4:$C$22&amp;'Aviation Synfuel Data'!$A$4:$A$22&amp;'Aviation Synfuel Data'!$D$4:$D$22,0),MATCH(AO$2,'Aviation Synfuel Data'!$G$3:$M$3,0)),"null")</f>
        <v>0.05</v>
      </c>
      <c r="AP6" s="82" cm="1">
        <f t="array" ref="AP6">_xlfn.IFNA(INDEX('Aviation Synfuel Data'!$G$4:$M$22,MATCH('Aviation Synfuel-TSData'!$B6&amp;'Aviation Synfuel-TSData'!$C6&amp;$D6,'Aviation Synfuel Data'!$C$4:$C$22&amp;'Aviation Synfuel Data'!$A$4:$A$22&amp;'Aviation Synfuel Data'!$D$4:$D$22,0),MATCH(AP$2,'Aviation Synfuel Data'!$G$3:$M$3,0)),"null")</f>
        <v>0.05</v>
      </c>
    </row>
    <row r="7" spans="1:42" x14ac:dyDescent="0.25">
      <c r="B7" t="s">
        <v>249</v>
      </c>
      <c r="C7" t="s">
        <v>238</v>
      </c>
      <c r="D7" t="str">
        <f>'Aviation Synfuel Data'!D9</f>
        <v>OKG</v>
      </c>
      <c r="E7" t="s">
        <v>258</v>
      </c>
      <c r="F7" t="s">
        <v>236</v>
      </c>
      <c r="G7" t="s">
        <v>291</v>
      </c>
      <c r="H7" t="s">
        <v>241</v>
      </c>
      <c r="I7">
        <v>3</v>
      </c>
      <c r="J7" s="82" t="str" cm="1">
        <f t="array" ref="J7">_xlfn.IFNA(INDEX('Aviation Synfuel Data'!$G$4:$M$22,MATCH('Aviation Synfuel-TSData'!$B7&amp;'Aviation Synfuel-TSData'!$C7&amp;$D7,'Aviation Synfuel Data'!$C$4:$C$22&amp;'Aviation Synfuel Data'!$A$4:$A$22&amp;'Aviation Synfuel Data'!$D$4:$D$22,0),MATCH(J$2,'Aviation Synfuel Data'!$G$3:$M$3,0)),"null")</f>
        <v>null</v>
      </c>
      <c r="K7" s="82" t="str" cm="1">
        <f t="array" ref="K7">_xlfn.IFNA(INDEX('Aviation Synfuel Data'!$G$4:$M$22,MATCH('Aviation Synfuel-TSData'!$B7&amp;'Aviation Synfuel-TSData'!$C7&amp;$D7,'Aviation Synfuel Data'!$C$4:$C$22&amp;'Aviation Synfuel Data'!$A$4:$A$22&amp;'Aviation Synfuel Data'!$D$4:$D$22,0),MATCH(K$2,'Aviation Synfuel Data'!$G$3:$M$3,0)),"null")</f>
        <v>null</v>
      </c>
      <c r="L7" s="82" t="str" cm="1">
        <f t="array" ref="L7">_xlfn.IFNA(INDEX('Aviation Synfuel Data'!$G$4:$M$22,MATCH('Aviation Synfuel-TSData'!$B7&amp;'Aviation Synfuel-TSData'!$C7&amp;$D7,'Aviation Synfuel Data'!$C$4:$C$22&amp;'Aviation Synfuel Data'!$A$4:$A$22&amp;'Aviation Synfuel Data'!$D$4:$D$22,0),MATCH(L$2,'Aviation Synfuel Data'!$G$3:$M$3,0)),"null")</f>
        <v>null</v>
      </c>
      <c r="M7" s="82" t="str" cm="1">
        <f t="array" ref="M7">_xlfn.IFNA(INDEX('Aviation Synfuel Data'!$G$4:$M$22,MATCH('Aviation Synfuel-TSData'!$B7&amp;'Aviation Synfuel-TSData'!$C7&amp;$D7,'Aviation Synfuel Data'!$C$4:$C$22&amp;'Aviation Synfuel Data'!$A$4:$A$22&amp;'Aviation Synfuel Data'!$D$4:$D$22,0),MATCH(M$2,'Aviation Synfuel Data'!$G$3:$M$3,0)),"null")</f>
        <v>null</v>
      </c>
      <c r="N7" s="82" t="str" cm="1">
        <f t="array" ref="N7">_xlfn.IFNA(INDEX('Aviation Synfuel Data'!$G$4:$M$22,MATCH('Aviation Synfuel-TSData'!$B7&amp;'Aviation Synfuel-TSData'!$C7&amp;$D7,'Aviation Synfuel Data'!$C$4:$C$22&amp;'Aviation Synfuel Data'!$A$4:$A$22&amp;'Aviation Synfuel Data'!$D$4:$D$22,0),MATCH(N$2,'Aviation Synfuel Data'!$G$3:$M$3,0)),"null")</f>
        <v>null</v>
      </c>
      <c r="O7" s="82" t="str" cm="1">
        <f t="array" ref="O7">_xlfn.IFNA(INDEX('Aviation Synfuel Data'!$G$4:$M$22,MATCH('Aviation Synfuel-TSData'!$B7&amp;'Aviation Synfuel-TSData'!$C7&amp;$D7,'Aviation Synfuel Data'!$C$4:$C$22&amp;'Aviation Synfuel Data'!$A$4:$A$22&amp;'Aviation Synfuel Data'!$D$4:$D$22,0),MATCH(O$2,'Aviation Synfuel Data'!$G$3:$M$3,0)),"null")</f>
        <v>null</v>
      </c>
      <c r="P7" s="82" t="str" cm="1">
        <f t="array" ref="P7">_xlfn.IFNA(INDEX('Aviation Synfuel Data'!$G$4:$M$22,MATCH('Aviation Synfuel-TSData'!$B7&amp;'Aviation Synfuel-TSData'!$C7&amp;$D7,'Aviation Synfuel Data'!$C$4:$C$22&amp;'Aviation Synfuel Data'!$A$4:$A$22&amp;'Aviation Synfuel Data'!$D$4:$D$22,0),MATCH(P$2,'Aviation Synfuel Data'!$G$3:$M$3,0)),"null")</f>
        <v>null</v>
      </c>
      <c r="Q7" s="82" t="str" cm="1">
        <f t="array" ref="Q7">_xlfn.IFNA(INDEX('Aviation Synfuel Data'!$G$4:$M$22,MATCH('Aviation Synfuel-TSData'!$B7&amp;'Aviation Synfuel-TSData'!$C7&amp;$D7,'Aviation Synfuel Data'!$C$4:$C$22&amp;'Aviation Synfuel Data'!$A$4:$A$22&amp;'Aviation Synfuel Data'!$D$4:$D$22,0),MATCH(Q$2,'Aviation Synfuel Data'!$G$3:$M$3,0)),"null")</f>
        <v>null</v>
      </c>
      <c r="R7" s="82" cm="1">
        <f t="array" ref="R7">_xlfn.IFNA(INDEX('Aviation Synfuel Data'!$G$4:$M$22,MATCH('Aviation Synfuel-TSData'!$B7&amp;'Aviation Synfuel-TSData'!$C7&amp;$D7,'Aviation Synfuel Data'!$C$4:$C$22&amp;'Aviation Synfuel Data'!$A$4:$A$22&amp;'Aviation Synfuel Data'!$D$4:$D$22,0),MATCH(R$2,'Aviation Synfuel Data'!$G$3:$M$3,0)),"null")</f>
        <v>0.48816707501401374</v>
      </c>
      <c r="S7" s="82" t="str" cm="1">
        <f t="array" ref="S7">_xlfn.IFNA(INDEX('Aviation Synfuel Data'!$G$4:$M$22,MATCH('Aviation Synfuel-TSData'!$B7&amp;'Aviation Synfuel-TSData'!$C7&amp;$D7,'Aviation Synfuel Data'!$C$4:$C$22&amp;'Aviation Synfuel Data'!$A$4:$A$22&amp;'Aviation Synfuel Data'!$D$4:$D$22,0),MATCH(S$2,'Aviation Synfuel Data'!$G$3:$M$3,0)),"null")</f>
        <v>null</v>
      </c>
      <c r="T7" s="82" t="str" cm="1">
        <f t="array" ref="T7">_xlfn.IFNA(INDEX('Aviation Synfuel Data'!$G$4:$M$22,MATCH('Aviation Synfuel-TSData'!$B7&amp;'Aviation Synfuel-TSData'!$C7&amp;$D7,'Aviation Synfuel Data'!$C$4:$C$22&amp;'Aviation Synfuel Data'!$A$4:$A$22&amp;'Aviation Synfuel Data'!$D$4:$D$22,0),MATCH(T$2,'Aviation Synfuel Data'!$G$3:$M$3,0)),"null")</f>
        <v>null</v>
      </c>
      <c r="U7" s="82" t="str" cm="1">
        <f t="array" ref="U7">_xlfn.IFNA(INDEX('Aviation Synfuel Data'!$G$4:$M$22,MATCH('Aviation Synfuel-TSData'!$B7&amp;'Aviation Synfuel-TSData'!$C7&amp;$D7,'Aviation Synfuel Data'!$C$4:$C$22&amp;'Aviation Synfuel Data'!$A$4:$A$22&amp;'Aviation Synfuel Data'!$D$4:$D$22,0),MATCH(U$2,'Aviation Synfuel Data'!$G$3:$M$3,0)),"null")</f>
        <v>null</v>
      </c>
      <c r="V7" s="82" t="str" cm="1">
        <f t="array" ref="V7">_xlfn.IFNA(INDEX('Aviation Synfuel Data'!$G$4:$M$22,MATCH('Aviation Synfuel-TSData'!$B7&amp;'Aviation Synfuel-TSData'!$C7&amp;$D7,'Aviation Synfuel Data'!$C$4:$C$22&amp;'Aviation Synfuel Data'!$A$4:$A$22&amp;'Aviation Synfuel Data'!$D$4:$D$22,0),MATCH(V$2,'Aviation Synfuel Data'!$G$3:$M$3,0)),"null")</f>
        <v>null</v>
      </c>
      <c r="W7" s="82" t="str" cm="1">
        <f t="array" ref="W7">_xlfn.IFNA(INDEX('Aviation Synfuel Data'!$G$4:$M$22,MATCH('Aviation Synfuel-TSData'!$B7&amp;'Aviation Synfuel-TSData'!$C7&amp;$D7,'Aviation Synfuel Data'!$C$4:$C$22&amp;'Aviation Synfuel Data'!$A$4:$A$22&amp;'Aviation Synfuel Data'!$D$4:$D$22,0),MATCH(W$2,'Aviation Synfuel Data'!$G$3:$M$3,0)),"null")</f>
        <v>null</v>
      </c>
      <c r="X7" s="82" t="str" cm="1">
        <f t="array" ref="X7">_xlfn.IFNA(INDEX('Aviation Synfuel Data'!$G$4:$M$22,MATCH('Aviation Synfuel-TSData'!$B7&amp;'Aviation Synfuel-TSData'!$C7&amp;$D7,'Aviation Synfuel Data'!$C$4:$C$22&amp;'Aviation Synfuel Data'!$A$4:$A$22&amp;'Aviation Synfuel Data'!$D$4:$D$22,0),MATCH(X$2,'Aviation Synfuel Data'!$G$3:$M$3,0)),"null")</f>
        <v>null</v>
      </c>
      <c r="Y7" s="82" t="str" cm="1">
        <f t="array" ref="Y7">_xlfn.IFNA(INDEX('Aviation Synfuel Data'!$G$4:$M$22,MATCH('Aviation Synfuel-TSData'!$B7&amp;'Aviation Synfuel-TSData'!$C7&amp;$D7,'Aviation Synfuel Data'!$C$4:$C$22&amp;'Aviation Synfuel Data'!$A$4:$A$22&amp;'Aviation Synfuel Data'!$D$4:$D$22,0),MATCH(Y$2,'Aviation Synfuel Data'!$G$3:$M$3,0)),"null")</f>
        <v>null</v>
      </c>
      <c r="Z7" s="82" t="str" cm="1">
        <f t="array" ref="Z7">_xlfn.IFNA(INDEX('Aviation Synfuel Data'!$G$4:$M$22,MATCH('Aviation Synfuel-TSData'!$B7&amp;'Aviation Synfuel-TSData'!$C7&amp;$D7,'Aviation Synfuel Data'!$C$4:$C$22&amp;'Aviation Synfuel Data'!$A$4:$A$22&amp;'Aviation Synfuel Data'!$D$4:$D$22,0),MATCH(Z$2,'Aviation Synfuel Data'!$G$3:$M$3,0)),"null")</f>
        <v>null</v>
      </c>
      <c r="AA7" s="82" t="str" cm="1">
        <f t="array" ref="AA7">_xlfn.IFNA(INDEX('Aviation Synfuel Data'!$G$4:$M$22,MATCH('Aviation Synfuel-TSData'!$B7&amp;'Aviation Synfuel-TSData'!$C7&amp;$D7,'Aviation Synfuel Data'!$C$4:$C$22&amp;'Aviation Synfuel Data'!$A$4:$A$22&amp;'Aviation Synfuel Data'!$D$4:$D$22,0),MATCH(AA$2,'Aviation Synfuel Data'!$G$3:$M$3,0)),"null")</f>
        <v>null</v>
      </c>
      <c r="AB7" s="82" cm="1">
        <f t="array" ref="AB7">_xlfn.IFNA(INDEX('Aviation Synfuel Data'!$G$4:$M$22,MATCH('Aviation Synfuel-TSData'!$B7&amp;'Aviation Synfuel-TSData'!$C7&amp;$D7,'Aviation Synfuel Data'!$C$4:$C$22&amp;'Aviation Synfuel Data'!$A$4:$A$22&amp;'Aviation Synfuel Data'!$D$4:$D$22,0),MATCH(AB$2,'Aviation Synfuel Data'!$G$3:$M$3,0)),"null")</f>
        <v>0</v>
      </c>
      <c r="AC7" s="82" t="str" cm="1">
        <f t="array" ref="AC7">_xlfn.IFNA(INDEX('Aviation Synfuel Data'!$G$4:$M$22,MATCH('Aviation Synfuel-TSData'!$B7&amp;'Aviation Synfuel-TSData'!$C7&amp;$D7,'Aviation Synfuel Data'!$C$4:$C$22&amp;'Aviation Synfuel Data'!$A$4:$A$22&amp;'Aviation Synfuel Data'!$D$4:$D$22,0),MATCH(AC$2,'Aviation Synfuel Data'!$G$3:$M$3,0)),"null")</f>
        <v>null</v>
      </c>
      <c r="AD7" s="82" t="str" cm="1">
        <f t="array" ref="AD7">_xlfn.IFNA(INDEX('Aviation Synfuel Data'!$G$4:$M$22,MATCH('Aviation Synfuel-TSData'!$B7&amp;'Aviation Synfuel-TSData'!$C7&amp;$D7,'Aviation Synfuel Data'!$C$4:$C$22&amp;'Aviation Synfuel Data'!$A$4:$A$22&amp;'Aviation Synfuel Data'!$D$4:$D$22,0),MATCH(AD$2,'Aviation Synfuel Data'!$G$3:$M$3,0)),"null")</f>
        <v>null</v>
      </c>
      <c r="AE7" s="82" t="str" cm="1">
        <f t="array" ref="AE7">_xlfn.IFNA(INDEX('Aviation Synfuel Data'!$G$4:$M$22,MATCH('Aviation Synfuel-TSData'!$B7&amp;'Aviation Synfuel-TSData'!$C7&amp;$D7,'Aviation Synfuel Data'!$C$4:$C$22&amp;'Aviation Synfuel Data'!$A$4:$A$22&amp;'Aviation Synfuel Data'!$D$4:$D$22,0),MATCH(AE$2,'Aviation Synfuel Data'!$G$3:$M$3,0)),"null")</f>
        <v>null</v>
      </c>
      <c r="AF7" s="82" t="str" cm="1">
        <f t="array" ref="AF7">_xlfn.IFNA(INDEX('Aviation Synfuel Data'!$G$4:$M$22,MATCH('Aviation Synfuel-TSData'!$B7&amp;'Aviation Synfuel-TSData'!$C7&amp;$D7,'Aviation Synfuel Data'!$C$4:$C$22&amp;'Aviation Synfuel Data'!$A$4:$A$22&amp;'Aviation Synfuel Data'!$D$4:$D$22,0),MATCH(AF$2,'Aviation Synfuel Data'!$G$3:$M$3,0)),"null")</f>
        <v>null</v>
      </c>
      <c r="AG7" s="82" cm="1">
        <f t="array" ref="AG7">_xlfn.IFNA(INDEX('Aviation Synfuel Data'!$G$4:$M$22,MATCH('Aviation Synfuel-TSData'!$B7&amp;'Aviation Synfuel-TSData'!$C7&amp;$D7,'Aviation Synfuel Data'!$C$4:$C$22&amp;'Aviation Synfuel Data'!$A$4:$A$22&amp;'Aviation Synfuel Data'!$D$4:$D$22,0),MATCH(AG$2,'Aviation Synfuel Data'!$G$3:$M$3,0)),"null")</f>
        <v>0</v>
      </c>
      <c r="AH7" s="82" t="str" cm="1">
        <f t="array" ref="AH7">_xlfn.IFNA(INDEX('Aviation Synfuel Data'!$G$4:$M$22,MATCH('Aviation Synfuel-TSData'!$B7&amp;'Aviation Synfuel-TSData'!$C7&amp;$D7,'Aviation Synfuel Data'!$C$4:$C$22&amp;'Aviation Synfuel Data'!$A$4:$A$22&amp;'Aviation Synfuel Data'!$D$4:$D$22,0),MATCH(AH$2,'Aviation Synfuel Data'!$G$3:$M$3,0)),"null")</f>
        <v>null</v>
      </c>
      <c r="AI7" s="82" t="str" cm="1">
        <f t="array" ref="AI7">_xlfn.IFNA(INDEX('Aviation Synfuel Data'!$G$4:$M$22,MATCH('Aviation Synfuel-TSData'!$B7&amp;'Aviation Synfuel-TSData'!$C7&amp;$D7,'Aviation Synfuel Data'!$C$4:$C$22&amp;'Aviation Synfuel Data'!$A$4:$A$22&amp;'Aviation Synfuel Data'!$D$4:$D$22,0),MATCH(AI$2,'Aviation Synfuel Data'!$G$3:$M$3,0)),"null")</f>
        <v>null</v>
      </c>
      <c r="AJ7" s="82" t="str" cm="1">
        <f t="array" ref="AJ7">_xlfn.IFNA(INDEX('Aviation Synfuel Data'!$G$4:$M$22,MATCH('Aviation Synfuel-TSData'!$B7&amp;'Aviation Synfuel-TSData'!$C7&amp;$D7,'Aviation Synfuel Data'!$C$4:$C$22&amp;'Aviation Synfuel Data'!$A$4:$A$22&amp;'Aviation Synfuel Data'!$D$4:$D$22,0),MATCH(AJ$2,'Aviation Synfuel Data'!$G$3:$M$3,0)),"null")</f>
        <v>null</v>
      </c>
      <c r="AK7" s="82" t="str" cm="1">
        <f t="array" ref="AK7">_xlfn.IFNA(INDEX('Aviation Synfuel Data'!$G$4:$M$22,MATCH('Aviation Synfuel-TSData'!$B7&amp;'Aviation Synfuel-TSData'!$C7&amp;$D7,'Aviation Synfuel Data'!$C$4:$C$22&amp;'Aviation Synfuel Data'!$A$4:$A$22&amp;'Aviation Synfuel Data'!$D$4:$D$22,0),MATCH(AK$2,'Aviation Synfuel Data'!$G$3:$M$3,0)),"null")</f>
        <v>null</v>
      </c>
      <c r="AL7" s="82" cm="1">
        <f t="array" ref="AL7">_xlfn.IFNA(INDEX('Aviation Synfuel Data'!$G$4:$M$22,MATCH('Aviation Synfuel-TSData'!$B7&amp;'Aviation Synfuel-TSData'!$C7&amp;$D7,'Aviation Synfuel Data'!$C$4:$C$22&amp;'Aviation Synfuel Data'!$A$4:$A$22&amp;'Aviation Synfuel Data'!$D$4:$D$22,0),MATCH(AL$2,'Aviation Synfuel Data'!$G$3:$M$3,0)),"null")</f>
        <v>0</v>
      </c>
      <c r="AM7" s="82" t="str" cm="1">
        <f t="array" ref="AM7">_xlfn.IFNA(INDEX('Aviation Synfuel Data'!$G$4:$M$22,MATCH('Aviation Synfuel-TSData'!$B7&amp;'Aviation Synfuel-TSData'!$C7&amp;$D7,'Aviation Synfuel Data'!$C$4:$C$22&amp;'Aviation Synfuel Data'!$A$4:$A$22&amp;'Aviation Synfuel Data'!$D$4:$D$22,0),MATCH(AM$2,'Aviation Synfuel Data'!$G$3:$M$3,0)),"null")</f>
        <v>null</v>
      </c>
      <c r="AN7" s="82" cm="1">
        <f t="array" ref="AN7">_xlfn.IFNA(INDEX('Aviation Synfuel Data'!$G$4:$M$22,MATCH('Aviation Synfuel-TSData'!$B7&amp;'Aviation Synfuel-TSData'!$C7&amp;$D7,'Aviation Synfuel Data'!$C$4:$C$22&amp;'Aviation Synfuel Data'!$A$4:$A$22&amp;'Aviation Synfuel Data'!$D$4:$D$22,0),MATCH(AN$2,'Aviation Synfuel Data'!$G$3:$M$3,0)),"null")</f>
        <v>0</v>
      </c>
      <c r="AO7" s="82" cm="1">
        <f t="array" ref="AO7">_xlfn.IFNA(INDEX('Aviation Synfuel Data'!$G$4:$M$22,MATCH('Aviation Synfuel-TSData'!$B7&amp;'Aviation Synfuel-TSData'!$C7&amp;$D7,'Aviation Synfuel Data'!$C$4:$C$22&amp;'Aviation Synfuel Data'!$A$4:$A$22&amp;'Aviation Synfuel Data'!$D$4:$D$22,0),MATCH(AO$2,'Aviation Synfuel Data'!$G$3:$M$3,0)),"null")</f>
        <v>0</v>
      </c>
      <c r="AP7" s="82" cm="1">
        <f t="array" ref="AP7">_xlfn.IFNA(INDEX('Aviation Synfuel Data'!$G$4:$M$22,MATCH('Aviation Synfuel-TSData'!$B7&amp;'Aviation Synfuel-TSData'!$C7&amp;$D7,'Aviation Synfuel Data'!$C$4:$C$22&amp;'Aviation Synfuel Data'!$A$4:$A$22&amp;'Aviation Synfuel Data'!$D$4:$D$22,0),MATCH(AP$2,'Aviation Synfuel Data'!$G$3:$M$3,0)),"null")</f>
        <v>0</v>
      </c>
    </row>
    <row r="8" spans="1:42" x14ac:dyDescent="0.25">
      <c r="B8" t="s">
        <v>249</v>
      </c>
      <c r="C8" t="s">
        <v>238</v>
      </c>
      <c r="D8" t="str">
        <f>'Aviation Synfuel Data'!D6</f>
        <v>UPSELC</v>
      </c>
      <c r="E8" t="s">
        <v>261</v>
      </c>
      <c r="F8" t="s">
        <v>236</v>
      </c>
      <c r="G8" t="s">
        <v>291</v>
      </c>
      <c r="H8" t="s">
        <v>295</v>
      </c>
      <c r="I8">
        <v>3</v>
      </c>
      <c r="J8" s="82" t="str" cm="1">
        <f t="array" ref="J8">_xlfn.IFNA(INDEX('Aviation Synfuel Data'!$G$4:$M$22,MATCH('Aviation Synfuel-TSData'!$B8&amp;'Aviation Synfuel-TSData'!$C8&amp;$D8,'Aviation Synfuel Data'!$C$4:$C$22&amp;'Aviation Synfuel Data'!$A$4:$A$22&amp;'Aviation Synfuel Data'!$D$4:$D$22,0),MATCH(J$2,'Aviation Synfuel Data'!$G$3:$M$3,0)),"null")</f>
        <v>null</v>
      </c>
      <c r="K8" s="82" t="str" cm="1">
        <f t="array" ref="K8">_xlfn.IFNA(INDEX('Aviation Synfuel Data'!$G$4:$M$22,MATCH('Aviation Synfuel-TSData'!$B8&amp;'Aviation Synfuel-TSData'!$C8&amp;$D8,'Aviation Synfuel Data'!$C$4:$C$22&amp;'Aviation Synfuel Data'!$A$4:$A$22&amp;'Aviation Synfuel Data'!$D$4:$D$22,0),MATCH(K$2,'Aviation Synfuel Data'!$G$3:$M$3,0)),"null")</f>
        <v>null</v>
      </c>
      <c r="L8" s="82" t="str" cm="1">
        <f t="array" ref="L8">_xlfn.IFNA(INDEX('Aviation Synfuel Data'!$G$4:$M$22,MATCH('Aviation Synfuel-TSData'!$B8&amp;'Aviation Synfuel-TSData'!$C8&amp;$D8,'Aviation Synfuel Data'!$C$4:$C$22&amp;'Aviation Synfuel Data'!$A$4:$A$22&amp;'Aviation Synfuel Data'!$D$4:$D$22,0),MATCH(L$2,'Aviation Synfuel Data'!$G$3:$M$3,0)),"null")</f>
        <v>null</v>
      </c>
      <c r="M8" s="82" t="str" cm="1">
        <f t="array" ref="M8">_xlfn.IFNA(INDEX('Aviation Synfuel Data'!$G$4:$M$22,MATCH('Aviation Synfuel-TSData'!$B8&amp;'Aviation Synfuel-TSData'!$C8&amp;$D8,'Aviation Synfuel Data'!$C$4:$C$22&amp;'Aviation Synfuel Data'!$A$4:$A$22&amp;'Aviation Synfuel Data'!$D$4:$D$22,0),MATCH(M$2,'Aviation Synfuel Data'!$G$3:$M$3,0)),"null")</f>
        <v>null</v>
      </c>
      <c r="N8" s="82" t="str" cm="1">
        <f t="array" ref="N8">_xlfn.IFNA(INDEX('Aviation Synfuel Data'!$G$4:$M$22,MATCH('Aviation Synfuel-TSData'!$B8&amp;'Aviation Synfuel-TSData'!$C8&amp;$D8,'Aviation Synfuel Data'!$C$4:$C$22&amp;'Aviation Synfuel Data'!$A$4:$A$22&amp;'Aviation Synfuel Data'!$D$4:$D$22,0),MATCH(N$2,'Aviation Synfuel Data'!$G$3:$M$3,0)),"null")</f>
        <v>null</v>
      </c>
      <c r="O8" s="82" t="str" cm="1">
        <f t="array" ref="O8">_xlfn.IFNA(INDEX('Aviation Synfuel Data'!$G$4:$M$22,MATCH('Aviation Synfuel-TSData'!$B8&amp;'Aviation Synfuel-TSData'!$C8&amp;$D8,'Aviation Synfuel Data'!$C$4:$C$22&amp;'Aviation Synfuel Data'!$A$4:$A$22&amp;'Aviation Synfuel Data'!$D$4:$D$22,0),MATCH(O$2,'Aviation Synfuel Data'!$G$3:$M$3,0)),"null")</f>
        <v>null</v>
      </c>
      <c r="P8" s="82" t="str" cm="1">
        <f t="array" ref="P8">_xlfn.IFNA(INDEX('Aviation Synfuel Data'!$G$4:$M$22,MATCH('Aviation Synfuel-TSData'!$B8&amp;'Aviation Synfuel-TSData'!$C8&amp;$D8,'Aviation Synfuel Data'!$C$4:$C$22&amp;'Aviation Synfuel Data'!$A$4:$A$22&amp;'Aviation Synfuel Data'!$D$4:$D$22,0),MATCH(P$2,'Aviation Synfuel Data'!$G$3:$M$3,0)),"null")</f>
        <v>null</v>
      </c>
      <c r="Q8" s="82" t="str" cm="1">
        <f t="array" ref="Q8">_xlfn.IFNA(INDEX('Aviation Synfuel Data'!$G$4:$M$22,MATCH('Aviation Synfuel-TSData'!$B8&amp;'Aviation Synfuel-TSData'!$C8&amp;$D8,'Aviation Synfuel Data'!$C$4:$C$22&amp;'Aviation Synfuel Data'!$A$4:$A$22&amp;'Aviation Synfuel Data'!$D$4:$D$22,0),MATCH(Q$2,'Aviation Synfuel Data'!$G$3:$M$3,0)),"null")</f>
        <v>null</v>
      </c>
      <c r="R8" s="82" cm="1">
        <f t="array" ref="R8">_xlfn.IFNA(INDEX('Aviation Synfuel Data'!$G$4:$M$22,MATCH('Aviation Synfuel-TSData'!$B8&amp;'Aviation Synfuel-TSData'!$C8&amp;$D8,'Aviation Synfuel Data'!$C$4:$C$22&amp;'Aviation Synfuel Data'!$A$4:$A$22&amp;'Aviation Synfuel Data'!$D$4:$D$22,0),MATCH(R$2,'Aviation Synfuel Data'!$G$3:$M$3,0)),"null")</f>
        <v>7.7782839184601632E-2</v>
      </c>
      <c r="S8" s="82" t="str" cm="1">
        <f t="array" ref="S8">_xlfn.IFNA(INDEX('Aviation Synfuel Data'!$G$4:$M$22,MATCH('Aviation Synfuel-TSData'!$B8&amp;'Aviation Synfuel-TSData'!$C8&amp;$D8,'Aviation Synfuel Data'!$C$4:$C$22&amp;'Aviation Synfuel Data'!$A$4:$A$22&amp;'Aviation Synfuel Data'!$D$4:$D$22,0),MATCH(S$2,'Aviation Synfuel Data'!$G$3:$M$3,0)),"null")</f>
        <v>null</v>
      </c>
      <c r="T8" s="82" t="str" cm="1">
        <f t="array" ref="T8">_xlfn.IFNA(INDEX('Aviation Synfuel Data'!$G$4:$M$22,MATCH('Aviation Synfuel-TSData'!$B8&amp;'Aviation Synfuel-TSData'!$C8&amp;$D8,'Aviation Synfuel Data'!$C$4:$C$22&amp;'Aviation Synfuel Data'!$A$4:$A$22&amp;'Aviation Synfuel Data'!$D$4:$D$22,0),MATCH(T$2,'Aviation Synfuel Data'!$G$3:$M$3,0)),"null")</f>
        <v>null</v>
      </c>
      <c r="U8" s="82" t="str" cm="1">
        <f t="array" ref="U8">_xlfn.IFNA(INDEX('Aviation Synfuel Data'!$G$4:$M$22,MATCH('Aviation Synfuel-TSData'!$B8&amp;'Aviation Synfuel-TSData'!$C8&amp;$D8,'Aviation Synfuel Data'!$C$4:$C$22&amp;'Aviation Synfuel Data'!$A$4:$A$22&amp;'Aviation Synfuel Data'!$D$4:$D$22,0),MATCH(U$2,'Aviation Synfuel Data'!$G$3:$M$3,0)),"null")</f>
        <v>null</v>
      </c>
      <c r="V8" s="82" t="str" cm="1">
        <f t="array" ref="V8">_xlfn.IFNA(INDEX('Aviation Synfuel Data'!$G$4:$M$22,MATCH('Aviation Synfuel-TSData'!$B8&amp;'Aviation Synfuel-TSData'!$C8&amp;$D8,'Aviation Synfuel Data'!$C$4:$C$22&amp;'Aviation Synfuel Data'!$A$4:$A$22&amp;'Aviation Synfuel Data'!$D$4:$D$22,0),MATCH(V$2,'Aviation Synfuel Data'!$G$3:$M$3,0)),"null")</f>
        <v>null</v>
      </c>
      <c r="W8" s="82" t="str" cm="1">
        <f t="array" ref="W8">_xlfn.IFNA(INDEX('Aviation Synfuel Data'!$G$4:$M$22,MATCH('Aviation Synfuel-TSData'!$B8&amp;'Aviation Synfuel-TSData'!$C8&amp;$D8,'Aviation Synfuel Data'!$C$4:$C$22&amp;'Aviation Synfuel Data'!$A$4:$A$22&amp;'Aviation Synfuel Data'!$D$4:$D$22,0),MATCH(W$2,'Aviation Synfuel Data'!$G$3:$M$3,0)),"null")</f>
        <v>null</v>
      </c>
      <c r="X8" s="82" t="str" cm="1">
        <f t="array" ref="X8">_xlfn.IFNA(INDEX('Aviation Synfuel Data'!$G$4:$M$22,MATCH('Aviation Synfuel-TSData'!$B8&amp;'Aviation Synfuel-TSData'!$C8&amp;$D8,'Aviation Synfuel Data'!$C$4:$C$22&amp;'Aviation Synfuel Data'!$A$4:$A$22&amp;'Aviation Synfuel Data'!$D$4:$D$22,0),MATCH(X$2,'Aviation Synfuel Data'!$G$3:$M$3,0)),"null")</f>
        <v>null</v>
      </c>
      <c r="Y8" s="82" t="str" cm="1">
        <f t="array" ref="Y8">_xlfn.IFNA(INDEX('Aviation Synfuel Data'!$G$4:$M$22,MATCH('Aviation Synfuel-TSData'!$B8&amp;'Aviation Synfuel-TSData'!$C8&amp;$D8,'Aviation Synfuel Data'!$C$4:$C$22&amp;'Aviation Synfuel Data'!$A$4:$A$22&amp;'Aviation Synfuel Data'!$D$4:$D$22,0),MATCH(Y$2,'Aviation Synfuel Data'!$G$3:$M$3,0)),"null")</f>
        <v>null</v>
      </c>
      <c r="Z8" s="82" t="str" cm="1">
        <f t="array" ref="Z8">_xlfn.IFNA(INDEX('Aviation Synfuel Data'!$G$4:$M$22,MATCH('Aviation Synfuel-TSData'!$B8&amp;'Aviation Synfuel-TSData'!$C8&amp;$D8,'Aviation Synfuel Data'!$C$4:$C$22&amp;'Aviation Synfuel Data'!$A$4:$A$22&amp;'Aviation Synfuel Data'!$D$4:$D$22,0),MATCH(Z$2,'Aviation Synfuel Data'!$G$3:$M$3,0)),"null")</f>
        <v>null</v>
      </c>
      <c r="AA8" s="82" t="str" cm="1">
        <f t="array" ref="AA8">_xlfn.IFNA(INDEX('Aviation Synfuel Data'!$G$4:$M$22,MATCH('Aviation Synfuel-TSData'!$B8&amp;'Aviation Synfuel-TSData'!$C8&amp;$D8,'Aviation Synfuel Data'!$C$4:$C$22&amp;'Aviation Synfuel Data'!$A$4:$A$22&amp;'Aviation Synfuel Data'!$D$4:$D$22,0),MATCH(AA$2,'Aviation Synfuel Data'!$G$3:$M$3,0)),"null")</f>
        <v>null</v>
      </c>
      <c r="AB8" s="82" cm="1">
        <f t="array" ref="AB8">_xlfn.IFNA(INDEX('Aviation Synfuel Data'!$G$4:$M$22,MATCH('Aviation Synfuel-TSData'!$B8&amp;'Aviation Synfuel-TSData'!$C8&amp;$D8,'Aviation Synfuel Data'!$C$4:$C$22&amp;'Aviation Synfuel Data'!$A$4:$A$22&amp;'Aviation Synfuel Data'!$D$4:$D$22,0),MATCH(AB$2,'Aviation Synfuel Data'!$G$3:$M$3,0)),"null")</f>
        <v>7.7782839184601632E-2</v>
      </c>
      <c r="AC8" s="82" t="str" cm="1">
        <f t="array" ref="AC8">_xlfn.IFNA(INDEX('Aviation Synfuel Data'!$G$4:$M$22,MATCH('Aviation Synfuel-TSData'!$B8&amp;'Aviation Synfuel-TSData'!$C8&amp;$D8,'Aviation Synfuel Data'!$C$4:$C$22&amp;'Aviation Synfuel Data'!$A$4:$A$22&amp;'Aviation Synfuel Data'!$D$4:$D$22,0),MATCH(AC$2,'Aviation Synfuel Data'!$G$3:$M$3,0)),"null")</f>
        <v>null</v>
      </c>
      <c r="AD8" s="82" t="str" cm="1">
        <f t="array" ref="AD8">_xlfn.IFNA(INDEX('Aviation Synfuel Data'!$G$4:$M$22,MATCH('Aviation Synfuel-TSData'!$B8&amp;'Aviation Synfuel-TSData'!$C8&amp;$D8,'Aviation Synfuel Data'!$C$4:$C$22&amp;'Aviation Synfuel Data'!$A$4:$A$22&amp;'Aviation Synfuel Data'!$D$4:$D$22,0),MATCH(AD$2,'Aviation Synfuel Data'!$G$3:$M$3,0)),"null")</f>
        <v>null</v>
      </c>
      <c r="AE8" s="82" t="str" cm="1">
        <f t="array" ref="AE8">_xlfn.IFNA(INDEX('Aviation Synfuel Data'!$G$4:$M$22,MATCH('Aviation Synfuel-TSData'!$B8&amp;'Aviation Synfuel-TSData'!$C8&amp;$D8,'Aviation Synfuel Data'!$C$4:$C$22&amp;'Aviation Synfuel Data'!$A$4:$A$22&amp;'Aviation Synfuel Data'!$D$4:$D$22,0),MATCH(AE$2,'Aviation Synfuel Data'!$G$3:$M$3,0)),"null")</f>
        <v>null</v>
      </c>
      <c r="AF8" s="82" t="str" cm="1">
        <f t="array" ref="AF8">_xlfn.IFNA(INDEX('Aviation Synfuel Data'!$G$4:$M$22,MATCH('Aviation Synfuel-TSData'!$B8&amp;'Aviation Synfuel-TSData'!$C8&amp;$D8,'Aviation Synfuel Data'!$C$4:$C$22&amp;'Aviation Synfuel Data'!$A$4:$A$22&amp;'Aviation Synfuel Data'!$D$4:$D$22,0),MATCH(AF$2,'Aviation Synfuel Data'!$G$3:$M$3,0)),"null")</f>
        <v>null</v>
      </c>
      <c r="AG8" s="82" cm="1">
        <f t="array" ref="AG8">_xlfn.IFNA(INDEX('Aviation Synfuel Data'!$G$4:$M$22,MATCH('Aviation Synfuel-TSData'!$B8&amp;'Aviation Synfuel-TSData'!$C8&amp;$D8,'Aviation Synfuel Data'!$C$4:$C$22&amp;'Aviation Synfuel Data'!$A$4:$A$22&amp;'Aviation Synfuel Data'!$D$4:$D$22,0),MATCH(AG$2,'Aviation Synfuel Data'!$G$3:$M$3,0)),"null")</f>
        <v>7.7782839184601632E-2</v>
      </c>
      <c r="AH8" s="82" t="str" cm="1">
        <f t="array" ref="AH8">_xlfn.IFNA(INDEX('Aviation Synfuel Data'!$G$4:$M$22,MATCH('Aviation Synfuel-TSData'!$B8&amp;'Aviation Synfuel-TSData'!$C8&amp;$D8,'Aviation Synfuel Data'!$C$4:$C$22&amp;'Aviation Synfuel Data'!$A$4:$A$22&amp;'Aviation Synfuel Data'!$D$4:$D$22,0),MATCH(AH$2,'Aviation Synfuel Data'!$G$3:$M$3,0)),"null")</f>
        <v>null</v>
      </c>
      <c r="AI8" s="82" t="str" cm="1">
        <f t="array" ref="AI8">_xlfn.IFNA(INDEX('Aviation Synfuel Data'!$G$4:$M$22,MATCH('Aviation Synfuel-TSData'!$B8&amp;'Aviation Synfuel-TSData'!$C8&amp;$D8,'Aviation Synfuel Data'!$C$4:$C$22&amp;'Aviation Synfuel Data'!$A$4:$A$22&amp;'Aviation Synfuel Data'!$D$4:$D$22,0),MATCH(AI$2,'Aviation Synfuel Data'!$G$3:$M$3,0)),"null")</f>
        <v>null</v>
      </c>
      <c r="AJ8" s="82" t="str" cm="1">
        <f t="array" ref="AJ8">_xlfn.IFNA(INDEX('Aviation Synfuel Data'!$G$4:$M$22,MATCH('Aviation Synfuel-TSData'!$B8&amp;'Aviation Synfuel-TSData'!$C8&amp;$D8,'Aviation Synfuel Data'!$C$4:$C$22&amp;'Aviation Synfuel Data'!$A$4:$A$22&amp;'Aviation Synfuel Data'!$D$4:$D$22,0),MATCH(AJ$2,'Aviation Synfuel Data'!$G$3:$M$3,0)),"null")</f>
        <v>null</v>
      </c>
      <c r="AK8" s="82" t="str" cm="1">
        <f t="array" ref="AK8">_xlfn.IFNA(INDEX('Aviation Synfuel Data'!$G$4:$M$22,MATCH('Aviation Synfuel-TSData'!$B8&amp;'Aviation Synfuel-TSData'!$C8&amp;$D8,'Aviation Synfuel Data'!$C$4:$C$22&amp;'Aviation Synfuel Data'!$A$4:$A$22&amp;'Aviation Synfuel Data'!$D$4:$D$22,0),MATCH(AK$2,'Aviation Synfuel Data'!$G$3:$M$3,0)),"null")</f>
        <v>null</v>
      </c>
      <c r="AL8" s="82" cm="1">
        <f t="array" ref="AL8">_xlfn.IFNA(INDEX('Aviation Synfuel Data'!$G$4:$M$22,MATCH('Aviation Synfuel-TSData'!$B8&amp;'Aviation Synfuel-TSData'!$C8&amp;$D8,'Aviation Synfuel Data'!$C$4:$C$22&amp;'Aviation Synfuel Data'!$A$4:$A$22&amp;'Aviation Synfuel Data'!$D$4:$D$22,0),MATCH(AL$2,'Aviation Synfuel Data'!$G$3:$M$3,0)),"null")</f>
        <v>7.7782839184601632E-2</v>
      </c>
      <c r="AM8" s="82" t="str" cm="1">
        <f t="array" ref="AM8">_xlfn.IFNA(INDEX('Aviation Synfuel Data'!$G$4:$M$22,MATCH('Aviation Synfuel-TSData'!$B8&amp;'Aviation Synfuel-TSData'!$C8&amp;$D8,'Aviation Synfuel Data'!$C$4:$C$22&amp;'Aviation Synfuel Data'!$A$4:$A$22&amp;'Aviation Synfuel Data'!$D$4:$D$22,0),MATCH(AM$2,'Aviation Synfuel Data'!$G$3:$M$3,0)),"null")</f>
        <v>null</v>
      </c>
      <c r="AN8" s="82" cm="1">
        <f t="array" ref="AN8">_xlfn.IFNA(INDEX('Aviation Synfuel Data'!$G$4:$M$22,MATCH('Aviation Synfuel-TSData'!$B8&amp;'Aviation Synfuel-TSData'!$C8&amp;$D8,'Aviation Synfuel Data'!$C$4:$C$22&amp;'Aviation Synfuel Data'!$A$4:$A$22&amp;'Aviation Synfuel Data'!$D$4:$D$22,0),MATCH(AN$2,'Aviation Synfuel Data'!$G$3:$M$3,0)),"null")</f>
        <v>7.7782839184601632E-2</v>
      </c>
      <c r="AO8" s="82" cm="1">
        <f t="array" ref="AO8">_xlfn.IFNA(INDEX('Aviation Synfuel Data'!$G$4:$M$22,MATCH('Aviation Synfuel-TSData'!$B8&amp;'Aviation Synfuel-TSData'!$C8&amp;$D8,'Aviation Synfuel Data'!$C$4:$C$22&amp;'Aviation Synfuel Data'!$A$4:$A$22&amp;'Aviation Synfuel Data'!$D$4:$D$22,0),MATCH(AO$2,'Aviation Synfuel Data'!$G$3:$M$3,0)),"null")</f>
        <v>7.7782839184601632E-2</v>
      </c>
      <c r="AP8" s="82"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x14ac:dyDescent="0.25">
      <c r="B9" t="s">
        <v>249</v>
      </c>
      <c r="C9" t="s">
        <v>238</v>
      </c>
      <c r="D9" t="str">
        <f>'Aviation Synfuel Data'!D7</f>
        <v>HGN</v>
      </c>
      <c r="E9" t="s">
        <v>261</v>
      </c>
      <c r="F9" t="s">
        <v>236</v>
      </c>
      <c r="G9" t="s">
        <v>291</v>
      </c>
      <c r="H9" t="s">
        <v>295</v>
      </c>
      <c r="I9">
        <v>3</v>
      </c>
      <c r="J9" s="82" t="str" cm="1">
        <f t="array" ref="J9">_xlfn.IFNA(INDEX('Aviation Synfuel Data'!$G$4:$M$22,MATCH('Aviation Synfuel-TSData'!$B9&amp;'Aviation Synfuel-TSData'!$C9&amp;$D9,'Aviation Synfuel Data'!$C$4:$C$22&amp;'Aviation Synfuel Data'!$A$4:$A$22&amp;'Aviation Synfuel Data'!$D$4:$D$22,0),MATCH(J$2,'Aviation Synfuel Data'!$G$3:$M$3,0)),"null")</f>
        <v>null</v>
      </c>
      <c r="K9" s="82" t="str" cm="1">
        <f t="array" ref="K9">_xlfn.IFNA(INDEX('Aviation Synfuel Data'!$G$4:$M$22,MATCH('Aviation Synfuel-TSData'!$B9&amp;'Aviation Synfuel-TSData'!$C9&amp;$D9,'Aviation Synfuel Data'!$C$4:$C$22&amp;'Aviation Synfuel Data'!$A$4:$A$22&amp;'Aviation Synfuel Data'!$D$4:$D$22,0),MATCH(K$2,'Aviation Synfuel Data'!$G$3:$M$3,0)),"null")</f>
        <v>null</v>
      </c>
      <c r="L9" s="82" t="str" cm="1">
        <f t="array" ref="L9">_xlfn.IFNA(INDEX('Aviation Synfuel Data'!$G$4:$M$22,MATCH('Aviation Synfuel-TSData'!$B9&amp;'Aviation Synfuel-TSData'!$C9&amp;$D9,'Aviation Synfuel Data'!$C$4:$C$22&amp;'Aviation Synfuel Data'!$A$4:$A$22&amp;'Aviation Synfuel Data'!$D$4:$D$22,0),MATCH(L$2,'Aviation Synfuel Data'!$G$3:$M$3,0)),"null")</f>
        <v>null</v>
      </c>
      <c r="M9" s="82" t="str" cm="1">
        <f t="array" ref="M9">_xlfn.IFNA(INDEX('Aviation Synfuel Data'!$G$4:$M$22,MATCH('Aviation Synfuel-TSData'!$B9&amp;'Aviation Synfuel-TSData'!$C9&amp;$D9,'Aviation Synfuel Data'!$C$4:$C$22&amp;'Aviation Synfuel Data'!$A$4:$A$22&amp;'Aviation Synfuel Data'!$D$4:$D$22,0),MATCH(M$2,'Aviation Synfuel Data'!$G$3:$M$3,0)),"null")</f>
        <v>null</v>
      </c>
      <c r="N9" s="82" t="str" cm="1">
        <f t="array" ref="N9">_xlfn.IFNA(INDEX('Aviation Synfuel Data'!$G$4:$M$22,MATCH('Aviation Synfuel-TSData'!$B9&amp;'Aviation Synfuel-TSData'!$C9&amp;$D9,'Aviation Synfuel Data'!$C$4:$C$22&amp;'Aviation Synfuel Data'!$A$4:$A$22&amp;'Aviation Synfuel Data'!$D$4:$D$22,0),MATCH(N$2,'Aviation Synfuel Data'!$G$3:$M$3,0)),"null")</f>
        <v>null</v>
      </c>
      <c r="O9" s="82" t="str" cm="1">
        <f t="array" ref="O9">_xlfn.IFNA(INDEX('Aviation Synfuel Data'!$G$4:$M$22,MATCH('Aviation Synfuel-TSData'!$B9&amp;'Aviation Synfuel-TSData'!$C9&amp;$D9,'Aviation Synfuel Data'!$C$4:$C$22&amp;'Aviation Synfuel Data'!$A$4:$A$22&amp;'Aviation Synfuel Data'!$D$4:$D$22,0),MATCH(O$2,'Aviation Synfuel Data'!$G$3:$M$3,0)),"null")</f>
        <v>null</v>
      </c>
      <c r="P9" s="82" t="str" cm="1">
        <f t="array" ref="P9">_xlfn.IFNA(INDEX('Aviation Synfuel Data'!$G$4:$M$22,MATCH('Aviation Synfuel-TSData'!$B9&amp;'Aviation Synfuel-TSData'!$C9&amp;$D9,'Aviation Synfuel Data'!$C$4:$C$22&amp;'Aviation Synfuel Data'!$A$4:$A$22&amp;'Aviation Synfuel Data'!$D$4:$D$22,0),MATCH(P$2,'Aviation Synfuel Data'!$G$3:$M$3,0)),"null")</f>
        <v>null</v>
      </c>
      <c r="Q9" s="82" t="str" cm="1">
        <f t="array" ref="Q9">_xlfn.IFNA(INDEX('Aviation Synfuel Data'!$G$4:$M$22,MATCH('Aviation Synfuel-TSData'!$B9&amp;'Aviation Synfuel-TSData'!$C9&amp;$D9,'Aviation Synfuel Data'!$C$4:$C$22&amp;'Aviation Synfuel Data'!$A$4:$A$22&amp;'Aviation Synfuel Data'!$D$4:$D$22,0),MATCH(Q$2,'Aviation Synfuel Data'!$G$3:$M$3,0)),"null")</f>
        <v>null</v>
      </c>
      <c r="R9" s="82" cm="1">
        <f t="array" ref="R9">_xlfn.IFNA(INDEX('Aviation Synfuel Data'!$G$4:$M$22,MATCH('Aviation Synfuel-TSData'!$B9&amp;'Aviation Synfuel-TSData'!$C9&amp;$D9,'Aviation Synfuel Data'!$C$4:$C$22&amp;'Aviation Synfuel Data'!$A$4:$A$22&amp;'Aviation Synfuel Data'!$D$4:$D$22,0),MATCH(R$2,'Aviation Synfuel Data'!$G$3:$M$3,0)),"null")</f>
        <v>0.92221716081539828</v>
      </c>
      <c r="S9" s="82" t="str" cm="1">
        <f t="array" ref="S9">_xlfn.IFNA(INDEX('Aviation Synfuel Data'!$G$4:$M$22,MATCH('Aviation Synfuel-TSData'!$B9&amp;'Aviation Synfuel-TSData'!$C9&amp;$D9,'Aviation Synfuel Data'!$C$4:$C$22&amp;'Aviation Synfuel Data'!$A$4:$A$22&amp;'Aviation Synfuel Data'!$D$4:$D$22,0),MATCH(S$2,'Aviation Synfuel Data'!$G$3:$M$3,0)),"null")</f>
        <v>null</v>
      </c>
      <c r="T9" s="82" t="str" cm="1">
        <f t="array" ref="T9">_xlfn.IFNA(INDEX('Aviation Synfuel Data'!$G$4:$M$22,MATCH('Aviation Synfuel-TSData'!$B9&amp;'Aviation Synfuel-TSData'!$C9&amp;$D9,'Aviation Synfuel Data'!$C$4:$C$22&amp;'Aviation Synfuel Data'!$A$4:$A$22&amp;'Aviation Synfuel Data'!$D$4:$D$22,0),MATCH(T$2,'Aviation Synfuel Data'!$G$3:$M$3,0)),"null")</f>
        <v>null</v>
      </c>
      <c r="U9" s="82" t="str" cm="1">
        <f t="array" ref="U9">_xlfn.IFNA(INDEX('Aviation Synfuel Data'!$G$4:$M$22,MATCH('Aviation Synfuel-TSData'!$B9&amp;'Aviation Synfuel-TSData'!$C9&amp;$D9,'Aviation Synfuel Data'!$C$4:$C$22&amp;'Aviation Synfuel Data'!$A$4:$A$22&amp;'Aviation Synfuel Data'!$D$4:$D$22,0),MATCH(U$2,'Aviation Synfuel Data'!$G$3:$M$3,0)),"null")</f>
        <v>null</v>
      </c>
      <c r="V9" s="82" t="str" cm="1">
        <f t="array" ref="V9">_xlfn.IFNA(INDEX('Aviation Synfuel Data'!$G$4:$M$22,MATCH('Aviation Synfuel-TSData'!$B9&amp;'Aviation Synfuel-TSData'!$C9&amp;$D9,'Aviation Synfuel Data'!$C$4:$C$22&amp;'Aviation Synfuel Data'!$A$4:$A$22&amp;'Aviation Synfuel Data'!$D$4:$D$22,0),MATCH(V$2,'Aviation Synfuel Data'!$G$3:$M$3,0)),"null")</f>
        <v>null</v>
      </c>
      <c r="W9" s="82" t="str" cm="1">
        <f t="array" ref="W9">_xlfn.IFNA(INDEX('Aviation Synfuel Data'!$G$4:$M$22,MATCH('Aviation Synfuel-TSData'!$B9&amp;'Aviation Synfuel-TSData'!$C9&amp;$D9,'Aviation Synfuel Data'!$C$4:$C$22&amp;'Aviation Synfuel Data'!$A$4:$A$22&amp;'Aviation Synfuel Data'!$D$4:$D$22,0),MATCH(W$2,'Aviation Synfuel Data'!$G$3:$M$3,0)),"null")</f>
        <v>null</v>
      </c>
      <c r="X9" s="82" t="str" cm="1">
        <f t="array" ref="X9">_xlfn.IFNA(INDEX('Aviation Synfuel Data'!$G$4:$M$22,MATCH('Aviation Synfuel-TSData'!$B9&amp;'Aviation Synfuel-TSData'!$C9&amp;$D9,'Aviation Synfuel Data'!$C$4:$C$22&amp;'Aviation Synfuel Data'!$A$4:$A$22&amp;'Aviation Synfuel Data'!$D$4:$D$22,0),MATCH(X$2,'Aviation Synfuel Data'!$G$3:$M$3,0)),"null")</f>
        <v>null</v>
      </c>
      <c r="Y9" s="82" t="str" cm="1">
        <f t="array" ref="Y9">_xlfn.IFNA(INDEX('Aviation Synfuel Data'!$G$4:$M$22,MATCH('Aviation Synfuel-TSData'!$B9&amp;'Aviation Synfuel-TSData'!$C9&amp;$D9,'Aviation Synfuel Data'!$C$4:$C$22&amp;'Aviation Synfuel Data'!$A$4:$A$22&amp;'Aviation Synfuel Data'!$D$4:$D$22,0),MATCH(Y$2,'Aviation Synfuel Data'!$G$3:$M$3,0)),"null")</f>
        <v>null</v>
      </c>
      <c r="Z9" s="82" t="str" cm="1">
        <f t="array" ref="Z9">_xlfn.IFNA(INDEX('Aviation Synfuel Data'!$G$4:$M$22,MATCH('Aviation Synfuel-TSData'!$B9&amp;'Aviation Synfuel-TSData'!$C9&amp;$D9,'Aviation Synfuel Data'!$C$4:$C$22&amp;'Aviation Synfuel Data'!$A$4:$A$22&amp;'Aviation Synfuel Data'!$D$4:$D$22,0),MATCH(Z$2,'Aviation Synfuel Data'!$G$3:$M$3,0)),"null")</f>
        <v>null</v>
      </c>
      <c r="AA9" s="82" t="str" cm="1">
        <f t="array" ref="AA9">_xlfn.IFNA(INDEX('Aviation Synfuel Data'!$G$4:$M$22,MATCH('Aviation Synfuel-TSData'!$B9&amp;'Aviation Synfuel-TSData'!$C9&amp;$D9,'Aviation Synfuel Data'!$C$4:$C$22&amp;'Aviation Synfuel Data'!$A$4:$A$22&amp;'Aviation Synfuel Data'!$D$4:$D$22,0),MATCH(AA$2,'Aviation Synfuel Data'!$G$3:$M$3,0)),"null")</f>
        <v>null</v>
      </c>
      <c r="AB9" s="82" cm="1">
        <f t="array" ref="AB9">_xlfn.IFNA(INDEX('Aviation Synfuel Data'!$G$4:$M$22,MATCH('Aviation Synfuel-TSData'!$B9&amp;'Aviation Synfuel-TSData'!$C9&amp;$D9,'Aviation Synfuel Data'!$C$4:$C$22&amp;'Aviation Synfuel Data'!$A$4:$A$22&amp;'Aviation Synfuel Data'!$D$4:$D$22,0),MATCH(AB$2,'Aviation Synfuel Data'!$G$3:$M$3,0)),"null")</f>
        <v>0.92221716081539828</v>
      </c>
      <c r="AC9" s="82" t="str" cm="1">
        <f t="array" ref="AC9">_xlfn.IFNA(INDEX('Aviation Synfuel Data'!$G$4:$M$22,MATCH('Aviation Synfuel-TSData'!$B9&amp;'Aviation Synfuel-TSData'!$C9&amp;$D9,'Aviation Synfuel Data'!$C$4:$C$22&amp;'Aviation Synfuel Data'!$A$4:$A$22&amp;'Aviation Synfuel Data'!$D$4:$D$22,0),MATCH(AC$2,'Aviation Synfuel Data'!$G$3:$M$3,0)),"null")</f>
        <v>null</v>
      </c>
      <c r="AD9" s="82" t="str" cm="1">
        <f t="array" ref="AD9">_xlfn.IFNA(INDEX('Aviation Synfuel Data'!$G$4:$M$22,MATCH('Aviation Synfuel-TSData'!$B9&amp;'Aviation Synfuel-TSData'!$C9&amp;$D9,'Aviation Synfuel Data'!$C$4:$C$22&amp;'Aviation Synfuel Data'!$A$4:$A$22&amp;'Aviation Synfuel Data'!$D$4:$D$22,0),MATCH(AD$2,'Aviation Synfuel Data'!$G$3:$M$3,0)),"null")</f>
        <v>null</v>
      </c>
      <c r="AE9" s="82" t="str" cm="1">
        <f t="array" ref="AE9">_xlfn.IFNA(INDEX('Aviation Synfuel Data'!$G$4:$M$22,MATCH('Aviation Synfuel-TSData'!$B9&amp;'Aviation Synfuel-TSData'!$C9&amp;$D9,'Aviation Synfuel Data'!$C$4:$C$22&amp;'Aviation Synfuel Data'!$A$4:$A$22&amp;'Aviation Synfuel Data'!$D$4:$D$22,0),MATCH(AE$2,'Aviation Synfuel Data'!$G$3:$M$3,0)),"null")</f>
        <v>null</v>
      </c>
      <c r="AF9" s="82" t="str" cm="1">
        <f t="array" ref="AF9">_xlfn.IFNA(INDEX('Aviation Synfuel Data'!$G$4:$M$22,MATCH('Aviation Synfuel-TSData'!$B9&amp;'Aviation Synfuel-TSData'!$C9&amp;$D9,'Aviation Synfuel Data'!$C$4:$C$22&amp;'Aviation Synfuel Data'!$A$4:$A$22&amp;'Aviation Synfuel Data'!$D$4:$D$22,0),MATCH(AF$2,'Aviation Synfuel Data'!$G$3:$M$3,0)),"null")</f>
        <v>null</v>
      </c>
      <c r="AG9" s="82" cm="1">
        <f t="array" ref="AG9">_xlfn.IFNA(INDEX('Aviation Synfuel Data'!$G$4:$M$22,MATCH('Aviation Synfuel-TSData'!$B9&amp;'Aviation Synfuel-TSData'!$C9&amp;$D9,'Aviation Synfuel Data'!$C$4:$C$22&amp;'Aviation Synfuel Data'!$A$4:$A$22&amp;'Aviation Synfuel Data'!$D$4:$D$22,0),MATCH(AG$2,'Aviation Synfuel Data'!$G$3:$M$3,0)),"null")</f>
        <v>0.92221716081539828</v>
      </c>
      <c r="AH9" s="82" t="str" cm="1">
        <f t="array" ref="AH9">_xlfn.IFNA(INDEX('Aviation Synfuel Data'!$G$4:$M$22,MATCH('Aviation Synfuel-TSData'!$B9&amp;'Aviation Synfuel-TSData'!$C9&amp;$D9,'Aviation Synfuel Data'!$C$4:$C$22&amp;'Aviation Synfuel Data'!$A$4:$A$22&amp;'Aviation Synfuel Data'!$D$4:$D$22,0),MATCH(AH$2,'Aviation Synfuel Data'!$G$3:$M$3,0)),"null")</f>
        <v>null</v>
      </c>
      <c r="AI9" s="82" t="str" cm="1">
        <f t="array" ref="AI9">_xlfn.IFNA(INDEX('Aviation Synfuel Data'!$G$4:$M$22,MATCH('Aviation Synfuel-TSData'!$B9&amp;'Aviation Synfuel-TSData'!$C9&amp;$D9,'Aviation Synfuel Data'!$C$4:$C$22&amp;'Aviation Synfuel Data'!$A$4:$A$22&amp;'Aviation Synfuel Data'!$D$4:$D$22,0),MATCH(AI$2,'Aviation Synfuel Data'!$G$3:$M$3,0)),"null")</f>
        <v>null</v>
      </c>
      <c r="AJ9" s="82" t="str" cm="1">
        <f t="array" ref="AJ9">_xlfn.IFNA(INDEX('Aviation Synfuel Data'!$G$4:$M$22,MATCH('Aviation Synfuel-TSData'!$B9&amp;'Aviation Synfuel-TSData'!$C9&amp;$D9,'Aviation Synfuel Data'!$C$4:$C$22&amp;'Aviation Synfuel Data'!$A$4:$A$22&amp;'Aviation Synfuel Data'!$D$4:$D$22,0),MATCH(AJ$2,'Aviation Synfuel Data'!$G$3:$M$3,0)),"null")</f>
        <v>null</v>
      </c>
      <c r="AK9" s="82" t="str" cm="1">
        <f t="array" ref="AK9">_xlfn.IFNA(INDEX('Aviation Synfuel Data'!$G$4:$M$22,MATCH('Aviation Synfuel-TSData'!$B9&amp;'Aviation Synfuel-TSData'!$C9&amp;$D9,'Aviation Synfuel Data'!$C$4:$C$22&amp;'Aviation Synfuel Data'!$A$4:$A$22&amp;'Aviation Synfuel Data'!$D$4:$D$22,0),MATCH(AK$2,'Aviation Synfuel Data'!$G$3:$M$3,0)),"null")</f>
        <v>null</v>
      </c>
      <c r="AL9" s="82" cm="1">
        <f t="array" ref="AL9">_xlfn.IFNA(INDEX('Aviation Synfuel Data'!$G$4:$M$22,MATCH('Aviation Synfuel-TSData'!$B9&amp;'Aviation Synfuel-TSData'!$C9&amp;$D9,'Aviation Synfuel Data'!$C$4:$C$22&amp;'Aviation Synfuel Data'!$A$4:$A$22&amp;'Aviation Synfuel Data'!$D$4:$D$22,0),MATCH(AL$2,'Aviation Synfuel Data'!$G$3:$M$3,0)),"null")</f>
        <v>0.92221716081539828</v>
      </c>
      <c r="AM9" s="82" t="str" cm="1">
        <f t="array" ref="AM9">_xlfn.IFNA(INDEX('Aviation Synfuel Data'!$G$4:$M$22,MATCH('Aviation Synfuel-TSData'!$B9&amp;'Aviation Synfuel-TSData'!$C9&amp;$D9,'Aviation Synfuel Data'!$C$4:$C$22&amp;'Aviation Synfuel Data'!$A$4:$A$22&amp;'Aviation Synfuel Data'!$D$4:$D$22,0),MATCH(AM$2,'Aviation Synfuel Data'!$G$3:$M$3,0)),"null")</f>
        <v>null</v>
      </c>
      <c r="AN9" s="82" cm="1">
        <f t="array" ref="AN9">_xlfn.IFNA(INDEX('Aviation Synfuel Data'!$G$4:$M$22,MATCH('Aviation Synfuel-TSData'!$B9&amp;'Aviation Synfuel-TSData'!$C9&amp;$D9,'Aviation Synfuel Data'!$C$4:$C$22&amp;'Aviation Synfuel Data'!$A$4:$A$22&amp;'Aviation Synfuel Data'!$D$4:$D$22,0),MATCH(AN$2,'Aviation Synfuel Data'!$G$3:$M$3,0)),"null")</f>
        <v>0.92221716081539828</v>
      </c>
      <c r="AO9" s="82" cm="1">
        <f t="array" ref="AO9">_xlfn.IFNA(INDEX('Aviation Synfuel Data'!$G$4:$M$22,MATCH('Aviation Synfuel-TSData'!$B9&amp;'Aviation Synfuel-TSData'!$C9&amp;$D9,'Aviation Synfuel Data'!$C$4:$C$22&amp;'Aviation Synfuel Data'!$A$4:$A$22&amp;'Aviation Synfuel Data'!$D$4:$D$22,0),MATCH(AO$2,'Aviation Synfuel Data'!$G$3:$M$3,0)),"null")</f>
        <v>0.92221716081539828</v>
      </c>
      <c r="AP9" s="82"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x14ac:dyDescent="0.25">
      <c r="B10" t="s">
        <v>46</v>
      </c>
      <c r="C10" t="s">
        <v>238</v>
      </c>
      <c r="D10" t="s">
        <v>236</v>
      </c>
      <c r="E10" t="s">
        <v>236</v>
      </c>
      <c r="F10" t="s">
        <v>236</v>
      </c>
      <c r="G10" t="s">
        <v>236</v>
      </c>
      <c r="H10" t="s">
        <v>241</v>
      </c>
      <c r="I10">
        <v>3</v>
      </c>
      <c r="J10" s="82" t="str">
        <f t="array" ref="J10">_xlfn.IFNA(INDEX('Aviation Synfuel Data'!$G$4:$M$22,MATCH('Aviation Synfuel-TSData'!$B10&amp;'Aviation Synfuel-TSData'!$C10&amp;$H10,'Aviation Synfuel Data'!$C$4:$C$22&amp;'Aviation Synfuel Data'!$A$4:$A$22&amp;'Aviation Synfuel Data'!$D$4:$D$22,0),MATCH(J$2,'Aviation Synfuel Data'!$G$3:$M$3,0)),"null")</f>
        <v>null</v>
      </c>
      <c r="K10" s="82" t="str">
        <f t="array" ref="K10">_xlfn.IFNA(INDEX('Aviation Synfuel Data'!$G$4:$M$22,MATCH('Aviation Synfuel-TSData'!$B10&amp;'Aviation Synfuel-TSData'!$C10&amp;$H10,'Aviation Synfuel Data'!$C$4:$C$22&amp;'Aviation Synfuel Data'!$A$4:$A$22&amp;'Aviation Synfuel Data'!$D$4:$D$22,0),MATCH(K$2,'Aviation Synfuel Data'!$G$3:$M$3,0)),"null")</f>
        <v>null</v>
      </c>
      <c r="L10" s="82" t="str">
        <f t="array" ref="L10">_xlfn.IFNA(INDEX('Aviation Synfuel Data'!$G$4:$M$22,MATCH('Aviation Synfuel-TSData'!$B10&amp;'Aviation Synfuel-TSData'!$C10&amp;$H10,'Aviation Synfuel Data'!$C$4:$C$22&amp;'Aviation Synfuel Data'!$A$4:$A$22&amp;'Aviation Synfuel Data'!$D$4:$D$22,0),MATCH(L$2,'Aviation Synfuel Data'!$G$3:$M$3,0)),"null")</f>
        <v>null</v>
      </c>
      <c r="M10" s="82" t="str">
        <f t="array" ref="M10">_xlfn.IFNA(INDEX('Aviation Synfuel Data'!$G$4:$M$22,MATCH('Aviation Synfuel-TSData'!$B10&amp;'Aviation Synfuel-TSData'!$C10&amp;$H10,'Aviation Synfuel Data'!$C$4:$C$22&amp;'Aviation Synfuel Data'!$A$4:$A$22&amp;'Aviation Synfuel Data'!$D$4:$D$22,0),MATCH(M$2,'Aviation Synfuel Data'!$G$3:$M$3,0)),"null")</f>
        <v>null</v>
      </c>
      <c r="N10" s="82" t="str">
        <f t="array" ref="N10">_xlfn.IFNA(INDEX('Aviation Synfuel Data'!$G$4:$M$22,MATCH('Aviation Synfuel-TSData'!$B10&amp;'Aviation Synfuel-TSData'!$C10&amp;$H10,'Aviation Synfuel Data'!$C$4:$C$22&amp;'Aviation Synfuel Data'!$A$4:$A$22&amp;'Aviation Synfuel Data'!$D$4:$D$22,0),MATCH(N$2,'Aviation Synfuel Data'!$G$3:$M$3,0)),"null")</f>
        <v>null</v>
      </c>
      <c r="O10" s="82" t="str">
        <f t="array" ref="O10">_xlfn.IFNA(INDEX('Aviation Synfuel Data'!$G$4:$M$22,MATCH('Aviation Synfuel-TSData'!$B10&amp;'Aviation Synfuel-TSData'!$C10&amp;$H10,'Aviation Synfuel Data'!$C$4:$C$22&amp;'Aviation Synfuel Data'!$A$4:$A$22&amp;'Aviation Synfuel Data'!$D$4:$D$22,0),MATCH(O$2,'Aviation Synfuel Data'!$G$3:$M$3,0)),"null")</f>
        <v>null</v>
      </c>
      <c r="P10" s="82" t="str">
        <f t="array" ref="P10">_xlfn.IFNA(INDEX('Aviation Synfuel Data'!$G$4:$M$22,MATCH('Aviation Synfuel-TSData'!$B10&amp;'Aviation Synfuel-TSData'!$C10&amp;$H10,'Aviation Synfuel Data'!$C$4:$C$22&amp;'Aviation Synfuel Data'!$A$4:$A$22&amp;'Aviation Synfuel Data'!$D$4:$D$22,0),MATCH(P$2,'Aviation Synfuel Data'!$G$3:$M$3,0)),"null")</f>
        <v>null</v>
      </c>
      <c r="Q10" s="82" t="str">
        <f t="array" ref="Q10">_xlfn.IFNA(INDEX('Aviation Synfuel Data'!$G$4:$M$22,MATCH('Aviation Synfuel-TSData'!$B10&amp;'Aviation Synfuel-TSData'!$C10&amp;$H10,'Aviation Synfuel Data'!$C$4:$C$22&amp;'Aviation Synfuel Data'!$A$4:$A$22&amp;'Aviation Synfuel Data'!$D$4:$D$22,0),MATCH(Q$2,'Aviation Synfuel Data'!$G$3:$M$3,0)),"null")</f>
        <v>null</v>
      </c>
      <c r="R10" s="82">
        <f t="array" ref="R10">_xlfn.IFNA(INDEX('Aviation Synfuel Data'!$G$4:$M$22,MATCH('Aviation Synfuel-TSData'!$B10&amp;'Aviation Synfuel-TSData'!$C10&amp;$H10,'Aviation Synfuel Data'!$C$4:$C$22&amp;'Aviation Synfuel Data'!$A$4:$A$22&amp;'Aviation Synfuel Data'!$D$4:$D$22,0),MATCH(R$2,'Aviation Synfuel Data'!$G$3:$M$3,0)),"null")</f>
        <v>0.5</v>
      </c>
      <c r="S10" s="82" t="str">
        <f t="array" ref="S10">_xlfn.IFNA(INDEX('Aviation Synfuel Data'!$G$4:$M$22,MATCH('Aviation Synfuel-TSData'!$B10&amp;'Aviation Synfuel-TSData'!$C10&amp;$H10,'Aviation Synfuel Data'!$C$4:$C$22&amp;'Aviation Synfuel Data'!$A$4:$A$22&amp;'Aviation Synfuel Data'!$D$4:$D$22,0),MATCH(S$2,'Aviation Synfuel Data'!$G$3:$M$3,0)),"null")</f>
        <v>null</v>
      </c>
      <c r="T10" s="82" t="str">
        <f t="array" ref="T10">_xlfn.IFNA(INDEX('Aviation Synfuel Data'!$G$4:$M$22,MATCH('Aviation Synfuel-TSData'!$B10&amp;'Aviation Synfuel-TSData'!$C10&amp;$H10,'Aviation Synfuel Data'!$C$4:$C$22&amp;'Aviation Synfuel Data'!$A$4:$A$22&amp;'Aviation Synfuel Data'!$D$4:$D$22,0),MATCH(T$2,'Aviation Synfuel Data'!$G$3:$M$3,0)),"null")</f>
        <v>null</v>
      </c>
      <c r="U10" s="82" t="str">
        <f t="array" ref="U10">_xlfn.IFNA(INDEX('Aviation Synfuel Data'!$G$4:$M$22,MATCH('Aviation Synfuel-TSData'!$B10&amp;'Aviation Synfuel-TSData'!$C10&amp;$H10,'Aviation Synfuel Data'!$C$4:$C$22&amp;'Aviation Synfuel Data'!$A$4:$A$22&amp;'Aviation Synfuel Data'!$D$4:$D$22,0),MATCH(U$2,'Aviation Synfuel Data'!$G$3:$M$3,0)),"null")</f>
        <v>null</v>
      </c>
      <c r="V10" s="82" t="str">
        <f t="array" ref="V10">_xlfn.IFNA(INDEX('Aviation Synfuel Data'!$G$4:$M$22,MATCH('Aviation Synfuel-TSData'!$B10&amp;'Aviation Synfuel-TSData'!$C10&amp;$H10,'Aviation Synfuel Data'!$C$4:$C$22&amp;'Aviation Synfuel Data'!$A$4:$A$22&amp;'Aviation Synfuel Data'!$D$4:$D$22,0),MATCH(V$2,'Aviation Synfuel Data'!$G$3:$M$3,0)),"null")</f>
        <v>null</v>
      </c>
      <c r="W10" s="82" t="str">
        <f t="array" ref="W10">_xlfn.IFNA(INDEX('Aviation Synfuel Data'!$G$4:$M$22,MATCH('Aviation Synfuel-TSData'!$B10&amp;'Aviation Synfuel-TSData'!$C10&amp;$H10,'Aviation Synfuel Data'!$C$4:$C$22&amp;'Aviation Synfuel Data'!$A$4:$A$22&amp;'Aviation Synfuel Data'!$D$4:$D$22,0),MATCH(W$2,'Aviation Synfuel Data'!$G$3:$M$3,0)),"null")</f>
        <v>null</v>
      </c>
      <c r="X10" s="82" t="str">
        <f t="array" ref="X10">_xlfn.IFNA(INDEX('Aviation Synfuel Data'!$G$4:$M$22,MATCH('Aviation Synfuel-TSData'!$B10&amp;'Aviation Synfuel-TSData'!$C10&amp;$H10,'Aviation Synfuel Data'!$C$4:$C$22&amp;'Aviation Synfuel Data'!$A$4:$A$22&amp;'Aviation Synfuel Data'!$D$4:$D$22,0),MATCH(X$2,'Aviation Synfuel Data'!$G$3:$M$3,0)),"null")</f>
        <v>null</v>
      </c>
      <c r="Y10" s="82" t="str">
        <f t="array" ref="Y10">_xlfn.IFNA(INDEX('Aviation Synfuel Data'!$G$4:$M$22,MATCH('Aviation Synfuel-TSData'!$B10&amp;'Aviation Synfuel-TSData'!$C10&amp;$H10,'Aviation Synfuel Data'!$C$4:$C$22&amp;'Aviation Synfuel Data'!$A$4:$A$22&amp;'Aviation Synfuel Data'!$D$4:$D$22,0),MATCH(Y$2,'Aviation Synfuel Data'!$G$3:$M$3,0)),"null")</f>
        <v>null</v>
      </c>
      <c r="Z10" s="82" t="str">
        <f t="array" ref="Z10">_xlfn.IFNA(INDEX('Aviation Synfuel Data'!$G$4:$M$22,MATCH('Aviation Synfuel-TSData'!$B10&amp;'Aviation Synfuel-TSData'!$C10&amp;$H10,'Aviation Synfuel Data'!$C$4:$C$22&amp;'Aviation Synfuel Data'!$A$4:$A$22&amp;'Aviation Synfuel Data'!$D$4:$D$22,0),MATCH(Z$2,'Aviation Synfuel Data'!$G$3:$M$3,0)),"null")</f>
        <v>null</v>
      </c>
      <c r="AA10" s="82" t="str">
        <f t="array" ref="AA10">_xlfn.IFNA(INDEX('Aviation Synfuel Data'!$G$4:$M$22,MATCH('Aviation Synfuel-TSData'!$B10&amp;'Aviation Synfuel-TSData'!$C10&amp;$H10,'Aviation Synfuel Data'!$C$4:$C$22&amp;'Aviation Synfuel Data'!$A$4:$A$22&amp;'Aviation Synfuel Data'!$D$4:$D$22,0),MATCH(AA$2,'Aviation Synfuel Data'!$G$3:$M$3,0)),"null")</f>
        <v>null</v>
      </c>
      <c r="AB10" s="82">
        <f t="array" ref="AB10">_xlfn.IFNA(INDEX('Aviation Synfuel Data'!$G$4:$M$22,MATCH('Aviation Synfuel-TSData'!$B10&amp;'Aviation Synfuel-TSData'!$C10&amp;$H10,'Aviation Synfuel Data'!$C$4:$C$22&amp;'Aviation Synfuel Data'!$A$4:$A$22&amp;'Aviation Synfuel Data'!$D$4:$D$22,0),MATCH(AB$2,'Aviation Synfuel Data'!$G$3:$M$3,0)),"null")</f>
        <v>0.5</v>
      </c>
      <c r="AC10" s="82" t="str">
        <f t="array" ref="AC10">_xlfn.IFNA(INDEX('Aviation Synfuel Data'!$G$4:$M$22,MATCH('Aviation Synfuel-TSData'!$B10&amp;'Aviation Synfuel-TSData'!$C10&amp;$H10,'Aviation Synfuel Data'!$C$4:$C$22&amp;'Aviation Synfuel Data'!$A$4:$A$22&amp;'Aviation Synfuel Data'!$D$4:$D$22,0),MATCH(AC$2,'Aviation Synfuel Data'!$G$3:$M$3,0)),"null")</f>
        <v>null</v>
      </c>
      <c r="AD10" s="82" t="str">
        <f t="array" ref="AD10">_xlfn.IFNA(INDEX('Aviation Synfuel Data'!$G$4:$M$22,MATCH('Aviation Synfuel-TSData'!$B10&amp;'Aviation Synfuel-TSData'!$C10&amp;$H10,'Aviation Synfuel Data'!$C$4:$C$22&amp;'Aviation Synfuel Data'!$A$4:$A$22&amp;'Aviation Synfuel Data'!$D$4:$D$22,0),MATCH(AD$2,'Aviation Synfuel Data'!$G$3:$M$3,0)),"null")</f>
        <v>null</v>
      </c>
      <c r="AE10" s="82" t="str">
        <f t="array" ref="AE10">_xlfn.IFNA(INDEX('Aviation Synfuel Data'!$G$4:$M$22,MATCH('Aviation Synfuel-TSData'!$B10&amp;'Aviation Synfuel-TSData'!$C10&amp;$H10,'Aviation Synfuel Data'!$C$4:$C$22&amp;'Aviation Synfuel Data'!$A$4:$A$22&amp;'Aviation Synfuel Data'!$D$4:$D$22,0),MATCH(AE$2,'Aviation Synfuel Data'!$G$3:$M$3,0)),"null")</f>
        <v>null</v>
      </c>
      <c r="AF10" s="82" t="str">
        <f t="array" ref="AF10">_xlfn.IFNA(INDEX('Aviation Synfuel Data'!$G$4:$M$22,MATCH('Aviation Synfuel-TSData'!$B10&amp;'Aviation Synfuel-TSData'!$C10&amp;$H10,'Aviation Synfuel Data'!$C$4:$C$22&amp;'Aviation Synfuel Data'!$A$4:$A$22&amp;'Aviation Synfuel Data'!$D$4:$D$22,0),MATCH(AF$2,'Aviation Synfuel Data'!$G$3:$M$3,0)),"null")</f>
        <v>null</v>
      </c>
      <c r="AG10" s="82">
        <f t="array" ref="AG10">_xlfn.IFNA(INDEX('Aviation Synfuel Data'!$G$4:$M$22,MATCH('Aviation Synfuel-TSData'!$B10&amp;'Aviation Synfuel-TSData'!$C10&amp;$H10,'Aviation Synfuel Data'!$C$4:$C$22&amp;'Aviation Synfuel Data'!$A$4:$A$22&amp;'Aviation Synfuel Data'!$D$4:$D$22,0),MATCH(AG$2,'Aviation Synfuel Data'!$G$3:$M$3,0)),"null")</f>
        <v>0.5</v>
      </c>
      <c r="AH10" s="82" t="str">
        <f t="array" ref="AH10">_xlfn.IFNA(INDEX('Aviation Synfuel Data'!$G$4:$M$22,MATCH('Aviation Synfuel-TSData'!$B10&amp;'Aviation Synfuel-TSData'!$C10&amp;$H10,'Aviation Synfuel Data'!$C$4:$C$22&amp;'Aviation Synfuel Data'!$A$4:$A$22&amp;'Aviation Synfuel Data'!$D$4:$D$22,0),MATCH(AH$2,'Aviation Synfuel Data'!$G$3:$M$3,0)),"null")</f>
        <v>null</v>
      </c>
      <c r="AI10" s="82" t="str">
        <f t="array" ref="AI10">_xlfn.IFNA(INDEX('Aviation Synfuel Data'!$G$4:$M$22,MATCH('Aviation Synfuel-TSData'!$B10&amp;'Aviation Synfuel-TSData'!$C10&amp;$H10,'Aviation Synfuel Data'!$C$4:$C$22&amp;'Aviation Synfuel Data'!$A$4:$A$22&amp;'Aviation Synfuel Data'!$D$4:$D$22,0),MATCH(AI$2,'Aviation Synfuel Data'!$G$3:$M$3,0)),"null")</f>
        <v>null</v>
      </c>
      <c r="AJ10" s="82" t="str">
        <f t="array" ref="AJ10">_xlfn.IFNA(INDEX('Aviation Synfuel Data'!$G$4:$M$22,MATCH('Aviation Synfuel-TSData'!$B10&amp;'Aviation Synfuel-TSData'!$C10&amp;$H10,'Aviation Synfuel Data'!$C$4:$C$22&amp;'Aviation Synfuel Data'!$A$4:$A$22&amp;'Aviation Synfuel Data'!$D$4:$D$22,0),MATCH(AJ$2,'Aviation Synfuel Data'!$G$3:$M$3,0)),"null")</f>
        <v>null</v>
      </c>
      <c r="AK10" s="82" t="str">
        <f t="array" ref="AK10">_xlfn.IFNA(INDEX('Aviation Synfuel Data'!$G$4:$M$22,MATCH('Aviation Synfuel-TSData'!$B10&amp;'Aviation Synfuel-TSData'!$C10&amp;$H10,'Aviation Synfuel Data'!$C$4:$C$22&amp;'Aviation Synfuel Data'!$A$4:$A$22&amp;'Aviation Synfuel Data'!$D$4:$D$22,0),MATCH(AK$2,'Aviation Synfuel Data'!$G$3:$M$3,0)),"null")</f>
        <v>null</v>
      </c>
      <c r="AL10" s="82">
        <f t="array" ref="AL10">_xlfn.IFNA(INDEX('Aviation Synfuel Data'!$G$4:$M$22,MATCH('Aviation Synfuel-TSData'!$B10&amp;'Aviation Synfuel-TSData'!$C10&amp;$H10,'Aviation Synfuel Data'!$C$4:$C$22&amp;'Aviation Synfuel Data'!$A$4:$A$22&amp;'Aviation Synfuel Data'!$D$4:$D$22,0),MATCH(AL$2,'Aviation Synfuel Data'!$G$3:$M$3,0)),"null")</f>
        <v>0.5</v>
      </c>
      <c r="AM10" s="82" t="str">
        <f t="array" ref="AM10">_xlfn.IFNA(INDEX('Aviation Synfuel Data'!$G$4:$M$22,MATCH('Aviation Synfuel-TSData'!$B10&amp;'Aviation Synfuel-TSData'!$C10&amp;$H10,'Aviation Synfuel Data'!$C$4:$C$22&amp;'Aviation Synfuel Data'!$A$4:$A$22&amp;'Aviation Synfuel Data'!$D$4:$D$22,0),MATCH(AM$2,'Aviation Synfuel Data'!$G$3:$M$3,0)),"null")</f>
        <v>null</v>
      </c>
      <c r="AN10" s="82">
        <f t="array" ref="AN10">_xlfn.IFNA(INDEX('Aviation Synfuel Data'!$G$4:$M$22,MATCH('Aviation Synfuel-TSData'!$B10&amp;'Aviation Synfuel-TSData'!$C10&amp;$H10,'Aviation Synfuel Data'!$C$4:$C$22&amp;'Aviation Synfuel Data'!$A$4:$A$22&amp;'Aviation Synfuel Data'!$D$4:$D$22,0),MATCH(AN$2,'Aviation Synfuel Data'!$G$3:$M$3,0)),"null")</f>
        <v>0.5</v>
      </c>
      <c r="AO10" s="82">
        <f t="array" ref="AO10">_xlfn.IFNA(INDEX('Aviation Synfuel Data'!$G$4:$M$22,MATCH('Aviation Synfuel-TSData'!$B10&amp;'Aviation Synfuel-TSData'!$C10&amp;$H10,'Aviation Synfuel Data'!$C$4:$C$22&amp;'Aviation Synfuel Data'!$A$4:$A$22&amp;'Aviation Synfuel Data'!$D$4:$D$22,0),MATCH(AO$2,'Aviation Synfuel Data'!$G$3:$M$3,0)),"null")</f>
        <v>0.5</v>
      </c>
      <c r="AP10" s="82">
        <f t="array" ref="AP10">_xlfn.IFNA(INDEX('Aviation Synfuel Data'!$G$4:$M$22,MATCH('Aviation Synfuel-TSData'!$B10&amp;'Aviation Synfuel-TSData'!$C10&amp;$H10,'Aviation Synfuel Data'!$C$4:$C$22&amp;'Aviation Synfuel Data'!$A$4:$A$22&amp;'Aviation Synfuel Data'!$D$4:$D$22,0),MATCH(AP$2,'Aviation Synfuel Data'!$G$3:$M$3,0)),"null")</f>
        <v>0.5</v>
      </c>
    </row>
    <row r="11" spans="1:42" x14ac:dyDescent="0.25">
      <c r="B11" t="s">
        <v>46</v>
      </c>
      <c r="C11" t="s">
        <v>238</v>
      </c>
      <c r="D11" t="s">
        <v>236</v>
      </c>
      <c r="E11" t="s">
        <v>236</v>
      </c>
      <c r="F11" t="s">
        <v>236</v>
      </c>
      <c r="G11" t="s">
        <v>236</v>
      </c>
      <c r="H11" t="s">
        <v>243</v>
      </c>
      <c r="I11">
        <v>3</v>
      </c>
      <c r="J11" s="82" t="str">
        <f t="array" ref="J11">_xlfn.IFNA(INDEX('Aviation Synfuel Data'!$G$4:$M$22,MATCH('Aviation Synfuel-TSData'!$B11&amp;'Aviation Synfuel-TSData'!$C11&amp;$H11,'Aviation Synfuel Data'!$C$4:$C$22&amp;'Aviation Synfuel Data'!$A$4:$A$22&amp;'Aviation Synfuel Data'!$D$4:$D$22,0),MATCH(J$2,'Aviation Synfuel Data'!$G$3:$M$3,0)),"null")</f>
        <v>null</v>
      </c>
      <c r="K11" s="82" t="str">
        <f t="array" ref="K11">_xlfn.IFNA(INDEX('Aviation Synfuel Data'!$G$4:$M$22,MATCH('Aviation Synfuel-TSData'!$B11&amp;'Aviation Synfuel-TSData'!$C11&amp;$H11,'Aviation Synfuel Data'!$C$4:$C$22&amp;'Aviation Synfuel Data'!$A$4:$A$22&amp;'Aviation Synfuel Data'!$D$4:$D$22,0),MATCH(K$2,'Aviation Synfuel Data'!$G$3:$M$3,0)),"null")</f>
        <v>null</v>
      </c>
      <c r="L11" s="82" t="str">
        <f t="array" ref="L11">_xlfn.IFNA(INDEX('Aviation Synfuel Data'!$G$4:$M$22,MATCH('Aviation Synfuel-TSData'!$B11&amp;'Aviation Synfuel-TSData'!$C11&amp;$H11,'Aviation Synfuel Data'!$C$4:$C$22&amp;'Aviation Synfuel Data'!$A$4:$A$22&amp;'Aviation Synfuel Data'!$D$4:$D$22,0),MATCH(L$2,'Aviation Synfuel Data'!$G$3:$M$3,0)),"null")</f>
        <v>null</v>
      </c>
      <c r="M11" s="82" t="str">
        <f t="array" ref="M11">_xlfn.IFNA(INDEX('Aviation Synfuel Data'!$G$4:$M$22,MATCH('Aviation Synfuel-TSData'!$B11&amp;'Aviation Synfuel-TSData'!$C11&amp;$H11,'Aviation Synfuel Data'!$C$4:$C$22&amp;'Aviation Synfuel Data'!$A$4:$A$22&amp;'Aviation Synfuel Data'!$D$4:$D$22,0),MATCH(M$2,'Aviation Synfuel Data'!$G$3:$M$3,0)),"null")</f>
        <v>null</v>
      </c>
      <c r="N11" s="82" t="str">
        <f t="array" ref="N11">_xlfn.IFNA(INDEX('Aviation Synfuel Data'!$G$4:$M$22,MATCH('Aviation Synfuel-TSData'!$B11&amp;'Aviation Synfuel-TSData'!$C11&amp;$H11,'Aviation Synfuel Data'!$C$4:$C$22&amp;'Aviation Synfuel Data'!$A$4:$A$22&amp;'Aviation Synfuel Data'!$D$4:$D$22,0),MATCH(N$2,'Aviation Synfuel Data'!$G$3:$M$3,0)),"null")</f>
        <v>null</v>
      </c>
      <c r="O11" s="82" t="str">
        <f t="array" ref="O11">_xlfn.IFNA(INDEX('Aviation Synfuel Data'!$G$4:$M$22,MATCH('Aviation Synfuel-TSData'!$B11&amp;'Aviation Synfuel-TSData'!$C11&amp;$H11,'Aviation Synfuel Data'!$C$4:$C$22&amp;'Aviation Synfuel Data'!$A$4:$A$22&amp;'Aviation Synfuel Data'!$D$4:$D$22,0),MATCH(O$2,'Aviation Synfuel Data'!$G$3:$M$3,0)),"null")</f>
        <v>null</v>
      </c>
      <c r="P11" s="82" t="str">
        <f t="array" ref="P11">_xlfn.IFNA(INDEX('Aviation Synfuel Data'!$G$4:$M$22,MATCH('Aviation Synfuel-TSData'!$B11&amp;'Aviation Synfuel-TSData'!$C11&amp;$H11,'Aviation Synfuel Data'!$C$4:$C$22&amp;'Aviation Synfuel Data'!$A$4:$A$22&amp;'Aviation Synfuel Data'!$D$4:$D$22,0),MATCH(P$2,'Aviation Synfuel Data'!$G$3:$M$3,0)),"null")</f>
        <v>null</v>
      </c>
      <c r="Q11" s="82" t="str">
        <f t="array" ref="Q11">_xlfn.IFNA(INDEX('Aviation Synfuel Data'!$G$4:$M$22,MATCH('Aviation Synfuel-TSData'!$B11&amp;'Aviation Synfuel-TSData'!$C11&amp;$H11,'Aviation Synfuel Data'!$C$4:$C$22&amp;'Aviation Synfuel Data'!$A$4:$A$22&amp;'Aviation Synfuel Data'!$D$4:$D$22,0),MATCH(Q$2,'Aviation Synfuel Data'!$G$3:$M$3,0)),"null")</f>
        <v>null</v>
      </c>
      <c r="R11" s="82">
        <f t="array" ref="R11">_xlfn.IFNA(INDEX('Aviation Synfuel Data'!$G$4:$M$22,MATCH('Aviation Synfuel-TSData'!$B11&amp;'Aviation Synfuel-TSData'!$C11&amp;$H11,'Aviation Synfuel Data'!$C$4:$C$22&amp;'Aviation Synfuel Data'!$A$4:$A$22&amp;'Aviation Synfuel Data'!$D$4:$D$22,0),MATCH(R$2,'Aviation Synfuel Data'!$G$3:$M$3,0)),"null")</f>
        <v>0.91324200913242004</v>
      </c>
      <c r="S11" s="82" t="str">
        <f t="array" ref="S11">_xlfn.IFNA(INDEX('Aviation Synfuel Data'!$G$4:$M$22,MATCH('Aviation Synfuel-TSData'!$B11&amp;'Aviation Synfuel-TSData'!$C11&amp;$H11,'Aviation Synfuel Data'!$C$4:$C$22&amp;'Aviation Synfuel Data'!$A$4:$A$22&amp;'Aviation Synfuel Data'!$D$4:$D$22,0),MATCH(S$2,'Aviation Synfuel Data'!$G$3:$M$3,0)),"null")</f>
        <v>null</v>
      </c>
      <c r="T11" s="82" t="str">
        <f t="array" ref="T11">_xlfn.IFNA(INDEX('Aviation Synfuel Data'!$G$4:$M$22,MATCH('Aviation Synfuel-TSData'!$B11&amp;'Aviation Synfuel-TSData'!$C11&amp;$H11,'Aviation Synfuel Data'!$C$4:$C$22&amp;'Aviation Synfuel Data'!$A$4:$A$22&amp;'Aviation Synfuel Data'!$D$4:$D$22,0),MATCH(T$2,'Aviation Synfuel Data'!$G$3:$M$3,0)),"null")</f>
        <v>null</v>
      </c>
      <c r="U11" s="82" t="str">
        <f t="array" ref="U11">_xlfn.IFNA(INDEX('Aviation Synfuel Data'!$G$4:$M$22,MATCH('Aviation Synfuel-TSData'!$B11&amp;'Aviation Synfuel-TSData'!$C11&amp;$H11,'Aviation Synfuel Data'!$C$4:$C$22&amp;'Aviation Synfuel Data'!$A$4:$A$22&amp;'Aviation Synfuel Data'!$D$4:$D$22,0),MATCH(U$2,'Aviation Synfuel Data'!$G$3:$M$3,0)),"null")</f>
        <v>null</v>
      </c>
      <c r="V11" s="82" t="str">
        <f t="array" ref="V11">_xlfn.IFNA(INDEX('Aviation Synfuel Data'!$G$4:$M$22,MATCH('Aviation Synfuel-TSData'!$B11&amp;'Aviation Synfuel-TSData'!$C11&amp;$H11,'Aviation Synfuel Data'!$C$4:$C$22&amp;'Aviation Synfuel Data'!$A$4:$A$22&amp;'Aviation Synfuel Data'!$D$4:$D$22,0),MATCH(V$2,'Aviation Synfuel Data'!$G$3:$M$3,0)),"null")</f>
        <v>null</v>
      </c>
      <c r="W11" s="82" t="str">
        <f t="array" ref="W11">_xlfn.IFNA(INDEX('Aviation Synfuel Data'!$G$4:$M$22,MATCH('Aviation Synfuel-TSData'!$B11&amp;'Aviation Synfuel-TSData'!$C11&amp;$H11,'Aviation Synfuel Data'!$C$4:$C$22&amp;'Aviation Synfuel Data'!$A$4:$A$22&amp;'Aviation Synfuel Data'!$D$4:$D$22,0),MATCH(W$2,'Aviation Synfuel Data'!$G$3:$M$3,0)),"null")</f>
        <v>null</v>
      </c>
      <c r="X11" s="82" t="str">
        <f t="array" ref="X11">_xlfn.IFNA(INDEX('Aviation Synfuel Data'!$G$4:$M$22,MATCH('Aviation Synfuel-TSData'!$B11&amp;'Aviation Synfuel-TSData'!$C11&amp;$H11,'Aviation Synfuel Data'!$C$4:$C$22&amp;'Aviation Synfuel Data'!$A$4:$A$22&amp;'Aviation Synfuel Data'!$D$4:$D$22,0),MATCH(X$2,'Aviation Synfuel Data'!$G$3:$M$3,0)),"null")</f>
        <v>null</v>
      </c>
      <c r="Y11" s="82" t="str">
        <f t="array" ref="Y11">_xlfn.IFNA(INDEX('Aviation Synfuel Data'!$G$4:$M$22,MATCH('Aviation Synfuel-TSData'!$B11&amp;'Aviation Synfuel-TSData'!$C11&amp;$H11,'Aviation Synfuel Data'!$C$4:$C$22&amp;'Aviation Synfuel Data'!$A$4:$A$22&amp;'Aviation Synfuel Data'!$D$4:$D$22,0),MATCH(Y$2,'Aviation Synfuel Data'!$G$3:$M$3,0)),"null")</f>
        <v>null</v>
      </c>
      <c r="Z11" s="82" t="str">
        <f t="array" ref="Z11">_xlfn.IFNA(INDEX('Aviation Synfuel Data'!$G$4:$M$22,MATCH('Aviation Synfuel-TSData'!$B11&amp;'Aviation Synfuel-TSData'!$C11&amp;$H11,'Aviation Synfuel Data'!$C$4:$C$22&amp;'Aviation Synfuel Data'!$A$4:$A$22&amp;'Aviation Synfuel Data'!$D$4:$D$22,0),MATCH(Z$2,'Aviation Synfuel Data'!$G$3:$M$3,0)),"null")</f>
        <v>null</v>
      </c>
      <c r="AA11" s="82" t="str">
        <f t="array" ref="AA11">_xlfn.IFNA(INDEX('Aviation Synfuel Data'!$G$4:$M$22,MATCH('Aviation Synfuel-TSData'!$B11&amp;'Aviation Synfuel-TSData'!$C11&amp;$H11,'Aviation Synfuel Data'!$C$4:$C$22&amp;'Aviation Synfuel Data'!$A$4:$A$22&amp;'Aviation Synfuel Data'!$D$4:$D$22,0),MATCH(AA$2,'Aviation Synfuel Data'!$G$3:$M$3,0)),"null")</f>
        <v>null</v>
      </c>
      <c r="AB11" s="82">
        <f t="array" ref="AB11">_xlfn.IFNA(INDEX('Aviation Synfuel Data'!$G$4:$M$22,MATCH('Aviation Synfuel-TSData'!$B11&amp;'Aviation Synfuel-TSData'!$C11&amp;$H11,'Aviation Synfuel Data'!$C$4:$C$22&amp;'Aviation Synfuel Data'!$A$4:$A$22&amp;'Aviation Synfuel Data'!$D$4:$D$22,0),MATCH(AB$2,'Aviation Synfuel Data'!$G$3:$M$3,0)),"null")</f>
        <v>0.91324200913242004</v>
      </c>
      <c r="AC11" s="82" t="str">
        <f t="array" ref="AC11">_xlfn.IFNA(INDEX('Aviation Synfuel Data'!$G$4:$M$22,MATCH('Aviation Synfuel-TSData'!$B11&amp;'Aviation Synfuel-TSData'!$C11&amp;$H11,'Aviation Synfuel Data'!$C$4:$C$22&amp;'Aviation Synfuel Data'!$A$4:$A$22&amp;'Aviation Synfuel Data'!$D$4:$D$22,0),MATCH(AC$2,'Aviation Synfuel Data'!$G$3:$M$3,0)),"null")</f>
        <v>null</v>
      </c>
      <c r="AD11" s="82" t="str">
        <f t="array" ref="AD11">_xlfn.IFNA(INDEX('Aviation Synfuel Data'!$G$4:$M$22,MATCH('Aviation Synfuel-TSData'!$B11&amp;'Aviation Synfuel-TSData'!$C11&amp;$H11,'Aviation Synfuel Data'!$C$4:$C$22&amp;'Aviation Synfuel Data'!$A$4:$A$22&amp;'Aviation Synfuel Data'!$D$4:$D$22,0),MATCH(AD$2,'Aviation Synfuel Data'!$G$3:$M$3,0)),"null")</f>
        <v>null</v>
      </c>
      <c r="AE11" s="82" t="str">
        <f t="array" ref="AE11">_xlfn.IFNA(INDEX('Aviation Synfuel Data'!$G$4:$M$22,MATCH('Aviation Synfuel-TSData'!$B11&amp;'Aviation Synfuel-TSData'!$C11&amp;$H11,'Aviation Synfuel Data'!$C$4:$C$22&amp;'Aviation Synfuel Data'!$A$4:$A$22&amp;'Aviation Synfuel Data'!$D$4:$D$22,0),MATCH(AE$2,'Aviation Synfuel Data'!$G$3:$M$3,0)),"null")</f>
        <v>null</v>
      </c>
      <c r="AF11" s="82" t="str">
        <f t="array" ref="AF11">_xlfn.IFNA(INDEX('Aviation Synfuel Data'!$G$4:$M$22,MATCH('Aviation Synfuel-TSData'!$B11&amp;'Aviation Synfuel-TSData'!$C11&amp;$H11,'Aviation Synfuel Data'!$C$4:$C$22&amp;'Aviation Synfuel Data'!$A$4:$A$22&amp;'Aviation Synfuel Data'!$D$4:$D$22,0),MATCH(AF$2,'Aviation Synfuel Data'!$G$3:$M$3,0)),"null")</f>
        <v>null</v>
      </c>
      <c r="AG11" s="82">
        <f t="array" ref="AG11">_xlfn.IFNA(INDEX('Aviation Synfuel Data'!$G$4:$M$22,MATCH('Aviation Synfuel-TSData'!$B11&amp;'Aviation Synfuel-TSData'!$C11&amp;$H11,'Aviation Synfuel Data'!$C$4:$C$22&amp;'Aviation Synfuel Data'!$A$4:$A$22&amp;'Aviation Synfuel Data'!$D$4:$D$22,0),MATCH(AG$2,'Aviation Synfuel Data'!$G$3:$M$3,0)),"null")</f>
        <v>0.91324200913242004</v>
      </c>
      <c r="AH11" s="82" t="str">
        <f t="array" ref="AH11">_xlfn.IFNA(INDEX('Aviation Synfuel Data'!$G$4:$M$22,MATCH('Aviation Synfuel-TSData'!$B11&amp;'Aviation Synfuel-TSData'!$C11&amp;$H11,'Aviation Synfuel Data'!$C$4:$C$22&amp;'Aviation Synfuel Data'!$A$4:$A$22&amp;'Aviation Synfuel Data'!$D$4:$D$22,0),MATCH(AH$2,'Aviation Synfuel Data'!$G$3:$M$3,0)),"null")</f>
        <v>null</v>
      </c>
      <c r="AI11" s="82" t="str">
        <f t="array" ref="AI11">_xlfn.IFNA(INDEX('Aviation Synfuel Data'!$G$4:$M$22,MATCH('Aviation Synfuel-TSData'!$B11&amp;'Aviation Synfuel-TSData'!$C11&amp;$H11,'Aviation Synfuel Data'!$C$4:$C$22&amp;'Aviation Synfuel Data'!$A$4:$A$22&amp;'Aviation Synfuel Data'!$D$4:$D$22,0),MATCH(AI$2,'Aviation Synfuel Data'!$G$3:$M$3,0)),"null")</f>
        <v>null</v>
      </c>
      <c r="AJ11" s="82" t="str">
        <f t="array" ref="AJ11">_xlfn.IFNA(INDEX('Aviation Synfuel Data'!$G$4:$M$22,MATCH('Aviation Synfuel-TSData'!$B11&amp;'Aviation Synfuel-TSData'!$C11&amp;$H11,'Aviation Synfuel Data'!$C$4:$C$22&amp;'Aviation Synfuel Data'!$A$4:$A$22&amp;'Aviation Synfuel Data'!$D$4:$D$22,0),MATCH(AJ$2,'Aviation Synfuel Data'!$G$3:$M$3,0)),"null")</f>
        <v>null</v>
      </c>
      <c r="AK11" s="82" t="str">
        <f t="array" ref="AK11">_xlfn.IFNA(INDEX('Aviation Synfuel Data'!$G$4:$M$22,MATCH('Aviation Synfuel-TSData'!$B11&amp;'Aviation Synfuel-TSData'!$C11&amp;$H11,'Aviation Synfuel Data'!$C$4:$C$22&amp;'Aviation Synfuel Data'!$A$4:$A$22&amp;'Aviation Synfuel Data'!$D$4:$D$22,0),MATCH(AK$2,'Aviation Synfuel Data'!$G$3:$M$3,0)),"null")</f>
        <v>null</v>
      </c>
      <c r="AL11" s="82">
        <f t="array" ref="AL11">_xlfn.IFNA(INDEX('Aviation Synfuel Data'!$G$4:$M$22,MATCH('Aviation Synfuel-TSData'!$B11&amp;'Aviation Synfuel-TSData'!$C11&amp;$H11,'Aviation Synfuel Data'!$C$4:$C$22&amp;'Aviation Synfuel Data'!$A$4:$A$22&amp;'Aviation Synfuel Data'!$D$4:$D$22,0),MATCH(AL$2,'Aviation Synfuel Data'!$G$3:$M$3,0)),"null")</f>
        <v>0.91324200913242004</v>
      </c>
      <c r="AM11" s="82" t="str">
        <f t="array" ref="AM11">_xlfn.IFNA(INDEX('Aviation Synfuel Data'!$G$4:$M$22,MATCH('Aviation Synfuel-TSData'!$B11&amp;'Aviation Synfuel-TSData'!$C11&amp;$H11,'Aviation Synfuel Data'!$C$4:$C$22&amp;'Aviation Synfuel Data'!$A$4:$A$22&amp;'Aviation Synfuel Data'!$D$4:$D$22,0),MATCH(AM$2,'Aviation Synfuel Data'!$G$3:$M$3,0)),"null")</f>
        <v>null</v>
      </c>
      <c r="AN11" s="82">
        <f t="array" ref="AN11">_xlfn.IFNA(INDEX('Aviation Synfuel Data'!$G$4:$M$22,MATCH('Aviation Synfuel-TSData'!$B11&amp;'Aviation Synfuel-TSData'!$C11&amp;$H11,'Aviation Synfuel Data'!$C$4:$C$22&amp;'Aviation Synfuel Data'!$A$4:$A$22&amp;'Aviation Synfuel Data'!$D$4:$D$22,0),MATCH(AN$2,'Aviation Synfuel Data'!$G$3:$M$3,0)),"null")</f>
        <v>0.91324200913242004</v>
      </c>
      <c r="AO11" s="82">
        <f t="array" ref="AO11">_xlfn.IFNA(INDEX('Aviation Synfuel Data'!$G$4:$M$22,MATCH('Aviation Synfuel-TSData'!$B11&amp;'Aviation Synfuel-TSData'!$C11&amp;$H11,'Aviation Synfuel Data'!$C$4:$C$22&amp;'Aviation Synfuel Data'!$A$4:$A$22&amp;'Aviation Synfuel Data'!$D$4:$D$22,0),MATCH(AO$2,'Aviation Synfuel Data'!$G$3:$M$3,0)),"null")</f>
        <v>0.91324200913242004</v>
      </c>
      <c r="AP11" s="82">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x14ac:dyDescent="0.25">
      <c r="B12" t="s">
        <v>24</v>
      </c>
      <c r="C12" t="s">
        <v>238</v>
      </c>
      <c r="D12" t="s">
        <v>236</v>
      </c>
      <c r="E12" t="s">
        <v>236</v>
      </c>
      <c r="F12" t="s">
        <v>236</v>
      </c>
      <c r="G12" t="s">
        <v>236</v>
      </c>
      <c r="H12" t="s">
        <v>236</v>
      </c>
      <c r="I12">
        <v>0</v>
      </c>
      <c r="J12" s="82" t="str" cm="1">
        <f t="array" ref="J12">_xlfn.IFNA(INDEX('Aviation Synfuel Data'!$G$4:$M$22,MATCH('Aviation Synfuel-TSData'!$B12&amp;'Aviation Synfuel-TSData'!$C12&amp;$D12,'Aviation Synfuel Data'!$C$4:$C$22&amp;'Aviation Synfuel Data'!$A$4:$A$22&amp;'Aviation Synfuel Data'!$D$4:$D$22,0),MATCH(J$2,'Aviation Synfuel Data'!$G$3:$M$3,0)),"null")</f>
        <v>null</v>
      </c>
      <c r="K12" s="82" t="str" cm="1">
        <f t="array" ref="K12">_xlfn.IFNA(INDEX('Aviation Synfuel Data'!$G$4:$M$22,MATCH('Aviation Synfuel-TSData'!$B12&amp;'Aviation Synfuel-TSData'!$C12&amp;$D12,'Aviation Synfuel Data'!$C$4:$C$22&amp;'Aviation Synfuel Data'!$A$4:$A$22&amp;'Aviation Synfuel Data'!$D$4:$D$22,0),MATCH(K$2,'Aviation Synfuel Data'!$G$3:$M$3,0)),"null")</f>
        <v>null</v>
      </c>
      <c r="L12" s="82" t="str" cm="1">
        <f t="array" ref="L12">_xlfn.IFNA(INDEX('Aviation Synfuel Data'!$G$4:$M$22,MATCH('Aviation Synfuel-TSData'!$B12&amp;'Aviation Synfuel-TSData'!$C12&amp;$D12,'Aviation Synfuel Data'!$C$4:$C$22&amp;'Aviation Synfuel Data'!$A$4:$A$22&amp;'Aviation Synfuel Data'!$D$4:$D$22,0),MATCH(L$2,'Aviation Synfuel Data'!$G$3:$M$3,0)),"null")</f>
        <v>null</v>
      </c>
      <c r="M12" s="82" t="str" cm="1">
        <f t="array" ref="M12">_xlfn.IFNA(INDEX('Aviation Synfuel Data'!$G$4:$M$22,MATCH('Aviation Synfuel-TSData'!$B12&amp;'Aviation Synfuel-TSData'!$C12&amp;$D12,'Aviation Synfuel Data'!$C$4:$C$22&amp;'Aviation Synfuel Data'!$A$4:$A$22&amp;'Aviation Synfuel Data'!$D$4:$D$22,0),MATCH(M$2,'Aviation Synfuel Data'!$G$3:$M$3,0)),"null")</f>
        <v>null</v>
      </c>
      <c r="N12" s="82" t="str" cm="1">
        <f t="array" ref="N12">_xlfn.IFNA(INDEX('Aviation Synfuel Data'!$G$4:$M$22,MATCH('Aviation Synfuel-TSData'!$B12&amp;'Aviation Synfuel-TSData'!$C12&amp;$D12,'Aviation Synfuel Data'!$C$4:$C$22&amp;'Aviation Synfuel Data'!$A$4:$A$22&amp;'Aviation Synfuel Data'!$D$4:$D$22,0),MATCH(N$2,'Aviation Synfuel Data'!$G$3:$M$3,0)),"null")</f>
        <v>null</v>
      </c>
      <c r="O12" s="82" t="str" cm="1">
        <f t="array" ref="O12">_xlfn.IFNA(INDEX('Aviation Synfuel Data'!$G$4:$M$22,MATCH('Aviation Synfuel-TSData'!$B12&amp;'Aviation Synfuel-TSData'!$C12&amp;$D12,'Aviation Synfuel Data'!$C$4:$C$22&amp;'Aviation Synfuel Data'!$A$4:$A$22&amp;'Aviation Synfuel Data'!$D$4:$D$22,0),MATCH(O$2,'Aviation Synfuel Data'!$G$3:$M$3,0)),"null")</f>
        <v>null</v>
      </c>
      <c r="P12" s="82" t="str" cm="1">
        <f t="array" ref="P12">_xlfn.IFNA(INDEX('Aviation Synfuel Data'!$G$4:$M$22,MATCH('Aviation Synfuel-TSData'!$B12&amp;'Aviation Synfuel-TSData'!$C12&amp;$D12,'Aviation Synfuel Data'!$C$4:$C$22&amp;'Aviation Synfuel Data'!$A$4:$A$22&amp;'Aviation Synfuel Data'!$D$4:$D$22,0),MATCH(P$2,'Aviation Synfuel Data'!$G$3:$M$3,0)),"null")</f>
        <v>null</v>
      </c>
      <c r="Q12" s="82" t="str" cm="1">
        <f t="array" ref="Q12">_xlfn.IFNA(INDEX('Aviation Synfuel Data'!$G$4:$M$22,MATCH('Aviation Synfuel-TSData'!$B12&amp;'Aviation Synfuel-TSData'!$C12&amp;$D12,'Aviation Synfuel Data'!$C$4:$C$22&amp;'Aviation Synfuel Data'!$A$4:$A$22&amp;'Aviation Synfuel Data'!$D$4:$D$22,0),MATCH(Q$2,'Aviation Synfuel Data'!$G$3:$M$3,0)),"null")</f>
        <v>null</v>
      </c>
      <c r="R12" s="82" cm="1">
        <f t="array" ref="R12">_xlfn.IFNA(INDEX('Aviation Synfuel Data'!$G$4:$M$22,MATCH('Aviation Synfuel-TSData'!$B12&amp;'Aviation Synfuel-TSData'!$C12&amp;$D12,'Aviation Synfuel Data'!$C$4:$C$22&amp;'Aviation Synfuel Data'!$A$4:$A$22&amp;'Aviation Synfuel Data'!$D$4:$D$22,0),MATCH(R$2,'Aviation Synfuel Data'!$G$3:$M$3,0)),"null")</f>
        <v>477.77194211017741</v>
      </c>
      <c r="S12" s="82" t="str" cm="1">
        <f t="array" ref="S12">_xlfn.IFNA(INDEX('Aviation Synfuel Data'!$G$4:$M$22,MATCH('Aviation Synfuel-TSData'!$B12&amp;'Aviation Synfuel-TSData'!$C12&amp;$D12,'Aviation Synfuel Data'!$C$4:$C$22&amp;'Aviation Synfuel Data'!$A$4:$A$22&amp;'Aviation Synfuel Data'!$D$4:$D$22,0),MATCH(S$2,'Aviation Synfuel Data'!$G$3:$M$3,0)),"null")</f>
        <v>null</v>
      </c>
      <c r="T12" s="82" t="str" cm="1">
        <f t="array" ref="T12">_xlfn.IFNA(INDEX('Aviation Synfuel Data'!$G$4:$M$22,MATCH('Aviation Synfuel-TSData'!$B12&amp;'Aviation Synfuel-TSData'!$C12&amp;$D12,'Aviation Synfuel Data'!$C$4:$C$22&amp;'Aviation Synfuel Data'!$A$4:$A$22&amp;'Aviation Synfuel Data'!$D$4:$D$22,0),MATCH(T$2,'Aviation Synfuel Data'!$G$3:$M$3,0)),"null")</f>
        <v>null</v>
      </c>
      <c r="U12" s="82" t="str" cm="1">
        <f t="array" ref="U12">_xlfn.IFNA(INDEX('Aviation Synfuel Data'!$G$4:$M$22,MATCH('Aviation Synfuel-TSData'!$B12&amp;'Aviation Synfuel-TSData'!$C12&amp;$D12,'Aviation Synfuel Data'!$C$4:$C$22&amp;'Aviation Synfuel Data'!$A$4:$A$22&amp;'Aviation Synfuel Data'!$D$4:$D$22,0),MATCH(U$2,'Aviation Synfuel Data'!$G$3:$M$3,0)),"null")</f>
        <v>null</v>
      </c>
      <c r="V12" s="82" t="str" cm="1">
        <f t="array" ref="V12">_xlfn.IFNA(INDEX('Aviation Synfuel Data'!$G$4:$M$22,MATCH('Aviation Synfuel-TSData'!$B12&amp;'Aviation Synfuel-TSData'!$C12&amp;$D12,'Aviation Synfuel Data'!$C$4:$C$22&amp;'Aviation Synfuel Data'!$A$4:$A$22&amp;'Aviation Synfuel Data'!$D$4:$D$22,0),MATCH(V$2,'Aviation Synfuel Data'!$G$3:$M$3,0)),"null")</f>
        <v>null</v>
      </c>
      <c r="W12" s="82" t="str" cm="1">
        <f t="array" ref="W12">_xlfn.IFNA(INDEX('Aviation Synfuel Data'!$G$4:$M$22,MATCH('Aviation Synfuel-TSData'!$B12&amp;'Aviation Synfuel-TSData'!$C12&amp;$D12,'Aviation Synfuel Data'!$C$4:$C$22&amp;'Aviation Synfuel Data'!$A$4:$A$22&amp;'Aviation Synfuel Data'!$D$4:$D$22,0),MATCH(W$2,'Aviation Synfuel Data'!$G$3:$M$3,0)),"null")</f>
        <v>null</v>
      </c>
      <c r="X12" s="82" t="str" cm="1">
        <f t="array" ref="X12">_xlfn.IFNA(INDEX('Aviation Synfuel Data'!$G$4:$M$22,MATCH('Aviation Synfuel-TSData'!$B12&amp;'Aviation Synfuel-TSData'!$C12&amp;$D12,'Aviation Synfuel Data'!$C$4:$C$22&amp;'Aviation Synfuel Data'!$A$4:$A$22&amp;'Aviation Synfuel Data'!$D$4:$D$22,0),MATCH(X$2,'Aviation Synfuel Data'!$G$3:$M$3,0)),"null")</f>
        <v>null</v>
      </c>
      <c r="Y12" s="82" t="str" cm="1">
        <f t="array" ref="Y12">_xlfn.IFNA(INDEX('Aviation Synfuel Data'!$G$4:$M$22,MATCH('Aviation Synfuel-TSData'!$B12&amp;'Aviation Synfuel-TSData'!$C12&amp;$D12,'Aviation Synfuel Data'!$C$4:$C$22&amp;'Aviation Synfuel Data'!$A$4:$A$22&amp;'Aviation Synfuel Data'!$D$4:$D$22,0),MATCH(Y$2,'Aviation Synfuel Data'!$G$3:$M$3,0)),"null")</f>
        <v>null</v>
      </c>
      <c r="Z12" s="82" t="str" cm="1">
        <f t="array" ref="Z12">_xlfn.IFNA(INDEX('Aviation Synfuel Data'!$G$4:$M$22,MATCH('Aviation Synfuel-TSData'!$B12&amp;'Aviation Synfuel-TSData'!$C12&amp;$D12,'Aviation Synfuel Data'!$C$4:$C$22&amp;'Aviation Synfuel Data'!$A$4:$A$22&amp;'Aviation Synfuel Data'!$D$4:$D$22,0),MATCH(Z$2,'Aviation Synfuel Data'!$G$3:$M$3,0)),"null")</f>
        <v>null</v>
      </c>
      <c r="AA12" s="82" t="str" cm="1">
        <f t="array" ref="AA12">_xlfn.IFNA(INDEX('Aviation Synfuel Data'!$G$4:$M$22,MATCH('Aviation Synfuel-TSData'!$B12&amp;'Aviation Synfuel-TSData'!$C12&amp;$D12,'Aviation Synfuel Data'!$C$4:$C$22&amp;'Aviation Synfuel Data'!$A$4:$A$22&amp;'Aviation Synfuel Data'!$D$4:$D$22,0),MATCH(AA$2,'Aviation Synfuel Data'!$G$3:$M$3,0)),"null")</f>
        <v>null</v>
      </c>
      <c r="AB12" s="82"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82" t="str" cm="1">
        <f t="array" ref="AC12">_xlfn.IFNA(INDEX('Aviation Synfuel Data'!$G$4:$M$22,MATCH('Aviation Synfuel-TSData'!$B12&amp;'Aviation Synfuel-TSData'!$C12&amp;$D12,'Aviation Synfuel Data'!$C$4:$C$22&amp;'Aviation Synfuel Data'!$A$4:$A$22&amp;'Aviation Synfuel Data'!$D$4:$D$22,0),MATCH(AC$2,'Aviation Synfuel Data'!$G$3:$M$3,0)),"null")</f>
        <v>null</v>
      </c>
      <c r="AD12" s="82" t="str" cm="1">
        <f t="array" ref="AD12">_xlfn.IFNA(INDEX('Aviation Synfuel Data'!$G$4:$M$22,MATCH('Aviation Synfuel-TSData'!$B12&amp;'Aviation Synfuel-TSData'!$C12&amp;$D12,'Aviation Synfuel Data'!$C$4:$C$22&amp;'Aviation Synfuel Data'!$A$4:$A$22&amp;'Aviation Synfuel Data'!$D$4:$D$22,0),MATCH(AD$2,'Aviation Synfuel Data'!$G$3:$M$3,0)),"null")</f>
        <v>null</v>
      </c>
      <c r="AE12" s="82" t="str" cm="1">
        <f t="array" ref="AE12">_xlfn.IFNA(INDEX('Aviation Synfuel Data'!$G$4:$M$22,MATCH('Aviation Synfuel-TSData'!$B12&amp;'Aviation Synfuel-TSData'!$C12&amp;$D12,'Aviation Synfuel Data'!$C$4:$C$22&amp;'Aviation Synfuel Data'!$A$4:$A$22&amp;'Aviation Synfuel Data'!$D$4:$D$22,0),MATCH(AE$2,'Aviation Synfuel Data'!$G$3:$M$3,0)),"null")</f>
        <v>null</v>
      </c>
      <c r="AF12" s="82" t="str" cm="1">
        <f t="array" ref="AF12">_xlfn.IFNA(INDEX('Aviation Synfuel Data'!$G$4:$M$22,MATCH('Aviation Synfuel-TSData'!$B12&amp;'Aviation Synfuel-TSData'!$C12&amp;$D12,'Aviation Synfuel Data'!$C$4:$C$22&amp;'Aviation Synfuel Data'!$A$4:$A$22&amp;'Aviation Synfuel Data'!$D$4:$D$22,0),MATCH(AF$2,'Aviation Synfuel Data'!$G$3:$M$3,0)),"null")</f>
        <v>null</v>
      </c>
      <c r="AG12" s="82"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82" t="str" cm="1">
        <f t="array" ref="AH12">_xlfn.IFNA(INDEX('Aviation Synfuel Data'!$G$4:$M$22,MATCH('Aviation Synfuel-TSData'!$B12&amp;'Aviation Synfuel-TSData'!$C12&amp;$D12,'Aviation Synfuel Data'!$C$4:$C$22&amp;'Aviation Synfuel Data'!$A$4:$A$22&amp;'Aviation Synfuel Data'!$D$4:$D$22,0),MATCH(AH$2,'Aviation Synfuel Data'!$G$3:$M$3,0)),"null")</f>
        <v>null</v>
      </c>
      <c r="AI12" s="82" t="str" cm="1">
        <f t="array" ref="AI12">_xlfn.IFNA(INDEX('Aviation Synfuel Data'!$G$4:$M$22,MATCH('Aviation Synfuel-TSData'!$B12&amp;'Aviation Synfuel-TSData'!$C12&amp;$D12,'Aviation Synfuel Data'!$C$4:$C$22&amp;'Aviation Synfuel Data'!$A$4:$A$22&amp;'Aviation Synfuel Data'!$D$4:$D$22,0),MATCH(AI$2,'Aviation Synfuel Data'!$G$3:$M$3,0)),"null")</f>
        <v>null</v>
      </c>
      <c r="AJ12" s="82" t="str" cm="1">
        <f t="array" ref="AJ12">_xlfn.IFNA(INDEX('Aviation Synfuel Data'!$G$4:$M$22,MATCH('Aviation Synfuel-TSData'!$B12&amp;'Aviation Synfuel-TSData'!$C12&amp;$D12,'Aviation Synfuel Data'!$C$4:$C$22&amp;'Aviation Synfuel Data'!$A$4:$A$22&amp;'Aviation Synfuel Data'!$D$4:$D$22,0),MATCH(AJ$2,'Aviation Synfuel Data'!$G$3:$M$3,0)),"null")</f>
        <v>null</v>
      </c>
      <c r="AK12" s="82" t="str" cm="1">
        <f t="array" ref="AK12">_xlfn.IFNA(INDEX('Aviation Synfuel Data'!$G$4:$M$22,MATCH('Aviation Synfuel-TSData'!$B12&amp;'Aviation Synfuel-TSData'!$C12&amp;$D12,'Aviation Synfuel Data'!$C$4:$C$22&amp;'Aviation Synfuel Data'!$A$4:$A$22&amp;'Aviation Synfuel Data'!$D$4:$D$22,0),MATCH(AK$2,'Aviation Synfuel Data'!$G$3:$M$3,0)),"null")</f>
        <v>null</v>
      </c>
      <c r="AL12" s="82"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82" t="str" cm="1">
        <f t="array" ref="AM12">_xlfn.IFNA(INDEX('Aviation Synfuel Data'!$G$4:$M$22,MATCH('Aviation Synfuel-TSData'!$B12&amp;'Aviation Synfuel-TSData'!$C12&amp;$D12,'Aviation Synfuel Data'!$C$4:$C$22&amp;'Aviation Synfuel Data'!$A$4:$A$22&amp;'Aviation Synfuel Data'!$D$4:$D$22,0),MATCH(AM$2,'Aviation Synfuel Data'!$G$3:$M$3,0)),"null")</f>
        <v>null</v>
      </c>
      <c r="AN12" s="82"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82"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82"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x14ac:dyDescent="0.25">
      <c r="B13" t="s">
        <v>44</v>
      </c>
      <c r="C13" t="s">
        <v>238</v>
      </c>
      <c r="D13" t="s">
        <v>236</v>
      </c>
      <c r="E13" t="s">
        <v>236</v>
      </c>
      <c r="F13" t="s">
        <v>236</v>
      </c>
      <c r="G13" t="s">
        <v>236</v>
      </c>
      <c r="H13" t="s">
        <v>236</v>
      </c>
      <c r="I13">
        <v>0</v>
      </c>
      <c r="J13" s="82" t="str" cm="1">
        <f t="array" ref="J13">_xlfn.IFNA(INDEX('Aviation Synfuel Data'!$G$4:$M$22,MATCH('Aviation Synfuel-TSData'!$B13&amp;'Aviation Synfuel-TSData'!$C13&amp;$D13,'Aviation Synfuel Data'!$C$4:$C$22&amp;'Aviation Synfuel Data'!$A$4:$A$22&amp;'Aviation Synfuel Data'!$D$4:$D$22,0),MATCH(J$2,'Aviation Synfuel Data'!$G$3:$M$3,0)),"null")</f>
        <v>null</v>
      </c>
      <c r="K13" s="82" t="str" cm="1">
        <f t="array" ref="K13">_xlfn.IFNA(INDEX('Aviation Synfuel Data'!$G$4:$M$22,MATCH('Aviation Synfuel-TSData'!$B13&amp;'Aviation Synfuel-TSData'!$C13&amp;$D13,'Aviation Synfuel Data'!$C$4:$C$22&amp;'Aviation Synfuel Data'!$A$4:$A$22&amp;'Aviation Synfuel Data'!$D$4:$D$22,0),MATCH(K$2,'Aviation Synfuel Data'!$G$3:$M$3,0)),"null")</f>
        <v>null</v>
      </c>
      <c r="L13" s="82" t="str" cm="1">
        <f t="array" ref="L13">_xlfn.IFNA(INDEX('Aviation Synfuel Data'!$G$4:$M$22,MATCH('Aviation Synfuel-TSData'!$B13&amp;'Aviation Synfuel-TSData'!$C13&amp;$D13,'Aviation Synfuel Data'!$C$4:$C$22&amp;'Aviation Synfuel Data'!$A$4:$A$22&amp;'Aviation Synfuel Data'!$D$4:$D$22,0),MATCH(L$2,'Aviation Synfuel Data'!$G$3:$M$3,0)),"null")</f>
        <v>null</v>
      </c>
      <c r="M13" s="82" t="str" cm="1">
        <f t="array" ref="M13">_xlfn.IFNA(INDEX('Aviation Synfuel Data'!$G$4:$M$22,MATCH('Aviation Synfuel-TSData'!$B13&amp;'Aviation Synfuel-TSData'!$C13&amp;$D13,'Aviation Synfuel Data'!$C$4:$C$22&amp;'Aviation Synfuel Data'!$A$4:$A$22&amp;'Aviation Synfuel Data'!$D$4:$D$22,0),MATCH(M$2,'Aviation Synfuel Data'!$G$3:$M$3,0)),"null")</f>
        <v>null</v>
      </c>
      <c r="N13" s="82" t="str" cm="1">
        <f t="array" ref="N13">_xlfn.IFNA(INDEX('Aviation Synfuel Data'!$G$4:$M$22,MATCH('Aviation Synfuel-TSData'!$B13&amp;'Aviation Synfuel-TSData'!$C13&amp;$D13,'Aviation Synfuel Data'!$C$4:$C$22&amp;'Aviation Synfuel Data'!$A$4:$A$22&amp;'Aviation Synfuel Data'!$D$4:$D$22,0),MATCH(N$2,'Aviation Synfuel Data'!$G$3:$M$3,0)),"null")</f>
        <v>null</v>
      </c>
      <c r="O13" s="82" t="str" cm="1">
        <f t="array" ref="O13">_xlfn.IFNA(INDEX('Aviation Synfuel Data'!$G$4:$M$22,MATCH('Aviation Synfuel-TSData'!$B13&amp;'Aviation Synfuel-TSData'!$C13&amp;$D13,'Aviation Synfuel Data'!$C$4:$C$22&amp;'Aviation Synfuel Data'!$A$4:$A$22&amp;'Aviation Synfuel Data'!$D$4:$D$22,0),MATCH(O$2,'Aviation Synfuel Data'!$G$3:$M$3,0)),"null")</f>
        <v>null</v>
      </c>
      <c r="P13" s="82" t="str" cm="1">
        <f t="array" ref="P13">_xlfn.IFNA(INDEX('Aviation Synfuel Data'!$G$4:$M$22,MATCH('Aviation Synfuel-TSData'!$B13&amp;'Aviation Synfuel-TSData'!$C13&amp;$D13,'Aviation Synfuel Data'!$C$4:$C$22&amp;'Aviation Synfuel Data'!$A$4:$A$22&amp;'Aviation Synfuel Data'!$D$4:$D$22,0),MATCH(P$2,'Aviation Synfuel Data'!$G$3:$M$3,0)),"null")</f>
        <v>null</v>
      </c>
      <c r="Q13" s="82" t="str" cm="1">
        <f t="array" ref="Q13">_xlfn.IFNA(INDEX('Aviation Synfuel Data'!$G$4:$M$22,MATCH('Aviation Synfuel-TSData'!$B13&amp;'Aviation Synfuel-TSData'!$C13&amp;$D13,'Aviation Synfuel Data'!$C$4:$C$22&amp;'Aviation Synfuel Data'!$A$4:$A$22&amp;'Aviation Synfuel Data'!$D$4:$D$22,0),MATCH(Q$2,'Aviation Synfuel Data'!$G$3:$M$3,0)),"null")</f>
        <v>null</v>
      </c>
      <c r="R13" s="82" cm="1">
        <f t="array" ref="R13">_xlfn.IFNA(INDEX('Aviation Synfuel Data'!$G$4:$M$22,MATCH('Aviation Synfuel-TSData'!$B13&amp;'Aviation Synfuel-TSData'!$C13&amp;$D13,'Aviation Synfuel Data'!$C$4:$C$22&amp;'Aviation Synfuel Data'!$A$4:$A$22&amp;'Aviation Synfuel Data'!$D$4:$D$22,0),MATCH(R$2,'Aviation Synfuel Data'!$G$3:$M$3,0)),"null")</f>
        <v>19.110877684407097</v>
      </c>
      <c r="S13" s="82" t="str" cm="1">
        <f t="array" ref="S13">_xlfn.IFNA(INDEX('Aviation Synfuel Data'!$G$4:$M$22,MATCH('Aviation Synfuel-TSData'!$B13&amp;'Aviation Synfuel-TSData'!$C13&amp;$D13,'Aviation Synfuel Data'!$C$4:$C$22&amp;'Aviation Synfuel Data'!$A$4:$A$22&amp;'Aviation Synfuel Data'!$D$4:$D$22,0),MATCH(S$2,'Aviation Synfuel Data'!$G$3:$M$3,0)),"null")</f>
        <v>null</v>
      </c>
      <c r="T13" s="82" t="str" cm="1">
        <f t="array" ref="T13">_xlfn.IFNA(INDEX('Aviation Synfuel Data'!$G$4:$M$22,MATCH('Aviation Synfuel-TSData'!$B13&amp;'Aviation Synfuel-TSData'!$C13&amp;$D13,'Aviation Synfuel Data'!$C$4:$C$22&amp;'Aviation Synfuel Data'!$A$4:$A$22&amp;'Aviation Synfuel Data'!$D$4:$D$22,0),MATCH(T$2,'Aviation Synfuel Data'!$G$3:$M$3,0)),"null")</f>
        <v>null</v>
      </c>
      <c r="U13" s="82" t="str" cm="1">
        <f t="array" ref="U13">_xlfn.IFNA(INDEX('Aviation Synfuel Data'!$G$4:$M$22,MATCH('Aviation Synfuel-TSData'!$B13&amp;'Aviation Synfuel-TSData'!$C13&amp;$D13,'Aviation Synfuel Data'!$C$4:$C$22&amp;'Aviation Synfuel Data'!$A$4:$A$22&amp;'Aviation Synfuel Data'!$D$4:$D$22,0),MATCH(U$2,'Aviation Synfuel Data'!$G$3:$M$3,0)),"null")</f>
        <v>null</v>
      </c>
      <c r="V13" s="82" t="str" cm="1">
        <f t="array" ref="V13">_xlfn.IFNA(INDEX('Aviation Synfuel Data'!$G$4:$M$22,MATCH('Aviation Synfuel-TSData'!$B13&amp;'Aviation Synfuel-TSData'!$C13&amp;$D13,'Aviation Synfuel Data'!$C$4:$C$22&amp;'Aviation Synfuel Data'!$A$4:$A$22&amp;'Aviation Synfuel Data'!$D$4:$D$22,0),MATCH(V$2,'Aviation Synfuel Data'!$G$3:$M$3,0)),"null")</f>
        <v>null</v>
      </c>
      <c r="W13" s="82" t="str" cm="1">
        <f t="array" ref="W13">_xlfn.IFNA(INDEX('Aviation Synfuel Data'!$G$4:$M$22,MATCH('Aviation Synfuel-TSData'!$B13&amp;'Aviation Synfuel-TSData'!$C13&amp;$D13,'Aviation Synfuel Data'!$C$4:$C$22&amp;'Aviation Synfuel Data'!$A$4:$A$22&amp;'Aviation Synfuel Data'!$D$4:$D$22,0),MATCH(W$2,'Aviation Synfuel Data'!$G$3:$M$3,0)),"null")</f>
        <v>null</v>
      </c>
      <c r="X13" s="82" t="str" cm="1">
        <f t="array" ref="X13">_xlfn.IFNA(INDEX('Aviation Synfuel Data'!$G$4:$M$22,MATCH('Aviation Synfuel-TSData'!$B13&amp;'Aviation Synfuel-TSData'!$C13&amp;$D13,'Aviation Synfuel Data'!$C$4:$C$22&amp;'Aviation Synfuel Data'!$A$4:$A$22&amp;'Aviation Synfuel Data'!$D$4:$D$22,0),MATCH(X$2,'Aviation Synfuel Data'!$G$3:$M$3,0)),"null")</f>
        <v>null</v>
      </c>
      <c r="Y13" s="82" t="str" cm="1">
        <f t="array" ref="Y13">_xlfn.IFNA(INDEX('Aviation Synfuel Data'!$G$4:$M$22,MATCH('Aviation Synfuel-TSData'!$B13&amp;'Aviation Synfuel-TSData'!$C13&amp;$D13,'Aviation Synfuel Data'!$C$4:$C$22&amp;'Aviation Synfuel Data'!$A$4:$A$22&amp;'Aviation Synfuel Data'!$D$4:$D$22,0),MATCH(Y$2,'Aviation Synfuel Data'!$G$3:$M$3,0)),"null")</f>
        <v>null</v>
      </c>
      <c r="Z13" s="82" t="str" cm="1">
        <f t="array" ref="Z13">_xlfn.IFNA(INDEX('Aviation Synfuel Data'!$G$4:$M$22,MATCH('Aviation Synfuel-TSData'!$B13&amp;'Aviation Synfuel-TSData'!$C13&amp;$D13,'Aviation Synfuel Data'!$C$4:$C$22&amp;'Aviation Synfuel Data'!$A$4:$A$22&amp;'Aviation Synfuel Data'!$D$4:$D$22,0),MATCH(Z$2,'Aviation Synfuel Data'!$G$3:$M$3,0)),"null")</f>
        <v>null</v>
      </c>
      <c r="AA13" s="82" t="str" cm="1">
        <f t="array" ref="AA13">_xlfn.IFNA(INDEX('Aviation Synfuel Data'!$G$4:$M$22,MATCH('Aviation Synfuel-TSData'!$B13&amp;'Aviation Synfuel-TSData'!$C13&amp;$D13,'Aviation Synfuel Data'!$C$4:$C$22&amp;'Aviation Synfuel Data'!$A$4:$A$22&amp;'Aviation Synfuel Data'!$D$4:$D$22,0),MATCH(AA$2,'Aviation Synfuel Data'!$G$3:$M$3,0)),"null")</f>
        <v>null</v>
      </c>
      <c r="AB13" s="82"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82" t="str" cm="1">
        <f t="array" ref="AC13">_xlfn.IFNA(INDEX('Aviation Synfuel Data'!$G$4:$M$22,MATCH('Aviation Synfuel-TSData'!$B13&amp;'Aviation Synfuel-TSData'!$C13&amp;$D13,'Aviation Synfuel Data'!$C$4:$C$22&amp;'Aviation Synfuel Data'!$A$4:$A$22&amp;'Aviation Synfuel Data'!$D$4:$D$22,0),MATCH(AC$2,'Aviation Synfuel Data'!$G$3:$M$3,0)),"null")</f>
        <v>null</v>
      </c>
      <c r="AD13" s="82" t="str" cm="1">
        <f t="array" ref="AD13">_xlfn.IFNA(INDEX('Aviation Synfuel Data'!$G$4:$M$22,MATCH('Aviation Synfuel-TSData'!$B13&amp;'Aviation Synfuel-TSData'!$C13&amp;$D13,'Aviation Synfuel Data'!$C$4:$C$22&amp;'Aviation Synfuel Data'!$A$4:$A$22&amp;'Aviation Synfuel Data'!$D$4:$D$22,0),MATCH(AD$2,'Aviation Synfuel Data'!$G$3:$M$3,0)),"null")</f>
        <v>null</v>
      </c>
      <c r="AE13" s="82" t="str" cm="1">
        <f t="array" ref="AE13">_xlfn.IFNA(INDEX('Aviation Synfuel Data'!$G$4:$M$22,MATCH('Aviation Synfuel-TSData'!$B13&amp;'Aviation Synfuel-TSData'!$C13&amp;$D13,'Aviation Synfuel Data'!$C$4:$C$22&amp;'Aviation Synfuel Data'!$A$4:$A$22&amp;'Aviation Synfuel Data'!$D$4:$D$22,0),MATCH(AE$2,'Aviation Synfuel Data'!$G$3:$M$3,0)),"null")</f>
        <v>null</v>
      </c>
      <c r="AF13" s="82" t="str" cm="1">
        <f t="array" ref="AF13">_xlfn.IFNA(INDEX('Aviation Synfuel Data'!$G$4:$M$22,MATCH('Aviation Synfuel-TSData'!$B13&amp;'Aviation Synfuel-TSData'!$C13&amp;$D13,'Aviation Synfuel Data'!$C$4:$C$22&amp;'Aviation Synfuel Data'!$A$4:$A$22&amp;'Aviation Synfuel Data'!$D$4:$D$22,0),MATCH(AF$2,'Aviation Synfuel Data'!$G$3:$M$3,0)),"null")</f>
        <v>null</v>
      </c>
      <c r="AG13" s="82"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82" t="str" cm="1">
        <f t="array" ref="AH13">_xlfn.IFNA(INDEX('Aviation Synfuel Data'!$G$4:$M$22,MATCH('Aviation Synfuel-TSData'!$B13&amp;'Aviation Synfuel-TSData'!$C13&amp;$D13,'Aviation Synfuel Data'!$C$4:$C$22&amp;'Aviation Synfuel Data'!$A$4:$A$22&amp;'Aviation Synfuel Data'!$D$4:$D$22,0),MATCH(AH$2,'Aviation Synfuel Data'!$G$3:$M$3,0)),"null")</f>
        <v>null</v>
      </c>
      <c r="AI13" s="82" t="str" cm="1">
        <f t="array" ref="AI13">_xlfn.IFNA(INDEX('Aviation Synfuel Data'!$G$4:$M$22,MATCH('Aviation Synfuel-TSData'!$B13&amp;'Aviation Synfuel-TSData'!$C13&amp;$D13,'Aviation Synfuel Data'!$C$4:$C$22&amp;'Aviation Synfuel Data'!$A$4:$A$22&amp;'Aviation Synfuel Data'!$D$4:$D$22,0),MATCH(AI$2,'Aviation Synfuel Data'!$G$3:$M$3,0)),"null")</f>
        <v>null</v>
      </c>
      <c r="AJ13" s="82" t="str" cm="1">
        <f t="array" ref="AJ13">_xlfn.IFNA(INDEX('Aviation Synfuel Data'!$G$4:$M$22,MATCH('Aviation Synfuel-TSData'!$B13&amp;'Aviation Synfuel-TSData'!$C13&amp;$D13,'Aviation Synfuel Data'!$C$4:$C$22&amp;'Aviation Synfuel Data'!$A$4:$A$22&amp;'Aviation Synfuel Data'!$D$4:$D$22,0),MATCH(AJ$2,'Aviation Synfuel Data'!$G$3:$M$3,0)),"null")</f>
        <v>null</v>
      </c>
      <c r="AK13" s="82" t="str" cm="1">
        <f t="array" ref="AK13">_xlfn.IFNA(INDEX('Aviation Synfuel Data'!$G$4:$M$22,MATCH('Aviation Synfuel-TSData'!$B13&amp;'Aviation Synfuel-TSData'!$C13&amp;$D13,'Aviation Synfuel Data'!$C$4:$C$22&amp;'Aviation Synfuel Data'!$A$4:$A$22&amp;'Aviation Synfuel Data'!$D$4:$D$22,0),MATCH(AK$2,'Aviation Synfuel Data'!$G$3:$M$3,0)),"null")</f>
        <v>null</v>
      </c>
      <c r="AL13" s="82"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82" t="str" cm="1">
        <f t="array" ref="AM13">_xlfn.IFNA(INDEX('Aviation Synfuel Data'!$G$4:$M$22,MATCH('Aviation Synfuel-TSData'!$B13&amp;'Aviation Synfuel-TSData'!$C13&amp;$D13,'Aviation Synfuel Data'!$C$4:$C$22&amp;'Aviation Synfuel Data'!$A$4:$A$22&amp;'Aviation Synfuel Data'!$D$4:$D$22,0),MATCH(AM$2,'Aviation Synfuel Data'!$G$3:$M$3,0)),"null")</f>
        <v>null</v>
      </c>
      <c r="AN13" s="82"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82"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82"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x14ac:dyDescent="0.25">
      <c r="B14" t="s">
        <v>47</v>
      </c>
      <c r="C14" t="s">
        <v>238</v>
      </c>
      <c r="D14" t="s">
        <v>236</v>
      </c>
      <c r="E14" t="s">
        <v>236</v>
      </c>
      <c r="F14" t="s">
        <v>236</v>
      </c>
      <c r="G14" t="s">
        <v>236</v>
      </c>
      <c r="H14" t="s">
        <v>236</v>
      </c>
      <c r="I14">
        <v>0</v>
      </c>
      <c r="J14" s="82" t="str" cm="1">
        <f t="array" ref="J14">_xlfn.IFNA(INDEX('Aviation Synfuel Data'!$G$4:$M$22,MATCH('Aviation Synfuel-TSData'!$B14&amp;'Aviation Synfuel-TSData'!$C14&amp;$D14,'Aviation Synfuel Data'!$C$4:$C$22&amp;'Aviation Synfuel Data'!$A$4:$A$22&amp;'Aviation Synfuel Data'!$D$4:$D$22,0),MATCH(J$2,'Aviation Synfuel Data'!$G$3:$M$3,0)),"null")</f>
        <v>null</v>
      </c>
      <c r="K14" s="82" t="str" cm="1">
        <f t="array" ref="K14">_xlfn.IFNA(INDEX('Aviation Synfuel Data'!$G$4:$M$22,MATCH('Aviation Synfuel-TSData'!$B14&amp;'Aviation Synfuel-TSData'!$C14&amp;$D14,'Aviation Synfuel Data'!$C$4:$C$22&amp;'Aviation Synfuel Data'!$A$4:$A$22&amp;'Aviation Synfuel Data'!$D$4:$D$22,0),MATCH(K$2,'Aviation Synfuel Data'!$G$3:$M$3,0)),"null")</f>
        <v>null</v>
      </c>
      <c r="L14" s="82" t="str" cm="1">
        <f t="array" ref="L14">_xlfn.IFNA(INDEX('Aviation Synfuel Data'!$G$4:$M$22,MATCH('Aviation Synfuel-TSData'!$B14&amp;'Aviation Synfuel-TSData'!$C14&amp;$D14,'Aviation Synfuel Data'!$C$4:$C$22&amp;'Aviation Synfuel Data'!$A$4:$A$22&amp;'Aviation Synfuel Data'!$D$4:$D$22,0),MATCH(L$2,'Aviation Synfuel Data'!$G$3:$M$3,0)),"null")</f>
        <v>null</v>
      </c>
      <c r="M14" s="82" t="str" cm="1">
        <f t="array" ref="M14">_xlfn.IFNA(INDEX('Aviation Synfuel Data'!$G$4:$M$22,MATCH('Aviation Synfuel-TSData'!$B14&amp;'Aviation Synfuel-TSData'!$C14&amp;$D14,'Aviation Synfuel Data'!$C$4:$C$22&amp;'Aviation Synfuel Data'!$A$4:$A$22&amp;'Aviation Synfuel Data'!$D$4:$D$22,0),MATCH(M$2,'Aviation Synfuel Data'!$G$3:$M$3,0)),"null")</f>
        <v>null</v>
      </c>
      <c r="N14" s="82" t="str" cm="1">
        <f t="array" ref="N14">_xlfn.IFNA(INDEX('Aviation Synfuel Data'!$G$4:$M$22,MATCH('Aviation Synfuel-TSData'!$B14&amp;'Aviation Synfuel-TSData'!$C14&amp;$D14,'Aviation Synfuel Data'!$C$4:$C$22&amp;'Aviation Synfuel Data'!$A$4:$A$22&amp;'Aviation Synfuel Data'!$D$4:$D$22,0),MATCH(N$2,'Aviation Synfuel Data'!$G$3:$M$3,0)),"null")</f>
        <v>null</v>
      </c>
      <c r="O14" s="82" t="str" cm="1">
        <f t="array" ref="O14">_xlfn.IFNA(INDEX('Aviation Synfuel Data'!$G$4:$M$22,MATCH('Aviation Synfuel-TSData'!$B14&amp;'Aviation Synfuel-TSData'!$C14&amp;$D14,'Aviation Synfuel Data'!$C$4:$C$22&amp;'Aviation Synfuel Data'!$A$4:$A$22&amp;'Aviation Synfuel Data'!$D$4:$D$22,0),MATCH(O$2,'Aviation Synfuel Data'!$G$3:$M$3,0)),"null")</f>
        <v>null</v>
      </c>
      <c r="P14" s="82" t="str" cm="1">
        <f t="array" ref="P14">_xlfn.IFNA(INDEX('Aviation Synfuel Data'!$G$4:$M$22,MATCH('Aviation Synfuel-TSData'!$B14&amp;'Aviation Synfuel-TSData'!$C14&amp;$D14,'Aviation Synfuel Data'!$C$4:$C$22&amp;'Aviation Synfuel Data'!$A$4:$A$22&amp;'Aviation Synfuel Data'!$D$4:$D$22,0),MATCH(P$2,'Aviation Synfuel Data'!$G$3:$M$3,0)),"null")</f>
        <v>null</v>
      </c>
      <c r="Q14" s="82" t="str" cm="1">
        <f t="array" ref="Q14">_xlfn.IFNA(INDEX('Aviation Synfuel Data'!$G$4:$M$22,MATCH('Aviation Synfuel-TSData'!$B14&amp;'Aviation Synfuel-TSData'!$C14&amp;$D14,'Aviation Synfuel Data'!$C$4:$C$22&amp;'Aviation Synfuel Data'!$A$4:$A$22&amp;'Aviation Synfuel Data'!$D$4:$D$22,0),MATCH(Q$2,'Aviation Synfuel Data'!$G$3:$M$3,0)),"null")</f>
        <v>null</v>
      </c>
      <c r="R14" s="82" cm="1">
        <f t="array" ref="R14">_xlfn.IFNA(INDEX('Aviation Synfuel Data'!$G$4:$M$22,MATCH('Aviation Synfuel-TSData'!$B14&amp;'Aviation Synfuel-TSData'!$C14&amp;$D14,'Aviation Synfuel Data'!$C$4:$C$22&amp;'Aviation Synfuel Data'!$A$4:$A$22&amp;'Aviation Synfuel Data'!$D$4:$D$22,0),MATCH(R$2,'Aviation Synfuel Data'!$G$3:$M$3,0)),"null")</f>
        <v>-6</v>
      </c>
      <c r="S14" s="82" t="str" cm="1">
        <f t="array" ref="S14">_xlfn.IFNA(INDEX('Aviation Synfuel Data'!$G$4:$M$22,MATCH('Aviation Synfuel-TSData'!$B14&amp;'Aviation Synfuel-TSData'!$C14&amp;$D14,'Aviation Synfuel Data'!$C$4:$C$22&amp;'Aviation Synfuel Data'!$A$4:$A$22&amp;'Aviation Synfuel Data'!$D$4:$D$22,0),MATCH(S$2,'Aviation Synfuel Data'!$G$3:$M$3,0)),"null")</f>
        <v>null</v>
      </c>
      <c r="T14" s="82" t="str" cm="1">
        <f t="array" ref="T14">_xlfn.IFNA(INDEX('Aviation Synfuel Data'!$G$4:$M$22,MATCH('Aviation Synfuel-TSData'!$B14&amp;'Aviation Synfuel-TSData'!$C14&amp;$D14,'Aviation Synfuel Data'!$C$4:$C$22&amp;'Aviation Synfuel Data'!$A$4:$A$22&amp;'Aviation Synfuel Data'!$D$4:$D$22,0),MATCH(T$2,'Aviation Synfuel Data'!$G$3:$M$3,0)),"null")</f>
        <v>null</v>
      </c>
      <c r="U14" s="82" t="str" cm="1">
        <f t="array" ref="U14">_xlfn.IFNA(INDEX('Aviation Synfuel Data'!$G$4:$M$22,MATCH('Aviation Synfuel-TSData'!$B14&amp;'Aviation Synfuel-TSData'!$C14&amp;$D14,'Aviation Synfuel Data'!$C$4:$C$22&amp;'Aviation Synfuel Data'!$A$4:$A$22&amp;'Aviation Synfuel Data'!$D$4:$D$22,0),MATCH(U$2,'Aviation Synfuel Data'!$G$3:$M$3,0)),"null")</f>
        <v>null</v>
      </c>
      <c r="V14" s="82" t="str" cm="1">
        <f t="array" ref="V14">_xlfn.IFNA(INDEX('Aviation Synfuel Data'!$G$4:$M$22,MATCH('Aviation Synfuel-TSData'!$B14&amp;'Aviation Synfuel-TSData'!$C14&amp;$D14,'Aviation Synfuel Data'!$C$4:$C$22&amp;'Aviation Synfuel Data'!$A$4:$A$22&amp;'Aviation Synfuel Data'!$D$4:$D$22,0),MATCH(V$2,'Aviation Synfuel Data'!$G$3:$M$3,0)),"null")</f>
        <v>null</v>
      </c>
      <c r="W14" s="82" t="str" cm="1">
        <f t="array" ref="W14">_xlfn.IFNA(INDEX('Aviation Synfuel Data'!$G$4:$M$22,MATCH('Aviation Synfuel-TSData'!$B14&amp;'Aviation Synfuel-TSData'!$C14&amp;$D14,'Aviation Synfuel Data'!$C$4:$C$22&amp;'Aviation Synfuel Data'!$A$4:$A$22&amp;'Aviation Synfuel Data'!$D$4:$D$22,0),MATCH(W$2,'Aviation Synfuel Data'!$G$3:$M$3,0)),"null")</f>
        <v>null</v>
      </c>
      <c r="X14" s="82" t="str" cm="1">
        <f t="array" ref="X14">_xlfn.IFNA(INDEX('Aviation Synfuel Data'!$G$4:$M$22,MATCH('Aviation Synfuel-TSData'!$B14&amp;'Aviation Synfuel-TSData'!$C14&amp;$D14,'Aviation Synfuel Data'!$C$4:$C$22&amp;'Aviation Synfuel Data'!$A$4:$A$22&amp;'Aviation Synfuel Data'!$D$4:$D$22,0),MATCH(X$2,'Aviation Synfuel Data'!$G$3:$M$3,0)),"null")</f>
        <v>null</v>
      </c>
      <c r="Y14" s="82" t="str" cm="1">
        <f t="array" ref="Y14">_xlfn.IFNA(INDEX('Aviation Synfuel Data'!$G$4:$M$22,MATCH('Aviation Synfuel-TSData'!$B14&amp;'Aviation Synfuel-TSData'!$C14&amp;$D14,'Aviation Synfuel Data'!$C$4:$C$22&amp;'Aviation Synfuel Data'!$A$4:$A$22&amp;'Aviation Synfuel Data'!$D$4:$D$22,0),MATCH(Y$2,'Aviation Synfuel Data'!$G$3:$M$3,0)),"null")</f>
        <v>null</v>
      </c>
      <c r="Z14" s="82" t="str" cm="1">
        <f t="array" ref="Z14">_xlfn.IFNA(INDEX('Aviation Synfuel Data'!$G$4:$M$22,MATCH('Aviation Synfuel-TSData'!$B14&amp;'Aviation Synfuel-TSData'!$C14&amp;$D14,'Aviation Synfuel Data'!$C$4:$C$22&amp;'Aviation Synfuel Data'!$A$4:$A$22&amp;'Aviation Synfuel Data'!$D$4:$D$22,0),MATCH(Z$2,'Aviation Synfuel Data'!$G$3:$M$3,0)),"null")</f>
        <v>null</v>
      </c>
      <c r="AA14" s="82" t="str" cm="1">
        <f t="array" ref="AA14">_xlfn.IFNA(INDEX('Aviation Synfuel Data'!$G$4:$M$22,MATCH('Aviation Synfuel-TSData'!$B14&amp;'Aviation Synfuel-TSData'!$C14&amp;$D14,'Aviation Synfuel Data'!$C$4:$C$22&amp;'Aviation Synfuel Data'!$A$4:$A$22&amp;'Aviation Synfuel Data'!$D$4:$D$22,0),MATCH(AA$2,'Aviation Synfuel Data'!$G$3:$M$3,0)),"null")</f>
        <v>null</v>
      </c>
      <c r="AB14" s="82" cm="1">
        <f t="array" ref="AB14">_xlfn.IFNA(INDEX('Aviation Synfuel Data'!$G$4:$M$22,MATCH('Aviation Synfuel-TSData'!$B14&amp;'Aviation Synfuel-TSData'!$C14&amp;$D14,'Aviation Synfuel Data'!$C$4:$C$22&amp;'Aviation Synfuel Data'!$A$4:$A$22&amp;'Aviation Synfuel Data'!$D$4:$D$22,0),MATCH(AB$2,'Aviation Synfuel Data'!$G$3:$M$3,0)),"null")</f>
        <v>-6</v>
      </c>
      <c r="AC14" s="82" t="str" cm="1">
        <f t="array" ref="AC14">_xlfn.IFNA(INDEX('Aviation Synfuel Data'!$G$4:$M$22,MATCH('Aviation Synfuel-TSData'!$B14&amp;'Aviation Synfuel-TSData'!$C14&amp;$D14,'Aviation Synfuel Data'!$C$4:$C$22&amp;'Aviation Synfuel Data'!$A$4:$A$22&amp;'Aviation Synfuel Data'!$D$4:$D$22,0),MATCH(AC$2,'Aviation Synfuel Data'!$G$3:$M$3,0)),"null")</f>
        <v>null</v>
      </c>
      <c r="AD14" s="82" t="str" cm="1">
        <f t="array" ref="AD14">_xlfn.IFNA(INDEX('Aviation Synfuel Data'!$G$4:$M$22,MATCH('Aviation Synfuel-TSData'!$B14&amp;'Aviation Synfuel-TSData'!$C14&amp;$D14,'Aviation Synfuel Data'!$C$4:$C$22&amp;'Aviation Synfuel Data'!$A$4:$A$22&amp;'Aviation Synfuel Data'!$D$4:$D$22,0),MATCH(AD$2,'Aviation Synfuel Data'!$G$3:$M$3,0)),"null")</f>
        <v>null</v>
      </c>
      <c r="AE14" s="82" t="str" cm="1">
        <f t="array" ref="AE14">_xlfn.IFNA(INDEX('Aviation Synfuel Data'!$G$4:$M$22,MATCH('Aviation Synfuel-TSData'!$B14&amp;'Aviation Synfuel-TSData'!$C14&amp;$D14,'Aviation Synfuel Data'!$C$4:$C$22&amp;'Aviation Synfuel Data'!$A$4:$A$22&amp;'Aviation Synfuel Data'!$D$4:$D$22,0),MATCH(AE$2,'Aviation Synfuel Data'!$G$3:$M$3,0)),"null")</f>
        <v>null</v>
      </c>
      <c r="AF14" s="82" t="str" cm="1">
        <f t="array" ref="AF14">_xlfn.IFNA(INDEX('Aviation Synfuel Data'!$G$4:$M$22,MATCH('Aviation Synfuel-TSData'!$B14&amp;'Aviation Synfuel-TSData'!$C14&amp;$D14,'Aviation Synfuel Data'!$C$4:$C$22&amp;'Aviation Synfuel Data'!$A$4:$A$22&amp;'Aviation Synfuel Data'!$D$4:$D$22,0),MATCH(AF$2,'Aviation Synfuel Data'!$G$3:$M$3,0)),"null")</f>
        <v>null</v>
      </c>
      <c r="AG14" s="82" cm="1">
        <f t="array" ref="AG14">_xlfn.IFNA(INDEX('Aviation Synfuel Data'!$G$4:$M$22,MATCH('Aviation Synfuel-TSData'!$B14&amp;'Aviation Synfuel-TSData'!$C14&amp;$D14,'Aviation Synfuel Data'!$C$4:$C$22&amp;'Aviation Synfuel Data'!$A$4:$A$22&amp;'Aviation Synfuel Data'!$D$4:$D$22,0),MATCH(AG$2,'Aviation Synfuel Data'!$G$3:$M$3,0)),"null")</f>
        <v>-6</v>
      </c>
      <c r="AH14" s="82" t="str" cm="1">
        <f t="array" ref="AH14">_xlfn.IFNA(INDEX('Aviation Synfuel Data'!$G$4:$M$22,MATCH('Aviation Synfuel-TSData'!$B14&amp;'Aviation Synfuel-TSData'!$C14&amp;$D14,'Aviation Synfuel Data'!$C$4:$C$22&amp;'Aviation Synfuel Data'!$A$4:$A$22&amp;'Aviation Synfuel Data'!$D$4:$D$22,0),MATCH(AH$2,'Aviation Synfuel Data'!$G$3:$M$3,0)),"null")</f>
        <v>null</v>
      </c>
      <c r="AI14" s="82" t="str" cm="1">
        <f t="array" ref="AI14">_xlfn.IFNA(INDEX('Aviation Synfuel Data'!$G$4:$M$22,MATCH('Aviation Synfuel-TSData'!$B14&amp;'Aviation Synfuel-TSData'!$C14&amp;$D14,'Aviation Synfuel Data'!$C$4:$C$22&amp;'Aviation Synfuel Data'!$A$4:$A$22&amp;'Aviation Synfuel Data'!$D$4:$D$22,0),MATCH(AI$2,'Aviation Synfuel Data'!$G$3:$M$3,0)),"null")</f>
        <v>null</v>
      </c>
      <c r="AJ14" s="82" t="str" cm="1">
        <f t="array" ref="AJ14">_xlfn.IFNA(INDEX('Aviation Synfuel Data'!$G$4:$M$22,MATCH('Aviation Synfuel-TSData'!$B14&amp;'Aviation Synfuel-TSData'!$C14&amp;$D14,'Aviation Synfuel Data'!$C$4:$C$22&amp;'Aviation Synfuel Data'!$A$4:$A$22&amp;'Aviation Synfuel Data'!$D$4:$D$22,0),MATCH(AJ$2,'Aviation Synfuel Data'!$G$3:$M$3,0)),"null")</f>
        <v>null</v>
      </c>
      <c r="AK14" s="82" t="str" cm="1">
        <f t="array" ref="AK14">_xlfn.IFNA(INDEX('Aviation Synfuel Data'!$G$4:$M$22,MATCH('Aviation Synfuel-TSData'!$B14&amp;'Aviation Synfuel-TSData'!$C14&amp;$D14,'Aviation Synfuel Data'!$C$4:$C$22&amp;'Aviation Synfuel Data'!$A$4:$A$22&amp;'Aviation Synfuel Data'!$D$4:$D$22,0),MATCH(AK$2,'Aviation Synfuel Data'!$G$3:$M$3,0)),"null")</f>
        <v>null</v>
      </c>
      <c r="AL14" s="82" cm="1">
        <f t="array" ref="AL14">_xlfn.IFNA(INDEX('Aviation Synfuel Data'!$G$4:$M$22,MATCH('Aviation Synfuel-TSData'!$B14&amp;'Aviation Synfuel-TSData'!$C14&amp;$D14,'Aviation Synfuel Data'!$C$4:$C$22&amp;'Aviation Synfuel Data'!$A$4:$A$22&amp;'Aviation Synfuel Data'!$D$4:$D$22,0),MATCH(AL$2,'Aviation Synfuel Data'!$G$3:$M$3,0)),"null")</f>
        <v>-6</v>
      </c>
      <c r="AM14" s="82" t="str" cm="1">
        <f t="array" ref="AM14">_xlfn.IFNA(INDEX('Aviation Synfuel Data'!$G$4:$M$22,MATCH('Aviation Synfuel-TSData'!$B14&amp;'Aviation Synfuel-TSData'!$C14&amp;$D14,'Aviation Synfuel Data'!$C$4:$C$22&amp;'Aviation Synfuel Data'!$A$4:$A$22&amp;'Aviation Synfuel Data'!$D$4:$D$22,0),MATCH(AM$2,'Aviation Synfuel Data'!$G$3:$M$3,0)),"null")</f>
        <v>null</v>
      </c>
      <c r="AN14" s="82" cm="1">
        <f t="array" ref="AN14">_xlfn.IFNA(INDEX('Aviation Synfuel Data'!$G$4:$M$22,MATCH('Aviation Synfuel-TSData'!$B14&amp;'Aviation Synfuel-TSData'!$C14&amp;$D14,'Aviation Synfuel Data'!$C$4:$C$22&amp;'Aviation Synfuel Data'!$A$4:$A$22&amp;'Aviation Synfuel Data'!$D$4:$D$22,0),MATCH(AN$2,'Aviation Synfuel Data'!$G$3:$M$3,0)),"null")</f>
        <v>-6</v>
      </c>
      <c r="AO14" s="82" cm="1">
        <f t="array" ref="AO14">_xlfn.IFNA(INDEX('Aviation Synfuel Data'!$G$4:$M$22,MATCH('Aviation Synfuel-TSData'!$B14&amp;'Aviation Synfuel-TSData'!$C14&amp;$D14,'Aviation Synfuel Data'!$C$4:$C$22&amp;'Aviation Synfuel Data'!$A$4:$A$22&amp;'Aviation Synfuel Data'!$D$4:$D$22,0),MATCH(AO$2,'Aviation Synfuel Data'!$G$3:$M$3,0)),"null")</f>
        <v>-6</v>
      </c>
      <c r="AP14" s="82" cm="1">
        <f t="array" ref="AP14">_xlfn.IFNA(INDEX('Aviation Synfuel Data'!$G$4:$M$22,MATCH('Aviation Synfuel-TSData'!$B14&amp;'Aviation Synfuel-TSData'!$C14&amp;$D14,'Aviation Synfuel Data'!$C$4:$C$22&amp;'Aviation Synfuel Data'!$A$4:$A$22&amp;'Aviation Synfuel Data'!$D$4:$D$22,0),MATCH(AP$2,'Aviation Synfuel Data'!$G$3:$M$3,0)),"null")</f>
        <v>-6</v>
      </c>
    </row>
    <row r="15" spans="1:42" x14ac:dyDescent="0.25">
      <c r="B15" t="s">
        <v>239</v>
      </c>
      <c r="C15" t="s">
        <v>238</v>
      </c>
      <c r="D15" t="s">
        <v>236</v>
      </c>
      <c r="E15" t="s">
        <v>236</v>
      </c>
      <c r="F15" t="s">
        <v>236</v>
      </c>
      <c r="G15" t="s">
        <v>236</v>
      </c>
      <c r="H15" t="s">
        <v>236</v>
      </c>
      <c r="I15">
        <v>0</v>
      </c>
      <c r="J15" s="82" t="str" cm="1">
        <f t="array" ref="J15">_xlfn.IFNA(INDEX('Aviation Synfuel Data'!$G$4:$M$22,MATCH('Aviation Synfuel-TSData'!$B15&amp;'Aviation Synfuel-TSData'!$C15&amp;$D15,'Aviation Synfuel Data'!$C$4:$C$22&amp;'Aviation Synfuel Data'!$A$4:$A$22&amp;'Aviation Synfuel Data'!$D$4:$D$22,0),MATCH(J$2,'Aviation Synfuel Data'!$G$3:$M$3,0)),"null")</f>
        <v>null</v>
      </c>
      <c r="K15" s="82" t="str" cm="1">
        <f t="array" ref="K15">_xlfn.IFNA(INDEX('Aviation Synfuel Data'!$G$4:$M$22,MATCH('Aviation Synfuel-TSData'!$B15&amp;'Aviation Synfuel-TSData'!$C15&amp;$D15,'Aviation Synfuel Data'!$C$4:$C$22&amp;'Aviation Synfuel Data'!$A$4:$A$22&amp;'Aviation Synfuel Data'!$D$4:$D$22,0),MATCH(K$2,'Aviation Synfuel Data'!$G$3:$M$3,0)),"null")</f>
        <v>null</v>
      </c>
      <c r="L15" s="82" t="str" cm="1">
        <f t="array" ref="L15">_xlfn.IFNA(INDEX('Aviation Synfuel Data'!$G$4:$M$22,MATCH('Aviation Synfuel-TSData'!$B15&amp;'Aviation Synfuel-TSData'!$C15&amp;$D15,'Aviation Synfuel Data'!$C$4:$C$22&amp;'Aviation Synfuel Data'!$A$4:$A$22&amp;'Aviation Synfuel Data'!$D$4:$D$22,0),MATCH(L$2,'Aviation Synfuel Data'!$G$3:$M$3,0)),"null")</f>
        <v>null</v>
      </c>
      <c r="M15" s="82" t="str" cm="1">
        <f t="array" ref="M15">_xlfn.IFNA(INDEX('Aviation Synfuel Data'!$G$4:$M$22,MATCH('Aviation Synfuel-TSData'!$B15&amp;'Aviation Synfuel-TSData'!$C15&amp;$D15,'Aviation Synfuel Data'!$C$4:$C$22&amp;'Aviation Synfuel Data'!$A$4:$A$22&amp;'Aviation Synfuel Data'!$D$4:$D$22,0),MATCH(M$2,'Aviation Synfuel Data'!$G$3:$M$3,0)),"null")</f>
        <v>null</v>
      </c>
      <c r="N15" s="82" t="str" cm="1">
        <f t="array" ref="N15">_xlfn.IFNA(INDEX('Aviation Synfuel Data'!$G$4:$M$22,MATCH('Aviation Synfuel-TSData'!$B15&amp;'Aviation Synfuel-TSData'!$C15&amp;$D15,'Aviation Synfuel Data'!$C$4:$C$22&amp;'Aviation Synfuel Data'!$A$4:$A$22&amp;'Aviation Synfuel Data'!$D$4:$D$22,0),MATCH(N$2,'Aviation Synfuel Data'!$G$3:$M$3,0)),"null")</f>
        <v>null</v>
      </c>
      <c r="O15" s="82" t="str" cm="1">
        <f t="array" ref="O15">_xlfn.IFNA(INDEX('Aviation Synfuel Data'!$G$4:$M$22,MATCH('Aviation Synfuel-TSData'!$B15&amp;'Aviation Synfuel-TSData'!$C15&amp;$D15,'Aviation Synfuel Data'!$C$4:$C$22&amp;'Aviation Synfuel Data'!$A$4:$A$22&amp;'Aviation Synfuel Data'!$D$4:$D$22,0),MATCH(O$2,'Aviation Synfuel Data'!$G$3:$M$3,0)),"null")</f>
        <v>null</v>
      </c>
      <c r="P15" s="82" t="str" cm="1">
        <f t="array" ref="P15">_xlfn.IFNA(INDEX('Aviation Synfuel Data'!$G$4:$M$22,MATCH('Aviation Synfuel-TSData'!$B15&amp;'Aviation Synfuel-TSData'!$C15&amp;$D15,'Aviation Synfuel Data'!$C$4:$C$22&amp;'Aviation Synfuel Data'!$A$4:$A$22&amp;'Aviation Synfuel Data'!$D$4:$D$22,0),MATCH(P$2,'Aviation Synfuel Data'!$G$3:$M$3,0)),"null")</f>
        <v>null</v>
      </c>
      <c r="Q15" s="82" t="str" cm="1">
        <f t="array" ref="Q15">_xlfn.IFNA(INDEX('Aviation Synfuel Data'!$G$4:$M$22,MATCH('Aviation Synfuel-TSData'!$B15&amp;'Aviation Synfuel-TSData'!$C15&amp;$D15,'Aviation Synfuel Data'!$C$4:$C$22&amp;'Aviation Synfuel Data'!$A$4:$A$22&amp;'Aviation Synfuel Data'!$D$4:$D$22,0),MATCH(Q$2,'Aviation Synfuel Data'!$G$3:$M$3,0)),"null")</f>
        <v>null</v>
      </c>
      <c r="R15" s="82" cm="1">
        <f t="array" ref="R15">_xlfn.IFNA(INDEX('Aviation Synfuel Data'!$G$4:$M$22,MATCH('Aviation Synfuel-TSData'!$B15&amp;'Aviation Synfuel-TSData'!$C15&amp;$D15,'Aviation Synfuel Data'!$C$4:$C$22&amp;'Aviation Synfuel Data'!$A$4:$A$22&amp;'Aviation Synfuel Data'!$D$4:$D$22,0),MATCH(R$2,'Aviation Synfuel Data'!$G$3:$M$3,0)),"null")</f>
        <v>25</v>
      </c>
      <c r="S15" s="82" t="str" cm="1">
        <f t="array" ref="S15">_xlfn.IFNA(INDEX('Aviation Synfuel Data'!$G$4:$M$22,MATCH('Aviation Synfuel-TSData'!$B15&amp;'Aviation Synfuel-TSData'!$C15&amp;$D15,'Aviation Synfuel Data'!$C$4:$C$22&amp;'Aviation Synfuel Data'!$A$4:$A$22&amp;'Aviation Synfuel Data'!$D$4:$D$22,0),MATCH(S$2,'Aviation Synfuel Data'!$G$3:$M$3,0)),"null")</f>
        <v>null</v>
      </c>
      <c r="T15" s="82" t="str" cm="1">
        <f t="array" ref="T15">_xlfn.IFNA(INDEX('Aviation Synfuel Data'!$G$4:$M$22,MATCH('Aviation Synfuel-TSData'!$B15&amp;'Aviation Synfuel-TSData'!$C15&amp;$D15,'Aviation Synfuel Data'!$C$4:$C$22&amp;'Aviation Synfuel Data'!$A$4:$A$22&amp;'Aviation Synfuel Data'!$D$4:$D$22,0),MATCH(T$2,'Aviation Synfuel Data'!$G$3:$M$3,0)),"null")</f>
        <v>null</v>
      </c>
      <c r="U15" s="82" t="str" cm="1">
        <f t="array" ref="U15">_xlfn.IFNA(INDEX('Aviation Synfuel Data'!$G$4:$M$22,MATCH('Aviation Synfuel-TSData'!$B15&amp;'Aviation Synfuel-TSData'!$C15&amp;$D15,'Aviation Synfuel Data'!$C$4:$C$22&amp;'Aviation Synfuel Data'!$A$4:$A$22&amp;'Aviation Synfuel Data'!$D$4:$D$22,0),MATCH(U$2,'Aviation Synfuel Data'!$G$3:$M$3,0)),"null")</f>
        <v>null</v>
      </c>
      <c r="V15" s="82" t="str" cm="1">
        <f t="array" ref="V15">_xlfn.IFNA(INDEX('Aviation Synfuel Data'!$G$4:$M$22,MATCH('Aviation Synfuel-TSData'!$B15&amp;'Aviation Synfuel-TSData'!$C15&amp;$D15,'Aviation Synfuel Data'!$C$4:$C$22&amp;'Aviation Synfuel Data'!$A$4:$A$22&amp;'Aviation Synfuel Data'!$D$4:$D$22,0),MATCH(V$2,'Aviation Synfuel Data'!$G$3:$M$3,0)),"null")</f>
        <v>null</v>
      </c>
      <c r="W15" s="82" t="str" cm="1">
        <f t="array" ref="W15">_xlfn.IFNA(INDEX('Aviation Synfuel Data'!$G$4:$M$22,MATCH('Aviation Synfuel-TSData'!$B15&amp;'Aviation Synfuel-TSData'!$C15&amp;$D15,'Aviation Synfuel Data'!$C$4:$C$22&amp;'Aviation Synfuel Data'!$A$4:$A$22&amp;'Aviation Synfuel Data'!$D$4:$D$22,0),MATCH(W$2,'Aviation Synfuel Data'!$G$3:$M$3,0)),"null")</f>
        <v>null</v>
      </c>
      <c r="X15" s="82" t="str" cm="1">
        <f t="array" ref="X15">_xlfn.IFNA(INDEX('Aviation Synfuel Data'!$G$4:$M$22,MATCH('Aviation Synfuel-TSData'!$B15&amp;'Aviation Synfuel-TSData'!$C15&amp;$D15,'Aviation Synfuel Data'!$C$4:$C$22&amp;'Aviation Synfuel Data'!$A$4:$A$22&amp;'Aviation Synfuel Data'!$D$4:$D$22,0),MATCH(X$2,'Aviation Synfuel Data'!$G$3:$M$3,0)),"null")</f>
        <v>null</v>
      </c>
      <c r="Y15" s="82" t="str" cm="1">
        <f t="array" ref="Y15">_xlfn.IFNA(INDEX('Aviation Synfuel Data'!$G$4:$M$22,MATCH('Aviation Synfuel-TSData'!$B15&amp;'Aviation Synfuel-TSData'!$C15&amp;$D15,'Aviation Synfuel Data'!$C$4:$C$22&amp;'Aviation Synfuel Data'!$A$4:$A$22&amp;'Aviation Synfuel Data'!$D$4:$D$22,0),MATCH(Y$2,'Aviation Synfuel Data'!$G$3:$M$3,0)),"null")</f>
        <v>null</v>
      </c>
      <c r="Z15" s="82" t="str" cm="1">
        <f t="array" ref="Z15">_xlfn.IFNA(INDEX('Aviation Synfuel Data'!$G$4:$M$22,MATCH('Aviation Synfuel-TSData'!$B15&amp;'Aviation Synfuel-TSData'!$C15&amp;$D15,'Aviation Synfuel Data'!$C$4:$C$22&amp;'Aviation Synfuel Data'!$A$4:$A$22&amp;'Aviation Synfuel Data'!$D$4:$D$22,0),MATCH(Z$2,'Aviation Synfuel Data'!$G$3:$M$3,0)),"null")</f>
        <v>null</v>
      </c>
      <c r="AA15" s="82" t="str" cm="1">
        <f t="array" ref="AA15">_xlfn.IFNA(INDEX('Aviation Synfuel Data'!$G$4:$M$22,MATCH('Aviation Synfuel-TSData'!$B15&amp;'Aviation Synfuel-TSData'!$C15&amp;$D15,'Aviation Synfuel Data'!$C$4:$C$22&amp;'Aviation Synfuel Data'!$A$4:$A$22&amp;'Aviation Synfuel Data'!$D$4:$D$22,0),MATCH(AA$2,'Aviation Synfuel Data'!$G$3:$M$3,0)),"null")</f>
        <v>null</v>
      </c>
      <c r="AB15" s="82" cm="1">
        <f t="array" ref="AB15">_xlfn.IFNA(INDEX('Aviation Synfuel Data'!$G$4:$M$22,MATCH('Aviation Synfuel-TSData'!$B15&amp;'Aviation Synfuel-TSData'!$C15&amp;$D15,'Aviation Synfuel Data'!$C$4:$C$22&amp;'Aviation Synfuel Data'!$A$4:$A$22&amp;'Aviation Synfuel Data'!$D$4:$D$22,0),MATCH(AB$2,'Aviation Synfuel Data'!$G$3:$M$3,0)),"null")</f>
        <v>25</v>
      </c>
      <c r="AC15" s="82" t="str" cm="1">
        <f t="array" ref="AC15">_xlfn.IFNA(INDEX('Aviation Synfuel Data'!$G$4:$M$22,MATCH('Aviation Synfuel-TSData'!$B15&amp;'Aviation Synfuel-TSData'!$C15&amp;$D15,'Aviation Synfuel Data'!$C$4:$C$22&amp;'Aviation Synfuel Data'!$A$4:$A$22&amp;'Aviation Synfuel Data'!$D$4:$D$22,0),MATCH(AC$2,'Aviation Synfuel Data'!$G$3:$M$3,0)),"null")</f>
        <v>null</v>
      </c>
      <c r="AD15" s="82" t="str" cm="1">
        <f t="array" ref="AD15">_xlfn.IFNA(INDEX('Aviation Synfuel Data'!$G$4:$M$22,MATCH('Aviation Synfuel-TSData'!$B15&amp;'Aviation Synfuel-TSData'!$C15&amp;$D15,'Aviation Synfuel Data'!$C$4:$C$22&amp;'Aviation Synfuel Data'!$A$4:$A$22&amp;'Aviation Synfuel Data'!$D$4:$D$22,0),MATCH(AD$2,'Aviation Synfuel Data'!$G$3:$M$3,0)),"null")</f>
        <v>null</v>
      </c>
      <c r="AE15" s="82" t="str" cm="1">
        <f t="array" ref="AE15">_xlfn.IFNA(INDEX('Aviation Synfuel Data'!$G$4:$M$22,MATCH('Aviation Synfuel-TSData'!$B15&amp;'Aviation Synfuel-TSData'!$C15&amp;$D15,'Aviation Synfuel Data'!$C$4:$C$22&amp;'Aviation Synfuel Data'!$A$4:$A$22&amp;'Aviation Synfuel Data'!$D$4:$D$22,0),MATCH(AE$2,'Aviation Synfuel Data'!$G$3:$M$3,0)),"null")</f>
        <v>null</v>
      </c>
      <c r="AF15" s="82" t="str" cm="1">
        <f t="array" ref="AF15">_xlfn.IFNA(INDEX('Aviation Synfuel Data'!$G$4:$M$22,MATCH('Aviation Synfuel-TSData'!$B15&amp;'Aviation Synfuel-TSData'!$C15&amp;$D15,'Aviation Synfuel Data'!$C$4:$C$22&amp;'Aviation Synfuel Data'!$A$4:$A$22&amp;'Aviation Synfuel Data'!$D$4:$D$22,0),MATCH(AF$2,'Aviation Synfuel Data'!$G$3:$M$3,0)),"null")</f>
        <v>null</v>
      </c>
      <c r="AG15" s="82" cm="1">
        <f t="array" ref="AG15">_xlfn.IFNA(INDEX('Aviation Synfuel Data'!$G$4:$M$22,MATCH('Aviation Synfuel-TSData'!$B15&amp;'Aviation Synfuel-TSData'!$C15&amp;$D15,'Aviation Synfuel Data'!$C$4:$C$22&amp;'Aviation Synfuel Data'!$A$4:$A$22&amp;'Aviation Synfuel Data'!$D$4:$D$22,0),MATCH(AG$2,'Aviation Synfuel Data'!$G$3:$M$3,0)),"null")</f>
        <v>25</v>
      </c>
      <c r="AH15" s="82" t="str" cm="1">
        <f t="array" ref="AH15">_xlfn.IFNA(INDEX('Aviation Synfuel Data'!$G$4:$M$22,MATCH('Aviation Synfuel-TSData'!$B15&amp;'Aviation Synfuel-TSData'!$C15&amp;$D15,'Aviation Synfuel Data'!$C$4:$C$22&amp;'Aviation Synfuel Data'!$A$4:$A$22&amp;'Aviation Synfuel Data'!$D$4:$D$22,0),MATCH(AH$2,'Aviation Synfuel Data'!$G$3:$M$3,0)),"null")</f>
        <v>null</v>
      </c>
      <c r="AI15" s="82" t="str" cm="1">
        <f t="array" ref="AI15">_xlfn.IFNA(INDEX('Aviation Synfuel Data'!$G$4:$M$22,MATCH('Aviation Synfuel-TSData'!$B15&amp;'Aviation Synfuel-TSData'!$C15&amp;$D15,'Aviation Synfuel Data'!$C$4:$C$22&amp;'Aviation Synfuel Data'!$A$4:$A$22&amp;'Aviation Synfuel Data'!$D$4:$D$22,0),MATCH(AI$2,'Aviation Synfuel Data'!$G$3:$M$3,0)),"null")</f>
        <v>null</v>
      </c>
      <c r="AJ15" s="82" t="str" cm="1">
        <f t="array" ref="AJ15">_xlfn.IFNA(INDEX('Aviation Synfuel Data'!$G$4:$M$22,MATCH('Aviation Synfuel-TSData'!$B15&amp;'Aviation Synfuel-TSData'!$C15&amp;$D15,'Aviation Synfuel Data'!$C$4:$C$22&amp;'Aviation Synfuel Data'!$A$4:$A$22&amp;'Aviation Synfuel Data'!$D$4:$D$22,0),MATCH(AJ$2,'Aviation Synfuel Data'!$G$3:$M$3,0)),"null")</f>
        <v>null</v>
      </c>
      <c r="AK15" s="82" t="str" cm="1">
        <f t="array" ref="AK15">_xlfn.IFNA(INDEX('Aviation Synfuel Data'!$G$4:$M$22,MATCH('Aviation Synfuel-TSData'!$B15&amp;'Aviation Synfuel-TSData'!$C15&amp;$D15,'Aviation Synfuel Data'!$C$4:$C$22&amp;'Aviation Synfuel Data'!$A$4:$A$22&amp;'Aviation Synfuel Data'!$D$4:$D$22,0),MATCH(AK$2,'Aviation Synfuel Data'!$G$3:$M$3,0)),"null")</f>
        <v>null</v>
      </c>
      <c r="AL15" s="82" cm="1">
        <f t="array" ref="AL15">_xlfn.IFNA(INDEX('Aviation Synfuel Data'!$G$4:$M$22,MATCH('Aviation Synfuel-TSData'!$B15&amp;'Aviation Synfuel-TSData'!$C15&amp;$D15,'Aviation Synfuel Data'!$C$4:$C$22&amp;'Aviation Synfuel Data'!$A$4:$A$22&amp;'Aviation Synfuel Data'!$D$4:$D$22,0),MATCH(AL$2,'Aviation Synfuel Data'!$G$3:$M$3,0)),"null")</f>
        <v>25</v>
      </c>
      <c r="AM15" s="82" t="str" cm="1">
        <f t="array" ref="AM15">_xlfn.IFNA(INDEX('Aviation Synfuel Data'!$G$4:$M$22,MATCH('Aviation Synfuel-TSData'!$B15&amp;'Aviation Synfuel-TSData'!$C15&amp;$D15,'Aviation Synfuel Data'!$C$4:$C$22&amp;'Aviation Synfuel Data'!$A$4:$A$22&amp;'Aviation Synfuel Data'!$D$4:$D$22,0),MATCH(AM$2,'Aviation Synfuel Data'!$G$3:$M$3,0)),"null")</f>
        <v>null</v>
      </c>
      <c r="AN15" s="82" cm="1">
        <f t="array" ref="AN15">_xlfn.IFNA(INDEX('Aviation Synfuel Data'!$G$4:$M$22,MATCH('Aviation Synfuel-TSData'!$B15&amp;'Aviation Synfuel-TSData'!$C15&amp;$D15,'Aviation Synfuel Data'!$C$4:$C$22&amp;'Aviation Synfuel Data'!$A$4:$A$22&amp;'Aviation Synfuel Data'!$D$4:$D$22,0),MATCH(AN$2,'Aviation Synfuel Data'!$G$3:$M$3,0)),"null")</f>
        <v>25</v>
      </c>
      <c r="AO15" s="82" cm="1">
        <f t="array" ref="AO15">_xlfn.IFNA(INDEX('Aviation Synfuel Data'!$G$4:$M$22,MATCH('Aviation Synfuel-TSData'!$B15&amp;'Aviation Synfuel-TSData'!$C15&amp;$D15,'Aviation Synfuel Data'!$C$4:$C$22&amp;'Aviation Synfuel Data'!$A$4:$A$22&amp;'Aviation Synfuel Data'!$D$4:$D$22,0),MATCH(AO$2,'Aviation Synfuel Data'!$G$3:$M$3,0)),"null")</f>
        <v>25</v>
      </c>
      <c r="AP15" s="82" cm="1">
        <f t="array" ref="AP15">_xlfn.IFNA(INDEX('Aviation Synfuel Data'!$G$4:$M$22,MATCH('Aviation Synfuel-TSData'!$B15&amp;'Aviation Synfuel-TSData'!$C15&amp;$D15,'Aviation Synfuel Data'!$C$4:$C$22&amp;'Aviation Synfuel Data'!$A$4:$A$22&amp;'Aviation Synfuel Data'!$D$4:$D$22,0),MATCH(AP$2,'Aviation Synfuel Data'!$G$3:$M$3,0)),"null")</f>
        <v>25</v>
      </c>
    </row>
    <row r="16" spans="1:42" x14ac:dyDescent="0.25">
      <c r="B16" t="s">
        <v>294</v>
      </c>
      <c r="C16" t="str">
        <f>'Aviation Synfuel-Items'!C6</f>
        <v>XOKGOKE</v>
      </c>
      <c r="D16" t="s">
        <v>236</v>
      </c>
      <c r="E16" t="s">
        <v>293</v>
      </c>
      <c r="F16" t="s">
        <v>236</v>
      </c>
      <c r="G16" t="s">
        <v>291</v>
      </c>
      <c r="H16" t="s">
        <v>236</v>
      </c>
      <c r="I16">
        <v>0</v>
      </c>
      <c r="J16">
        <v>1</v>
      </c>
    </row>
    <row r="17" spans="2:42" x14ac:dyDescent="0.25">
      <c r="B17" t="s">
        <v>81</v>
      </c>
      <c r="C17" t="str">
        <f>'Aviation Synfuel-Items'!C7</f>
        <v>PEXOKG</v>
      </c>
      <c r="D17" t="s">
        <v>236</v>
      </c>
      <c r="E17" t="s">
        <v>236</v>
      </c>
      <c r="F17" t="s">
        <v>236</v>
      </c>
      <c r="G17" t="s">
        <v>236</v>
      </c>
      <c r="H17" t="s">
        <v>236</v>
      </c>
      <c r="I17">
        <v>0</v>
      </c>
      <c r="J17" s="82" t="str">
        <f>IFERROR(#REF!*-1*(1+'Aviation Synfuel Data'!$G$23),"")</f>
        <v/>
      </c>
      <c r="K17" s="82" t="str">
        <f>IFERROR(#REF!*-1*(1+'Aviation Synfuel Data'!$G$23),"")</f>
        <v/>
      </c>
      <c r="L17" s="82" t="str">
        <f>IFERROR(#REF!*-1*(1+'Aviation Synfuel Data'!$G$23),"")</f>
        <v/>
      </c>
      <c r="M17" s="82" t="str">
        <f>IFERROR(#REF!*-1*(1+'Aviation Synfuel Data'!$G$23),"")</f>
        <v/>
      </c>
      <c r="N17" s="82" t="str">
        <f>IFERROR(#REF!*-1*(1+'Aviation Synfuel Data'!$G$23),"")</f>
        <v/>
      </c>
      <c r="O17" s="82" t="str">
        <f>IFERROR(#REF!*-1*(1+'Aviation Synfuel Data'!$G$23),"")</f>
        <v/>
      </c>
      <c r="P17" s="82" t="str">
        <f>IFERROR(#REF!*-1*(1+'Aviation Synfuel Data'!$G$23),"")</f>
        <v/>
      </c>
      <c r="Q17" s="82" t="str">
        <f>IFERROR(#REF!*-1*(1+'Aviation Synfuel Data'!$G$23),"")</f>
        <v/>
      </c>
      <c r="R17" s="82" t="str">
        <f>IFERROR(#REF!*-1*(1+'Aviation Synfuel Data'!$G$23),"")</f>
        <v/>
      </c>
      <c r="S17" s="82" t="str">
        <f>IFERROR(#REF!*-1*(1+'Aviation Synfuel Data'!$G$23),"")</f>
        <v/>
      </c>
      <c r="T17" s="82" t="str">
        <f>IFERROR(#REF!*-1*(1+'Aviation Synfuel Data'!$G$23),"")</f>
        <v/>
      </c>
      <c r="U17" s="82" t="str">
        <f>IFERROR(#REF!*-1*(1+'Aviation Synfuel Data'!$G$23),"")</f>
        <v/>
      </c>
      <c r="V17" s="82" t="str">
        <f>IFERROR(#REF!*-1*(1+'Aviation Synfuel Data'!$G$23),"")</f>
        <v/>
      </c>
      <c r="W17" s="82" t="str">
        <f>IFERROR(#REF!*-1*(1+'Aviation Synfuel Data'!$G$23),"")</f>
        <v/>
      </c>
      <c r="X17" s="82" t="str">
        <f>IFERROR(#REF!*-1*(1+'Aviation Synfuel Data'!$G$23),"")</f>
        <v/>
      </c>
      <c r="Y17" s="82" t="str">
        <f>IFERROR(#REF!*-1*(1+'Aviation Synfuel Data'!$G$23),"")</f>
        <v/>
      </c>
      <c r="Z17" s="82" t="str">
        <f>IFERROR(#REF!*-1*(1+'Aviation Synfuel Data'!$G$23),"")</f>
        <v/>
      </c>
      <c r="AA17" s="82" t="str">
        <f>IFERROR(#REF!*-1*(1+'Aviation Synfuel Data'!$G$23),"")</f>
        <v/>
      </c>
      <c r="AB17" s="82" t="str">
        <f>IFERROR(#REF!*-1*(1+'Aviation Synfuel Data'!$G$23),"")</f>
        <v/>
      </c>
      <c r="AC17" s="82" t="str">
        <f>IFERROR(#REF!*-1*(1+'Aviation Synfuel Data'!$G$23),"")</f>
        <v/>
      </c>
      <c r="AD17" s="82" t="str">
        <f>IFERROR(#REF!*-1*(1+'Aviation Synfuel Data'!$G$23),"")</f>
        <v/>
      </c>
      <c r="AE17" s="82" t="str">
        <f>IFERROR(#REF!*-1*(1+'Aviation Synfuel Data'!$G$23),"")</f>
        <v/>
      </c>
      <c r="AF17" s="82" t="str">
        <f>IFERROR(#REF!*-1*(1+'Aviation Synfuel Data'!$G$23),"")</f>
        <v/>
      </c>
      <c r="AG17" s="82" t="str">
        <f>IFERROR(#REF!*-1*(1+'Aviation Synfuel Data'!$G$23),"")</f>
        <v/>
      </c>
      <c r="AH17" s="82" t="str">
        <f>IFERROR(#REF!*-1*(1+'Aviation Synfuel Data'!$G$23),"")</f>
        <v/>
      </c>
      <c r="AI17" s="82" t="str">
        <f>IFERROR(#REF!*-1*(1+'Aviation Synfuel Data'!$G$23),"")</f>
        <v/>
      </c>
      <c r="AJ17" s="82" t="str">
        <f>IFERROR(#REF!*-1*(1+'Aviation Synfuel Data'!$G$23),"")</f>
        <v/>
      </c>
      <c r="AK17" s="82" t="str">
        <f>IFERROR(#REF!*-1*(1+'Aviation Synfuel Data'!$G$23),"")</f>
        <v/>
      </c>
      <c r="AL17" s="82" t="str">
        <f>IFERROR(#REF!*-1*(1+'Aviation Synfuel Data'!$G$23),"")</f>
        <v/>
      </c>
      <c r="AM17" s="82" t="str">
        <f>IFERROR(#REF!*-1*(1+'Aviation Synfuel Data'!$G$23),"")</f>
        <v/>
      </c>
      <c r="AN17" s="82" t="str">
        <f>IFERROR(#REF!*-1*(1+'Aviation Synfuel Data'!$G$23),"")</f>
        <v/>
      </c>
      <c r="AO17" s="82" t="str">
        <f>IFERROR(#REF!*-1*(1+'Aviation Synfuel Data'!$G$23),"")</f>
        <v/>
      </c>
      <c r="AP17" s="82"/>
    </row>
    <row r="18" spans="2:42" x14ac:dyDescent="0.25">
      <c r="B18" t="s">
        <v>292</v>
      </c>
      <c r="C18" t="str">
        <f>C17</f>
        <v>PEXOKG</v>
      </c>
      <c r="D18" t="s">
        <v>236</v>
      </c>
      <c r="E18" t="s">
        <v>236</v>
      </c>
      <c r="F18" t="s">
        <v>236</v>
      </c>
      <c r="G18" t="s">
        <v>291</v>
      </c>
      <c r="H18" t="s">
        <v>241</v>
      </c>
      <c r="I18">
        <v>3</v>
      </c>
    </row>
    <row r="19" spans="2:42" x14ac:dyDescent="0.25">
      <c r="B19" t="s">
        <v>292</v>
      </c>
      <c r="C19" t="str">
        <f>C18</f>
        <v>PEXOKG</v>
      </c>
      <c r="D19" t="s">
        <v>236</v>
      </c>
      <c r="E19" t="s">
        <v>236</v>
      </c>
      <c r="F19" t="s">
        <v>236</v>
      </c>
      <c r="G19" t="s">
        <v>291</v>
      </c>
      <c r="H19" t="s">
        <v>243</v>
      </c>
      <c r="I19">
        <v>3</v>
      </c>
      <c r="J19" s="107">
        <v>200</v>
      </c>
    </row>
  </sheetData>
  <pageMargins left="0.7" right="0.7" top="0.75" bottom="0.75" header="0.3" footer="0.3"/>
  <pageSetup paperSize="9" orientation="portrait"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00D2-6243-40CC-97D2-8B6BC645E772}">
  <sheetPr>
    <tabColor theme="6" tint="0.59999389629810485"/>
  </sheetPr>
  <dimension ref="A1:I22"/>
  <sheetViews>
    <sheetView workbookViewId="0">
      <selection activeCell="C32" sqref="C32"/>
    </sheetView>
  </sheetViews>
  <sheetFormatPr defaultRowHeight="15" x14ac:dyDescent="0.25"/>
  <cols>
    <col min="1" max="1" width="2" bestFit="1" customWidth="1"/>
    <col min="2" max="2" width="12.5703125" bestFit="1" customWidth="1"/>
    <col min="3" max="3" width="14.140625" bestFit="1" customWidth="1"/>
    <col min="4" max="4" width="11.28515625" bestFit="1" customWidth="1"/>
    <col min="5" max="5" width="16.28515625" bestFit="1" customWidth="1"/>
    <col min="6" max="9" width="6.140625" bestFit="1" customWidth="1"/>
  </cols>
  <sheetData>
    <row r="1" spans="1:9" x14ac:dyDescent="0.25">
      <c r="A1" t="s">
        <v>312</v>
      </c>
      <c r="B1" t="s">
        <v>289</v>
      </c>
    </row>
    <row r="2" spans="1:9" x14ac:dyDescent="0.25">
      <c r="A2" t="s">
        <v>7</v>
      </c>
      <c r="B2" t="s">
        <v>303</v>
      </c>
      <c r="C2" t="s">
        <v>302</v>
      </c>
      <c r="D2" t="s">
        <v>311</v>
      </c>
      <c r="E2" t="s">
        <v>310</v>
      </c>
      <c r="F2" t="s">
        <v>299</v>
      </c>
      <c r="G2" t="s">
        <v>298</v>
      </c>
      <c r="H2" t="s">
        <v>297</v>
      </c>
      <c r="I2" t="s">
        <v>309</v>
      </c>
    </row>
    <row r="3" spans="1:9" x14ac:dyDescent="0.25">
      <c r="B3" t="s">
        <v>266</v>
      </c>
      <c r="C3" t="s">
        <v>238</v>
      </c>
      <c r="D3" t="s">
        <v>236</v>
      </c>
      <c r="E3" t="s">
        <v>236</v>
      </c>
      <c r="F3" t="s">
        <v>236</v>
      </c>
      <c r="G3" t="s">
        <v>236</v>
      </c>
      <c r="H3" t="s">
        <v>236</v>
      </c>
      <c r="I3">
        <v>2030</v>
      </c>
    </row>
    <row r="4" spans="1:9" x14ac:dyDescent="0.25">
      <c r="B4" t="s">
        <v>252</v>
      </c>
      <c r="C4" t="s">
        <v>238</v>
      </c>
      <c r="D4" t="str">
        <f>'Aviation Synfuel Data'!D6</f>
        <v>UPSELC</v>
      </c>
      <c r="E4" t="s">
        <v>236</v>
      </c>
      <c r="F4" t="s">
        <v>236</v>
      </c>
      <c r="G4" t="s">
        <v>236</v>
      </c>
      <c r="H4" t="s">
        <v>236</v>
      </c>
      <c r="I4">
        <v>1</v>
      </c>
    </row>
    <row r="5" spans="1:9" x14ac:dyDescent="0.25">
      <c r="B5" t="s">
        <v>252</v>
      </c>
      <c r="C5" t="s">
        <v>238</v>
      </c>
      <c r="D5" t="str">
        <f>'Aviation Synfuel Data'!D7</f>
        <v>HGN</v>
      </c>
      <c r="E5" t="s">
        <v>236</v>
      </c>
      <c r="F5" t="s">
        <v>236</v>
      </c>
      <c r="G5" t="s">
        <v>236</v>
      </c>
      <c r="H5" t="s">
        <v>236</v>
      </c>
      <c r="I5">
        <v>1</v>
      </c>
    </row>
    <row r="6" spans="1:9" x14ac:dyDescent="0.25">
      <c r="B6" t="s">
        <v>252</v>
      </c>
      <c r="C6" t="s">
        <v>238</v>
      </c>
      <c r="D6" t="s">
        <v>263</v>
      </c>
      <c r="E6" t="s">
        <v>236</v>
      </c>
      <c r="F6" t="s">
        <v>236</v>
      </c>
      <c r="G6" t="s">
        <v>236</v>
      </c>
      <c r="H6" t="s">
        <v>236</v>
      </c>
      <c r="I6">
        <v>1</v>
      </c>
    </row>
    <row r="7" spans="1:9" x14ac:dyDescent="0.25">
      <c r="B7" t="s">
        <v>248</v>
      </c>
      <c r="C7" t="s">
        <v>238</v>
      </c>
      <c r="D7" t="str">
        <f>'Aviation Synfuel Data'!D8</f>
        <v>OAG</v>
      </c>
      <c r="E7" t="s">
        <v>236</v>
      </c>
      <c r="F7" t="s">
        <v>236</v>
      </c>
      <c r="G7" t="s">
        <v>236</v>
      </c>
      <c r="H7" t="s">
        <v>236</v>
      </c>
      <c r="I7">
        <v>1</v>
      </c>
    </row>
    <row r="8" spans="1:9" x14ac:dyDescent="0.25">
      <c r="B8" t="s">
        <v>248</v>
      </c>
      <c r="C8" t="s">
        <v>238</v>
      </c>
      <c r="D8" t="str">
        <f>'Aviation Synfuel Data'!D9</f>
        <v>OKG</v>
      </c>
      <c r="E8" t="s">
        <v>236</v>
      </c>
      <c r="F8" t="s">
        <v>236</v>
      </c>
      <c r="G8" t="s">
        <v>236</v>
      </c>
      <c r="H8" t="s">
        <v>236</v>
      </c>
      <c r="I8">
        <v>1</v>
      </c>
    </row>
    <row r="9" spans="1:9" x14ac:dyDescent="0.25">
      <c r="B9" t="s">
        <v>306</v>
      </c>
      <c r="C9" t="s">
        <v>238</v>
      </c>
      <c r="D9" t="s">
        <v>236</v>
      </c>
      <c r="E9" t="s">
        <v>258</v>
      </c>
      <c r="F9" t="s">
        <v>236</v>
      </c>
      <c r="G9" t="s">
        <v>236</v>
      </c>
      <c r="H9" t="s">
        <v>236</v>
      </c>
      <c r="I9">
        <v>1</v>
      </c>
    </row>
    <row r="10" spans="1:9" x14ac:dyDescent="0.25">
      <c r="B10" t="s">
        <v>305</v>
      </c>
      <c r="C10" t="s">
        <v>238</v>
      </c>
      <c r="D10" t="s">
        <v>236</v>
      </c>
      <c r="E10" t="s">
        <v>236</v>
      </c>
      <c r="F10" t="s">
        <v>236</v>
      </c>
      <c r="G10" t="s">
        <v>236</v>
      </c>
      <c r="H10" t="s">
        <v>236</v>
      </c>
      <c r="I10">
        <v>1</v>
      </c>
    </row>
    <row r="11" spans="1:9" x14ac:dyDescent="0.25">
      <c r="B11" t="s">
        <v>308</v>
      </c>
      <c r="C11" t="s">
        <v>236</v>
      </c>
      <c r="D11" t="str">
        <f>D7</f>
        <v>OAG</v>
      </c>
      <c r="E11" t="s">
        <v>258</v>
      </c>
      <c r="F11" t="s">
        <v>236</v>
      </c>
      <c r="G11" t="s">
        <v>236</v>
      </c>
      <c r="H11" t="s">
        <v>236</v>
      </c>
      <c r="I11">
        <v>1</v>
      </c>
    </row>
    <row r="12" spans="1:9" x14ac:dyDescent="0.25">
      <c r="B12" t="s">
        <v>308</v>
      </c>
      <c r="C12" t="s">
        <v>236</v>
      </c>
      <c r="D12" t="str">
        <f>D8</f>
        <v>OKG</v>
      </c>
      <c r="E12" t="s">
        <v>258</v>
      </c>
      <c r="F12" t="s">
        <v>236</v>
      </c>
      <c r="G12" t="s">
        <v>236</v>
      </c>
      <c r="H12" t="s">
        <v>236</v>
      </c>
      <c r="I12">
        <v>1</v>
      </c>
    </row>
    <row r="13" spans="1:9" x14ac:dyDescent="0.25">
      <c r="B13" t="s">
        <v>308</v>
      </c>
      <c r="C13" t="s">
        <v>236</v>
      </c>
      <c r="D13" t="str">
        <f>D4</f>
        <v>UPSELC</v>
      </c>
      <c r="E13" t="s">
        <v>261</v>
      </c>
      <c r="F13" t="s">
        <v>236</v>
      </c>
      <c r="G13" t="s">
        <v>236</v>
      </c>
      <c r="H13" t="s">
        <v>236</v>
      </c>
      <c r="I13">
        <v>1</v>
      </c>
    </row>
    <row r="14" spans="1:9" x14ac:dyDescent="0.25">
      <c r="B14" t="s">
        <v>308</v>
      </c>
      <c r="C14" t="s">
        <v>236</v>
      </c>
      <c r="D14" t="str">
        <f>D5</f>
        <v>HGN</v>
      </c>
      <c r="E14" t="s">
        <v>261</v>
      </c>
      <c r="F14" t="s">
        <v>236</v>
      </c>
      <c r="G14" t="s">
        <v>236</v>
      </c>
      <c r="H14" t="s">
        <v>236</v>
      </c>
      <c r="I14">
        <v>1</v>
      </c>
    </row>
    <row r="15" spans="1:9" x14ac:dyDescent="0.25">
      <c r="B15" t="s">
        <v>306</v>
      </c>
      <c r="C15" t="str">
        <f>'Aviation Synfuel-Items'!C6</f>
        <v>XOKGOKE</v>
      </c>
      <c r="D15" t="s">
        <v>236</v>
      </c>
      <c r="E15" t="s">
        <v>307</v>
      </c>
      <c r="F15" t="s">
        <v>236</v>
      </c>
      <c r="G15" t="s">
        <v>236</v>
      </c>
      <c r="H15" t="s">
        <v>236</v>
      </c>
      <c r="I15">
        <v>1</v>
      </c>
    </row>
    <row r="16" spans="1:9" x14ac:dyDescent="0.25">
      <c r="B16" t="s">
        <v>305</v>
      </c>
      <c r="C16" t="str">
        <f>C15</f>
        <v>XOKGOKE</v>
      </c>
      <c r="D16" t="s">
        <v>236</v>
      </c>
      <c r="E16" t="s">
        <v>236</v>
      </c>
      <c r="F16" t="s">
        <v>236</v>
      </c>
      <c r="G16" t="s">
        <v>236</v>
      </c>
      <c r="H16" t="s">
        <v>236</v>
      </c>
      <c r="I16">
        <v>1</v>
      </c>
    </row>
    <row r="17" spans="2:9" x14ac:dyDescent="0.25">
      <c r="B17" t="s">
        <v>252</v>
      </c>
      <c r="C17" t="str">
        <f>C16</f>
        <v>XOKGOKE</v>
      </c>
      <c r="D17" t="str">
        <f>D12</f>
        <v>OKG</v>
      </c>
      <c r="E17" t="s">
        <v>236</v>
      </c>
      <c r="F17" t="s">
        <v>236</v>
      </c>
      <c r="G17" t="s">
        <v>236</v>
      </c>
      <c r="H17" t="s">
        <v>236</v>
      </c>
      <c r="I17">
        <v>1</v>
      </c>
    </row>
    <row r="18" spans="2:9" x14ac:dyDescent="0.25">
      <c r="B18" t="s">
        <v>248</v>
      </c>
      <c r="C18" t="str">
        <f>C17</f>
        <v>XOKGOKE</v>
      </c>
      <c r="D18" t="s">
        <v>307</v>
      </c>
      <c r="E18" t="s">
        <v>236</v>
      </c>
      <c r="F18" t="s">
        <v>236</v>
      </c>
      <c r="G18" t="s">
        <v>236</v>
      </c>
      <c r="H18" t="s">
        <v>236</v>
      </c>
      <c r="I18">
        <v>1</v>
      </c>
    </row>
    <row r="19" spans="2:9" x14ac:dyDescent="0.25">
      <c r="B19" t="s">
        <v>248</v>
      </c>
      <c r="C19" t="str">
        <f>C20</f>
        <v>PEXOKG</v>
      </c>
      <c r="D19" t="s">
        <v>274</v>
      </c>
      <c r="E19" t="s">
        <v>236</v>
      </c>
      <c r="F19" t="s">
        <v>236</v>
      </c>
      <c r="G19" t="s">
        <v>236</v>
      </c>
      <c r="H19" t="s">
        <v>236</v>
      </c>
      <c r="I19">
        <v>1</v>
      </c>
    </row>
    <row r="20" spans="2:9" x14ac:dyDescent="0.25">
      <c r="B20" t="s">
        <v>252</v>
      </c>
      <c r="C20" t="str">
        <f>'Aviation Synfuel-Items'!C7</f>
        <v>PEXOKG</v>
      </c>
      <c r="D20" t="str">
        <f>D17</f>
        <v>OKG</v>
      </c>
      <c r="E20" t="s">
        <v>236</v>
      </c>
      <c r="F20" t="s">
        <v>236</v>
      </c>
      <c r="G20" t="s">
        <v>236</v>
      </c>
      <c r="H20" t="s">
        <v>236</v>
      </c>
      <c r="I20">
        <v>1</v>
      </c>
    </row>
    <row r="21" spans="2:9" x14ac:dyDescent="0.25">
      <c r="B21" t="s">
        <v>306</v>
      </c>
      <c r="C21" t="str">
        <f>C20</f>
        <v>PEXOKG</v>
      </c>
      <c r="D21" t="s">
        <v>236</v>
      </c>
      <c r="E21" t="str">
        <f>D19</f>
        <v>IDUM</v>
      </c>
      <c r="F21" t="s">
        <v>236</v>
      </c>
      <c r="G21" t="s">
        <v>236</v>
      </c>
      <c r="H21" t="s">
        <v>236</v>
      </c>
      <c r="I21">
        <v>1</v>
      </c>
    </row>
    <row r="22" spans="2:9" x14ac:dyDescent="0.25">
      <c r="B22" t="s">
        <v>305</v>
      </c>
      <c r="C22" t="str">
        <f>C21</f>
        <v>PEXOKG</v>
      </c>
      <c r="D22" t="s">
        <v>236</v>
      </c>
      <c r="E22" t="s">
        <v>236</v>
      </c>
      <c r="F22" t="s">
        <v>236</v>
      </c>
      <c r="G22" t="s">
        <v>236</v>
      </c>
      <c r="H22" t="s">
        <v>236</v>
      </c>
      <c r="I2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A4DD5-9B0A-4A87-80B7-05E3634855DA}">
  <dimension ref="A1:AI149"/>
  <sheetViews>
    <sheetView topLeftCell="G17" workbookViewId="0">
      <selection activeCell="S29" sqref="S29"/>
    </sheetView>
  </sheetViews>
  <sheetFormatPr defaultColWidth="18.28515625" defaultRowHeight="15" x14ac:dyDescent="0.25"/>
  <cols>
    <col min="1" max="1" width="25.28515625" customWidth="1"/>
    <col min="2" max="5" width="18.28515625" customWidth="1"/>
    <col min="6" max="6" width="23.28515625" customWidth="1"/>
    <col min="7" max="7" width="50.7109375" customWidth="1"/>
    <col min="8" max="8" width="3.5703125" style="110" customWidth="1"/>
    <col min="9" max="9" width="26" customWidth="1"/>
    <col min="18" max="18" width="11.7109375" customWidth="1"/>
    <col min="23" max="23" width="3.7109375" style="109" customWidth="1"/>
    <col min="24" max="24" width="24.7109375" bestFit="1" customWidth="1"/>
    <col min="25" max="25" width="8.7109375" customWidth="1"/>
  </cols>
  <sheetData>
    <row r="1" spans="1:28" ht="18.75" x14ac:dyDescent="0.3">
      <c r="A1" s="135" t="s">
        <v>559</v>
      </c>
      <c r="B1" s="135"/>
      <c r="C1" s="135"/>
      <c r="D1" s="135"/>
      <c r="E1" s="135"/>
      <c r="F1" s="135"/>
      <c r="G1" s="45"/>
      <c r="I1" s="135" t="s">
        <v>558</v>
      </c>
      <c r="J1" s="135"/>
      <c r="K1" s="135"/>
      <c r="L1" s="135"/>
      <c r="M1" s="135"/>
      <c r="N1" s="135"/>
      <c r="O1" s="45"/>
      <c r="P1" s="45"/>
      <c r="Q1" s="45"/>
      <c r="X1" s="199" t="s">
        <v>557</v>
      </c>
      <c r="Y1" s="45"/>
      <c r="Z1" s="45"/>
      <c r="AA1" s="45"/>
      <c r="AB1" s="45"/>
    </row>
    <row r="2" spans="1:28" x14ac:dyDescent="0.25">
      <c r="I2" s="206" t="s">
        <v>556</v>
      </c>
      <c r="M2" s="74" t="s">
        <v>555</v>
      </c>
    </row>
    <row r="3" spans="1:28" x14ac:dyDescent="0.25">
      <c r="A3" s="74" t="s">
        <v>540</v>
      </c>
      <c r="I3" s="34" t="s">
        <v>554</v>
      </c>
      <c r="J3" s="34"/>
      <c r="K3" s="34"/>
      <c r="L3" s="34"/>
      <c r="M3" s="34"/>
      <c r="N3" s="34"/>
      <c r="O3" s="34"/>
      <c r="P3" s="34"/>
      <c r="Q3" s="34"/>
      <c r="X3" s="181" t="s">
        <v>184</v>
      </c>
    </row>
    <row r="4" spans="1:28" x14ac:dyDescent="0.25">
      <c r="A4" s="74" t="str">
        <f>I1</f>
        <v>UK SHEC PROJECT MARKAL MODEL HYDROGEN SUPPLY TECHNOLOGY TABLES</v>
      </c>
      <c r="I4" s="34" t="s">
        <v>553</v>
      </c>
      <c r="J4" s="34"/>
      <c r="K4" s="34"/>
      <c r="L4" s="34"/>
      <c r="M4" s="34"/>
      <c r="N4" s="34"/>
      <c r="O4" s="34"/>
      <c r="P4" s="34"/>
      <c r="Q4" s="34"/>
      <c r="X4" s="144" t="s">
        <v>552</v>
      </c>
      <c r="Y4" s="142">
        <v>4.1239999999999997</v>
      </c>
      <c r="Z4" s="144" t="s">
        <v>551</v>
      </c>
    </row>
    <row r="5" spans="1:28" x14ac:dyDescent="0.25">
      <c r="A5" s="74" t="str">
        <f>A17</f>
        <v>Steam Methane Reforming (SMR)</v>
      </c>
      <c r="I5" s="34" t="s">
        <v>550</v>
      </c>
      <c r="J5" s="34"/>
      <c r="K5" s="34"/>
      <c r="L5" s="34"/>
      <c r="M5" s="34"/>
      <c r="N5" s="34"/>
      <c r="O5" s="34"/>
      <c r="P5" s="34"/>
      <c r="Q5" s="34"/>
      <c r="X5" s="144" t="s">
        <v>549</v>
      </c>
      <c r="Y5" s="142">
        <v>2.016</v>
      </c>
      <c r="Z5" s="144" t="s">
        <v>548</v>
      </c>
    </row>
    <row r="6" spans="1:28" x14ac:dyDescent="0.25">
      <c r="A6" s="74" t="str">
        <f>A70</f>
        <v>Water Electrolysis</v>
      </c>
      <c r="I6" s="205" t="s">
        <v>547</v>
      </c>
      <c r="J6" s="204" t="s">
        <v>418</v>
      </c>
      <c r="K6" s="204" t="s">
        <v>546</v>
      </c>
      <c r="L6" s="363" t="s">
        <v>545</v>
      </c>
      <c r="M6" s="364"/>
      <c r="N6" s="365"/>
      <c r="O6" s="363" t="s">
        <v>484</v>
      </c>
      <c r="P6" s="364"/>
      <c r="Q6" s="365"/>
      <c r="X6" s="144" t="s">
        <v>544</v>
      </c>
      <c r="Y6" s="142">
        <v>-252.8</v>
      </c>
      <c r="Z6" s="144" t="s">
        <v>543</v>
      </c>
    </row>
    <row r="7" spans="1:28" ht="30" x14ac:dyDescent="0.25">
      <c r="I7" s="370"/>
      <c r="J7" s="370"/>
      <c r="K7" s="370"/>
      <c r="L7" s="203">
        <v>2000</v>
      </c>
      <c r="M7" s="203">
        <v>2025</v>
      </c>
      <c r="N7" s="203">
        <v>2050</v>
      </c>
      <c r="O7" s="203">
        <v>2000</v>
      </c>
      <c r="P7" s="203">
        <v>2025</v>
      </c>
      <c r="Q7" s="203">
        <v>2050</v>
      </c>
      <c r="X7" s="202" t="s">
        <v>542</v>
      </c>
      <c r="Y7" s="201">
        <f>101.3/(Y4*(20+273.15))</f>
        <v>8.3791678502000005E-2</v>
      </c>
      <c r="Z7" s="144" t="s">
        <v>541</v>
      </c>
    </row>
    <row r="8" spans="1:28" ht="18.75" x14ac:dyDescent="0.3">
      <c r="A8" s="135" t="s">
        <v>540</v>
      </c>
      <c r="B8" s="45"/>
      <c r="C8" s="45"/>
      <c r="D8" s="45"/>
      <c r="E8" s="45"/>
      <c r="F8" s="45"/>
      <c r="G8" s="45"/>
      <c r="I8" s="198" t="s">
        <v>539</v>
      </c>
      <c r="J8" s="198" t="s">
        <v>334</v>
      </c>
      <c r="K8" s="197">
        <v>2000</v>
      </c>
      <c r="L8" s="196">
        <v>18</v>
      </c>
      <c r="M8" s="196">
        <v>16</v>
      </c>
      <c r="N8" s="196">
        <v>14</v>
      </c>
      <c r="O8" s="195" t="s">
        <v>526</v>
      </c>
      <c r="P8" s="195" t="s">
        <v>526</v>
      </c>
      <c r="Q8" s="195" t="s">
        <v>526</v>
      </c>
      <c r="X8" s="144" t="s">
        <v>538</v>
      </c>
      <c r="Y8" s="142">
        <v>70.8</v>
      </c>
      <c r="Z8" s="144" t="s">
        <v>537</v>
      </c>
    </row>
    <row r="9" spans="1:28" ht="44.25" customHeight="1" x14ac:dyDescent="0.25">
      <c r="A9" s="349" t="s">
        <v>536</v>
      </c>
      <c r="B9" s="349"/>
      <c r="C9" s="349"/>
      <c r="D9" s="349"/>
      <c r="E9" s="349"/>
      <c r="F9" s="349"/>
      <c r="G9" s="349"/>
      <c r="I9" s="200" t="s">
        <v>409</v>
      </c>
      <c r="J9" s="198" t="s">
        <v>334</v>
      </c>
      <c r="K9" s="197">
        <v>2020</v>
      </c>
      <c r="L9" s="195" t="s">
        <v>535</v>
      </c>
      <c r="M9" s="195" t="s">
        <v>535</v>
      </c>
      <c r="N9" s="195" t="s">
        <v>535</v>
      </c>
      <c r="O9" s="195" t="s">
        <v>534</v>
      </c>
      <c r="P9" s="195" t="s">
        <v>534</v>
      </c>
      <c r="Q9" s="195" t="s">
        <v>534</v>
      </c>
      <c r="X9" s="144" t="s">
        <v>533</v>
      </c>
      <c r="Y9" s="142">
        <v>142</v>
      </c>
      <c r="Z9" s="144" t="s">
        <v>139</v>
      </c>
    </row>
    <row r="10" spans="1:28" x14ac:dyDescent="0.25">
      <c r="I10" s="198" t="s">
        <v>527</v>
      </c>
      <c r="J10" s="198" t="s">
        <v>334</v>
      </c>
      <c r="K10" s="197">
        <v>2000</v>
      </c>
      <c r="L10" s="196">
        <v>5</v>
      </c>
      <c r="M10" s="196">
        <v>4</v>
      </c>
      <c r="N10" s="196">
        <v>3</v>
      </c>
      <c r="O10" s="195" t="s">
        <v>525</v>
      </c>
      <c r="P10" s="195" t="s">
        <v>504</v>
      </c>
      <c r="Q10" s="195" t="s">
        <v>504</v>
      </c>
      <c r="X10" s="144" t="s">
        <v>532</v>
      </c>
      <c r="Y10" s="142">
        <v>120</v>
      </c>
      <c r="Z10" s="144" t="s">
        <v>139</v>
      </c>
    </row>
    <row r="11" spans="1:28" x14ac:dyDescent="0.25">
      <c r="A11" t="s">
        <v>531</v>
      </c>
      <c r="I11" s="198" t="s">
        <v>527</v>
      </c>
      <c r="J11" s="198" t="s">
        <v>336</v>
      </c>
      <c r="K11" s="197">
        <v>2000</v>
      </c>
      <c r="L11" s="196">
        <v>12</v>
      </c>
      <c r="M11" s="196">
        <v>10</v>
      </c>
      <c r="N11" s="196">
        <v>8</v>
      </c>
      <c r="O11" s="195" t="s">
        <v>505</v>
      </c>
      <c r="P11" s="195" t="s">
        <v>525</v>
      </c>
      <c r="Q11" s="195" t="s">
        <v>525</v>
      </c>
      <c r="X11" s="144" t="s">
        <v>530</v>
      </c>
      <c r="Y11" s="142" t="s">
        <v>529</v>
      </c>
      <c r="Z11" s="144"/>
    </row>
    <row r="12" spans="1:28" x14ac:dyDescent="0.25">
      <c r="A12" t="s">
        <v>528</v>
      </c>
      <c r="I12" s="198" t="s">
        <v>527</v>
      </c>
      <c r="J12" s="198" t="s">
        <v>332</v>
      </c>
      <c r="K12" s="197">
        <v>2020</v>
      </c>
      <c r="L12" s="196">
        <v>45</v>
      </c>
      <c r="M12" s="196">
        <v>10</v>
      </c>
      <c r="N12" s="196">
        <v>8</v>
      </c>
      <c r="O12" s="195" t="s">
        <v>526</v>
      </c>
      <c r="P12" s="195" t="s">
        <v>525</v>
      </c>
      <c r="Q12" s="195" t="s">
        <v>525</v>
      </c>
    </row>
    <row r="13" spans="1:28" ht="18.75" x14ac:dyDescent="0.3">
      <c r="A13" t="s">
        <v>524</v>
      </c>
      <c r="I13" s="198" t="s">
        <v>519</v>
      </c>
      <c r="J13" s="198" t="s">
        <v>334</v>
      </c>
      <c r="K13" s="197">
        <v>2020</v>
      </c>
      <c r="L13" s="196">
        <v>15</v>
      </c>
      <c r="M13" s="196">
        <v>15</v>
      </c>
      <c r="N13" s="196">
        <v>15</v>
      </c>
      <c r="O13" s="195" t="s">
        <v>513</v>
      </c>
      <c r="P13" s="195" t="s">
        <v>513</v>
      </c>
      <c r="Q13" s="195" t="s">
        <v>513</v>
      </c>
      <c r="X13" s="199" t="s">
        <v>523</v>
      </c>
      <c r="Y13" s="45"/>
      <c r="Z13" s="45"/>
      <c r="AA13" s="45"/>
    </row>
    <row r="14" spans="1:28" x14ac:dyDescent="0.25">
      <c r="I14" s="198" t="s">
        <v>519</v>
      </c>
      <c r="J14" s="198" t="s">
        <v>336</v>
      </c>
      <c r="K14" s="197">
        <v>2020</v>
      </c>
      <c r="L14" s="196">
        <v>30</v>
      </c>
      <c r="M14" s="196">
        <v>20</v>
      </c>
      <c r="N14" s="196">
        <v>20</v>
      </c>
      <c r="O14" s="195" t="s">
        <v>513</v>
      </c>
      <c r="P14" s="195" t="s">
        <v>513</v>
      </c>
      <c r="Q14" s="195" t="s">
        <v>513</v>
      </c>
      <c r="X14" t="s">
        <v>522</v>
      </c>
      <c r="Y14">
        <v>1.0079400000000001</v>
      </c>
      <c r="Z14" s="74" t="s">
        <v>521</v>
      </c>
    </row>
    <row r="15" spans="1:28" x14ac:dyDescent="0.25">
      <c r="A15" s="151" t="s">
        <v>520</v>
      </c>
      <c r="I15" s="198" t="s">
        <v>519</v>
      </c>
      <c r="J15" s="198" t="s">
        <v>332</v>
      </c>
      <c r="K15" s="197">
        <v>2020</v>
      </c>
      <c r="L15" s="196">
        <v>45</v>
      </c>
      <c r="M15" s="196">
        <v>25</v>
      </c>
      <c r="N15" s="196">
        <v>25</v>
      </c>
      <c r="O15" s="195" t="s">
        <v>513</v>
      </c>
      <c r="P15" s="195" t="s">
        <v>513</v>
      </c>
      <c r="Q15" s="195" t="s">
        <v>513</v>
      </c>
      <c r="X15" t="s">
        <v>518</v>
      </c>
      <c r="Y15">
        <v>15.9994</v>
      </c>
      <c r="Z15" s="74" t="s">
        <v>517</v>
      </c>
    </row>
    <row r="16" spans="1:28" x14ac:dyDescent="0.25">
      <c r="I16" s="198" t="s">
        <v>516</v>
      </c>
      <c r="J16" s="198" t="s">
        <v>336</v>
      </c>
      <c r="K16" s="197">
        <v>2020</v>
      </c>
      <c r="L16" s="196">
        <v>30</v>
      </c>
      <c r="M16" s="196">
        <v>20</v>
      </c>
      <c r="N16" s="196">
        <v>20</v>
      </c>
      <c r="O16" s="195" t="s">
        <v>513</v>
      </c>
      <c r="P16" s="195" t="s">
        <v>513</v>
      </c>
      <c r="Q16" s="195" t="s">
        <v>513</v>
      </c>
    </row>
    <row r="17" spans="1:35" ht="18.75" x14ac:dyDescent="0.3">
      <c r="A17" s="135" t="s">
        <v>515</v>
      </c>
      <c r="B17" s="45"/>
      <c r="C17" s="45"/>
      <c r="D17" s="45"/>
      <c r="E17" s="45"/>
      <c r="F17" s="45"/>
      <c r="G17" s="45"/>
      <c r="I17" s="198" t="s">
        <v>514</v>
      </c>
      <c r="J17" s="198" t="s">
        <v>336</v>
      </c>
      <c r="K17" s="197">
        <v>2020</v>
      </c>
      <c r="L17" s="196">
        <v>30</v>
      </c>
      <c r="M17" s="196">
        <v>20</v>
      </c>
      <c r="N17" s="196">
        <v>20</v>
      </c>
      <c r="O17" s="195" t="s">
        <v>513</v>
      </c>
      <c r="P17" s="195" t="s">
        <v>513</v>
      </c>
      <c r="Q17" s="195" t="s">
        <v>513</v>
      </c>
      <c r="X17" t="s">
        <v>512</v>
      </c>
      <c r="Y17">
        <f>(Y14*2+Y15)/(2*Y14)</f>
        <v>8.9366827390519283</v>
      </c>
      <c r="Z17" t="s">
        <v>511</v>
      </c>
    </row>
    <row r="18" spans="1:35" x14ac:dyDescent="0.25">
      <c r="I18" s="198" t="s">
        <v>510</v>
      </c>
      <c r="J18" s="198" t="s">
        <v>334</v>
      </c>
      <c r="K18" s="197">
        <v>2030</v>
      </c>
      <c r="L18" s="195"/>
      <c r="M18" s="196">
        <v>40</v>
      </c>
      <c r="N18" s="196">
        <v>40</v>
      </c>
      <c r="O18" s="195"/>
      <c r="P18" s="195" t="s">
        <v>505</v>
      </c>
      <c r="Q18" s="195" t="s">
        <v>505</v>
      </c>
      <c r="Y18">
        <f>Y17/Y9</f>
        <v>6.2934385486281191E-2</v>
      </c>
      <c r="Z18" t="s">
        <v>509</v>
      </c>
    </row>
    <row r="19" spans="1:35" x14ac:dyDescent="0.25">
      <c r="A19" s="146" t="s">
        <v>397</v>
      </c>
      <c r="B19" s="146" t="s">
        <v>408</v>
      </c>
      <c r="I19" s="198" t="s">
        <v>506</v>
      </c>
      <c r="J19" s="198" t="s">
        <v>336</v>
      </c>
      <c r="K19" s="197">
        <v>2000</v>
      </c>
      <c r="L19" s="196">
        <v>18</v>
      </c>
      <c r="M19" s="196">
        <v>10</v>
      </c>
      <c r="N19" s="196">
        <v>10</v>
      </c>
      <c r="O19" s="195" t="s">
        <v>505</v>
      </c>
      <c r="P19" s="195" t="s">
        <v>504</v>
      </c>
      <c r="Q19" s="195" t="s">
        <v>503</v>
      </c>
      <c r="Y19">
        <f>Y17/Y10</f>
        <v>7.4472356158766073E-2</v>
      </c>
      <c r="Z19" t="s">
        <v>508</v>
      </c>
    </row>
    <row r="20" spans="1:35" x14ac:dyDescent="0.25">
      <c r="A20" t="s">
        <v>507</v>
      </c>
      <c r="I20" s="198" t="s">
        <v>506</v>
      </c>
      <c r="J20" s="198" t="s">
        <v>332</v>
      </c>
      <c r="K20" s="197">
        <v>2000</v>
      </c>
      <c r="L20" s="196">
        <v>65</v>
      </c>
      <c r="M20" s="196">
        <v>16</v>
      </c>
      <c r="N20" s="196">
        <v>10</v>
      </c>
      <c r="O20" s="195" t="s">
        <v>505</v>
      </c>
      <c r="P20" s="195" t="s">
        <v>504</v>
      </c>
      <c r="Q20" s="195" t="s">
        <v>503</v>
      </c>
    </row>
    <row r="21" spans="1:35" x14ac:dyDescent="0.25">
      <c r="A21" t="s">
        <v>502</v>
      </c>
      <c r="Y21">
        <f>4*Y14+2*Y15</f>
        <v>36.030560000000001</v>
      </c>
      <c r="Z21">
        <f>4*Y14</f>
        <v>4.0317600000000002</v>
      </c>
      <c r="AA21" t="s">
        <v>192</v>
      </c>
    </row>
    <row r="22" spans="1:35" x14ac:dyDescent="0.25">
      <c r="A22" t="s">
        <v>501</v>
      </c>
      <c r="I22" s="194" t="s">
        <v>500</v>
      </c>
      <c r="J22" s="34"/>
      <c r="K22" s="34"/>
      <c r="L22" s="34"/>
      <c r="M22" s="34"/>
      <c r="N22" s="34"/>
      <c r="O22" s="34"/>
      <c r="P22" s="34"/>
      <c r="Q22" s="34"/>
      <c r="Z22">
        <f>2*Y15</f>
        <v>31.998799999999999</v>
      </c>
      <c r="AA22" t="s">
        <v>499</v>
      </c>
    </row>
    <row r="23" spans="1:35" x14ac:dyDescent="0.25">
      <c r="A23" t="s">
        <v>498</v>
      </c>
      <c r="I23" s="34" t="s">
        <v>497</v>
      </c>
      <c r="J23" s="34"/>
      <c r="K23" s="34"/>
      <c r="L23" s="34"/>
      <c r="M23" s="34"/>
      <c r="N23" s="34"/>
      <c r="O23" s="193"/>
      <c r="P23" s="34"/>
      <c r="Q23" s="34"/>
      <c r="X23" t="s">
        <v>496</v>
      </c>
      <c r="Y23">
        <f>Y21/Z22</f>
        <v>1.1259972248959336</v>
      </c>
      <c r="Z23" t="s">
        <v>495</v>
      </c>
    </row>
    <row r="24" spans="1:35" x14ac:dyDescent="0.25">
      <c r="A24" t="s">
        <v>494</v>
      </c>
      <c r="I24" s="192" t="s">
        <v>493</v>
      </c>
      <c r="J24" s="34"/>
      <c r="K24" s="34"/>
      <c r="L24" s="34"/>
      <c r="M24" s="34"/>
      <c r="N24" s="34"/>
      <c r="O24" s="34"/>
      <c r="P24" s="34"/>
      <c r="Q24" s="34"/>
      <c r="Y24">
        <f>Y17/Y23</f>
        <v>7.9366827390519283</v>
      </c>
      <c r="Z24" t="s">
        <v>492</v>
      </c>
    </row>
    <row r="25" spans="1:35" x14ac:dyDescent="0.25">
      <c r="A25" t="s">
        <v>491</v>
      </c>
      <c r="I25" s="34" t="str">
        <f>I30&amp;J30</f>
        <v>SMRLarge</v>
      </c>
      <c r="J25" s="34"/>
      <c r="K25" s="191" t="s">
        <v>490</v>
      </c>
      <c r="L25" s="190">
        <f>L30*1.27</f>
        <v>11.43</v>
      </c>
      <c r="M25" s="190">
        <f>M30*1.27</f>
        <v>8.89</v>
      </c>
      <c r="N25" s="190">
        <f>N30*1.27</f>
        <v>6.35</v>
      </c>
      <c r="O25" s="34"/>
      <c r="P25" s="34"/>
      <c r="Q25" s="34"/>
    </row>
    <row r="26" spans="1:35" x14ac:dyDescent="0.25">
      <c r="A26" t="s">
        <v>489</v>
      </c>
      <c r="I26" s="189" t="s">
        <v>488</v>
      </c>
      <c r="J26" s="150" t="s">
        <v>487</v>
      </c>
      <c r="K26" s="150" t="s">
        <v>486</v>
      </c>
      <c r="L26" s="350" t="s">
        <v>485</v>
      </c>
      <c r="M26" s="350"/>
      <c r="N26" s="350"/>
      <c r="O26" s="350" t="s">
        <v>484</v>
      </c>
      <c r="P26" s="350"/>
      <c r="Q26" s="350"/>
      <c r="R26" s="350" t="s">
        <v>483</v>
      </c>
      <c r="S26" s="350"/>
      <c r="T26" s="350"/>
      <c r="U26" s="353" t="s">
        <v>414</v>
      </c>
      <c r="V26" s="353"/>
    </row>
    <row r="27" spans="1:35" x14ac:dyDescent="0.25">
      <c r="F27" t="s">
        <v>482</v>
      </c>
      <c r="I27" s="359"/>
      <c r="J27" s="359"/>
      <c r="K27" s="359"/>
      <c r="L27" s="188">
        <v>2000</v>
      </c>
      <c r="M27" s="188">
        <v>2025</v>
      </c>
      <c r="N27" s="188">
        <v>2050</v>
      </c>
      <c r="O27" s="149">
        <v>2000</v>
      </c>
      <c r="P27" s="149">
        <v>2025</v>
      </c>
      <c r="Q27" s="149">
        <v>2050</v>
      </c>
      <c r="R27" s="188">
        <v>2000</v>
      </c>
      <c r="S27" s="188">
        <v>2025</v>
      </c>
      <c r="T27" s="188">
        <v>2050</v>
      </c>
      <c r="U27" s="145" t="s">
        <v>413</v>
      </c>
      <c r="V27" s="145" t="s">
        <v>412</v>
      </c>
    </row>
    <row r="28" spans="1:35" x14ac:dyDescent="0.25">
      <c r="A28" t="s">
        <v>481</v>
      </c>
      <c r="I28" s="141" t="s">
        <v>411</v>
      </c>
      <c r="J28" s="141" t="s">
        <v>391</v>
      </c>
      <c r="K28" s="173">
        <v>2000</v>
      </c>
      <c r="L28" s="172">
        <v>31</v>
      </c>
      <c r="M28" s="172">
        <v>27</v>
      </c>
      <c r="N28" s="172">
        <v>24</v>
      </c>
      <c r="O28" s="140" t="s">
        <v>477</v>
      </c>
      <c r="P28" s="140" t="s">
        <v>477</v>
      </c>
      <c r="Q28" s="140" t="s">
        <v>477</v>
      </c>
      <c r="R28" s="172">
        <f>L28*$R$47*Deflator!$F$33</f>
        <v>443.23799999999994</v>
      </c>
      <c r="S28" s="172">
        <f>M28*$R$47*Deflator!$F$33</f>
        <v>386.04599999999994</v>
      </c>
      <c r="T28" s="172">
        <f>N28*$R$47*Deflator!$F$33</f>
        <v>343.15199999999993</v>
      </c>
      <c r="U28" s="137">
        <f t="shared" ref="U28:U37" si="0">(R28/S28)^(1/25)-1</f>
        <v>5.541310115432907E-3</v>
      </c>
      <c r="V28" s="137">
        <f t="shared" ref="V28:V37" si="1">(S28/T28)^(1/25)-1</f>
        <v>4.7224371507739171E-3</v>
      </c>
    </row>
    <row r="29" spans="1:35" ht="25.5" x14ac:dyDescent="0.25">
      <c r="I29" s="148" t="s">
        <v>409</v>
      </c>
      <c r="J29" s="141" t="s">
        <v>391</v>
      </c>
      <c r="K29" s="173">
        <v>2020</v>
      </c>
      <c r="L29" s="187">
        <v>217</v>
      </c>
      <c r="M29" s="187">
        <v>217</v>
      </c>
      <c r="N29" s="187">
        <v>217</v>
      </c>
      <c r="O29" s="140" t="s">
        <v>480</v>
      </c>
      <c r="P29" s="140" t="s">
        <v>480</v>
      </c>
      <c r="Q29" s="140" t="s">
        <v>480</v>
      </c>
      <c r="R29" s="172">
        <f>L29*$R$47*Deflator!$F$33</f>
        <v>3102.6659999999997</v>
      </c>
      <c r="S29" s="186">
        <f>M29*$R$47*Deflator!$F$33</f>
        <v>3102.6659999999997</v>
      </c>
      <c r="T29" s="186">
        <f>N29*$R$47*Deflator!$F$33</f>
        <v>3102.6659999999997</v>
      </c>
      <c r="U29" s="137">
        <f t="shared" si="0"/>
        <v>0</v>
      </c>
      <c r="V29" s="137">
        <f t="shared" si="1"/>
        <v>0</v>
      </c>
      <c r="AD29" t="s">
        <v>479</v>
      </c>
      <c r="AG29">
        <v>2020</v>
      </c>
      <c r="AH29">
        <v>2030</v>
      </c>
      <c r="AI29">
        <v>2035</v>
      </c>
    </row>
    <row r="30" spans="1:35" x14ac:dyDescent="0.25">
      <c r="I30" s="141" t="s">
        <v>407</v>
      </c>
      <c r="J30" s="141" t="s">
        <v>391</v>
      </c>
      <c r="K30" s="173">
        <v>2000</v>
      </c>
      <c r="L30" s="185">
        <v>9</v>
      </c>
      <c r="M30" s="185">
        <v>7</v>
      </c>
      <c r="N30" s="185">
        <v>5</v>
      </c>
      <c r="O30" s="140" t="s">
        <v>476</v>
      </c>
      <c r="P30" s="140" t="s">
        <v>456</v>
      </c>
      <c r="Q30" s="140" t="s">
        <v>456</v>
      </c>
      <c r="R30" s="172">
        <f>L30*$R$47*Deflator!$F$33</f>
        <v>128.68199999999999</v>
      </c>
      <c r="S30" s="172">
        <f>M30*$R$47*Deflator!$F$33</f>
        <v>100.086</v>
      </c>
      <c r="T30" s="172">
        <f>N30*$R$47*Deflator!$F$33</f>
        <v>71.489999999999995</v>
      </c>
      <c r="U30" s="137">
        <f t="shared" si="0"/>
        <v>1.010327402045097E-2</v>
      </c>
      <c r="V30" s="137">
        <f t="shared" si="1"/>
        <v>1.354986801622915E-2</v>
      </c>
      <c r="AD30" t="s">
        <v>411</v>
      </c>
      <c r="AE30" t="s">
        <v>474</v>
      </c>
      <c r="AF30" t="s">
        <v>478</v>
      </c>
      <c r="AG30">
        <v>2670</v>
      </c>
      <c r="AH30">
        <f>AG30</f>
        <v>2670</v>
      </c>
      <c r="AI30">
        <f>AH30</f>
        <v>2670</v>
      </c>
    </row>
    <row r="31" spans="1:35" x14ac:dyDescent="0.25">
      <c r="A31" s="145" t="s">
        <v>371</v>
      </c>
      <c r="B31" s="145" t="s">
        <v>399</v>
      </c>
      <c r="C31" s="145" t="s">
        <v>398</v>
      </c>
      <c r="D31" s="360" t="s">
        <v>396</v>
      </c>
      <c r="E31" s="360"/>
      <c r="F31" s="360"/>
      <c r="I31" s="141" t="s">
        <v>407</v>
      </c>
      <c r="J31" s="141" t="s">
        <v>387</v>
      </c>
      <c r="K31" s="173">
        <v>2000</v>
      </c>
      <c r="L31" s="172">
        <v>21</v>
      </c>
      <c r="M31" s="172">
        <v>17</v>
      </c>
      <c r="N31" s="172">
        <v>14</v>
      </c>
      <c r="O31" s="140" t="s">
        <v>457</v>
      </c>
      <c r="P31" s="140" t="s">
        <v>476</v>
      </c>
      <c r="Q31" s="140" t="s">
        <v>476</v>
      </c>
      <c r="R31" s="172">
        <f>L31*$R$47*Deflator!$F$33</f>
        <v>300.25799999999998</v>
      </c>
      <c r="S31" s="172">
        <f>M31*$R$47*Deflator!$F$33</f>
        <v>243.06599999999997</v>
      </c>
      <c r="T31" s="172">
        <f>N31*$R$47*Deflator!$F$33</f>
        <v>200.172</v>
      </c>
      <c r="U31" s="137">
        <f t="shared" si="0"/>
        <v>8.4881858291023793E-3</v>
      </c>
      <c r="V31" s="137">
        <f t="shared" si="1"/>
        <v>7.796476045282219E-3</v>
      </c>
      <c r="AD31" t="s">
        <v>407</v>
      </c>
      <c r="AE31" t="s">
        <v>474</v>
      </c>
      <c r="AF31" t="s">
        <v>478</v>
      </c>
      <c r="AG31">
        <v>910</v>
      </c>
      <c r="AH31">
        <f>AG31</f>
        <v>910</v>
      </c>
      <c r="AI31">
        <f>AH31</f>
        <v>910</v>
      </c>
    </row>
    <row r="32" spans="1:35" x14ac:dyDescent="0.25">
      <c r="A32" s="184">
        <v>0.89</v>
      </c>
      <c r="B32" s="183">
        <v>1500000</v>
      </c>
      <c r="C32" s="182" t="s">
        <v>433</v>
      </c>
      <c r="D32" s="361" t="s">
        <v>435</v>
      </c>
      <c r="E32" s="361"/>
      <c r="F32" s="361"/>
      <c r="I32" s="141" t="s">
        <v>407</v>
      </c>
      <c r="J32" s="141" t="s">
        <v>384</v>
      </c>
      <c r="K32" s="173">
        <v>2020</v>
      </c>
      <c r="L32" s="172">
        <v>77</v>
      </c>
      <c r="M32" s="172">
        <v>17</v>
      </c>
      <c r="N32" s="172">
        <v>14</v>
      </c>
      <c r="O32" s="140" t="s">
        <v>477</v>
      </c>
      <c r="P32" s="140" t="s">
        <v>476</v>
      </c>
      <c r="Q32" s="140" t="s">
        <v>476</v>
      </c>
      <c r="R32" s="172">
        <f>L32*$R$47*Deflator!$F$33</f>
        <v>1100.9459999999999</v>
      </c>
      <c r="S32" s="172">
        <f>M32*$R$47*Deflator!$F$33</f>
        <v>243.06599999999997</v>
      </c>
      <c r="T32" s="172">
        <f>N32*$R$47*Deflator!$F$33</f>
        <v>200.172</v>
      </c>
      <c r="U32" s="137">
        <f t="shared" si="0"/>
        <v>6.2286524074936622E-2</v>
      </c>
      <c r="V32" s="137">
        <f t="shared" si="1"/>
        <v>7.796476045282219E-3</v>
      </c>
      <c r="AD32" t="s">
        <v>411</v>
      </c>
      <c r="AE32" t="s">
        <v>474</v>
      </c>
      <c r="AF32" t="s">
        <v>473</v>
      </c>
      <c r="AG32" s="133">
        <f t="shared" ref="AG32:AI33" si="2">AG30/1000/(8760*3600*AG34)*1000000000</f>
        <v>94.072382885168267</v>
      </c>
      <c r="AH32" s="133">
        <f t="shared" si="2"/>
        <v>94.072382885168267</v>
      </c>
      <c r="AI32" s="133">
        <f t="shared" si="2"/>
        <v>94.072382885168267</v>
      </c>
    </row>
    <row r="33" spans="1:35" x14ac:dyDescent="0.25">
      <c r="A33" s="184">
        <v>0.79200000000000004</v>
      </c>
      <c r="B33" s="183">
        <v>1500000</v>
      </c>
      <c r="C33" s="182" t="s">
        <v>433</v>
      </c>
      <c r="D33" s="362" t="s">
        <v>475</v>
      </c>
      <c r="E33" s="362"/>
      <c r="F33" s="362"/>
      <c r="I33" s="141" t="s">
        <v>403</v>
      </c>
      <c r="J33" s="141" t="s">
        <v>391</v>
      </c>
      <c r="K33" s="173">
        <v>2020</v>
      </c>
      <c r="L33" s="172">
        <v>26</v>
      </c>
      <c r="M33" s="172">
        <v>26</v>
      </c>
      <c r="N33" s="172">
        <v>26</v>
      </c>
      <c r="O33" s="140" t="s">
        <v>466</v>
      </c>
      <c r="P33" s="140" t="s">
        <v>466</v>
      </c>
      <c r="Q33" s="140" t="s">
        <v>466</v>
      </c>
      <c r="R33" s="172">
        <f>L33*$R$47*Deflator!$F$33</f>
        <v>371.74799999999999</v>
      </c>
      <c r="S33" s="172">
        <f>M33*$R$47*Deflator!$F$33</f>
        <v>371.74799999999999</v>
      </c>
      <c r="T33" s="172">
        <f>N33*$R$47*Deflator!$F$33</f>
        <v>371.74799999999999</v>
      </c>
      <c r="U33" s="137">
        <f t="shared" si="0"/>
        <v>0</v>
      </c>
      <c r="V33" s="137">
        <f t="shared" si="1"/>
        <v>0</v>
      </c>
      <c r="AD33" t="s">
        <v>407</v>
      </c>
      <c r="AE33" t="s">
        <v>474</v>
      </c>
      <c r="AF33" t="s">
        <v>473</v>
      </c>
      <c r="AG33" s="133">
        <f t="shared" si="2"/>
        <v>32.062123005806413</v>
      </c>
      <c r="AH33" s="133">
        <f t="shared" si="2"/>
        <v>32.062123005806413</v>
      </c>
      <c r="AI33" s="133">
        <f t="shared" si="2"/>
        <v>32.062123005806413</v>
      </c>
    </row>
    <row r="34" spans="1:35" x14ac:dyDescent="0.25">
      <c r="A34" s="184">
        <v>0.69099999999999995</v>
      </c>
      <c r="B34" s="183">
        <v>1500000</v>
      </c>
      <c r="C34" s="182" t="s">
        <v>433</v>
      </c>
      <c r="D34" s="362" t="s">
        <v>472</v>
      </c>
      <c r="E34" s="362"/>
      <c r="F34" s="362"/>
      <c r="I34" s="141" t="s">
        <v>403</v>
      </c>
      <c r="J34" s="141" t="s">
        <v>387</v>
      </c>
      <c r="K34" s="173">
        <v>2020</v>
      </c>
      <c r="L34" s="172">
        <v>52</v>
      </c>
      <c r="M34" s="172">
        <v>34</v>
      </c>
      <c r="N34" s="172">
        <v>34</v>
      </c>
      <c r="O34" s="140" t="s">
        <v>466</v>
      </c>
      <c r="P34" s="140" t="s">
        <v>466</v>
      </c>
      <c r="Q34" s="140" t="s">
        <v>466</v>
      </c>
      <c r="R34" s="172">
        <f>L34*$R$47*Deflator!$F$33</f>
        <v>743.49599999999998</v>
      </c>
      <c r="S34" s="172">
        <f>M34*$R$47*Deflator!$F$33</f>
        <v>486.13199999999995</v>
      </c>
      <c r="T34" s="172">
        <f>N34*$R$47*Deflator!$F$33</f>
        <v>486.13199999999995</v>
      </c>
      <c r="U34" s="137">
        <f t="shared" si="0"/>
        <v>1.7140569987868837E-2</v>
      </c>
      <c r="V34" s="137">
        <f t="shared" si="1"/>
        <v>0</v>
      </c>
      <c r="AD34" t="s">
        <v>411</v>
      </c>
      <c r="AE34" t="s">
        <v>471</v>
      </c>
      <c r="AF34" t="s">
        <v>38</v>
      </c>
      <c r="AG34">
        <v>0.9</v>
      </c>
      <c r="AH34">
        <v>0.9</v>
      </c>
      <c r="AI34">
        <v>0.9</v>
      </c>
    </row>
    <row r="35" spans="1:35" x14ac:dyDescent="0.25">
      <c r="I35" s="141" t="s">
        <v>403</v>
      </c>
      <c r="J35" s="141" t="s">
        <v>384</v>
      </c>
      <c r="K35" s="173">
        <v>2020</v>
      </c>
      <c r="L35" s="172">
        <v>77</v>
      </c>
      <c r="M35" s="172">
        <v>43</v>
      </c>
      <c r="N35" s="172">
        <v>43</v>
      </c>
      <c r="O35" s="140" t="s">
        <v>466</v>
      </c>
      <c r="P35" s="140" t="s">
        <v>466</v>
      </c>
      <c r="Q35" s="140" t="s">
        <v>466</v>
      </c>
      <c r="R35" s="172">
        <f>L35*$R$47*Deflator!$F$33</f>
        <v>1100.9459999999999</v>
      </c>
      <c r="S35" s="172">
        <f>M35*$R$47*Deflator!$F$33</f>
        <v>614.81399999999996</v>
      </c>
      <c r="T35" s="172">
        <f>N35*$R$47*Deflator!$F$33</f>
        <v>614.81399999999996</v>
      </c>
      <c r="U35" s="137">
        <f t="shared" si="0"/>
        <v>2.3577877113833301E-2</v>
      </c>
      <c r="V35" s="137">
        <f t="shared" si="1"/>
        <v>0</v>
      </c>
      <c r="AD35" t="s">
        <v>407</v>
      </c>
      <c r="AE35" t="s">
        <v>471</v>
      </c>
      <c r="AF35" t="s">
        <v>38</v>
      </c>
      <c r="AG35">
        <v>0.9</v>
      </c>
      <c r="AH35">
        <v>0.9</v>
      </c>
      <c r="AI35">
        <v>0.9</v>
      </c>
    </row>
    <row r="36" spans="1:35" ht="15.75" thickBot="1" x14ac:dyDescent="0.3">
      <c r="E36" s="181" t="s">
        <v>470</v>
      </c>
      <c r="I36" s="141" t="s">
        <v>402</v>
      </c>
      <c r="J36" s="141" t="s">
        <v>387</v>
      </c>
      <c r="K36" s="173">
        <v>2020</v>
      </c>
      <c r="L36" s="172">
        <v>52</v>
      </c>
      <c r="M36" s="172">
        <v>34</v>
      </c>
      <c r="N36" s="172">
        <v>34</v>
      </c>
      <c r="O36" s="140" t="s">
        <v>466</v>
      </c>
      <c r="P36" s="140" t="s">
        <v>466</v>
      </c>
      <c r="Q36" s="140" t="s">
        <v>466</v>
      </c>
      <c r="R36" s="172">
        <f>L36*$R$47*Deflator!$F$33</f>
        <v>743.49599999999998</v>
      </c>
      <c r="S36" s="172">
        <f>M36*$R$47*Deflator!$F$33</f>
        <v>486.13199999999995</v>
      </c>
      <c r="T36" s="172">
        <f>N36*$R$47*Deflator!$F$33</f>
        <v>486.13199999999995</v>
      </c>
      <c r="U36" s="137">
        <f t="shared" si="0"/>
        <v>1.7140569987868837E-2</v>
      </c>
      <c r="V36" s="137">
        <f t="shared" si="1"/>
        <v>0</v>
      </c>
      <c r="AD36" t="s">
        <v>411</v>
      </c>
      <c r="AE36" t="s">
        <v>465</v>
      </c>
      <c r="AF36" t="s">
        <v>38</v>
      </c>
      <c r="AG36">
        <v>0.6</v>
      </c>
      <c r="AH36">
        <v>0.6</v>
      </c>
      <c r="AI36">
        <v>0.6</v>
      </c>
    </row>
    <row r="37" spans="1:35" x14ac:dyDescent="0.25">
      <c r="A37" s="180" t="s">
        <v>469</v>
      </c>
      <c r="B37" s="179"/>
      <c r="C37" s="179"/>
      <c r="D37" s="179"/>
      <c r="E37" s="168" t="s">
        <v>468</v>
      </c>
      <c r="F37" s="178">
        <f>B39/Y10</f>
        <v>0.11416666666666667</v>
      </c>
      <c r="G37" s="166" t="s">
        <v>467</v>
      </c>
      <c r="I37" s="141" t="s">
        <v>395</v>
      </c>
      <c r="J37" s="141" t="s">
        <v>387</v>
      </c>
      <c r="K37" s="173">
        <v>2020</v>
      </c>
      <c r="L37" s="172">
        <v>52</v>
      </c>
      <c r="M37" s="172">
        <v>34</v>
      </c>
      <c r="N37" s="172">
        <v>34</v>
      </c>
      <c r="O37" s="140" t="s">
        <v>466</v>
      </c>
      <c r="P37" s="140" t="s">
        <v>466</v>
      </c>
      <c r="Q37" s="140" t="s">
        <v>466</v>
      </c>
      <c r="R37" s="172">
        <f>L37*$R$47*Deflator!$F$33</f>
        <v>743.49599999999998</v>
      </c>
      <c r="S37" s="172">
        <f>M37*$R$47*Deflator!$F$33</f>
        <v>486.13199999999995</v>
      </c>
      <c r="T37" s="172">
        <f>N37*$R$47*Deflator!$F$33</f>
        <v>486.13199999999995</v>
      </c>
      <c r="U37" s="137">
        <f t="shared" si="0"/>
        <v>1.7140569987868837E-2</v>
      </c>
      <c r="V37" s="137">
        <f t="shared" si="1"/>
        <v>0</v>
      </c>
      <c r="AD37" t="s">
        <v>407</v>
      </c>
      <c r="AE37" t="s">
        <v>465</v>
      </c>
      <c r="AF37" t="s">
        <v>38</v>
      </c>
      <c r="AG37">
        <v>0.76</v>
      </c>
      <c r="AH37">
        <v>0.76</v>
      </c>
      <c r="AI37">
        <v>0.76</v>
      </c>
    </row>
    <row r="38" spans="1:35" x14ac:dyDescent="0.25">
      <c r="A38" s="177" t="s">
        <v>464</v>
      </c>
      <c r="B38" s="175"/>
      <c r="C38" s="175"/>
      <c r="D38" s="175"/>
      <c r="E38" s="165"/>
      <c r="F38" s="174">
        <f>F37/1000000*1000000000</f>
        <v>114.16666666666666</v>
      </c>
      <c r="G38" s="163" t="s">
        <v>458</v>
      </c>
      <c r="I38" s="141" t="s">
        <v>392</v>
      </c>
      <c r="J38" s="141" t="s">
        <v>391</v>
      </c>
      <c r="K38" s="173">
        <v>2030</v>
      </c>
      <c r="L38" s="141"/>
      <c r="M38" s="172">
        <v>69</v>
      </c>
      <c r="N38" s="172">
        <v>69</v>
      </c>
      <c r="O38" s="140"/>
      <c r="P38" s="140" t="s">
        <v>457</v>
      </c>
      <c r="Q38" s="140" t="s">
        <v>457</v>
      </c>
      <c r="R38" s="172"/>
      <c r="S38" s="172">
        <f>M38*$R$47*Deflator!$F$33</f>
        <v>986.5619999999999</v>
      </c>
      <c r="T38" s="172">
        <f>N38*$R$47*Deflator!$F$33</f>
        <v>986.5619999999999</v>
      </c>
      <c r="U38" s="137"/>
      <c r="V38" s="137">
        <f>(S38/T38)^(1/25)-1</f>
        <v>0</v>
      </c>
    </row>
    <row r="39" spans="1:35" x14ac:dyDescent="0.25">
      <c r="A39" s="176" t="s">
        <v>463</v>
      </c>
      <c r="B39" s="175">
        <v>13.7</v>
      </c>
      <c r="C39" s="175" t="s">
        <v>462</v>
      </c>
      <c r="D39" s="175"/>
      <c r="E39" s="165" t="s">
        <v>182</v>
      </c>
      <c r="F39" s="174">
        <f>F38*0.776</f>
        <v>88.593333333333334</v>
      </c>
      <c r="G39" s="163" t="s">
        <v>461</v>
      </c>
      <c r="I39" s="141" t="s">
        <v>385</v>
      </c>
      <c r="J39" s="141" t="s">
        <v>387</v>
      </c>
      <c r="K39" s="173">
        <v>2000</v>
      </c>
      <c r="L39" s="172">
        <v>31</v>
      </c>
      <c r="M39" s="172">
        <v>17</v>
      </c>
      <c r="N39" s="172">
        <v>17</v>
      </c>
      <c r="O39" s="140" t="s">
        <v>457</v>
      </c>
      <c r="P39" s="140" t="s">
        <v>456</v>
      </c>
      <c r="Q39" s="140" t="s">
        <v>455</v>
      </c>
      <c r="R39" s="172">
        <f>L39*$R$47*Deflator!$F$33</f>
        <v>443.23799999999994</v>
      </c>
      <c r="S39" s="172">
        <f>M39*$R$47*Deflator!$F$33</f>
        <v>243.06599999999997</v>
      </c>
      <c r="T39" s="172">
        <f>N39*$R$47*Deflator!$F$33</f>
        <v>243.06599999999997</v>
      </c>
      <c r="U39" s="137">
        <f>(R39/S39)^(1/25)-1</f>
        <v>2.4322024691141753E-2</v>
      </c>
      <c r="V39" s="137">
        <f>(S39/T39)^(1/25)-1</f>
        <v>0</v>
      </c>
    </row>
    <row r="40" spans="1:35" ht="30" x14ac:dyDescent="0.25">
      <c r="A40" s="176" t="s">
        <v>460</v>
      </c>
      <c r="B40" s="175">
        <v>0.44</v>
      </c>
      <c r="C40" s="175" t="s">
        <v>459</v>
      </c>
      <c r="D40" s="175"/>
      <c r="E40" s="165" t="s">
        <v>451</v>
      </c>
      <c r="F40" s="174">
        <f>F38*(1-0.776)</f>
        <v>25.573333333333327</v>
      </c>
      <c r="G40" s="163" t="s">
        <v>458</v>
      </c>
      <c r="I40" s="141" t="s">
        <v>385</v>
      </c>
      <c r="J40" s="141" t="s">
        <v>384</v>
      </c>
      <c r="K40" s="173">
        <v>2000</v>
      </c>
      <c r="L40" s="172">
        <v>112</v>
      </c>
      <c r="M40" s="172">
        <v>27</v>
      </c>
      <c r="N40" s="172">
        <v>17</v>
      </c>
      <c r="O40" s="140" t="s">
        <v>457</v>
      </c>
      <c r="P40" s="140" t="s">
        <v>456</v>
      </c>
      <c r="Q40" s="140" t="s">
        <v>455</v>
      </c>
      <c r="R40" s="172">
        <f>L40*$R$47*Deflator!$F$33</f>
        <v>1601.376</v>
      </c>
      <c r="S40" s="172">
        <f>M40*$R$47*Deflator!$F$33</f>
        <v>386.04599999999994</v>
      </c>
      <c r="T40" s="172">
        <f>N40*$R$47*Deflator!$F$33</f>
        <v>243.06599999999997</v>
      </c>
      <c r="U40" s="137">
        <f>(R40/S40)^(1/25)-1</f>
        <v>5.8556809757487338E-2</v>
      </c>
      <c r="V40" s="137">
        <f>(S40/T40)^(1/25)-1</f>
        <v>1.8677218316921262E-2</v>
      </c>
    </row>
    <row r="41" spans="1:35" ht="15.75" thickBot="1" x14ac:dyDescent="0.3">
      <c r="A41" s="171"/>
      <c r="B41" s="170"/>
      <c r="C41" s="170"/>
      <c r="D41" s="170"/>
      <c r="E41" s="162" t="s">
        <v>451</v>
      </c>
      <c r="F41" s="169">
        <f>F40/21</f>
        <v>1.2177777777777774</v>
      </c>
      <c r="G41" s="160" t="s">
        <v>454</v>
      </c>
      <c r="L41" s="136"/>
      <c r="M41" t="s">
        <v>382</v>
      </c>
      <c r="S41" t="s">
        <v>381</v>
      </c>
    </row>
    <row r="42" spans="1:35" x14ac:dyDescent="0.25">
      <c r="E42" s="168" t="s">
        <v>182</v>
      </c>
      <c r="F42" s="167">
        <f>F39*$A$65</f>
        <v>66.444999999999993</v>
      </c>
      <c r="G42" s="166" t="s">
        <v>453</v>
      </c>
    </row>
    <row r="43" spans="1:35" x14ac:dyDescent="0.25">
      <c r="E43" s="165" t="s">
        <v>451</v>
      </c>
      <c r="F43" s="164">
        <f>F40*$A$65</f>
        <v>19.179999999999996</v>
      </c>
      <c r="G43" s="163" t="s">
        <v>453</v>
      </c>
      <c r="I43" s="134" t="s">
        <v>452</v>
      </c>
      <c r="J43" s="134"/>
      <c r="K43" s="134"/>
      <c r="L43" s="134"/>
      <c r="M43" s="134"/>
      <c r="N43" s="134"/>
    </row>
    <row r="44" spans="1:35" ht="15.75" thickBot="1" x14ac:dyDescent="0.3">
      <c r="E44" s="162" t="s">
        <v>451</v>
      </c>
      <c r="F44" s="161">
        <f>F41*$A$65</f>
        <v>0.91333333333333311</v>
      </c>
      <c r="G44" s="160" t="s">
        <v>450</v>
      </c>
      <c r="I44" s="134" t="s">
        <v>449</v>
      </c>
      <c r="J44" s="134"/>
      <c r="K44" s="134"/>
      <c r="L44" s="134"/>
      <c r="M44" s="134"/>
      <c r="N44" s="134"/>
    </row>
    <row r="45" spans="1:35" x14ac:dyDescent="0.25">
      <c r="I45" s="134"/>
      <c r="J45" s="134"/>
      <c r="K45" s="134"/>
      <c r="L45" s="134"/>
      <c r="M45" s="134"/>
      <c r="N45" s="134"/>
    </row>
    <row r="46" spans="1:35" ht="39" customHeight="1" x14ac:dyDescent="0.25">
      <c r="I46" s="366" t="s">
        <v>419</v>
      </c>
      <c r="J46" s="366" t="s">
        <v>418</v>
      </c>
      <c r="K46" s="368" t="s">
        <v>417</v>
      </c>
      <c r="L46" s="356" t="s">
        <v>448</v>
      </c>
      <c r="M46" s="357"/>
      <c r="N46" s="358"/>
      <c r="R46" t="s">
        <v>447</v>
      </c>
    </row>
    <row r="47" spans="1:35" x14ac:dyDescent="0.25">
      <c r="A47" s="159" t="s">
        <v>446</v>
      </c>
      <c r="I47" s="367"/>
      <c r="J47" s="367"/>
      <c r="K47" s="369"/>
      <c r="L47" s="149">
        <v>2000</v>
      </c>
      <c r="M47" s="149">
        <v>2025</v>
      </c>
      <c r="N47" s="149">
        <v>2050</v>
      </c>
      <c r="R47">
        <v>1.2</v>
      </c>
    </row>
    <row r="48" spans="1:35" x14ac:dyDescent="0.25">
      <c r="I48" s="141" t="s">
        <v>411</v>
      </c>
      <c r="J48" s="141" t="s">
        <v>391</v>
      </c>
      <c r="K48" s="140" t="s">
        <v>383</v>
      </c>
      <c r="L48" s="139">
        <v>0.9</v>
      </c>
      <c r="M48" s="139">
        <v>0.8</v>
      </c>
      <c r="N48" s="139">
        <v>0.7</v>
      </c>
    </row>
    <row r="49" spans="1:14" x14ac:dyDescent="0.25">
      <c r="A49" s="349" t="s">
        <v>445</v>
      </c>
      <c r="B49" s="349"/>
      <c r="C49" s="349"/>
      <c r="D49" s="349"/>
      <c r="E49" s="349"/>
      <c r="F49" s="349"/>
      <c r="G49" s="349"/>
      <c r="I49" s="141" t="s">
        <v>444</v>
      </c>
      <c r="J49" s="141" t="s">
        <v>391</v>
      </c>
      <c r="K49" s="140" t="s">
        <v>383</v>
      </c>
      <c r="L49" s="140" t="s">
        <v>443</v>
      </c>
      <c r="M49" s="140" t="s">
        <v>443</v>
      </c>
      <c r="N49" s="140" t="s">
        <v>443</v>
      </c>
    </row>
    <row r="50" spans="1:14" x14ac:dyDescent="0.25">
      <c r="I50" s="141" t="s">
        <v>442</v>
      </c>
      <c r="J50" s="141"/>
      <c r="K50" s="140"/>
      <c r="L50" s="140"/>
      <c r="M50" s="140"/>
      <c r="N50" s="140"/>
    </row>
    <row r="51" spans="1:14" x14ac:dyDescent="0.25">
      <c r="A51" s="144" t="s">
        <v>441</v>
      </c>
      <c r="B51" s="144" t="s">
        <v>440</v>
      </c>
      <c r="I51" s="141" t="s">
        <v>407</v>
      </c>
      <c r="J51" s="141" t="s">
        <v>391</v>
      </c>
      <c r="K51" s="140" t="s">
        <v>406</v>
      </c>
      <c r="L51" s="139">
        <v>0.2</v>
      </c>
      <c r="M51" s="139">
        <v>0.2</v>
      </c>
      <c r="N51" s="139">
        <v>0.1</v>
      </c>
    </row>
    <row r="52" spans="1:14" x14ac:dyDescent="0.25">
      <c r="A52" s="144" t="s">
        <v>439</v>
      </c>
      <c r="B52" s="144" t="s">
        <v>438</v>
      </c>
      <c r="I52" s="141" t="s">
        <v>407</v>
      </c>
      <c r="J52" s="141" t="s">
        <v>387</v>
      </c>
      <c r="K52" s="140" t="s">
        <v>406</v>
      </c>
      <c r="L52" s="139">
        <v>0.5</v>
      </c>
      <c r="M52" s="139">
        <v>0.4</v>
      </c>
      <c r="N52" s="139">
        <v>0.3</v>
      </c>
    </row>
    <row r="53" spans="1:14" x14ac:dyDescent="0.25">
      <c r="A53" s="144" t="s">
        <v>437</v>
      </c>
      <c r="B53" s="144" t="s">
        <v>436</v>
      </c>
      <c r="I53" s="141" t="s">
        <v>407</v>
      </c>
      <c r="J53" s="141" t="s">
        <v>384</v>
      </c>
      <c r="K53" s="140" t="s">
        <v>406</v>
      </c>
      <c r="L53" s="139">
        <v>1.8</v>
      </c>
      <c r="M53" s="139">
        <v>0.4</v>
      </c>
      <c r="N53" s="139">
        <v>0.3</v>
      </c>
    </row>
    <row r="54" spans="1:14" x14ac:dyDescent="0.25">
      <c r="I54" s="141" t="s">
        <v>403</v>
      </c>
      <c r="J54" s="141" t="s">
        <v>391</v>
      </c>
      <c r="K54" s="140" t="s">
        <v>394</v>
      </c>
      <c r="L54" s="139">
        <v>1.1000000000000001</v>
      </c>
      <c r="M54" s="139">
        <v>1.1000000000000001</v>
      </c>
      <c r="N54" s="139">
        <v>1.1000000000000001</v>
      </c>
    </row>
    <row r="55" spans="1:14" x14ac:dyDescent="0.25">
      <c r="A55" s="32" t="s">
        <v>404</v>
      </c>
      <c r="I55" s="141" t="s">
        <v>403</v>
      </c>
      <c r="J55" s="141" t="s">
        <v>387</v>
      </c>
      <c r="K55" s="140" t="s">
        <v>394</v>
      </c>
      <c r="L55" s="139">
        <v>2.1</v>
      </c>
      <c r="M55" s="139">
        <v>1.4</v>
      </c>
      <c r="N55" s="139">
        <v>1.4</v>
      </c>
    </row>
    <row r="56" spans="1:14" x14ac:dyDescent="0.25">
      <c r="I56" s="141" t="s">
        <v>403</v>
      </c>
      <c r="J56" s="141" t="s">
        <v>384</v>
      </c>
      <c r="K56" s="140" t="s">
        <v>394</v>
      </c>
      <c r="L56" s="139">
        <v>3.2</v>
      </c>
      <c r="M56" s="139">
        <v>1.8</v>
      </c>
      <c r="N56" s="139">
        <v>1.8</v>
      </c>
    </row>
    <row r="57" spans="1:14" x14ac:dyDescent="0.25">
      <c r="A57" s="145" t="s">
        <v>371</v>
      </c>
      <c r="B57" s="145" t="s">
        <v>401</v>
      </c>
      <c r="C57" s="145" t="s">
        <v>400</v>
      </c>
      <c r="D57" s="145" t="s">
        <v>399</v>
      </c>
      <c r="E57" s="145" t="s">
        <v>398</v>
      </c>
      <c r="F57" s="145" t="s">
        <v>397</v>
      </c>
      <c r="G57" s="145" t="s">
        <v>396</v>
      </c>
      <c r="I57" s="141" t="s">
        <v>402</v>
      </c>
      <c r="J57" s="141" t="s">
        <v>387</v>
      </c>
      <c r="K57" s="140" t="s">
        <v>394</v>
      </c>
      <c r="L57" s="139">
        <v>2.1</v>
      </c>
      <c r="M57" s="139">
        <v>1.4</v>
      </c>
      <c r="N57" s="139">
        <v>1.4</v>
      </c>
    </row>
    <row r="58" spans="1:14" ht="45" x14ac:dyDescent="0.25">
      <c r="A58" s="157">
        <v>0.89</v>
      </c>
      <c r="B58" s="144"/>
      <c r="C58" s="144"/>
      <c r="D58" s="156">
        <v>1500000</v>
      </c>
      <c r="E58" s="142" t="s">
        <v>433</v>
      </c>
      <c r="F58" s="142" t="s">
        <v>386</v>
      </c>
      <c r="G58" s="158" t="s">
        <v>435</v>
      </c>
      <c r="I58" s="141" t="s">
        <v>395</v>
      </c>
      <c r="J58" s="141" t="s">
        <v>387</v>
      </c>
      <c r="K58" s="140" t="s">
        <v>394</v>
      </c>
      <c r="L58" s="139">
        <v>2.1</v>
      </c>
      <c r="M58" s="139">
        <v>1.4</v>
      </c>
      <c r="N58" s="139">
        <v>1.4</v>
      </c>
    </row>
    <row r="59" spans="1:14" x14ac:dyDescent="0.25">
      <c r="A59" s="157">
        <v>0.79200000000000004</v>
      </c>
      <c r="B59" s="144"/>
      <c r="C59" s="144"/>
      <c r="D59" s="156">
        <v>1500000</v>
      </c>
      <c r="E59" s="142" t="s">
        <v>433</v>
      </c>
      <c r="F59" s="142" t="s">
        <v>386</v>
      </c>
      <c r="G59" s="152" t="s">
        <v>434</v>
      </c>
      <c r="I59" s="141" t="s">
        <v>392</v>
      </c>
      <c r="J59" s="141" t="s">
        <v>391</v>
      </c>
      <c r="K59" s="140" t="s">
        <v>390</v>
      </c>
      <c r="L59" s="140"/>
      <c r="M59" s="139">
        <v>2.4</v>
      </c>
      <c r="N59" s="139">
        <v>2.4</v>
      </c>
    </row>
    <row r="60" spans="1:14" x14ac:dyDescent="0.25">
      <c r="A60" s="157">
        <v>0.69099999999999995</v>
      </c>
      <c r="B60" s="144"/>
      <c r="C60" s="144"/>
      <c r="D60" s="156">
        <v>1500000</v>
      </c>
      <c r="E60" s="142" t="s">
        <v>433</v>
      </c>
      <c r="F60" s="142" t="s">
        <v>386</v>
      </c>
      <c r="G60" s="152" t="s">
        <v>432</v>
      </c>
      <c r="I60" s="141" t="s">
        <v>385</v>
      </c>
      <c r="J60" s="141" t="s">
        <v>387</v>
      </c>
      <c r="K60" s="140" t="s">
        <v>383</v>
      </c>
      <c r="L60" s="139">
        <v>0.9</v>
      </c>
      <c r="M60" s="139">
        <v>0.5</v>
      </c>
      <c r="N60" s="139">
        <v>0.5</v>
      </c>
    </row>
    <row r="61" spans="1:14" x14ac:dyDescent="0.25">
      <c r="A61" s="157">
        <v>0.81200000000000006</v>
      </c>
      <c r="B61" s="144"/>
      <c r="C61" s="144"/>
      <c r="D61" s="156"/>
      <c r="E61" s="142"/>
      <c r="F61" s="142" t="s">
        <v>431</v>
      </c>
      <c r="G61" s="152"/>
      <c r="I61" s="141" t="s">
        <v>385</v>
      </c>
      <c r="J61" s="141" t="s">
        <v>384</v>
      </c>
      <c r="K61" s="140" t="s">
        <v>383</v>
      </c>
      <c r="L61" s="139">
        <v>3.3</v>
      </c>
      <c r="M61" s="139">
        <v>0.8</v>
      </c>
      <c r="N61" s="139">
        <v>0.5</v>
      </c>
    </row>
    <row r="62" spans="1:14" x14ac:dyDescent="0.25">
      <c r="A62" s="142" t="s">
        <v>430</v>
      </c>
      <c r="B62" s="143">
        <v>0.75</v>
      </c>
      <c r="C62" s="143">
        <v>0.8</v>
      </c>
      <c r="D62" s="142"/>
      <c r="E62" s="142"/>
      <c r="F62" s="142" t="s">
        <v>429</v>
      </c>
      <c r="G62" s="152"/>
      <c r="I62" s="155"/>
      <c r="J62" s="155"/>
      <c r="K62" s="154"/>
      <c r="L62" s="153"/>
      <c r="M62" s="153"/>
      <c r="N62" s="153"/>
    </row>
    <row r="63" spans="1:14" x14ac:dyDescent="0.25">
      <c r="A63" s="142" t="s">
        <v>428</v>
      </c>
      <c r="B63" s="143">
        <v>0.67</v>
      </c>
      <c r="C63" s="143">
        <v>0.73</v>
      </c>
      <c r="D63" s="142"/>
      <c r="E63" s="142"/>
      <c r="F63" s="142" t="s">
        <v>427</v>
      </c>
      <c r="G63" s="152"/>
      <c r="I63" s="134" t="s">
        <v>426</v>
      </c>
      <c r="J63" s="134"/>
      <c r="K63" s="134"/>
      <c r="L63" s="134"/>
      <c r="M63" s="134"/>
      <c r="N63" s="134"/>
    </row>
    <row r="64" spans="1:14" x14ac:dyDescent="0.25">
      <c r="A64" s="142" t="str">
        <f>O30</f>
        <v>80%</v>
      </c>
      <c r="B64" s="144"/>
      <c r="C64" s="144"/>
      <c r="D64" s="144"/>
      <c r="E64" s="144"/>
      <c r="F64" s="142" t="s">
        <v>389</v>
      </c>
      <c r="G64" s="144" t="s">
        <v>425</v>
      </c>
      <c r="I64" s="134" t="s">
        <v>424</v>
      </c>
      <c r="J64" s="134"/>
      <c r="K64" s="134"/>
      <c r="L64" s="134"/>
      <c r="M64" s="134"/>
      <c r="N64" s="134"/>
    </row>
    <row r="65" spans="1:19" x14ac:dyDescent="0.25">
      <c r="A65" s="142" t="str">
        <f>O31</f>
        <v>75%</v>
      </c>
      <c r="B65" s="144"/>
      <c r="C65" s="144"/>
      <c r="D65" s="144"/>
      <c r="E65" s="144"/>
      <c r="F65" s="142" t="s">
        <v>389</v>
      </c>
      <c r="G65" s="144" t="s">
        <v>423</v>
      </c>
      <c r="I65" s="134" t="s">
        <v>422</v>
      </c>
      <c r="J65" s="134"/>
      <c r="K65" s="134"/>
      <c r="L65" s="134"/>
      <c r="M65" s="134"/>
      <c r="N65" s="134"/>
    </row>
    <row r="66" spans="1:19" x14ac:dyDescent="0.25">
      <c r="A66" s="142" t="str">
        <f>O32</f>
        <v>65%</v>
      </c>
      <c r="B66" s="144"/>
      <c r="C66" s="144"/>
      <c r="D66" s="144"/>
      <c r="E66" s="144"/>
      <c r="F66" s="142" t="s">
        <v>389</v>
      </c>
      <c r="G66" s="144" t="s">
        <v>421</v>
      </c>
      <c r="I66" s="134"/>
      <c r="J66" s="134"/>
      <c r="K66" s="134"/>
      <c r="L66" s="134"/>
      <c r="M66" s="134"/>
      <c r="N66" s="134"/>
    </row>
    <row r="67" spans="1:19" x14ac:dyDescent="0.25">
      <c r="A67" s="151" t="s">
        <v>420</v>
      </c>
      <c r="I67" s="354" t="s">
        <v>419</v>
      </c>
      <c r="J67" s="354" t="s">
        <v>418</v>
      </c>
      <c r="K67" s="355" t="s">
        <v>417</v>
      </c>
      <c r="L67" s="351" t="s">
        <v>416</v>
      </c>
      <c r="M67" s="350"/>
      <c r="N67" s="350"/>
      <c r="O67" s="351" t="s">
        <v>415</v>
      </c>
      <c r="P67" s="350"/>
      <c r="Q67" s="350"/>
      <c r="R67" s="353" t="s">
        <v>414</v>
      </c>
      <c r="S67" s="353"/>
    </row>
    <row r="68" spans="1:19" x14ac:dyDescent="0.25">
      <c r="I68" s="354"/>
      <c r="J68" s="354"/>
      <c r="K68" s="355"/>
      <c r="L68" s="149">
        <v>2000</v>
      </c>
      <c r="M68" s="149">
        <v>2025</v>
      </c>
      <c r="N68" s="149">
        <v>2050</v>
      </c>
      <c r="O68" s="149">
        <v>2000</v>
      </c>
      <c r="P68" s="149">
        <v>2025</v>
      </c>
      <c r="Q68" s="149">
        <v>2050</v>
      </c>
      <c r="R68" s="145" t="s">
        <v>413</v>
      </c>
      <c r="S68" s="145" t="s">
        <v>412</v>
      </c>
    </row>
    <row r="69" spans="1:19" x14ac:dyDescent="0.25">
      <c r="I69" s="141" t="s">
        <v>411</v>
      </c>
      <c r="J69" s="141" t="s">
        <v>391</v>
      </c>
      <c r="K69" s="140" t="s">
        <v>383</v>
      </c>
      <c r="L69" s="139">
        <v>1.5</v>
      </c>
      <c r="M69" s="139">
        <v>1.4</v>
      </c>
      <c r="N69" s="139">
        <v>1.2</v>
      </c>
      <c r="O69" s="139">
        <f>L69*$R$47*Deflator!$F$33</f>
        <v>21.446999999999996</v>
      </c>
      <c r="P69" s="139">
        <f>M69*$R$47*Deflator!$F$33</f>
        <v>20.017199999999999</v>
      </c>
      <c r="Q69" s="139">
        <f>N69*$R$47*Deflator!$F$33</f>
        <v>17.157599999999999</v>
      </c>
      <c r="R69" s="138">
        <f t="shared" ref="R69:R78" si="3">(O69/P69)^(1/25)-1</f>
        <v>2.7635263779590691E-3</v>
      </c>
      <c r="S69" s="137">
        <f t="shared" ref="S69:S78" si="4">(P69/Q69)^(1/25)-1</f>
        <v>6.1850762710147222E-3</v>
      </c>
    </row>
    <row r="70" spans="1:19" ht="25.5" x14ac:dyDescent="0.3">
      <c r="A70" s="135" t="s">
        <v>410</v>
      </c>
      <c r="B70" s="45"/>
      <c r="C70" s="45"/>
      <c r="D70" s="45"/>
      <c r="E70" s="45"/>
      <c r="F70" s="45"/>
      <c r="G70" s="45"/>
      <c r="I70" s="148" t="s">
        <v>409</v>
      </c>
      <c r="J70" s="141" t="s">
        <v>391</v>
      </c>
      <c r="K70" s="140" t="s">
        <v>383</v>
      </c>
      <c r="L70" s="147">
        <v>10.8</v>
      </c>
      <c r="M70" s="147">
        <v>10.8</v>
      </c>
      <c r="N70" s="147">
        <v>10.8</v>
      </c>
      <c r="O70" s="147">
        <f>L70*$R$47*Deflator!$F$33</f>
        <v>154.41839999999999</v>
      </c>
      <c r="P70" s="147">
        <f>M70*$R$47*Deflator!$F$33</f>
        <v>154.41839999999999</v>
      </c>
      <c r="Q70" s="147">
        <f>N70*$R$47*Deflator!$F$33</f>
        <v>154.41839999999999</v>
      </c>
      <c r="R70" s="138">
        <f t="shared" si="3"/>
        <v>0</v>
      </c>
      <c r="S70" s="137">
        <f t="shared" si="4"/>
        <v>0</v>
      </c>
    </row>
    <row r="71" spans="1:19" x14ac:dyDescent="0.25">
      <c r="I71" s="141" t="s">
        <v>407</v>
      </c>
      <c r="J71" s="141" t="s">
        <v>391</v>
      </c>
      <c r="K71" s="140" t="s">
        <v>406</v>
      </c>
      <c r="L71" s="139">
        <v>0.3</v>
      </c>
      <c r="M71" s="139">
        <v>0.3</v>
      </c>
      <c r="N71" s="139">
        <v>0.2</v>
      </c>
      <c r="O71" s="139">
        <f>L71*$R$47*Deflator!$F$33</f>
        <v>4.2893999999999997</v>
      </c>
      <c r="P71" s="139">
        <f>M71*$R$47*Deflator!$F$33</f>
        <v>4.2893999999999997</v>
      </c>
      <c r="Q71" s="139">
        <f>N71*$R$47*Deflator!$F$33</f>
        <v>2.8595999999999995</v>
      </c>
      <c r="R71" s="138">
        <f t="shared" si="3"/>
        <v>0</v>
      </c>
      <c r="S71" s="137">
        <f t="shared" si="4"/>
        <v>1.6350839811869022E-2</v>
      </c>
    </row>
    <row r="72" spans="1:19" x14ac:dyDescent="0.25">
      <c r="A72" s="146" t="s">
        <v>397</v>
      </c>
      <c r="B72" s="146" t="s">
        <v>408</v>
      </c>
      <c r="I72" s="141" t="s">
        <v>407</v>
      </c>
      <c r="J72" s="141" t="s">
        <v>387</v>
      </c>
      <c r="K72" s="140" t="s">
        <v>406</v>
      </c>
      <c r="L72" s="139">
        <v>0.8</v>
      </c>
      <c r="M72" s="139">
        <v>0.7</v>
      </c>
      <c r="N72" s="139">
        <v>0.5</v>
      </c>
      <c r="O72" s="139">
        <f>L72*$R$47*Deflator!$F$33</f>
        <v>11.438399999999998</v>
      </c>
      <c r="P72" s="139">
        <f>M72*$R$47*Deflator!$F$33</f>
        <v>10.008599999999999</v>
      </c>
      <c r="Q72" s="139">
        <f>N72*$R$47*Deflator!$F$33</f>
        <v>7.1489999999999991</v>
      </c>
      <c r="R72" s="138">
        <f t="shared" si="3"/>
        <v>5.3555456419747127E-3</v>
      </c>
      <c r="S72" s="137">
        <f t="shared" si="4"/>
        <v>1.354986801622915E-2</v>
      </c>
    </row>
    <row r="73" spans="1:19" x14ac:dyDescent="0.25">
      <c r="I73" s="141" t="s">
        <v>407</v>
      </c>
      <c r="J73" s="141" t="s">
        <v>384</v>
      </c>
      <c r="K73" s="140" t="s">
        <v>406</v>
      </c>
      <c r="L73" s="139">
        <v>3.1</v>
      </c>
      <c r="M73" s="139">
        <v>0.7</v>
      </c>
      <c r="N73" s="139">
        <v>0.5</v>
      </c>
      <c r="O73" s="139">
        <f>L73*$R$47*Deflator!$F$33</f>
        <v>44.323799999999991</v>
      </c>
      <c r="P73" s="139">
        <f>M73*$R$47*Deflator!$F$33</f>
        <v>10.008599999999999</v>
      </c>
      <c r="Q73" s="139">
        <f>N73*$R$47*Deflator!$F$33</f>
        <v>7.1489999999999991</v>
      </c>
      <c r="R73" s="138">
        <f t="shared" si="3"/>
        <v>6.1330258552347861E-2</v>
      </c>
      <c r="S73" s="137">
        <f t="shared" si="4"/>
        <v>1.354986801622915E-2</v>
      </c>
    </row>
    <row r="74" spans="1:19" x14ac:dyDescent="0.25">
      <c r="A74" t="s">
        <v>405</v>
      </c>
      <c r="I74" s="141" t="s">
        <v>403</v>
      </c>
      <c r="J74" s="141" t="s">
        <v>391</v>
      </c>
      <c r="K74" s="140" t="s">
        <v>394</v>
      </c>
      <c r="L74" s="139">
        <v>1.8</v>
      </c>
      <c r="M74" s="139">
        <v>1.8</v>
      </c>
      <c r="N74" s="139">
        <v>1.8</v>
      </c>
      <c r="O74" s="139">
        <f>L74*$R$47*Deflator!$F$33</f>
        <v>25.7364</v>
      </c>
      <c r="P74" s="139">
        <f>M74*$R$47*Deflator!$F$33</f>
        <v>25.7364</v>
      </c>
      <c r="Q74" s="139">
        <f>N74*$R$47*Deflator!$F$33</f>
        <v>25.7364</v>
      </c>
      <c r="R74" s="138">
        <f t="shared" si="3"/>
        <v>0</v>
      </c>
      <c r="S74" s="137">
        <f t="shared" si="4"/>
        <v>0</v>
      </c>
    </row>
    <row r="75" spans="1:19" x14ac:dyDescent="0.25">
      <c r="I75" s="141" t="s">
        <v>403</v>
      </c>
      <c r="J75" s="141" t="s">
        <v>387</v>
      </c>
      <c r="K75" s="140" t="s">
        <v>394</v>
      </c>
      <c r="L75" s="139">
        <v>3.6</v>
      </c>
      <c r="M75" s="139">
        <v>2.4</v>
      </c>
      <c r="N75" s="139">
        <v>2.4</v>
      </c>
      <c r="O75" s="139">
        <f>L75*$R$47*Deflator!$F$33</f>
        <v>51.472799999999999</v>
      </c>
      <c r="P75" s="139">
        <f>M75*$R$47*Deflator!$F$33</f>
        <v>34.315199999999997</v>
      </c>
      <c r="Q75" s="139">
        <f>N75*$R$47*Deflator!$F$33</f>
        <v>34.315199999999997</v>
      </c>
      <c r="R75" s="138">
        <f t="shared" si="3"/>
        <v>1.6350839811869022E-2</v>
      </c>
      <c r="S75" s="137">
        <f t="shared" si="4"/>
        <v>0</v>
      </c>
    </row>
    <row r="76" spans="1:19" x14ac:dyDescent="0.25">
      <c r="A76" s="32" t="s">
        <v>404</v>
      </c>
      <c r="I76" s="141" t="s">
        <v>403</v>
      </c>
      <c r="J76" s="141" t="s">
        <v>384</v>
      </c>
      <c r="K76" s="140" t="s">
        <v>394</v>
      </c>
      <c r="L76" s="139">
        <v>5.4</v>
      </c>
      <c r="M76" s="139">
        <v>3</v>
      </c>
      <c r="N76" s="139">
        <v>3</v>
      </c>
      <c r="O76" s="139">
        <f>L76*$R$47*Deflator!$F$33</f>
        <v>77.209199999999996</v>
      </c>
      <c r="P76" s="139">
        <f>M76*$R$47*Deflator!$F$33</f>
        <v>42.893999999999991</v>
      </c>
      <c r="Q76" s="139">
        <f>N76*$R$47*Deflator!$F$33</f>
        <v>42.893999999999991</v>
      </c>
      <c r="R76" s="138">
        <f t="shared" si="3"/>
        <v>2.3790040066189233E-2</v>
      </c>
      <c r="S76" s="137">
        <f t="shared" si="4"/>
        <v>0</v>
      </c>
    </row>
    <row r="77" spans="1:19" x14ac:dyDescent="0.25">
      <c r="I77" s="141" t="s">
        <v>402</v>
      </c>
      <c r="J77" s="141" t="s">
        <v>387</v>
      </c>
      <c r="K77" s="140" t="s">
        <v>394</v>
      </c>
      <c r="L77" s="139">
        <v>3.6</v>
      </c>
      <c r="M77" s="139">
        <v>2.4</v>
      </c>
      <c r="N77" s="139">
        <v>2.4</v>
      </c>
      <c r="O77" s="139">
        <f>L77*$R$47*Deflator!$F$33</f>
        <v>51.472799999999999</v>
      </c>
      <c r="P77" s="139">
        <f>M77*$R$47*Deflator!$F$33</f>
        <v>34.315199999999997</v>
      </c>
      <c r="Q77" s="139">
        <f>N77*$R$47*Deflator!$F$33</f>
        <v>34.315199999999997</v>
      </c>
      <c r="R77" s="138">
        <f t="shared" si="3"/>
        <v>1.6350839811869022E-2</v>
      </c>
      <c r="S77" s="137">
        <f t="shared" si="4"/>
        <v>0</v>
      </c>
    </row>
    <row r="78" spans="1:19" x14ac:dyDescent="0.25">
      <c r="A78" s="145" t="s">
        <v>371</v>
      </c>
      <c r="B78" s="145" t="s">
        <v>401</v>
      </c>
      <c r="C78" s="145" t="s">
        <v>400</v>
      </c>
      <c r="D78" s="145" t="s">
        <v>399</v>
      </c>
      <c r="E78" s="145" t="s">
        <v>398</v>
      </c>
      <c r="F78" s="145" t="s">
        <v>397</v>
      </c>
      <c r="G78" s="145" t="s">
        <v>396</v>
      </c>
      <c r="I78" s="141" t="s">
        <v>395</v>
      </c>
      <c r="J78" s="141" t="s">
        <v>387</v>
      </c>
      <c r="K78" s="140" t="s">
        <v>394</v>
      </c>
      <c r="L78" s="139">
        <v>3.6</v>
      </c>
      <c r="M78" s="139">
        <v>2.4</v>
      </c>
      <c r="N78" s="139">
        <v>2.4</v>
      </c>
      <c r="O78" s="139">
        <f>L78*$R$47*Deflator!$F$33</f>
        <v>51.472799999999999</v>
      </c>
      <c r="P78" s="139">
        <f>M78*$R$47*Deflator!$F$33</f>
        <v>34.315199999999997</v>
      </c>
      <c r="Q78" s="139">
        <f>N78*$R$47*Deflator!$F$33</f>
        <v>34.315199999999997</v>
      </c>
      <c r="R78" s="138">
        <f t="shared" si="3"/>
        <v>1.6350839811869022E-2</v>
      </c>
      <c r="S78" s="137">
        <f t="shared" si="4"/>
        <v>0</v>
      </c>
    </row>
    <row r="79" spans="1:19" x14ac:dyDescent="0.25">
      <c r="A79" s="142" t="str">
        <f>O39</f>
        <v>75%</v>
      </c>
      <c r="B79" s="144"/>
      <c r="C79" s="144"/>
      <c r="D79" s="144"/>
      <c r="E79" s="144"/>
      <c r="F79" s="142" t="s">
        <v>389</v>
      </c>
      <c r="G79" s="144" t="s">
        <v>393</v>
      </c>
      <c r="I79" s="141" t="s">
        <v>392</v>
      </c>
      <c r="J79" s="141" t="s">
        <v>391</v>
      </c>
      <c r="K79" s="140" t="s">
        <v>390</v>
      </c>
      <c r="L79" s="140"/>
      <c r="M79" s="139">
        <v>4.0999999999999996</v>
      </c>
      <c r="N79" s="139">
        <v>4.0999999999999996</v>
      </c>
      <c r="O79" s="139"/>
      <c r="P79" s="139">
        <f>M79*$R$47*Deflator!$F$33</f>
        <v>58.621799999999986</v>
      </c>
      <c r="Q79" s="139">
        <f>N79*$R$47*Deflator!$F$33</f>
        <v>58.621799999999986</v>
      </c>
      <c r="R79" s="138"/>
      <c r="S79" s="137">
        <f>(P79/Q79)^(1/25)-1</f>
        <v>0</v>
      </c>
    </row>
    <row r="80" spans="1:19" x14ac:dyDescent="0.25">
      <c r="A80" s="142" t="str">
        <f>O40</f>
        <v>75%</v>
      </c>
      <c r="B80" s="144"/>
      <c r="C80" s="144"/>
      <c r="D80" s="144"/>
      <c r="E80" s="144"/>
      <c r="F80" s="142" t="s">
        <v>389</v>
      </c>
      <c r="G80" s="144" t="s">
        <v>388</v>
      </c>
      <c r="I80" s="141" t="s">
        <v>385</v>
      </c>
      <c r="J80" s="141" t="s">
        <v>387</v>
      </c>
      <c r="K80" s="140" t="s">
        <v>383</v>
      </c>
      <c r="L80" s="139">
        <v>1.5</v>
      </c>
      <c r="M80" s="139">
        <v>0.9</v>
      </c>
      <c r="N80" s="139">
        <v>0.9</v>
      </c>
      <c r="O80" s="139">
        <f>L80*$R$47*Deflator!$F$33</f>
        <v>21.446999999999996</v>
      </c>
      <c r="P80" s="139">
        <f>M80*$R$47*Deflator!$F$33</f>
        <v>12.8682</v>
      </c>
      <c r="Q80" s="139">
        <f>N80*$R$47*Deflator!$F$33</f>
        <v>12.8682</v>
      </c>
      <c r="R80" s="138">
        <f>(O80/P80)^(1/25)-1</f>
        <v>2.0643208324757856E-2</v>
      </c>
      <c r="S80" s="137">
        <f>(P80/Q80)^(1/25)-1</f>
        <v>0</v>
      </c>
    </row>
    <row r="81" spans="1:19" x14ac:dyDescent="0.25">
      <c r="A81" s="142"/>
      <c r="B81" s="143">
        <v>0.57999999999999996</v>
      </c>
      <c r="C81" s="143">
        <v>0.87</v>
      </c>
      <c r="D81" s="142"/>
      <c r="E81" s="142"/>
      <c r="F81" s="142" t="s">
        <v>386</v>
      </c>
      <c r="G81" s="142"/>
      <c r="I81" s="141" t="s">
        <v>385</v>
      </c>
      <c r="J81" s="141" t="s">
        <v>384</v>
      </c>
      <c r="K81" s="140" t="s">
        <v>383</v>
      </c>
      <c r="L81" s="139">
        <v>5.6</v>
      </c>
      <c r="M81" s="139">
        <v>1.4</v>
      </c>
      <c r="N81" s="139">
        <v>0.9</v>
      </c>
      <c r="O81" s="139">
        <f>L81*$R$47*Deflator!$F$33</f>
        <v>80.068799999999996</v>
      </c>
      <c r="P81" s="139">
        <f>M81*$R$47*Deflator!$F$33</f>
        <v>20.017199999999999</v>
      </c>
      <c r="Q81" s="139">
        <f>N81*$R$47*Deflator!$F$33</f>
        <v>12.8682</v>
      </c>
      <c r="R81" s="138">
        <f>(O81/P81)^(1/25)-1</f>
        <v>5.7018040561380268E-2</v>
      </c>
      <c r="S81" s="137">
        <f>(P81/Q81)^(1/25)-1</f>
        <v>1.7830407146320004E-2</v>
      </c>
    </row>
    <row r="82" spans="1:19" x14ac:dyDescent="0.25">
      <c r="L82" s="136"/>
      <c r="M82" t="s">
        <v>382</v>
      </c>
      <c r="O82" s="136"/>
      <c r="P82" t="s">
        <v>381</v>
      </c>
    </row>
    <row r="84" spans="1:19" ht="18.75" x14ac:dyDescent="0.3">
      <c r="A84" s="135" t="s">
        <v>380</v>
      </c>
      <c r="B84" s="45"/>
      <c r="C84" s="45"/>
      <c r="D84" s="45"/>
      <c r="E84" s="45"/>
      <c r="F84" s="45"/>
      <c r="G84" s="45"/>
      <c r="I84" s="134" t="s">
        <v>379</v>
      </c>
      <c r="J84" s="134"/>
      <c r="K84" s="134"/>
      <c r="L84" s="134"/>
      <c r="M84" s="134"/>
    </row>
    <row r="85" spans="1:19" x14ac:dyDescent="0.25">
      <c r="I85" s="134" t="s">
        <v>378</v>
      </c>
      <c r="J85" s="134"/>
      <c r="K85" s="134"/>
      <c r="L85" s="134"/>
      <c r="M85" s="134"/>
    </row>
    <row r="86" spans="1:19" x14ac:dyDescent="0.25">
      <c r="A86" t="s">
        <v>377</v>
      </c>
      <c r="B86" t="s">
        <v>376</v>
      </c>
      <c r="I86" s="134" t="s">
        <v>375</v>
      </c>
      <c r="J86" s="134"/>
      <c r="K86" s="134"/>
      <c r="L86" s="134"/>
      <c r="M86" s="134"/>
    </row>
    <row r="87" spans="1:19" x14ac:dyDescent="0.25">
      <c r="I87" s="132" t="s">
        <v>374</v>
      </c>
      <c r="J87" s="352" t="s">
        <v>373</v>
      </c>
      <c r="K87" s="352"/>
      <c r="L87" s="352" t="s">
        <v>372</v>
      </c>
      <c r="M87" s="352"/>
    </row>
    <row r="88" spans="1:19" x14ac:dyDescent="0.25">
      <c r="A88" t="s">
        <v>371</v>
      </c>
      <c r="B88" s="102">
        <v>0.64</v>
      </c>
      <c r="C88" t="s">
        <v>370</v>
      </c>
      <c r="E88" t="s">
        <v>364</v>
      </c>
      <c r="I88" s="132"/>
      <c r="J88" s="132" t="s">
        <v>369</v>
      </c>
      <c r="K88" s="132" t="s">
        <v>367</v>
      </c>
      <c r="L88" s="132" t="s">
        <v>368</v>
      </c>
      <c r="M88" s="132" t="s">
        <v>367</v>
      </c>
    </row>
    <row r="89" spans="1:19" x14ac:dyDescent="0.25">
      <c r="A89" t="s">
        <v>366</v>
      </c>
      <c r="B89">
        <v>21.7</v>
      </c>
      <c r="C89" t="s">
        <v>365</v>
      </c>
      <c r="E89" t="s">
        <v>364</v>
      </c>
      <c r="I89" s="132" t="s">
        <v>363</v>
      </c>
      <c r="J89" s="131" t="s">
        <v>349</v>
      </c>
      <c r="K89" s="131" t="s">
        <v>348</v>
      </c>
      <c r="L89" s="131" t="s">
        <v>349</v>
      </c>
      <c r="M89" s="131" t="s">
        <v>348</v>
      </c>
    </row>
    <row r="90" spans="1:19" ht="25.5" x14ac:dyDescent="0.25">
      <c r="B90" s="82">
        <f>B89/Y9</f>
        <v>0.15281690140845069</v>
      </c>
      <c r="C90" t="s">
        <v>362</v>
      </c>
      <c r="I90" s="132" t="s">
        <v>361</v>
      </c>
      <c r="J90" s="131" t="s">
        <v>349</v>
      </c>
      <c r="K90" s="131" t="s">
        <v>348</v>
      </c>
      <c r="L90" s="131" t="s">
        <v>348</v>
      </c>
      <c r="M90" s="131" t="s">
        <v>349</v>
      </c>
    </row>
    <row r="91" spans="1:19" x14ac:dyDescent="0.25">
      <c r="B91" s="82">
        <f>B89/Y10</f>
        <v>0.18083333333333332</v>
      </c>
      <c r="C91" t="s">
        <v>360</v>
      </c>
      <c r="I91" s="132" t="s">
        <v>359</v>
      </c>
      <c r="J91" s="131" t="s">
        <v>349</v>
      </c>
      <c r="K91" s="131" t="s">
        <v>348</v>
      </c>
      <c r="L91" s="131" t="s">
        <v>349</v>
      </c>
      <c r="M91" s="131" t="s">
        <v>348</v>
      </c>
    </row>
    <row r="92" spans="1:19" x14ac:dyDescent="0.25">
      <c r="B92" s="133">
        <f>B90*1000</f>
        <v>152.81690140845069</v>
      </c>
      <c r="C92" t="s">
        <v>358</v>
      </c>
      <c r="I92" s="132" t="s">
        <v>357</v>
      </c>
      <c r="J92" s="131" t="s">
        <v>356</v>
      </c>
      <c r="K92" s="131" t="s">
        <v>355</v>
      </c>
      <c r="L92" s="131" t="s">
        <v>349</v>
      </c>
      <c r="M92" s="131" t="s">
        <v>348</v>
      </c>
    </row>
    <row r="93" spans="1:19" x14ac:dyDescent="0.25">
      <c r="B93" s="133">
        <f>B91*1000</f>
        <v>180.83333333333331</v>
      </c>
      <c r="C93" t="s">
        <v>354</v>
      </c>
      <c r="I93" s="132" t="s">
        <v>353</v>
      </c>
      <c r="J93" s="131" t="s">
        <v>349</v>
      </c>
      <c r="K93" s="131" t="s">
        <v>348</v>
      </c>
      <c r="L93" s="131" t="s">
        <v>352</v>
      </c>
      <c r="M93" s="131" t="s">
        <v>351</v>
      </c>
    </row>
    <row r="94" spans="1:19" x14ac:dyDescent="0.25">
      <c r="I94" s="132" t="s">
        <v>350</v>
      </c>
      <c r="J94" s="131" t="s">
        <v>348</v>
      </c>
      <c r="K94" s="131" t="s">
        <v>349</v>
      </c>
      <c r="L94" s="131" t="s">
        <v>349</v>
      </c>
      <c r="M94" s="131" t="s">
        <v>348</v>
      </c>
    </row>
    <row r="97" spans="9:17" ht="15.75" x14ac:dyDescent="0.25">
      <c r="I97" s="130" t="s">
        <v>347</v>
      </c>
      <c r="J97" s="114"/>
      <c r="K97" s="114"/>
      <c r="L97" s="114"/>
      <c r="M97" s="114"/>
      <c r="N97" s="114"/>
      <c r="O97" s="114"/>
      <c r="P97" s="114"/>
      <c r="Q97" s="114"/>
    </row>
    <row r="98" spans="9:17" x14ac:dyDescent="0.25">
      <c r="I98" s="114"/>
      <c r="J98" s="114"/>
      <c r="K98" s="114"/>
      <c r="L98" s="114"/>
      <c r="M98" s="114"/>
      <c r="N98" s="114"/>
      <c r="O98" s="114"/>
      <c r="P98" s="114"/>
      <c r="Q98" s="114"/>
    </row>
    <row r="99" spans="9:17" x14ac:dyDescent="0.25">
      <c r="I99" s="114" t="s">
        <v>346</v>
      </c>
      <c r="J99" s="114"/>
      <c r="K99" s="114"/>
      <c r="L99" s="114"/>
      <c r="M99" s="114"/>
      <c r="N99" s="114"/>
      <c r="O99" s="114"/>
      <c r="P99" s="114"/>
      <c r="Q99" s="114"/>
    </row>
    <row r="100" spans="9:17" x14ac:dyDescent="0.25">
      <c r="I100" s="114" t="s">
        <v>345</v>
      </c>
      <c r="J100" s="114"/>
      <c r="K100" s="114"/>
      <c r="L100" s="114"/>
      <c r="M100" s="114"/>
      <c r="N100" s="114"/>
      <c r="O100" s="114"/>
      <c r="P100" s="114"/>
      <c r="Q100" s="114"/>
    </row>
    <row r="101" spans="9:17" x14ac:dyDescent="0.25">
      <c r="I101" s="114" t="s">
        <v>344</v>
      </c>
      <c r="J101" s="114"/>
      <c r="K101" s="114"/>
      <c r="L101" s="114"/>
      <c r="M101" s="114"/>
      <c r="N101" s="114"/>
      <c r="O101" s="114"/>
      <c r="P101" s="114"/>
      <c r="Q101" s="114"/>
    </row>
    <row r="102" spans="9:17" x14ac:dyDescent="0.25">
      <c r="I102" s="44" t="s">
        <v>328</v>
      </c>
      <c r="J102" s="127" t="s">
        <v>339</v>
      </c>
      <c r="K102" s="127" t="s">
        <v>338</v>
      </c>
      <c r="L102" s="120" t="s">
        <v>326</v>
      </c>
      <c r="M102" s="119"/>
      <c r="N102" s="118"/>
      <c r="O102" s="120" t="s">
        <v>325</v>
      </c>
      <c r="P102" s="119"/>
      <c r="Q102" s="118"/>
    </row>
    <row r="103" spans="9:17" x14ac:dyDescent="0.25">
      <c r="I103" s="44"/>
      <c r="J103" s="127"/>
      <c r="K103" s="120"/>
      <c r="L103" s="117">
        <v>2000</v>
      </c>
      <c r="M103" s="117">
        <v>2025</v>
      </c>
      <c r="N103" s="117">
        <v>2050</v>
      </c>
      <c r="O103" s="117">
        <v>2000</v>
      </c>
      <c r="P103" s="117">
        <v>2025</v>
      </c>
      <c r="Q103" s="117">
        <v>2050</v>
      </c>
    </row>
    <row r="104" spans="9:17" x14ac:dyDescent="0.25">
      <c r="I104" s="44" t="s">
        <v>337</v>
      </c>
      <c r="J104" s="127" t="s">
        <v>334</v>
      </c>
      <c r="K104" s="125">
        <v>2000</v>
      </c>
      <c r="L104" s="111">
        <v>15</v>
      </c>
      <c r="M104" s="111">
        <v>6</v>
      </c>
      <c r="N104" s="111">
        <v>6</v>
      </c>
      <c r="O104" s="115">
        <v>0.82</v>
      </c>
      <c r="P104" s="115">
        <v>0.85</v>
      </c>
      <c r="Q104" s="115">
        <v>0.85</v>
      </c>
    </row>
    <row r="105" spans="9:17" x14ac:dyDescent="0.25">
      <c r="I105" s="44" t="s">
        <v>337</v>
      </c>
      <c r="J105" s="127" t="s">
        <v>336</v>
      </c>
      <c r="K105" s="125">
        <v>2020</v>
      </c>
      <c r="L105" s="111">
        <v>15</v>
      </c>
      <c r="M105" s="111">
        <v>10</v>
      </c>
      <c r="N105" s="111">
        <v>10</v>
      </c>
      <c r="O105" s="115">
        <v>0.75</v>
      </c>
      <c r="P105" s="115">
        <v>0.8</v>
      </c>
      <c r="Q105" s="115">
        <v>0.8</v>
      </c>
    </row>
    <row r="106" spans="9:17" x14ac:dyDescent="0.25">
      <c r="I106" s="44" t="s">
        <v>335</v>
      </c>
      <c r="J106" s="127" t="s">
        <v>334</v>
      </c>
      <c r="K106" s="125">
        <v>2020</v>
      </c>
      <c r="L106" s="111">
        <v>8</v>
      </c>
      <c r="M106" s="111">
        <v>4</v>
      </c>
      <c r="N106" s="111">
        <v>3</v>
      </c>
      <c r="O106" s="115">
        <v>0.95</v>
      </c>
      <c r="P106" s="115">
        <v>0.95</v>
      </c>
      <c r="Q106" s="115">
        <v>0.95</v>
      </c>
    </row>
    <row r="107" spans="9:17" x14ac:dyDescent="0.25">
      <c r="I107" s="44" t="s">
        <v>333</v>
      </c>
      <c r="J107" s="127" t="s">
        <v>332</v>
      </c>
      <c r="K107" s="125">
        <v>2020</v>
      </c>
      <c r="L107" s="111">
        <v>4</v>
      </c>
      <c r="M107" s="111">
        <v>4</v>
      </c>
      <c r="N107" s="111">
        <v>4</v>
      </c>
      <c r="O107" s="115">
        <v>0.98</v>
      </c>
      <c r="P107" s="115">
        <v>0.98</v>
      </c>
      <c r="Q107" s="115">
        <v>0.98</v>
      </c>
    </row>
    <row r="108" spans="9:17" x14ac:dyDescent="0.25">
      <c r="I108" s="129">
        <v>22</v>
      </c>
      <c r="J108" s="114"/>
      <c r="K108" s="114"/>
      <c r="L108" s="114"/>
      <c r="M108" s="114"/>
      <c r="N108" s="114"/>
      <c r="O108" s="114"/>
      <c r="P108" s="114"/>
      <c r="Q108" s="114"/>
    </row>
    <row r="109" spans="9:17" x14ac:dyDescent="0.25">
      <c r="I109" s="114" t="s">
        <v>343</v>
      </c>
      <c r="J109" s="114"/>
      <c r="K109" s="114"/>
      <c r="L109" s="114"/>
      <c r="M109" s="114"/>
      <c r="N109" s="114"/>
      <c r="O109" s="114"/>
      <c r="P109" s="114"/>
      <c r="Q109" s="114"/>
    </row>
    <row r="110" spans="9:17" x14ac:dyDescent="0.25">
      <c r="I110" s="114" t="s">
        <v>342</v>
      </c>
      <c r="J110" s="114"/>
      <c r="K110" s="114"/>
      <c r="L110" s="114"/>
      <c r="M110" s="114"/>
      <c r="N110" s="114"/>
      <c r="O110" s="114"/>
      <c r="P110" s="114"/>
      <c r="Q110" s="114"/>
    </row>
    <row r="111" spans="9:17" x14ac:dyDescent="0.25">
      <c r="I111" s="114" t="s">
        <v>341</v>
      </c>
      <c r="J111" s="114"/>
      <c r="K111" s="114"/>
      <c r="L111" s="114"/>
      <c r="M111" s="114"/>
      <c r="N111" s="114"/>
      <c r="O111" s="114"/>
      <c r="P111" s="114"/>
      <c r="Q111" s="114"/>
    </row>
    <row r="112" spans="9:17" x14ac:dyDescent="0.25">
      <c r="I112" s="114" t="s">
        <v>340</v>
      </c>
      <c r="J112" s="114"/>
      <c r="K112" s="114"/>
      <c r="L112" s="114"/>
      <c r="M112" s="114"/>
      <c r="N112" s="114"/>
      <c r="O112" s="114"/>
      <c r="P112" s="114"/>
      <c r="Q112" s="114"/>
    </row>
    <row r="113" spans="9:17" x14ac:dyDescent="0.25">
      <c r="I113" s="44" t="s">
        <v>328</v>
      </c>
      <c r="J113" s="127" t="s">
        <v>339</v>
      </c>
      <c r="K113" s="127" t="s">
        <v>338</v>
      </c>
      <c r="L113" s="120" t="s">
        <v>326</v>
      </c>
      <c r="M113" s="119"/>
      <c r="N113" s="118"/>
      <c r="O113" s="120" t="s">
        <v>325</v>
      </c>
      <c r="P113" s="119"/>
      <c r="Q113" s="118"/>
    </row>
    <row r="114" spans="9:17" x14ac:dyDescent="0.25">
      <c r="I114" s="44"/>
      <c r="J114" s="127"/>
      <c r="K114" s="127"/>
      <c r="L114" s="128">
        <v>2000</v>
      </c>
      <c r="M114" s="128">
        <v>2025</v>
      </c>
      <c r="N114" s="128">
        <v>2050</v>
      </c>
      <c r="O114" s="117">
        <v>2000</v>
      </c>
      <c r="P114" s="117">
        <v>2025</v>
      </c>
      <c r="Q114" s="117">
        <v>2050</v>
      </c>
    </row>
    <row r="115" spans="9:17" x14ac:dyDescent="0.25">
      <c r="I115" s="44" t="s">
        <v>337</v>
      </c>
      <c r="J115" s="127" t="s">
        <v>334</v>
      </c>
      <c r="K115" s="126">
        <v>2000</v>
      </c>
      <c r="L115" s="125">
        <v>31</v>
      </c>
      <c r="M115" s="125">
        <v>12</v>
      </c>
      <c r="N115" s="125">
        <v>12</v>
      </c>
      <c r="O115" s="115">
        <v>0.82</v>
      </c>
      <c r="P115" s="115">
        <v>0.85</v>
      </c>
      <c r="Q115" s="115">
        <v>0.85</v>
      </c>
    </row>
    <row r="116" spans="9:17" x14ac:dyDescent="0.25">
      <c r="I116" s="44" t="s">
        <v>337</v>
      </c>
      <c r="J116" s="127" t="s">
        <v>336</v>
      </c>
      <c r="K116" s="126">
        <v>2020</v>
      </c>
      <c r="L116" s="125">
        <v>31</v>
      </c>
      <c r="M116" s="125">
        <v>21</v>
      </c>
      <c r="N116" s="125">
        <v>21</v>
      </c>
      <c r="O116" s="115">
        <v>0.75</v>
      </c>
      <c r="P116" s="115">
        <v>0.8</v>
      </c>
      <c r="Q116" s="115">
        <v>0.8</v>
      </c>
    </row>
    <row r="117" spans="9:17" x14ac:dyDescent="0.25">
      <c r="I117" s="44" t="s">
        <v>335</v>
      </c>
      <c r="J117" s="127" t="s">
        <v>334</v>
      </c>
      <c r="K117" s="126">
        <v>2020</v>
      </c>
      <c r="L117" s="125">
        <v>16</v>
      </c>
      <c r="M117" s="125">
        <v>8</v>
      </c>
      <c r="N117" s="125">
        <v>6</v>
      </c>
      <c r="O117" s="115">
        <v>0.95</v>
      </c>
      <c r="P117" s="115">
        <v>0.95</v>
      </c>
      <c r="Q117" s="115">
        <v>0.95</v>
      </c>
    </row>
    <row r="118" spans="9:17" x14ac:dyDescent="0.25">
      <c r="I118" s="44" t="s">
        <v>333</v>
      </c>
      <c r="J118" s="127" t="s">
        <v>332</v>
      </c>
      <c r="K118" s="126">
        <v>2020</v>
      </c>
      <c r="L118" s="125">
        <v>8</v>
      </c>
      <c r="M118" s="125">
        <v>8</v>
      </c>
      <c r="N118" s="125">
        <v>8</v>
      </c>
      <c r="O118" s="115">
        <v>0.98</v>
      </c>
      <c r="P118" s="115">
        <v>0.98</v>
      </c>
      <c r="Q118" s="115">
        <v>0.98</v>
      </c>
    </row>
    <row r="119" spans="9:17" x14ac:dyDescent="0.25">
      <c r="I119" s="124"/>
      <c r="J119" s="124"/>
      <c r="K119" s="124"/>
      <c r="L119" s="123"/>
      <c r="M119" s="123"/>
      <c r="N119" s="123"/>
      <c r="O119" s="123"/>
      <c r="P119" s="122"/>
      <c r="Q119" s="122"/>
    </row>
    <row r="120" spans="9:17" x14ac:dyDescent="0.25">
      <c r="I120" s="121" t="s">
        <v>331</v>
      </c>
      <c r="J120" s="114"/>
      <c r="K120" s="114"/>
      <c r="L120" s="114"/>
      <c r="M120" s="114"/>
      <c r="N120" s="114"/>
      <c r="O120" s="114"/>
      <c r="P120" s="114"/>
      <c r="Q120" s="114"/>
    </row>
    <row r="121" spans="9:17" x14ac:dyDescent="0.25">
      <c r="I121" s="114" t="s">
        <v>330</v>
      </c>
      <c r="J121" s="114"/>
      <c r="K121" s="114"/>
      <c r="L121" s="114"/>
      <c r="M121" s="114"/>
      <c r="N121" s="114"/>
      <c r="O121" s="114"/>
      <c r="P121" s="114"/>
      <c r="Q121" s="114"/>
    </row>
    <row r="122" spans="9:17" x14ac:dyDescent="0.25">
      <c r="I122" s="114" t="s">
        <v>329</v>
      </c>
      <c r="J122" s="114"/>
      <c r="K122" s="114"/>
      <c r="L122" s="114"/>
      <c r="M122" s="114"/>
      <c r="N122" s="114"/>
      <c r="O122" s="114"/>
      <c r="P122" s="114"/>
      <c r="Q122" s="114"/>
    </row>
    <row r="123" spans="9:17" x14ac:dyDescent="0.25">
      <c r="I123" s="116" t="s">
        <v>328</v>
      </c>
      <c r="J123" s="113" t="s">
        <v>327</v>
      </c>
      <c r="K123" s="346" t="s">
        <v>326</v>
      </c>
      <c r="L123" s="347"/>
      <c r="M123" s="348"/>
      <c r="N123" s="346" t="s">
        <v>325</v>
      </c>
      <c r="O123" s="347"/>
      <c r="P123" s="348"/>
      <c r="Q123" s="114"/>
    </row>
    <row r="124" spans="9:17" x14ac:dyDescent="0.25">
      <c r="I124" s="116"/>
      <c r="J124" s="113" t="s">
        <v>324</v>
      </c>
      <c r="K124" s="117">
        <v>2000</v>
      </c>
      <c r="L124" s="117">
        <v>2025</v>
      </c>
      <c r="M124" s="117">
        <v>2050</v>
      </c>
      <c r="N124" s="117">
        <v>2000</v>
      </c>
      <c r="O124" s="117">
        <v>2025</v>
      </c>
      <c r="P124" s="117">
        <v>2050</v>
      </c>
      <c r="Q124" s="114"/>
    </row>
    <row r="125" spans="9:17" ht="30" x14ac:dyDescent="0.25">
      <c r="I125" s="116" t="s">
        <v>323</v>
      </c>
      <c r="J125" s="111">
        <v>2000</v>
      </c>
      <c r="K125" s="111">
        <v>16</v>
      </c>
      <c r="L125" s="111">
        <v>10</v>
      </c>
      <c r="M125" s="111">
        <v>6</v>
      </c>
      <c r="N125" s="115">
        <v>0.95</v>
      </c>
      <c r="O125" s="115">
        <v>0.95</v>
      </c>
      <c r="P125" s="115">
        <v>0.95</v>
      </c>
      <c r="Q125" s="114"/>
    </row>
    <row r="126" spans="9:17" ht="30" x14ac:dyDescent="0.25">
      <c r="I126" s="116" t="s">
        <v>322</v>
      </c>
      <c r="J126" s="111">
        <v>2000</v>
      </c>
      <c r="K126" s="111">
        <v>33</v>
      </c>
      <c r="L126" s="111">
        <v>20</v>
      </c>
      <c r="M126" s="111">
        <v>12</v>
      </c>
      <c r="N126" s="115">
        <v>0.95</v>
      </c>
      <c r="O126" s="115">
        <v>0.95</v>
      </c>
      <c r="P126" s="115">
        <v>0.95</v>
      </c>
      <c r="Q126" s="114"/>
    </row>
    <row r="128" spans="9:17" x14ac:dyDescent="0.25">
      <c r="I128" s="349" t="s">
        <v>321</v>
      </c>
      <c r="J128" s="349"/>
      <c r="K128" s="349"/>
      <c r="L128" s="349"/>
      <c r="M128" s="349"/>
      <c r="N128" s="349"/>
      <c r="O128" s="349"/>
      <c r="P128" s="349"/>
      <c r="Q128" s="349"/>
    </row>
    <row r="129" spans="9:17" x14ac:dyDescent="0.25">
      <c r="I129" s="349"/>
      <c r="J129" s="349"/>
      <c r="K129" s="349"/>
      <c r="L129" s="349"/>
      <c r="M129" s="349"/>
      <c r="N129" s="349"/>
      <c r="O129" s="349"/>
      <c r="P129" s="349"/>
      <c r="Q129" s="349"/>
    </row>
    <row r="130" spans="9:17" x14ac:dyDescent="0.25">
      <c r="I130" s="349"/>
      <c r="J130" s="349"/>
      <c r="K130" s="349"/>
      <c r="L130" s="349"/>
      <c r="M130" s="349"/>
      <c r="N130" s="349"/>
      <c r="O130" s="349"/>
      <c r="P130" s="349"/>
      <c r="Q130" s="349"/>
    </row>
    <row r="131" spans="9:17" x14ac:dyDescent="0.25">
      <c r="I131" s="349"/>
      <c r="J131" s="349"/>
      <c r="K131" s="349"/>
      <c r="L131" s="349"/>
      <c r="M131" s="349"/>
      <c r="N131" s="349"/>
      <c r="O131" s="349"/>
      <c r="P131" s="349"/>
      <c r="Q131" s="349"/>
    </row>
    <row r="132" spans="9:17" x14ac:dyDescent="0.25">
      <c r="I132" s="349"/>
      <c r="J132" s="349"/>
      <c r="K132" s="349"/>
      <c r="L132" s="349"/>
      <c r="M132" s="349"/>
      <c r="N132" s="349"/>
      <c r="O132" s="349"/>
      <c r="P132" s="349"/>
      <c r="Q132" s="349"/>
    </row>
    <row r="134" spans="9:17" x14ac:dyDescent="0.25">
      <c r="I134" s="114" t="s">
        <v>320</v>
      </c>
      <c r="J134" s="114"/>
      <c r="K134" s="114"/>
      <c r="L134" s="114"/>
      <c r="M134" s="114"/>
      <c r="N134" s="114"/>
    </row>
    <row r="135" spans="9:17" ht="30" x14ac:dyDescent="0.25">
      <c r="I135" s="44" t="s">
        <v>318</v>
      </c>
      <c r="J135" s="44" t="s">
        <v>317</v>
      </c>
      <c r="K135" s="44" t="s">
        <v>316</v>
      </c>
      <c r="L135" s="113" t="s">
        <v>315</v>
      </c>
      <c r="M135" s="113" t="s">
        <v>314</v>
      </c>
      <c r="N135" s="44" t="s">
        <v>313</v>
      </c>
    </row>
    <row r="136" spans="9:17" x14ac:dyDescent="0.25">
      <c r="I136" s="112">
        <v>2000</v>
      </c>
      <c r="J136" s="111">
        <v>10</v>
      </c>
      <c r="K136" s="111">
        <v>15</v>
      </c>
      <c r="L136" s="111">
        <v>12</v>
      </c>
      <c r="M136" s="111">
        <v>19</v>
      </c>
      <c r="N136" s="111">
        <v>29</v>
      </c>
    </row>
    <row r="137" spans="9:17" x14ac:dyDescent="0.25">
      <c r="I137" s="112">
        <v>2010</v>
      </c>
      <c r="J137" s="111">
        <v>9</v>
      </c>
      <c r="K137" s="111">
        <v>14</v>
      </c>
      <c r="L137" s="111">
        <v>11</v>
      </c>
      <c r="M137" s="111">
        <v>16</v>
      </c>
      <c r="N137" s="111">
        <v>25</v>
      </c>
    </row>
    <row r="138" spans="9:17" x14ac:dyDescent="0.25">
      <c r="I138" s="112">
        <v>2020</v>
      </c>
      <c r="J138" s="111">
        <v>8</v>
      </c>
      <c r="K138" s="111">
        <v>12</v>
      </c>
      <c r="L138" s="111">
        <v>10</v>
      </c>
      <c r="M138" s="111">
        <v>14</v>
      </c>
      <c r="N138" s="111">
        <v>21</v>
      </c>
    </row>
    <row r="139" spans="9:17" x14ac:dyDescent="0.25">
      <c r="I139" s="112">
        <v>2030</v>
      </c>
      <c r="J139" s="111">
        <v>7</v>
      </c>
      <c r="K139" s="111">
        <v>11</v>
      </c>
      <c r="L139" s="111">
        <v>9</v>
      </c>
      <c r="M139" s="111">
        <v>12</v>
      </c>
      <c r="N139" s="111">
        <v>18</v>
      </c>
    </row>
    <row r="140" spans="9:17" x14ac:dyDescent="0.25">
      <c r="I140" s="112">
        <v>2040</v>
      </c>
      <c r="J140" s="111">
        <v>7</v>
      </c>
      <c r="K140" s="111">
        <v>10</v>
      </c>
      <c r="L140" s="111">
        <v>8</v>
      </c>
      <c r="M140" s="111">
        <v>11</v>
      </c>
      <c r="N140" s="111">
        <v>15</v>
      </c>
    </row>
    <row r="141" spans="9:17" x14ac:dyDescent="0.25">
      <c r="I141" s="112">
        <v>2050</v>
      </c>
      <c r="J141" s="111">
        <v>6</v>
      </c>
      <c r="K141" s="111">
        <v>9</v>
      </c>
      <c r="L141" s="111">
        <v>7</v>
      </c>
      <c r="M141" s="111">
        <v>10</v>
      </c>
      <c r="N141" s="111">
        <v>13</v>
      </c>
    </row>
    <row r="142" spans="9:17" x14ac:dyDescent="0.25">
      <c r="I142" s="114" t="s">
        <v>319</v>
      </c>
      <c r="J142" s="114"/>
      <c r="K142" s="114"/>
      <c r="L142" s="114"/>
      <c r="M142" s="114"/>
      <c r="N142" s="114"/>
    </row>
    <row r="143" spans="9:17" ht="30" x14ac:dyDescent="0.25">
      <c r="I143" s="44" t="s">
        <v>318</v>
      </c>
      <c r="J143" s="44" t="s">
        <v>317</v>
      </c>
      <c r="K143" s="44" t="s">
        <v>316</v>
      </c>
      <c r="L143" s="113" t="s">
        <v>315</v>
      </c>
      <c r="M143" s="113" t="s">
        <v>314</v>
      </c>
      <c r="N143" s="44" t="s">
        <v>313</v>
      </c>
    </row>
    <row r="144" spans="9:17" x14ac:dyDescent="0.25">
      <c r="I144" s="112">
        <v>2000</v>
      </c>
      <c r="J144" s="111">
        <v>20</v>
      </c>
      <c r="K144" s="111">
        <v>31</v>
      </c>
      <c r="L144" s="111">
        <v>25</v>
      </c>
      <c r="M144" s="111">
        <v>39</v>
      </c>
      <c r="N144" s="111">
        <v>59</v>
      </c>
    </row>
    <row r="145" spans="9:14" x14ac:dyDescent="0.25">
      <c r="I145" s="112">
        <v>2010</v>
      </c>
      <c r="J145" s="111">
        <v>18</v>
      </c>
      <c r="K145" s="111">
        <v>28</v>
      </c>
      <c r="L145" s="111">
        <v>23</v>
      </c>
      <c r="M145" s="111">
        <v>34</v>
      </c>
      <c r="N145" s="111">
        <v>50</v>
      </c>
    </row>
    <row r="146" spans="9:14" x14ac:dyDescent="0.25">
      <c r="I146" s="112">
        <v>2020</v>
      </c>
      <c r="J146" s="111">
        <v>16</v>
      </c>
      <c r="K146" s="111">
        <v>25</v>
      </c>
      <c r="L146" s="111">
        <v>20</v>
      </c>
      <c r="M146" s="111">
        <v>29</v>
      </c>
      <c r="N146" s="111">
        <v>43</v>
      </c>
    </row>
    <row r="147" spans="9:14" x14ac:dyDescent="0.25">
      <c r="I147" s="112">
        <v>2030</v>
      </c>
      <c r="J147" s="111">
        <v>15</v>
      </c>
      <c r="K147" s="111">
        <v>23</v>
      </c>
      <c r="L147" s="111">
        <v>18</v>
      </c>
      <c r="M147" s="111">
        <v>26</v>
      </c>
      <c r="N147" s="111">
        <v>37</v>
      </c>
    </row>
    <row r="148" spans="9:14" x14ac:dyDescent="0.25">
      <c r="I148" s="112">
        <v>2040</v>
      </c>
      <c r="J148" s="111">
        <v>13</v>
      </c>
      <c r="K148" s="111">
        <v>20</v>
      </c>
      <c r="L148" s="111">
        <v>16</v>
      </c>
      <c r="M148" s="111">
        <v>22</v>
      </c>
      <c r="N148" s="111">
        <v>31</v>
      </c>
    </row>
    <row r="149" spans="9:14" x14ac:dyDescent="0.25">
      <c r="I149" s="112">
        <v>2050</v>
      </c>
      <c r="J149" s="111">
        <v>12</v>
      </c>
      <c r="K149" s="111">
        <v>18</v>
      </c>
      <c r="L149" s="111">
        <v>15</v>
      </c>
      <c r="M149" s="111">
        <v>20</v>
      </c>
      <c r="N149" s="111">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A141E675-9962-4785-8A8D-B1A687A4B1B7}"/>
    <hyperlink ref="A5" location="Hydrogen!A17" display="Hydrogen!A17" xr:uid="{7B4EA3DC-4104-4144-BFDB-1F40E3B4994F}"/>
    <hyperlink ref="A6" location="Hydrogen!A58" display="Hydrogen!A58" xr:uid="{CFD7BF23-710F-4011-9889-1C4E9F71A123}"/>
    <hyperlink ref="A4" location="Hydrogen!I1" display="Hydrogen!I1" xr:uid="{C623D6B6-60BD-4F53-B488-0A80288718BC}"/>
    <hyperlink ref="I2" r:id="rId1" xr:uid="{8B039D51-C2E4-4959-8659-64B21FC9D0F1}"/>
    <hyperlink ref="M2" r:id="rId2" xr:uid="{C1F68481-0A47-43A9-AE7C-D9A181581372}"/>
    <hyperlink ref="Z14" r:id="rId3" xr:uid="{DB6F6AD2-E075-45B0-A98B-0690BD260D99}"/>
    <hyperlink ref="Z15" r:id="rId4" xr:uid="{7737A280-92E2-41B4-9863-512C1D111381}"/>
  </hyperlinks>
  <pageMargins left="0.7" right="0.7" top="0.75" bottom="0.75" header="0.3" footer="0.3"/>
  <pageSetup paperSize="9" orientation="portrait" r:id="rId5"/>
  <drawing r:id="rId6"/>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39DF-0B08-478C-9C12-80E245B00458}">
  <sheetPr>
    <tabColor rgb="FF92D050"/>
  </sheetPr>
  <dimension ref="A1:S62"/>
  <sheetViews>
    <sheetView workbookViewId="0">
      <selection activeCell="F7" sqref="F7"/>
    </sheetView>
  </sheetViews>
  <sheetFormatPr defaultRowHeight="15" x14ac:dyDescent="0.25"/>
  <cols>
    <col min="1" max="2" width="16.85546875" customWidth="1"/>
    <col min="3" max="3" width="23.85546875" customWidth="1"/>
    <col min="4" max="4" width="15.5703125" customWidth="1"/>
    <col min="5" max="5" width="15.42578125" customWidth="1"/>
    <col min="6" max="6" width="14.42578125" customWidth="1"/>
    <col min="7" max="7" width="14.7109375" bestFit="1" customWidth="1"/>
    <col min="8" max="8" width="15.7109375" bestFit="1" customWidth="1"/>
    <col min="9" max="9" width="19" customWidth="1"/>
    <col min="10" max="10" width="12.5703125" bestFit="1" customWidth="1"/>
    <col min="13" max="13" width="9.5703125" bestFit="1" customWidth="1"/>
  </cols>
  <sheetData>
    <row r="1" spans="1:10" x14ac:dyDescent="0.25">
      <c r="A1" s="32" t="s">
        <v>594</v>
      </c>
    </row>
    <row r="2" spans="1:10" x14ac:dyDescent="0.25">
      <c r="A2" t="s">
        <v>593</v>
      </c>
      <c r="B2" t="s">
        <v>592</v>
      </c>
    </row>
    <row r="3" spans="1:10" x14ac:dyDescent="0.25">
      <c r="A3" t="s">
        <v>591</v>
      </c>
      <c r="B3" t="s">
        <v>590</v>
      </c>
    </row>
    <row r="4" spans="1:10" x14ac:dyDescent="0.25">
      <c r="A4" s="32"/>
      <c r="I4" s="231" t="s">
        <v>589</v>
      </c>
      <c r="J4" s="231"/>
    </row>
    <row r="5" spans="1:10" x14ac:dyDescent="0.25">
      <c r="A5" t="s">
        <v>269</v>
      </c>
      <c r="B5" t="s">
        <v>268</v>
      </c>
      <c r="C5" s="32"/>
      <c r="F5" s="207">
        <v>2020</v>
      </c>
      <c r="G5" s="207">
        <v>2030</v>
      </c>
      <c r="H5" s="221">
        <v>2035</v>
      </c>
      <c r="I5" s="230">
        <v>2040</v>
      </c>
      <c r="J5" s="230">
        <v>2050</v>
      </c>
    </row>
    <row r="6" spans="1:10" x14ac:dyDescent="0.25">
      <c r="A6" s="226" t="s">
        <v>583</v>
      </c>
      <c r="B6" t="s">
        <v>24</v>
      </c>
      <c r="C6" t="s">
        <v>588</v>
      </c>
      <c r="F6" s="228">
        <f>F51*$D$20</f>
        <v>19642.016806722688</v>
      </c>
      <c r="G6" s="228">
        <f>AVERAGE(F6,H6)</f>
        <v>13546.218487394957</v>
      </c>
      <c r="H6" s="228">
        <f t="shared" ref="H6:J7" si="0">H51*$D$20</f>
        <v>7450.4201680672268</v>
      </c>
      <c r="I6" s="227">
        <f t="shared" si="0"/>
        <v>6271.0466004583659</v>
      </c>
      <c r="J6" s="227">
        <f t="shared" si="0"/>
        <v>5091.6730328495041</v>
      </c>
    </row>
    <row r="7" spans="1:10" x14ac:dyDescent="0.25">
      <c r="A7" s="226" t="s">
        <v>582</v>
      </c>
      <c r="B7" t="s">
        <v>24</v>
      </c>
      <c r="C7" t="s">
        <v>588</v>
      </c>
      <c r="F7" s="228">
        <f>F52*$D$20</f>
        <v>12868.90756302521</v>
      </c>
      <c r="G7" s="228">
        <f>AVERAGE(F7,H7)</f>
        <v>9482.3529411764703</v>
      </c>
      <c r="H7" s="228">
        <f t="shared" si="0"/>
        <v>6095.7983193277314</v>
      </c>
      <c r="I7" s="227">
        <f t="shared" si="0"/>
        <v>4856.9561157796461</v>
      </c>
      <c r="J7" s="227">
        <f t="shared" si="0"/>
        <v>3618.1139122315594</v>
      </c>
    </row>
    <row r="8" spans="1:10" x14ac:dyDescent="0.25">
      <c r="A8" s="226" t="s">
        <v>583</v>
      </c>
      <c r="B8" t="s">
        <v>44</v>
      </c>
      <c r="C8" t="s">
        <v>587</v>
      </c>
      <c r="D8" s="229">
        <v>1.4999999999999999E-2</v>
      </c>
      <c r="F8" s="228">
        <f t="shared" ref="F8:J9" si="1">$D$8*F6</f>
        <v>294.63025210084032</v>
      </c>
      <c r="G8" s="228">
        <f t="shared" si="1"/>
        <v>203.19327731092434</v>
      </c>
      <c r="H8" s="228">
        <f t="shared" si="1"/>
        <v>111.75630252100839</v>
      </c>
      <c r="I8" s="227">
        <f t="shared" si="1"/>
        <v>94.065699006875491</v>
      </c>
      <c r="J8" s="227">
        <f t="shared" si="1"/>
        <v>76.37509549274256</v>
      </c>
    </row>
    <row r="9" spans="1:10" x14ac:dyDescent="0.25">
      <c r="A9" s="226" t="s">
        <v>582</v>
      </c>
      <c r="B9" t="s">
        <v>44</v>
      </c>
      <c r="C9" t="s">
        <v>587</v>
      </c>
      <c r="D9" s="229">
        <f>D8</f>
        <v>1.4999999999999999E-2</v>
      </c>
      <c r="F9" s="228">
        <f t="shared" si="1"/>
        <v>193.03361344537814</v>
      </c>
      <c r="G9" s="228">
        <f t="shared" si="1"/>
        <v>142.23529411764704</v>
      </c>
      <c r="H9" s="228">
        <f t="shared" si="1"/>
        <v>91.436974789915965</v>
      </c>
      <c r="I9" s="227">
        <f t="shared" si="1"/>
        <v>72.854341736694693</v>
      </c>
      <c r="J9" s="227">
        <f t="shared" si="1"/>
        <v>54.271708683473392</v>
      </c>
    </row>
    <row r="10" spans="1:10" x14ac:dyDescent="0.25">
      <c r="A10" s="226" t="s">
        <v>583</v>
      </c>
      <c r="B10" t="s">
        <v>239</v>
      </c>
      <c r="C10" t="s">
        <v>586</v>
      </c>
      <c r="F10" s="228">
        <f t="shared" ref="F10:H11" si="2">F60/8760</f>
        <v>7.6103500761035017</v>
      </c>
      <c r="G10" s="228">
        <f t="shared" si="2"/>
        <v>9.512937595129376</v>
      </c>
      <c r="H10" s="228">
        <f t="shared" si="2"/>
        <v>15.854895991882291</v>
      </c>
      <c r="I10" s="227">
        <f>H10</f>
        <v>15.854895991882291</v>
      </c>
      <c r="J10" s="227">
        <f>I10</f>
        <v>15.854895991882291</v>
      </c>
    </row>
    <row r="11" spans="1:10" x14ac:dyDescent="0.25">
      <c r="A11" s="226" t="s">
        <v>582</v>
      </c>
      <c r="B11" t="s">
        <v>239</v>
      </c>
      <c r="C11" t="s">
        <v>586</v>
      </c>
      <c r="F11" s="228">
        <f t="shared" si="2"/>
        <v>9.512937595129376</v>
      </c>
      <c r="G11" s="228">
        <f t="shared" si="2"/>
        <v>12.049720953830542</v>
      </c>
      <c r="H11" s="228">
        <f t="shared" si="2"/>
        <v>15.854895991882291</v>
      </c>
      <c r="I11" s="227">
        <f>I10</f>
        <v>15.854895991882291</v>
      </c>
      <c r="J11" s="227">
        <f>I11</f>
        <v>15.854895991882291</v>
      </c>
    </row>
    <row r="12" spans="1:10" x14ac:dyDescent="0.25">
      <c r="A12" s="226" t="s">
        <v>583</v>
      </c>
      <c r="B12" t="s">
        <v>46</v>
      </c>
      <c r="C12" t="s">
        <v>585</v>
      </c>
      <c r="F12" s="225">
        <v>0.9</v>
      </c>
      <c r="G12" s="225">
        <v>0.9</v>
      </c>
      <c r="H12" s="225">
        <v>0.9</v>
      </c>
      <c r="I12" s="224">
        <f>H12</f>
        <v>0.9</v>
      </c>
      <c r="J12" s="224">
        <f>I12</f>
        <v>0.9</v>
      </c>
    </row>
    <row r="13" spans="1:10" x14ac:dyDescent="0.25">
      <c r="A13" s="226" t="s">
        <v>582</v>
      </c>
      <c r="B13" t="s">
        <v>46</v>
      </c>
      <c r="C13" t="s">
        <v>585</v>
      </c>
      <c r="F13" s="225">
        <v>0.9</v>
      </c>
      <c r="G13" s="225">
        <v>0.9</v>
      </c>
      <c r="H13" s="225">
        <v>0.9</v>
      </c>
      <c r="I13" s="224">
        <f>H13</f>
        <v>0.9</v>
      </c>
      <c r="J13" s="224">
        <f>I13</f>
        <v>0.9</v>
      </c>
    </row>
    <row r="14" spans="1:10" x14ac:dyDescent="0.25">
      <c r="A14" s="226" t="s">
        <v>583</v>
      </c>
      <c r="B14" t="s">
        <v>255</v>
      </c>
      <c r="C14" t="s">
        <v>584</v>
      </c>
      <c r="F14" s="225">
        <f>AVERAGE(56, 60)/100</f>
        <v>0.57999999999999996</v>
      </c>
      <c r="G14" s="225">
        <f>AVERAGE(63,68)/100</f>
        <v>0.65500000000000003</v>
      </c>
      <c r="H14" s="225">
        <f>AVERAGE(67,74)/100</f>
        <v>0.70499999999999996</v>
      </c>
      <c r="I14" s="224">
        <f>$R$40*I$5 +$S$40</f>
        <v>0.71300000000000097</v>
      </c>
      <c r="J14" s="224">
        <f>$R$40*J$5 +$S$40</f>
        <v>0.79500000000000171</v>
      </c>
    </row>
    <row r="15" spans="1:10" x14ac:dyDescent="0.25">
      <c r="A15" s="226" t="s">
        <v>582</v>
      </c>
      <c r="B15" t="s">
        <v>255</v>
      </c>
      <c r="C15" t="s">
        <v>584</v>
      </c>
      <c r="F15" s="225">
        <f>AVERAGE(63, 70)/100</f>
        <v>0.66500000000000004</v>
      </c>
      <c r="G15" s="225">
        <f>AVERAGE(65,71)/100</f>
        <v>0.68</v>
      </c>
      <c r="H15" s="225">
        <f>AVERAGE(70,80)/100</f>
        <v>0.75</v>
      </c>
      <c r="I15" s="224">
        <f>$R$59*I$5 +$S$59</f>
        <v>0.81579999999999941</v>
      </c>
      <c r="J15" s="224">
        <f>I15</f>
        <v>0.81579999999999941</v>
      </c>
    </row>
    <row r="16" spans="1:10" x14ac:dyDescent="0.25">
      <c r="A16" s="226" t="s">
        <v>583</v>
      </c>
      <c r="B16" t="s">
        <v>47</v>
      </c>
      <c r="C16" t="s">
        <v>237</v>
      </c>
      <c r="F16" s="225">
        <v>-2</v>
      </c>
      <c r="G16" s="225">
        <f>F16</f>
        <v>-2</v>
      </c>
      <c r="H16" s="225">
        <f>G16</f>
        <v>-2</v>
      </c>
      <c r="I16" s="224">
        <f>H16</f>
        <v>-2</v>
      </c>
      <c r="J16" s="224">
        <f>I16</f>
        <v>-2</v>
      </c>
    </row>
    <row r="17" spans="1:10" x14ac:dyDescent="0.25">
      <c r="A17" s="226" t="s">
        <v>582</v>
      </c>
      <c r="B17" t="s">
        <v>47</v>
      </c>
      <c r="C17" t="s">
        <v>237</v>
      </c>
      <c r="F17" s="225">
        <f>F16</f>
        <v>-2</v>
      </c>
      <c r="G17" s="225">
        <f>G16</f>
        <v>-2</v>
      </c>
      <c r="H17" s="225">
        <f>H16</f>
        <v>-2</v>
      </c>
      <c r="I17" s="224">
        <f>I16</f>
        <v>-2</v>
      </c>
      <c r="J17" s="224">
        <f>J16</f>
        <v>-2</v>
      </c>
    </row>
    <row r="19" spans="1:10" x14ac:dyDescent="0.25">
      <c r="C19" t="s">
        <v>581</v>
      </c>
      <c r="D19" s="223">
        <f>D23*D21*D20</f>
        <v>13.54621848739496</v>
      </c>
    </row>
    <row r="20" spans="1:10" x14ac:dyDescent="0.25">
      <c r="C20" s="70" t="s">
        <v>164</v>
      </c>
      <c r="D20" s="69">
        <f>1/1.19</f>
        <v>0.84033613445378152</v>
      </c>
    </row>
    <row r="21" spans="1:10" x14ac:dyDescent="0.25">
      <c r="C21" s="70" t="s">
        <v>163</v>
      </c>
      <c r="D21" s="69">
        <v>15.5</v>
      </c>
      <c r="E21" t="s">
        <v>162</v>
      </c>
    </row>
    <row r="22" spans="1:10" x14ac:dyDescent="0.25">
      <c r="C22" s="70" t="s">
        <v>580</v>
      </c>
      <c r="D22" s="69">
        <f>1/1.56</f>
        <v>0.64102564102564097</v>
      </c>
    </row>
    <row r="23" spans="1:10" x14ac:dyDescent="0.25">
      <c r="C23" s="69" t="s">
        <v>167</v>
      </c>
      <c r="D23" s="69">
        <v>1.04</v>
      </c>
      <c r="E23" t="s">
        <v>166</v>
      </c>
    </row>
    <row r="27" spans="1:10" x14ac:dyDescent="0.25">
      <c r="A27" s="222"/>
    </row>
    <row r="29" spans="1:10" x14ac:dyDescent="0.25">
      <c r="D29">
        <v>19642.016806722688</v>
      </c>
    </row>
    <row r="39" spans="3:19" x14ac:dyDescent="0.25">
      <c r="C39" t="s">
        <v>579</v>
      </c>
      <c r="D39">
        <v>120.1</v>
      </c>
      <c r="E39" t="s">
        <v>139</v>
      </c>
      <c r="F39" t="s">
        <v>578</v>
      </c>
    </row>
    <row r="40" spans="3:19" x14ac:dyDescent="0.25">
      <c r="F40" s="207">
        <f>F5</f>
        <v>2020</v>
      </c>
      <c r="G40" s="207">
        <f>G5</f>
        <v>2030</v>
      </c>
      <c r="H40" s="221">
        <f>H5</f>
        <v>2035</v>
      </c>
      <c r="I40" s="207">
        <f>I5</f>
        <v>2040</v>
      </c>
      <c r="J40" s="207">
        <f>J5</f>
        <v>2050</v>
      </c>
      <c r="K40" s="371" t="s">
        <v>577</v>
      </c>
      <c r="L40" s="60" t="s">
        <v>576</v>
      </c>
      <c r="R40">
        <v>8.2000000000000007E-3</v>
      </c>
      <c r="S40">
        <v>-16.015000000000001</v>
      </c>
    </row>
    <row r="41" spans="3:19" x14ac:dyDescent="0.25">
      <c r="C41" t="s">
        <v>562</v>
      </c>
      <c r="D41" t="s">
        <v>474</v>
      </c>
      <c r="E41" s="213" t="s">
        <v>574</v>
      </c>
      <c r="F41" s="220">
        <f>AVERAGE(1800,1100)* $D$23</f>
        <v>1508</v>
      </c>
      <c r="G41" s="220">
        <f>AVERAGE(650,1500)*$D$23</f>
        <v>1118</v>
      </c>
      <c r="H41" s="220">
        <f>AVERAGE(200,900)*$D$23</f>
        <v>572</v>
      </c>
      <c r="I41" s="219">
        <f>AVERAGE(H41,J41)</f>
        <v>481.4545454545455</v>
      </c>
      <c r="J41" s="219">
        <f>INDEX(L41:M41,MATCH($J$43,$L$43:$M$43,0))</f>
        <v>390.90909090909093</v>
      </c>
      <c r="K41" s="371"/>
      <c r="L41" s="144">
        <v>200</v>
      </c>
      <c r="M41" s="218">
        <f>G41/H41*L41</f>
        <v>390.90909090909093</v>
      </c>
    </row>
    <row r="42" spans="3:19" x14ac:dyDescent="0.25">
      <c r="C42" t="s">
        <v>575</v>
      </c>
      <c r="D42" t="s">
        <v>474</v>
      </c>
      <c r="E42" s="213" t="s">
        <v>574</v>
      </c>
      <c r="F42" s="220">
        <f>AVERAGE(500,1400)*$D$23</f>
        <v>988</v>
      </c>
      <c r="G42" s="220">
        <f>AVERAGE(400,850)*$D$23</f>
        <v>650</v>
      </c>
      <c r="H42" s="220">
        <f>AVERAGE(700,200)*$D$23</f>
        <v>468</v>
      </c>
      <c r="I42" s="219">
        <f>AVERAGE(H42,J42)</f>
        <v>372.88888888888891</v>
      </c>
      <c r="J42" s="219">
        <f>INDEX(L42:M42,MATCH($J$43,$L$43:$M$43,0))</f>
        <v>277.77777777777777</v>
      </c>
      <c r="K42" s="371"/>
      <c r="L42" s="144">
        <v>200</v>
      </c>
      <c r="M42" s="218">
        <f>G42/H42*L42</f>
        <v>277.77777777777777</v>
      </c>
    </row>
    <row r="43" spans="3:19" x14ac:dyDescent="0.25">
      <c r="F43" s="207"/>
      <c r="G43" s="207"/>
      <c r="H43" s="207"/>
      <c r="I43" s="207"/>
      <c r="J43" s="217">
        <v>2</v>
      </c>
      <c r="L43" s="144">
        <v>1</v>
      </c>
      <c r="M43" s="144">
        <v>2</v>
      </c>
    </row>
    <row r="44" spans="3:19" x14ac:dyDescent="0.25">
      <c r="L44" t="s">
        <v>573</v>
      </c>
      <c r="M44" t="s">
        <v>572</v>
      </c>
    </row>
    <row r="45" spans="3:19" x14ac:dyDescent="0.25">
      <c r="C45" s="216" t="s">
        <v>571</v>
      </c>
      <c r="D45" s="215">
        <f>1000000000</f>
        <v>1000000000</v>
      </c>
      <c r="E45" t="s">
        <v>570</v>
      </c>
    </row>
    <row r="46" spans="3:19" x14ac:dyDescent="0.25">
      <c r="E46" s="213" t="s">
        <v>569</v>
      </c>
      <c r="F46" s="207">
        <f>1000*8760*3600</f>
        <v>31536000000</v>
      </c>
      <c r="G46" s="207">
        <f>1000*8760*3600</f>
        <v>31536000000</v>
      </c>
      <c r="H46" s="207">
        <f>1000*8760*3600</f>
        <v>31536000000</v>
      </c>
      <c r="I46" s="207">
        <f>1000*8760*3600</f>
        <v>31536000000</v>
      </c>
      <c r="J46" s="207">
        <f>1000*8760*3600</f>
        <v>31536000000</v>
      </c>
    </row>
    <row r="47" spans="3:19" x14ac:dyDescent="0.25">
      <c r="C47" t="s">
        <v>562</v>
      </c>
      <c r="D47" t="s">
        <v>474</v>
      </c>
      <c r="E47" s="213" t="s">
        <v>568</v>
      </c>
      <c r="F47" s="214">
        <f t="shared" ref="F47:J48" si="3">F41/F$46</f>
        <v>4.7818366311516996E-8</v>
      </c>
      <c r="G47" s="214">
        <f t="shared" si="3"/>
        <v>3.545154743784881E-8</v>
      </c>
      <c r="H47" s="214">
        <f t="shared" si="3"/>
        <v>1.8138001014713343E-8</v>
      </c>
      <c r="I47" s="214">
        <f t="shared" si="3"/>
        <v>1.5266823486001568E-8</v>
      </c>
      <c r="J47" s="214">
        <f t="shared" si="3"/>
        <v>1.2395645957289793E-8</v>
      </c>
    </row>
    <row r="48" spans="3:19" x14ac:dyDescent="0.25">
      <c r="C48" t="s">
        <v>561</v>
      </c>
      <c r="D48" t="s">
        <v>474</v>
      </c>
      <c r="E48" s="213" t="s">
        <v>568</v>
      </c>
      <c r="F48" s="214">
        <f t="shared" si="3"/>
        <v>3.1329274479959411E-8</v>
      </c>
      <c r="G48" s="214">
        <f t="shared" si="3"/>
        <v>2.0611364789446981E-8</v>
      </c>
      <c r="H48" s="214">
        <f t="shared" si="3"/>
        <v>1.4840182648401826E-8</v>
      </c>
      <c r="I48" s="214">
        <f t="shared" si="3"/>
        <v>1.1824229099723774E-8</v>
      </c>
      <c r="J48" s="214">
        <f t="shared" si="3"/>
        <v>8.8082755510457179E-9</v>
      </c>
    </row>
    <row r="49" spans="3:19" x14ac:dyDescent="0.25">
      <c r="C49" t="s">
        <v>562</v>
      </c>
      <c r="D49" t="s">
        <v>474</v>
      </c>
      <c r="E49" s="213" t="s">
        <v>567</v>
      </c>
      <c r="F49" s="211">
        <f t="shared" ref="F49:J50" si="4">F47*$D$45</f>
        <v>47.818366311516996</v>
      </c>
      <c r="G49" s="211">
        <f t="shared" si="4"/>
        <v>35.451547437848809</v>
      </c>
      <c r="H49" s="211">
        <f t="shared" si="4"/>
        <v>18.138001014713343</v>
      </c>
      <c r="I49" s="211">
        <f t="shared" si="4"/>
        <v>15.266823486001568</v>
      </c>
      <c r="J49" s="211">
        <f t="shared" si="4"/>
        <v>12.395645957289794</v>
      </c>
    </row>
    <row r="50" spans="3:19" x14ac:dyDescent="0.25">
      <c r="C50" t="s">
        <v>561</v>
      </c>
      <c r="D50" t="s">
        <v>474</v>
      </c>
      <c r="E50" s="213" t="s">
        <v>567</v>
      </c>
      <c r="F50" s="211">
        <f t="shared" si="4"/>
        <v>31.329274479959413</v>
      </c>
      <c r="G50" s="211">
        <f t="shared" si="4"/>
        <v>20.611364789446981</v>
      </c>
      <c r="H50" s="211">
        <f t="shared" si="4"/>
        <v>14.840182648401827</v>
      </c>
      <c r="I50" s="211">
        <f t="shared" si="4"/>
        <v>11.824229099723773</v>
      </c>
      <c r="J50" s="211">
        <f t="shared" si="4"/>
        <v>8.8082755510457176</v>
      </c>
    </row>
    <row r="51" spans="3:19" x14ac:dyDescent="0.25">
      <c r="C51" t="s">
        <v>562</v>
      </c>
      <c r="D51" t="s">
        <v>474</v>
      </c>
      <c r="E51" s="212" t="s">
        <v>566</v>
      </c>
      <c r="F51" s="208">
        <f t="shared" ref="F51:J52" si="5">F41*$D$21</f>
        <v>23374</v>
      </c>
      <c r="G51" s="208">
        <f t="shared" si="5"/>
        <v>17329</v>
      </c>
      <c r="H51" s="208">
        <f t="shared" si="5"/>
        <v>8866</v>
      </c>
      <c r="I51" s="208">
        <f t="shared" si="5"/>
        <v>7462.545454545455</v>
      </c>
      <c r="J51" s="208">
        <f t="shared" si="5"/>
        <v>6059.0909090909099</v>
      </c>
    </row>
    <row r="52" spans="3:19" x14ac:dyDescent="0.25">
      <c r="C52" t="s">
        <v>561</v>
      </c>
      <c r="D52" t="s">
        <v>474</v>
      </c>
      <c r="E52" s="212" t="s">
        <v>566</v>
      </c>
      <c r="F52" s="208">
        <f t="shared" si="5"/>
        <v>15314</v>
      </c>
      <c r="G52" s="208">
        <f t="shared" si="5"/>
        <v>10075</v>
      </c>
      <c r="H52" s="208">
        <f t="shared" si="5"/>
        <v>7254</v>
      </c>
      <c r="I52" s="208">
        <f t="shared" si="5"/>
        <v>5779.7777777777783</v>
      </c>
      <c r="J52" s="208">
        <f t="shared" si="5"/>
        <v>4305.5555555555557</v>
      </c>
    </row>
    <row r="53" spans="3:19" x14ac:dyDescent="0.25">
      <c r="C53" t="s">
        <v>562</v>
      </c>
      <c r="D53" t="s">
        <v>474</v>
      </c>
      <c r="E53" s="212" t="s">
        <v>565</v>
      </c>
      <c r="F53" s="211">
        <f t="shared" ref="F53:J54" si="6">F49*$D$21</f>
        <v>741.18467782851349</v>
      </c>
      <c r="G53" s="211">
        <f t="shared" si="6"/>
        <v>549.49898528665653</v>
      </c>
      <c r="H53" s="211">
        <f t="shared" si="6"/>
        <v>281.13901572805679</v>
      </c>
      <c r="I53" s="211">
        <f t="shared" si="6"/>
        <v>236.63576403302432</v>
      </c>
      <c r="J53" s="211">
        <f t="shared" si="6"/>
        <v>192.13251233799181</v>
      </c>
    </row>
    <row r="54" spans="3:19" x14ac:dyDescent="0.25">
      <c r="C54" t="s">
        <v>561</v>
      </c>
      <c r="D54" t="s">
        <v>474</v>
      </c>
      <c r="E54" s="212" t="s">
        <v>565</v>
      </c>
      <c r="F54" s="211">
        <f t="shared" si="6"/>
        <v>485.6037544393709</v>
      </c>
      <c r="G54" s="211">
        <f t="shared" si="6"/>
        <v>319.47615423642821</v>
      </c>
      <c r="H54" s="211">
        <f t="shared" si="6"/>
        <v>230.02283105022832</v>
      </c>
      <c r="I54" s="211">
        <f t="shared" si="6"/>
        <v>183.27555104571849</v>
      </c>
      <c r="J54" s="211">
        <f t="shared" si="6"/>
        <v>136.52827104120863</v>
      </c>
    </row>
    <row r="55" spans="3:19" x14ac:dyDescent="0.25">
      <c r="E55" s="212"/>
      <c r="F55" s="211"/>
      <c r="G55" s="211"/>
      <c r="H55" s="211"/>
      <c r="I55" s="211"/>
      <c r="J55" s="211"/>
    </row>
    <row r="56" spans="3:19" x14ac:dyDescent="0.25">
      <c r="E56" s="212"/>
      <c r="F56" s="211"/>
      <c r="G56" s="211"/>
      <c r="H56" s="211"/>
      <c r="I56" s="207"/>
      <c r="J56" s="207"/>
    </row>
    <row r="57" spans="3:19" x14ac:dyDescent="0.25">
      <c r="C57" t="s">
        <v>564</v>
      </c>
      <c r="F57" s="207">
        <f>F40</f>
        <v>2020</v>
      </c>
      <c r="G57" s="207">
        <f>G40</f>
        <v>2030</v>
      </c>
      <c r="H57" s="207">
        <f>H40</f>
        <v>2035</v>
      </c>
      <c r="I57" s="207"/>
      <c r="J57" s="207"/>
    </row>
    <row r="58" spans="3:19" x14ac:dyDescent="0.25">
      <c r="C58" t="s">
        <v>562</v>
      </c>
      <c r="E58" t="s">
        <v>563</v>
      </c>
      <c r="F58" s="210">
        <f>AVERAGE(30000,90000)</f>
        <v>60000</v>
      </c>
      <c r="G58" s="210">
        <f>AVERAGE(60000,90000)</f>
        <v>75000</v>
      </c>
      <c r="H58" s="210">
        <f>AVERAGE(100000,150000)</f>
        <v>125000</v>
      </c>
      <c r="I58" s="207"/>
      <c r="J58" s="207"/>
    </row>
    <row r="59" spans="3:19" x14ac:dyDescent="0.25">
      <c r="C59" t="s">
        <v>561</v>
      </c>
      <c r="E59" t="s">
        <v>563</v>
      </c>
      <c r="F59" s="210">
        <f>AVERAGE(60000,90000)</f>
        <v>75000</v>
      </c>
      <c r="G59" s="210">
        <f>AVERAGE(90000,100000)</f>
        <v>95000</v>
      </c>
      <c r="H59" s="210">
        <f>AVERAGE(100000,150000)</f>
        <v>125000</v>
      </c>
      <c r="I59" s="207"/>
      <c r="J59" s="207"/>
      <c r="M59" s="209"/>
      <c r="R59">
        <v>5.1000000000000004E-3</v>
      </c>
      <c r="S59">
        <v>-9.5882000000000005</v>
      </c>
    </row>
    <row r="60" spans="3:19" x14ac:dyDescent="0.25">
      <c r="C60" t="s">
        <v>562</v>
      </c>
      <c r="E60" t="s">
        <v>560</v>
      </c>
      <c r="F60" s="208">
        <f t="shared" ref="F60:H61" si="7">F58/F12</f>
        <v>66666.666666666672</v>
      </c>
      <c r="G60" s="208">
        <f t="shared" si="7"/>
        <v>83333.333333333328</v>
      </c>
      <c r="H60" s="208">
        <f t="shared" si="7"/>
        <v>138888.88888888888</v>
      </c>
      <c r="I60" s="207"/>
      <c r="J60" s="207"/>
    </row>
    <row r="61" spans="3:19" x14ac:dyDescent="0.25">
      <c r="C61" t="s">
        <v>561</v>
      </c>
      <c r="E61" t="s">
        <v>560</v>
      </c>
      <c r="F61" s="208">
        <f t="shared" si="7"/>
        <v>83333.333333333328</v>
      </c>
      <c r="G61" s="208">
        <f t="shared" si="7"/>
        <v>105555.55555555555</v>
      </c>
      <c r="H61" s="208">
        <f t="shared" si="7"/>
        <v>138888.88888888888</v>
      </c>
      <c r="I61" s="207"/>
      <c r="J61" s="207"/>
    </row>
    <row r="62" spans="3:19" x14ac:dyDescent="0.25">
      <c r="I62" s="207"/>
      <c r="J62" s="207"/>
    </row>
  </sheetData>
  <mergeCells count="1">
    <mergeCell ref="K40:K42"/>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5FDB4-D01B-48D7-8203-524325B8768A}">
  <sheetPr>
    <tabColor rgb="FF92D050"/>
  </sheetPr>
  <dimension ref="A1:AB148"/>
  <sheetViews>
    <sheetView workbookViewId="0">
      <selection activeCell="C32" sqref="C32"/>
    </sheetView>
  </sheetViews>
  <sheetFormatPr defaultRowHeight="15" x14ac:dyDescent="0.25"/>
  <cols>
    <col min="1" max="1" width="12.7109375" customWidth="1"/>
    <col min="2" max="2" width="28.5703125" customWidth="1"/>
    <col min="3" max="3" width="15" customWidth="1"/>
    <col min="4" max="4" width="15.85546875" customWidth="1"/>
    <col min="5" max="5" width="10.7109375" bestFit="1" customWidth="1"/>
    <col min="6" max="6" width="12.140625" customWidth="1"/>
    <col min="7" max="7" width="16.28515625" bestFit="1" customWidth="1"/>
    <col min="8" max="8" width="11.140625" customWidth="1"/>
    <col min="9" max="10" width="10.7109375" bestFit="1" customWidth="1"/>
    <col min="23" max="23" width="35.85546875" customWidth="1"/>
    <col min="24" max="24" width="14.7109375" customWidth="1"/>
    <col min="25" max="25" width="17.42578125" customWidth="1"/>
    <col min="26" max="26" width="23.28515625" customWidth="1"/>
  </cols>
  <sheetData>
    <row r="1" spans="1:10" ht="21" x14ac:dyDescent="0.35">
      <c r="A1" s="251" t="s">
        <v>707</v>
      </c>
    </row>
    <row r="2" spans="1:10" ht="21" x14ac:dyDescent="0.35">
      <c r="A2" t="s">
        <v>269</v>
      </c>
      <c r="B2" t="s">
        <v>268</v>
      </c>
      <c r="C2" s="251" t="s">
        <v>719</v>
      </c>
      <c r="F2" s="207">
        <v>2020</v>
      </c>
      <c r="G2" s="207">
        <v>2030</v>
      </c>
      <c r="H2" s="207">
        <v>2035</v>
      </c>
      <c r="I2" s="207">
        <v>2040</v>
      </c>
      <c r="J2" s="207">
        <v>2050</v>
      </c>
    </row>
    <row r="3" spans="1:10" x14ac:dyDescent="0.25">
      <c r="A3" t="s">
        <v>744</v>
      </c>
      <c r="B3" s="257" t="s">
        <v>24</v>
      </c>
      <c r="C3" t="s">
        <v>727</v>
      </c>
      <c r="F3" s="228">
        <f>D29</f>
        <v>46896.125174280474</v>
      </c>
      <c r="G3" s="225">
        <f>AVERAGE(H3,F3)*1.1</f>
        <v>43674.479600333063</v>
      </c>
      <c r="H3" s="225">
        <f>E29</f>
        <v>32512.019553597809</v>
      </c>
      <c r="I3" s="228">
        <f>F29</f>
        <v>28141.935483870966</v>
      </c>
      <c r="J3" s="225">
        <f>F29</f>
        <v>28141.935483870966</v>
      </c>
    </row>
    <row r="4" spans="1:10" x14ac:dyDescent="0.25">
      <c r="A4" t="s">
        <v>744</v>
      </c>
      <c r="B4" s="257" t="s">
        <v>44</v>
      </c>
      <c r="C4" t="s">
        <v>748</v>
      </c>
      <c r="D4" s="102">
        <v>0.03</v>
      </c>
      <c r="E4" t="s">
        <v>745</v>
      </c>
      <c r="F4" s="225">
        <f>$D$4*F3</f>
        <v>1406.8837552284142</v>
      </c>
      <c r="G4" s="225">
        <f>$D$4*G3</f>
        <v>1310.2343880099918</v>
      </c>
      <c r="H4" s="225">
        <f>$D$4*H3</f>
        <v>975.36058660793424</v>
      </c>
      <c r="I4" s="225">
        <f>$D$4*I3</f>
        <v>844.25806451612891</v>
      </c>
      <c r="J4" s="225">
        <f>$D$4*J3</f>
        <v>844.25806451612891</v>
      </c>
    </row>
    <row r="5" spans="1:10" x14ac:dyDescent="0.25">
      <c r="A5" t="s">
        <v>744</v>
      </c>
      <c r="B5" s="257" t="s">
        <v>239</v>
      </c>
      <c r="C5" t="s">
        <v>747</v>
      </c>
      <c r="E5" t="s">
        <v>745</v>
      </c>
      <c r="F5" s="228">
        <v>10</v>
      </c>
      <c r="G5" s="228">
        <v>10</v>
      </c>
      <c r="H5" s="228">
        <v>10</v>
      </c>
      <c r="I5" s="228">
        <v>15</v>
      </c>
      <c r="J5" s="228">
        <v>15</v>
      </c>
    </row>
    <row r="6" spans="1:10" x14ac:dyDescent="0.25">
      <c r="A6" t="s">
        <v>744</v>
      </c>
      <c r="B6" s="257" t="s">
        <v>46</v>
      </c>
      <c r="C6" t="s">
        <v>38</v>
      </c>
      <c r="E6" t="s">
        <v>745</v>
      </c>
      <c r="F6" s="225">
        <v>0.9</v>
      </c>
      <c r="G6" s="225">
        <v>0.9</v>
      </c>
      <c r="H6" s="225">
        <v>0.9</v>
      </c>
      <c r="I6" s="225">
        <v>0.9</v>
      </c>
      <c r="J6" s="225">
        <v>0.9</v>
      </c>
    </row>
    <row r="7" spans="1:10" x14ac:dyDescent="0.25">
      <c r="A7" t="s">
        <v>744</v>
      </c>
      <c r="B7" s="257" t="s">
        <v>746</v>
      </c>
      <c r="C7" t="s">
        <v>38</v>
      </c>
      <c r="D7" t="s">
        <v>708</v>
      </c>
      <c r="E7" t="s">
        <v>745</v>
      </c>
      <c r="F7" s="225">
        <v>0.98</v>
      </c>
      <c r="G7" s="225">
        <v>0.98</v>
      </c>
      <c r="H7" s="225">
        <v>0.98</v>
      </c>
      <c r="I7" s="225">
        <v>0.98</v>
      </c>
      <c r="J7" s="225">
        <v>0.98</v>
      </c>
    </row>
    <row r="8" spans="1:10" x14ac:dyDescent="0.25">
      <c r="A8" t="s">
        <v>744</v>
      </c>
      <c r="B8" s="257"/>
      <c r="F8" s="225"/>
      <c r="G8" s="225"/>
      <c r="H8" s="225"/>
      <c r="I8" s="225"/>
      <c r="J8" s="225"/>
    </row>
    <row r="9" spans="1:10" x14ac:dyDescent="0.25">
      <c r="A9" t="s">
        <v>744</v>
      </c>
      <c r="B9" s="221" t="s">
        <v>28</v>
      </c>
      <c r="F9" s="256">
        <v>2025</v>
      </c>
    </row>
    <row r="10" spans="1:10" ht="21" x14ac:dyDescent="0.35">
      <c r="A10" s="251" t="s">
        <v>743</v>
      </c>
      <c r="C10" s="251"/>
      <c r="F10" s="207"/>
      <c r="G10" s="207"/>
      <c r="H10" s="207"/>
      <c r="I10" s="207"/>
      <c r="J10" s="207"/>
    </row>
    <row r="11" spans="1:10" x14ac:dyDescent="0.25">
      <c r="A11" t="s">
        <v>739</v>
      </c>
      <c r="B11" t="s">
        <v>742</v>
      </c>
      <c r="C11" t="s">
        <v>737</v>
      </c>
      <c r="D11" t="str">
        <f>E44</f>
        <v>turbine</v>
      </c>
      <c r="E11" t="s">
        <v>741</v>
      </c>
      <c r="F11" s="102">
        <f>C43</f>
        <v>0.52</v>
      </c>
      <c r="G11" s="102">
        <f>F11</f>
        <v>0.52</v>
      </c>
      <c r="H11" s="102">
        <f>G11</f>
        <v>0.52</v>
      </c>
      <c r="I11" s="102">
        <f>H11</f>
        <v>0.52</v>
      </c>
      <c r="J11" s="102">
        <f>I11</f>
        <v>0.52</v>
      </c>
    </row>
    <row r="12" spans="1:10" x14ac:dyDescent="0.25">
      <c r="A12" t="s">
        <v>739</v>
      </c>
      <c r="B12" t="s">
        <v>742</v>
      </c>
      <c r="C12" t="s">
        <v>737</v>
      </c>
      <c r="D12" t="str">
        <f>E45</f>
        <v>pipeline</v>
      </c>
      <c r="E12" t="s">
        <v>741</v>
      </c>
      <c r="F12" s="102">
        <f t="shared" ref="F12:J13" si="0">F11</f>
        <v>0.52</v>
      </c>
      <c r="G12" s="102">
        <f t="shared" si="0"/>
        <v>0.52</v>
      </c>
      <c r="H12" s="102">
        <f t="shared" si="0"/>
        <v>0.52</v>
      </c>
      <c r="I12" s="102">
        <f t="shared" si="0"/>
        <v>0.52</v>
      </c>
      <c r="J12" s="102">
        <f t="shared" si="0"/>
        <v>0.52</v>
      </c>
    </row>
    <row r="13" spans="1:10" x14ac:dyDescent="0.25">
      <c r="A13" t="s">
        <v>739</v>
      </c>
      <c r="B13" t="s">
        <v>742</v>
      </c>
      <c r="C13" t="s">
        <v>737</v>
      </c>
      <c r="D13" t="str">
        <f>E46</f>
        <v>vehicle</v>
      </c>
      <c r="E13" t="s">
        <v>741</v>
      </c>
      <c r="F13" s="102">
        <f t="shared" si="0"/>
        <v>0.52</v>
      </c>
      <c r="G13" s="102">
        <f t="shared" si="0"/>
        <v>0.52</v>
      </c>
      <c r="H13" s="102">
        <f t="shared" si="0"/>
        <v>0.52</v>
      </c>
      <c r="I13" s="102">
        <f t="shared" si="0"/>
        <v>0.52</v>
      </c>
      <c r="J13" s="102">
        <f t="shared" si="0"/>
        <v>0.52</v>
      </c>
    </row>
    <row r="14" spans="1:10" x14ac:dyDescent="0.25">
      <c r="A14" t="s">
        <v>740</v>
      </c>
      <c r="B14" t="s">
        <v>264</v>
      </c>
      <c r="C14" t="s">
        <v>737</v>
      </c>
      <c r="D14" t="str">
        <f>D11</f>
        <v>turbine</v>
      </c>
      <c r="E14" t="str">
        <f>$D$42&amp;"-&gt;"&amp;D44</f>
        <v>30-&gt;200</v>
      </c>
      <c r="F14" s="83">
        <f>(($C44-$C$42)*3.6)/H2.LHV.MJ_kg</f>
        <v>3.0332436967337745E-2</v>
      </c>
      <c r="G14" s="83">
        <f t="shared" ref="G14:J16" si="1">F14</f>
        <v>3.0332436967337745E-2</v>
      </c>
      <c r="H14" s="83">
        <f t="shared" si="1"/>
        <v>3.0332436967337745E-2</v>
      </c>
      <c r="I14" s="83">
        <f t="shared" si="1"/>
        <v>3.0332436967337745E-2</v>
      </c>
      <c r="J14" s="83">
        <f t="shared" si="1"/>
        <v>3.0332436967337745E-2</v>
      </c>
    </row>
    <row r="15" spans="1:10" x14ac:dyDescent="0.25">
      <c r="A15" t="s">
        <v>739</v>
      </c>
      <c r="B15" t="s">
        <v>264</v>
      </c>
      <c r="C15" t="s">
        <v>737</v>
      </c>
      <c r="D15" t="str">
        <f>D12</f>
        <v>pipeline</v>
      </c>
      <c r="E15" t="str">
        <f>$D$42&amp;"-&gt;"&amp;D45</f>
        <v>30-&gt;75</v>
      </c>
      <c r="F15" s="83">
        <f>(($C45-$C$42)*3.6)/H2.LHV.MJ_kg</f>
        <v>1.4650275728343275E-2</v>
      </c>
      <c r="G15" s="83">
        <f t="shared" si="1"/>
        <v>1.4650275728343275E-2</v>
      </c>
      <c r="H15" s="83">
        <f t="shared" si="1"/>
        <v>1.4650275728343275E-2</v>
      </c>
      <c r="I15" s="83">
        <f t="shared" si="1"/>
        <v>1.4650275728343275E-2</v>
      </c>
      <c r="J15" s="83">
        <f t="shared" si="1"/>
        <v>1.4650275728343275E-2</v>
      </c>
    </row>
    <row r="16" spans="1:10" x14ac:dyDescent="0.25">
      <c r="A16" t="s">
        <v>738</v>
      </c>
      <c r="B16" t="s">
        <v>264</v>
      </c>
      <c r="C16" t="s">
        <v>737</v>
      </c>
      <c r="D16" t="str">
        <f>D13</f>
        <v>vehicle</v>
      </c>
      <c r="E16" t="str">
        <f>$D$42&amp;"-&gt;"&amp;D46</f>
        <v>30-&gt;700</v>
      </c>
      <c r="F16" s="83">
        <f>(($C46-$C$42)*3.6)/H2.LHV.MJ_kg</f>
        <v>5.0362458304752777E-2</v>
      </c>
      <c r="G16" s="83">
        <f t="shared" si="1"/>
        <v>5.0362458304752777E-2</v>
      </c>
      <c r="H16" s="83">
        <f t="shared" si="1"/>
        <v>5.0362458304752777E-2</v>
      </c>
      <c r="I16" s="83">
        <f t="shared" si="1"/>
        <v>5.0362458304752777E-2</v>
      </c>
      <c r="J16" s="83">
        <f t="shared" si="1"/>
        <v>5.0362458304752777E-2</v>
      </c>
    </row>
    <row r="23" spans="2:10" x14ac:dyDescent="0.25">
      <c r="C23" t="s">
        <v>736</v>
      </c>
      <c r="D23" s="207" t="s">
        <v>735</v>
      </c>
      <c r="E23" s="207" t="s">
        <v>4</v>
      </c>
    </row>
    <row r="24" spans="2:10" ht="17.25" x14ac:dyDescent="0.25">
      <c r="B24">
        <f>E24-D24</f>
        <v>9</v>
      </c>
      <c r="C24" s="207" t="s">
        <v>734</v>
      </c>
      <c r="D24" s="207">
        <v>6</v>
      </c>
      <c r="E24" s="207">
        <v>15</v>
      </c>
    </row>
    <row r="25" spans="2:10" ht="17.25" x14ac:dyDescent="0.25">
      <c r="B25">
        <f>B24-6</f>
        <v>3</v>
      </c>
      <c r="C25" s="207" t="s">
        <v>734</v>
      </c>
      <c r="D25" s="207" t="s">
        <v>733</v>
      </c>
      <c r="E25" s="207" t="s">
        <v>732</v>
      </c>
    </row>
    <row r="26" spans="2:10" ht="16.5" customHeight="1" x14ac:dyDescent="0.25">
      <c r="D26">
        <v>2020</v>
      </c>
      <c r="E26" t="s">
        <v>731</v>
      </c>
      <c r="F26" t="s">
        <v>730</v>
      </c>
      <c r="J26" s="81"/>
    </row>
    <row r="27" spans="2:10" ht="16.5" customHeight="1" x14ac:dyDescent="0.25">
      <c r="B27" s="207" t="s">
        <v>474</v>
      </c>
      <c r="C27" t="s">
        <v>729</v>
      </c>
      <c r="D27" s="255">
        <f>C50/D50</f>
        <v>480.32727272727271</v>
      </c>
      <c r="E27" s="255">
        <v>333</v>
      </c>
      <c r="F27" s="255">
        <f>($C$39*8) / 3.6 *H2.LHV.MJ_kg</f>
        <v>288.23999999999995</v>
      </c>
    </row>
    <row r="28" spans="2:10" ht="16.5" customHeight="1" x14ac:dyDescent="0.25">
      <c r="C28" t="s">
        <v>728</v>
      </c>
      <c r="D28">
        <f>D27*$C$37*$C$38</f>
        <v>5632.2246334310848</v>
      </c>
      <c r="E28">
        <f>E27*$C$37*$C$38</f>
        <v>3904.6935483870971</v>
      </c>
      <c r="F28">
        <f>F27*$C$37*$C$38</f>
        <v>3379.8464516129029</v>
      </c>
    </row>
    <row r="29" spans="2:10" ht="16.5" customHeight="1" x14ac:dyDescent="0.25">
      <c r="B29">
        <f>E29/F29</f>
        <v>1.1552872606161533</v>
      </c>
      <c r="C29" t="s">
        <v>727</v>
      </c>
      <c r="D29" s="254">
        <f>D28/H2.LHV.MJ_kg *1000</f>
        <v>46896.125174280474</v>
      </c>
      <c r="E29" s="254">
        <f>E28/H2.LHV.MJ_kg *1000</f>
        <v>32512.019553597809</v>
      </c>
      <c r="F29" s="254">
        <f>F28/H2.LHV.MJ_kg *1000</f>
        <v>28141.935483870966</v>
      </c>
    </row>
    <row r="30" spans="2:10" ht="16.5" customHeight="1" x14ac:dyDescent="0.25">
      <c r="E30" s="82">
        <f>E29/D29</f>
        <v>0.69327731092436973</v>
      </c>
      <c r="F30" s="82">
        <f>F29/D29</f>
        <v>0.60009084714967065</v>
      </c>
    </row>
    <row r="31" spans="2:10" ht="16.5" customHeight="1" x14ac:dyDescent="0.25"/>
    <row r="35" spans="2:6" ht="21" x14ac:dyDescent="0.35">
      <c r="B35" s="251" t="s">
        <v>726</v>
      </c>
    </row>
    <row r="36" spans="2:6" x14ac:dyDescent="0.25">
      <c r="B36" s="253">
        <v>44294.597152662034</v>
      </c>
    </row>
    <row r="37" spans="2:6" x14ac:dyDescent="0.25">
      <c r="B37" t="s">
        <v>725</v>
      </c>
      <c r="C37">
        <v>14.54</v>
      </c>
      <c r="D37" t="s">
        <v>724</v>
      </c>
    </row>
    <row r="38" spans="2:6" x14ac:dyDescent="0.25">
      <c r="B38" t="s">
        <v>723</v>
      </c>
      <c r="C38">
        <f>1/1.24</f>
        <v>0.80645161290322587</v>
      </c>
      <c r="D38" t="s">
        <v>170</v>
      </c>
    </row>
    <row r="39" spans="2:6" x14ac:dyDescent="0.25">
      <c r="B39" t="s">
        <v>722</v>
      </c>
      <c r="C39">
        <v>1.08</v>
      </c>
      <c r="D39" t="s">
        <v>721</v>
      </c>
    </row>
    <row r="41" spans="2:6" ht="21" x14ac:dyDescent="0.35">
      <c r="B41" s="251" t="s">
        <v>720</v>
      </c>
      <c r="C41" s="251" t="s">
        <v>719</v>
      </c>
      <c r="D41" t="s">
        <v>718</v>
      </c>
      <c r="E41" t="s">
        <v>717</v>
      </c>
      <c r="F41" t="s">
        <v>716</v>
      </c>
    </row>
    <row r="42" spans="2:6" x14ac:dyDescent="0.25">
      <c r="B42" t="s">
        <v>715</v>
      </c>
      <c r="C42" s="252">
        <f>$I$55*LN($D42)+$J$55</f>
        <v>1.1107986833785937</v>
      </c>
      <c r="D42" s="45">
        <v>30</v>
      </c>
    </row>
    <row r="43" spans="2:6" x14ac:dyDescent="0.25">
      <c r="B43" t="s">
        <v>714</v>
      </c>
      <c r="C43" s="102">
        <v>0.52</v>
      </c>
    </row>
    <row r="44" spans="2:6" x14ac:dyDescent="0.25">
      <c r="B44" t="s">
        <v>713</v>
      </c>
      <c r="C44" s="79">
        <f>$I$55*LN($D44)+$J$55</f>
        <v>2.1227224833167222</v>
      </c>
      <c r="D44">
        <v>200</v>
      </c>
      <c r="E44" t="s">
        <v>712</v>
      </c>
      <c r="F44" t="s">
        <v>711</v>
      </c>
    </row>
    <row r="45" spans="2:6" x14ac:dyDescent="0.25">
      <c r="C45" s="79">
        <f>$I$55*LN($D45)+$J$55</f>
        <v>1.5995481597602679</v>
      </c>
      <c r="D45">
        <v>75</v>
      </c>
      <c r="E45" t="s">
        <v>710</v>
      </c>
      <c r="F45" t="s">
        <v>708</v>
      </c>
    </row>
    <row r="46" spans="2:6" x14ac:dyDescent="0.25">
      <c r="C46" s="79">
        <f>$I$55*LN($D46)+$J$55</f>
        <v>2.7909462507121514</v>
      </c>
      <c r="D46">
        <v>700</v>
      </c>
      <c r="E46" t="s">
        <v>709</v>
      </c>
      <c r="F46" t="s">
        <v>708</v>
      </c>
    </row>
    <row r="48" spans="2:6" ht="21" x14ac:dyDescent="0.35">
      <c r="B48" s="251" t="s">
        <v>707</v>
      </c>
      <c r="C48" t="s">
        <v>706</v>
      </c>
      <c r="D48" t="s">
        <v>705</v>
      </c>
      <c r="E48" t="s">
        <v>704</v>
      </c>
    </row>
    <row r="49" spans="2:10" x14ac:dyDescent="0.25">
      <c r="B49" t="s">
        <v>703</v>
      </c>
      <c r="C49" t="s">
        <v>702</v>
      </c>
      <c r="D49" t="s">
        <v>701</v>
      </c>
      <c r="E49" t="s">
        <v>700</v>
      </c>
    </row>
    <row r="50" spans="2:10" x14ac:dyDescent="0.25">
      <c r="B50" t="s">
        <v>699</v>
      </c>
      <c r="C50">
        <f>Z117</f>
        <v>422688</v>
      </c>
      <c r="D50">
        <v>880</v>
      </c>
      <c r="E50" t="s">
        <v>661</v>
      </c>
    </row>
    <row r="53" spans="2:10" x14ac:dyDescent="0.25">
      <c r="H53" t="s">
        <v>698</v>
      </c>
      <c r="I53" t="s">
        <v>697</v>
      </c>
      <c r="J53" t="s">
        <v>696</v>
      </c>
    </row>
    <row r="54" spans="2:10" x14ac:dyDescent="0.25">
      <c r="H54" t="s">
        <v>695</v>
      </c>
      <c r="I54">
        <v>4.7000000000000002E-3</v>
      </c>
      <c r="J54">
        <v>0</v>
      </c>
    </row>
    <row r="55" spans="2:10" x14ac:dyDescent="0.25">
      <c r="H55" t="s">
        <v>694</v>
      </c>
      <c r="I55">
        <v>0.53339999999999999</v>
      </c>
      <c r="J55">
        <v>-0.70340000000000003</v>
      </c>
    </row>
    <row r="72" spans="2:12" x14ac:dyDescent="0.25">
      <c r="B72" t="s">
        <v>595</v>
      </c>
      <c r="L72" t="s">
        <v>693</v>
      </c>
    </row>
    <row r="86" spans="2:28" x14ac:dyDescent="0.25">
      <c r="B86" s="74" t="s">
        <v>692</v>
      </c>
      <c r="E86" t="s">
        <v>691</v>
      </c>
    </row>
    <row r="87" spans="2:28" x14ac:dyDescent="0.25">
      <c r="W87" t="s">
        <v>595</v>
      </c>
      <c r="AB87" t="s">
        <v>690</v>
      </c>
    </row>
    <row r="88" spans="2:28" x14ac:dyDescent="0.25">
      <c r="B88" s="74" t="s">
        <v>689</v>
      </c>
    </row>
    <row r="89" spans="2:28" x14ac:dyDescent="0.25">
      <c r="B89" t="s">
        <v>688</v>
      </c>
    </row>
    <row r="90" spans="2:28" x14ac:dyDescent="0.25">
      <c r="B90" t="s">
        <v>687</v>
      </c>
      <c r="W90" s="250" t="s">
        <v>686</v>
      </c>
      <c r="X90" s="250" t="s">
        <v>685</v>
      </c>
      <c r="Y90" s="250" t="s">
        <v>684</v>
      </c>
      <c r="Z90" s="250" t="s">
        <v>683</v>
      </c>
    </row>
    <row r="91" spans="2:28" x14ac:dyDescent="0.25">
      <c r="B91" t="s">
        <v>682</v>
      </c>
      <c r="W91" s="248" t="s">
        <v>681</v>
      </c>
      <c r="X91" s="249" t="s">
        <v>680</v>
      </c>
      <c r="Y91" s="248" t="s">
        <v>679</v>
      </c>
      <c r="Z91" s="248" t="s">
        <v>676</v>
      </c>
    </row>
    <row r="92" spans="2:28" ht="25.5" x14ac:dyDescent="0.25">
      <c r="B92" t="s">
        <v>678</v>
      </c>
      <c r="W92" s="235" t="s">
        <v>677</v>
      </c>
      <c r="X92" s="247">
        <v>1000</v>
      </c>
      <c r="Y92" s="246">
        <v>1000</v>
      </c>
      <c r="Z92" s="240" t="s">
        <v>676</v>
      </c>
    </row>
    <row r="93" spans="2:28" x14ac:dyDescent="0.25">
      <c r="B93" t="s">
        <v>675</v>
      </c>
      <c r="W93" s="238" t="s">
        <v>674</v>
      </c>
      <c r="X93" s="239">
        <v>4</v>
      </c>
      <c r="Y93" s="245">
        <v>4</v>
      </c>
      <c r="Z93" s="238" t="s">
        <v>673</v>
      </c>
    </row>
    <row r="94" spans="2:28" ht="21" customHeight="1" x14ac:dyDescent="0.25">
      <c r="B94" t="s">
        <v>672</v>
      </c>
      <c r="W94" s="235" t="s">
        <v>671</v>
      </c>
      <c r="X94" s="241">
        <v>250</v>
      </c>
      <c r="Y94" s="244">
        <v>250</v>
      </c>
      <c r="Z94" s="240" t="s">
        <v>670</v>
      </c>
    </row>
    <row r="95" spans="2:28" ht="21" customHeight="1" x14ac:dyDescent="0.25">
      <c r="B95" t="s">
        <v>669</v>
      </c>
      <c r="W95" s="238" t="s">
        <v>668</v>
      </c>
      <c r="X95" s="239">
        <v>700</v>
      </c>
      <c r="Y95" s="245">
        <v>700</v>
      </c>
      <c r="Z95" s="238" t="s">
        <v>667</v>
      </c>
    </row>
    <row r="96" spans="2:28" ht="21" customHeight="1" x14ac:dyDescent="0.25">
      <c r="W96" s="235" t="s">
        <v>666</v>
      </c>
      <c r="X96" s="241">
        <v>5</v>
      </c>
      <c r="Y96" s="244">
        <v>5</v>
      </c>
      <c r="Z96" s="240" t="s">
        <v>660</v>
      </c>
    </row>
    <row r="97" spans="23:26" ht="21" customHeight="1" x14ac:dyDescent="0.25">
      <c r="W97" s="238" t="s">
        <v>665</v>
      </c>
      <c r="X97" s="242" t="s">
        <v>664</v>
      </c>
      <c r="Y97" s="238" t="s">
        <v>664</v>
      </c>
      <c r="Z97" s="238" t="s">
        <v>663</v>
      </c>
    </row>
    <row r="98" spans="23:26" ht="21" customHeight="1" x14ac:dyDescent="0.25">
      <c r="W98" s="235" t="s">
        <v>662</v>
      </c>
      <c r="X98" s="243" t="s">
        <v>661</v>
      </c>
      <c r="Y98" s="235" t="s">
        <v>661</v>
      </c>
      <c r="Z98" s="240" t="s">
        <v>660</v>
      </c>
    </row>
    <row r="99" spans="23:26" ht="21" customHeight="1" x14ac:dyDescent="0.25">
      <c r="W99" s="238" t="s">
        <v>659</v>
      </c>
      <c r="X99" s="242" t="s">
        <v>658</v>
      </c>
      <c r="Y99" s="238" t="s">
        <v>658</v>
      </c>
      <c r="Z99" s="238" t="s">
        <v>654</v>
      </c>
    </row>
    <row r="100" spans="23:26" ht="21" customHeight="1" x14ac:dyDescent="0.25">
      <c r="W100" s="235" t="s">
        <v>657</v>
      </c>
      <c r="X100" s="241">
        <v>885</v>
      </c>
      <c r="Y100" s="235" t="s">
        <v>655</v>
      </c>
      <c r="Z100" s="240" t="s">
        <v>654</v>
      </c>
    </row>
    <row r="101" spans="23:26" ht="21" customHeight="1" x14ac:dyDescent="0.25">
      <c r="W101" s="238" t="s">
        <v>656</v>
      </c>
      <c r="X101" s="239">
        <v>250</v>
      </c>
      <c r="Y101" s="238" t="s">
        <v>655</v>
      </c>
      <c r="Z101" s="238" t="s">
        <v>654</v>
      </c>
    </row>
    <row r="102" spans="23:26" ht="21" customHeight="1" x14ac:dyDescent="0.25">
      <c r="W102" s="235" t="s">
        <v>653</v>
      </c>
      <c r="X102" s="237" t="s">
        <v>652</v>
      </c>
      <c r="Y102" s="236" t="s">
        <v>652</v>
      </c>
      <c r="Z102" s="235" t="s">
        <v>651</v>
      </c>
    </row>
    <row r="103" spans="23:26" ht="21" customHeight="1" x14ac:dyDescent="0.25">
      <c r="W103" s="232" t="s">
        <v>650</v>
      </c>
      <c r="X103" s="234">
        <v>0.65</v>
      </c>
      <c r="Y103" s="233">
        <v>0.65</v>
      </c>
      <c r="Z103" s="232" t="s">
        <v>649</v>
      </c>
    </row>
    <row r="104" spans="23:26" ht="21" customHeight="1" x14ac:dyDescent="0.25"/>
    <row r="105" spans="23:26" ht="21" customHeight="1" x14ac:dyDescent="0.25">
      <c r="W105" t="s">
        <v>648</v>
      </c>
      <c r="X105" t="s">
        <v>647</v>
      </c>
      <c r="Y105" t="s">
        <v>646</v>
      </c>
      <c r="Z105" t="s">
        <v>645</v>
      </c>
    </row>
    <row r="106" spans="23:26" ht="21" customHeight="1" x14ac:dyDescent="0.25">
      <c r="W106" t="s">
        <v>644</v>
      </c>
      <c r="X106">
        <v>4</v>
      </c>
      <c r="Y106" t="s">
        <v>643</v>
      </c>
      <c r="Z106">
        <v>307403</v>
      </c>
    </row>
    <row r="107" spans="23:26" ht="21" customHeight="1" x14ac:dyDescent="0.25">
      <c r="W107" t="s">
        <v>642</v>
      </c>
      <c r="X107">
        <v>1</v>
      </c>
      <c r="Y107" t="s">
        <v>641</v>
      </c>
      <c r="Z107">
        <v>40000</v>
      </c>
    </row>
    <row r="108" spans="23:26" x14ac:dyDescent="0.25">
      <c r="W108" t="s">
        <v>640</v>
      </c>
      <c r="X108">
        <v>1</v>
      </c>
      <c r="Y108" t="s">
        <v>639</v>
      </c>
      <c r="Z108">
        <v>50000</v>
      </c>
    </row>
    <row r="109" spans="23:26" x14ac:dyDescent="0.25">
      <c r="W109" t="s">
        <v>638</v>
      </c>
    </row>
    <row r="110" spans="23:26" x14ac:dyDescent="0.25">
      <c r="W110" t="s">
        <v>637</v>
      </c>
      <c r="X110">
        <v>4</v>
      </c>
      <c r="Y110" t="s">
        <v>636</v>
      </c>
      <c r="Z110">
        <v>12000</v>
      </c>
    </row>
    <row r="111" spans="23:26" x14ac:dyDescent="0.25">
      <c r="W111" t="s">
        <v>635</v>
      </c>
      <c r="X111">
        <v>9</v>
      </c>
      <c r="Y111" t="s">
        <v>634</v>
      </c>
      <c r="Z111">
        <v>2430</v>
      </c>
    </row>
    <row r="112" spans="23:26" x14ac:dyDescent="0.25">
      <c r="W112" t="s">
        <v>633</v>
      </c>
      <c r="X112">
        <v>1</v>
      </c>
      <c r="Y112" t="s">
        <v>632</v>
      </c>
      <c r="Z112">
        <v>300</v>
      </c>
    </row>
    <row r="113" spans="2:26" x14ac:dyDescent="0.25">
      <c r="W113" t="s">
        <v>631</v>
      </c>
      <c r="X113">
        <v>1</v>
      </c>
      <c r="Y113" t="s">
        <v>630</v>
      </c>
      <c r="Z113">
        <v>1250</v>
      </c>
    </row>
    <row r="114" spans="2:26" x14ac:dyDescent="0.25">
      <c r="W114" t="s">
        <v>629</v>
      </c>
      <c r="X114">
        <v>5</v>
      </c>
      <c r="Y114" t="s">
        <v>628</v>
      </c>
      <c r="Z114">
        <v>780</v>
      </c>
    </row>
    <row r="115" spans="2:26" x14ac:dyDescent="0.25">
      <c r="W115" t="s">
        <v>627</v>
      </c>
      <c r="X115" t="s">
        <v>626</v>
      </c>
      <c r="Y115" t="s">
        <v>625</v>
      </c>
      <c r="Z115">
        <v>525</v>
      </c>
    </row>
    <row r="116" spans="2:26" x14ac:dyDescent="0.25">
      <c r="W116" t="s">
        <v>624</v>
      </c>
      <c r="X116">
        <v>1</v>
      </c>
      <c r="Y116">
        <v>8000</v>
      </c>
      <c r="Z116">
        <v>8000</v>
      </c>
    </row>
    <row r="117" spans="2:26" x14ac:dyDescent="0.25">
      <c r="B117" t="s">
        <v>623</v>
      </c>
      <c r="W117" t="s">
        <v>622</v>
      </c>
      <c r="Z117">
        <v>422688</v>
      </c>
    </row>
    <row r="118" spans="2:26" x14ac:dyDescent="0.25">
      <c r="B118" t="s">
        <v>621</v>
      </c>
      <c r="C118">
        <v>20</v>
      </c>
      <c r="D118">
        <v>350</v>
      </c>
      <c r="E118">
        <v>350</v>
      </c>
      <c r="F118">
        <v>700</v>
      </c>
      <c r="G118">
        <v>700</v>
      </c>
    </row>
    <row r="119" spans="2:26" x14ac:dyDescent="0.25">
      <c r="B119" t="s">
        <v>620</v>
      </c>
      <c r="C119">
        <v>1.02</v>
      </c>
      <c r="D119">
        <v>2</v>
      </c>
      <c r="E119">
        <v>2.2000000000000002</v>
      </c>
      <c r="F119">
        <v>2.9</v>
      </c>
      <c r="G119">
        <v>3.2</v>
      </c>
    </row>
    <row r="121" spans="2:26" x14ac:dyDescent="0.25">
      <c r="B121" t="s">
        <v>619</v>
      </c>
    </row>
    <row r="122" spans="2:26" x14ac:dyDescent="0.25">
      <c r="B122" t="s">
        <v>618</v>
      </c>
    </row>
    <row r="123" spans="2:26" x14ac:dyDescent="0.25">
      <c r="B123" t="s">
        <v>617</v>
      </c>
    </row>
    <row r="124" spans="2:26" x14ac:dyDescent="0.25">
      <c r="B124" t="s">
        <v>616</v>
      </c>
    </row>
    <row r="125" spans="2:26" x14ac:dyDescent="0.25">
      <c r="B125" t="s">
        <v>615</v>
      </c>
    </row>
    <row r="126" spans="2:26" x14ac:dyDescent="0.25">
      <c r="B126" t="s">
        <v>614</v>
      </c>
    </row>
    <row r="127" spans="2:26" x14ac:dyDescent="0.25">
      <c r="B127" t="s">
        <v>613</v>
      </c>
    </row>
    <row r="128" spans="2:26" x14ac:dyDescent="0.25">
      <c r="B128" t="s">
        <v>612</v>
      </c>
    </row>
    <row r="129" spans="2:2" x14ac:dyDescent="0.25">
      <c r="B129" t="s">
        <v>611</v>
      </c>
    </row>
    <row r="130" spans="2:2" x14ac:dyDescent="0.25">
      <c r="B130" t="s">
        <v>610</v>
      </c>
    </row>
    <row r="131" spans="2:2" x14ac:dyDescent="0.25">
      <c r="B131" t="s">
        <v>609</v>
      </c>
    </row>
    <row r="132" spans="2:2" x14ac:dyDescent="0.25">
      <c r="B132" t="s">
        <v>608</v>
      </c>
    </row>
    <row r="133" spans="2:2" x14ac:dyDescent="0.25">
      <c r="B133" t="s">
        <v>607</v>
      </c>
    </row>
    <row r="134" spans="2:2" x14ac:dyDescent="0.25">
      <c r="B134" t="s">
        <v>606</v>
      </c>
    </row>
    <row r="135" spans="2:2" x14ac:dyDescent="0.25">
      <c r="B135" t="s">
        <v>605</v>
      </c>
    </row>
    <row r="136" spans="2:2" x14ac:dyDescent="0.25">
      <c r="B136" t="s">
        <v>604</v>
      </c>
    </row>
    <row r="137" spans="2:2" x14ac:dyDescent="0.25">
      <c r="B137" t="s">
        <v>603</v>
      </c>
    </row>
    <row r="138" spans="2:2" x14ac:dyDescent="0.25">
      <c r="B138" t="s">
        <v>602</v>
      </c>
    </row>
    <row r="139" spans="2:2" x14ac:dyDescent="0.25">
      <c r="B139" t="s">
        <v>601</v>
      </c>
    </row>
    <row r="140" spans="2:2" x14ac:dyDescent="0.25">
      <c r="B140" t="s">
        <v>600</v>
      </c>
    </row>
    <row r="141" spans="2:2" x14ac:dyDescent="0.25">
      <c r="B141" t="s">
        <v>599</v>
      </c>
    </row>
    <row r="142" spans="2:2" x14ac:dyDescent="0.25">
      <c r="B142" t="s">
        <v>598</v>
      </c>
    </row>
    <row r="143" spans="2:2" x14ac:dyDescent="0.25">
      <c r="B143" t="s">
        <v>597</v>
      </c>
    </row>
    <row r="147" spans="2:2" x14ac:dyDescent="0.25">
      <c r="B147" t="s">
        <v>596</v>
      </c>
    </row>
    <row r="148" spans="2:2" x14ac:dyDescent="0.25">
      <c r="B148" t="s">
        <v>595</v>
      </c>
    </row>
  </sheetData>
  <hyperlinks>
    <hyperlink ref="B88" r:id="rId1" xr:uid="{90EC3A69-DB52-4E1B-89C3-78A79E8CDB00}"/>
    <hyperlink ref="B86" r:id="rId2" xr:uid="{32F24361-58BA-4CBC-B3D4-501C462867F7}"/>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C9DC-1FA9-4F6F-8214-7EA23BC3D61C}">
  <dimension ref="A1:F4"/>
  <sheetViews>
    <sheetView workbookViewId="0">
      <selection activeCell="C32" sqref="C32"/>
    </sheetView>
  </sheetViews>
  <sheetFormatPr defaultRowHeight="15" x14ac:dyDescent="0.25"/>
  <cols>
    <col min="1" max="1" width="6.28515625" bestFit="1" customWidth="1"/>
    <col min="2" max="2" width="8.85546875" bestFit="1" customWidth="1"/>
    <col min="3" max="3" width="11.140625" bestFit="1" customWidth="1"/>
    <col min="4" max="4" width="41.5703125" bestFit="1" customWidth="1"/>
    <col min="5" max="5" width="6.28515625" bestFit="1" customWidth="1"/>
    <col min="6" max="6" width="24.7109375" bestFit="1" customWidth="1"/>
  </cols>
  <sheetData>
    <row r="1" spans="1:6" x14ac:dyDescent="0.25">
      <c r="A1" t="s">
        <v>290</v>
      </c>
      <c r="B1" t="s">
        <v>289</v>
      </c>
    </row>
    <row r="2" spans="1:6" x14ac:dyDescent="0.25">
      <c r="B2" t="s">
        <v>275</v>
      </c>
      <c r="C2" t="s">
        <v>755</v>
      </c>
      <c r="D2" t="s">
        <v>754</v>
      </c>
      <c r="E2" t="s">
        <v>4</v>
      </c>
      <c r="F2" t="s">
        <v>753</v>
      </c>
    </row>
    <row r="3" spans="1:6" x14ac:dyDescent="0.25">
      <c r="B3" t="s">
        <v>281</v>
      </c>
      <c r="C3" t="s">
        <v>744</v>
      </c>
      <c r="D3" t="s">
        <v>752</v>
      </c>
      <c r="E3" t="s">
        <v>278</v>
      </c>
      <c r="F3" t="s">
        <v>751</v>
      </c>
    </row>
    <row r="4" spans="1:6" x14ac:dyDescent="0.25">
      <c r="B4" t="s">
        <v>281</v>
      </c>
      <c r="C4" t="s">
        <v>740</v>
      </c>
      <c r="D4" t="s">
        <v>750</v>
      </c>
      <c r="E4" t="s">
        <v>278</v>
      </c>
      <c r="F4" t="s">
        <v>749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F6B9D-764E-425B-98EC-98209AC17CC7}">
  <dimension ref="A1:AP14"/>
  <sheetViews>
    <sheetView workbookViewId="0">
      <selection activeCell="C32" sqref="C32"/>
    </sheetView>
  </sheetViews>
  <sheetFormatPr defaultRowHeight="15" x14ac:dyDescent="0.25"/>
  <cols>
    <col min="1" max="1" width="8.28515625" bestFit="1" customWidth="1"/>
    <col min="2" max="2" width="12.85546875" bestFit="1" customWidth="1"/>
    <col min="3" max="3" width="11.140625" bestFit="1" customWidth="1"/>
    <col min="4" max="4" width="8.42578125" bestFit="1" customWidth="1"/>
    <col min="5" max="5" width="9.85546875" bestFit="1" customWidth="1"/>
    <col min="6" max="6" width="6.140625" bestFit="1" customWidth="1"/>
    <col min="7" max="7" width="8.5703125" bestFit="1" customWidth="1"/>
    <col min="8" max="8" width="6.140625" bestFit="1" customWidth="1"/>
    <col min="9" max="9" width="3.42578125" bestFit="1" customWidth="1"/>
    <col min="10" max="17" width="5" bestFit="1" customWidth="1"/>
    <col min="18" max="18" width="7" bestFit="1" customWidth="1"/>
    <col min="19" max="27" width="5" bestFit="1" customWidth="1"/>
    <col min="28" max="28" width="6.5703125" bestFit="1" customWidth="1"/>
    <col min="29" max="32" width="5" bestFit="1" customWidth="1"/>
    <col min="33" max="33" width="6.5703125" bestFit="1" customWidth="1"/>
    <col min="34" max="37" width="5" bestFit="1" customWidth="1"/>
    <col min="38" max="38" width="6.5703125" bestFit="1" customWidth="1"/>
    <col min="39" max="39" width="5" bestFit="1" customWidth="1"/>
    <col min="40" max="40" width="6.5703125" bestFit="1" customWidth="1"/>
    <col min="41" max="42" width="7.5703125" bestFit="1" customWidth="1"/>
  </cols>
  <sheetData>
    <row r="1" spans="1:42" x14ac:dyDescent="0.25">
      <c r="A1" t="s">
        <v>304</v>
      </c>
      <c r="B1" t="s">
        <v>289</v>
      </c>
    </row>
    <row r="2" spans="1:42" x14ac:dyDescent="0.25">
      <c r="A2" t="s">
        <v>7</v>
      </c>
      <c r="B2" t="s">
        <v>303</v>
      </c>
      <c r="C2" t="s">
        <v>302</v>
      </c>
      <c r="D2" t="s">
        <v>301</v>
      </c>
      <c r="E2" t="s">
        <v>300</v>
      </c>
      <c r="F2" t="s">
        <v>299</v>
      </c>
      <c r="G2" t="s">
        <v>298</v>
      </c>
      <c r="H2" t="s">
        <v>297</v>
      </c>
      <c r="I2" t="s">
        <v>296</v>
      </c>
      <c r="J2">
        <v>2012</v>
      </c>
      <c r="K2">
        <f t="shared" ref="K2:AL2" si="0">1+J2</f>
        <v>2013</v>
      </c>
      <c r="L2">
        <f t="shared" si="0"/>
        <v>2014</v>
      </c>
      <c r="M2">
        <f t="shared" si="0"/>
        <v>2015</v>
      </c>
      <c r="N2">
        <f t="shared" si="0"/>
        <v>2016</v>
      </c>
      <c r="O2">
        <f t="shared" si="0"/>
        <v>2017</v>
      </c>
      <c r="P2">
        <f t="shared" si="0"/>
        <v>2018</v>
      </c>
      <c r="Q2">
        <f t="shared" si="0"/>
        <v>2019</v>
      </c>
      <c r="R2">
        <f t="shared" si="0"/>
        <v>2020</v>
      </c>
      <c r="S2">
        <f t="shared" si="0"/>
        <v>2021</v>
      </c>
      <c r="T2">
        <f t="shared" si="0"/>
        <v>2022</v>
      </c>
      <c r="U2">
        <f t="shared" si="0"/>
        <v>2023</v>
      </c>
      <c r="V2">
        <f t="shared" si="0"/>
        <v>2024</v>
      </c>
      <c r="W2">
        <f t="shared" si="0"/>
        <v>2025</v>
      </c>
      <c r="X2">
        <f t="shared" si="0"/>
        <v>2026</v>
      </c>
      <c r="Y2">
        <f t="shared" si="0"/>
        <v>2027</v>
      </c>
      <c r="Z2">
        <f t="shared" si="0"/>
        <v>2028</v>
      </c>
      <c r="AA2">
        <f t="shared" si="0"/>
        <v>2029</v>
      </c>
      <c r="AB2">
        <f t="shared" si="0"/>
        <v>2030</v>
      </c>
      <c r="AC2">
        <f t="shared" si="0"/>
        <v>2031</v>
      </c>
      <c r="AD2">
        <f t="shared" si="0"/>
        <v>2032</v>
      </c>
      <c r="AE2">
        <f t="shared" si="0"/>
        <v>2033</v>
      </c>
      <c r="AF2">
        <f t="shared" si="0"/>
        <v>2034</v>
      </c>
      <c r="AG2">
        <f t="shared" si="0"/>
        <v>2035</v>
      </c>
      <c r="AH2">
        <f t="shared" si="0"/>
        <v>2036</v>
      </c>
      <c r="AI2">
        <f t="shared" si="0"/>
        <v>2037</v>
      </c>
      <c r="AJ2">
        <f t="shared" si="0"/>
        <v>2038</v>
      </c>
      <c r="AK2">
        <f t="shared" si="0"/>
        <v>2039</v>
      </c>
      <c r="AL2">
        <f t="shared" si="0"/>
        <v>2040</v>
      </c>
      <c r="AM2">
        <f>5+AL2</f>
        <v>2045</v>
      </c>
      <c r="AN2">
        <f>5+AM2</f>
        <v>2050</v>
      </c>
      <c r="AO2">
        <f>10+AN2</f>
        <v>2060</v>
      </c>
      <c r="AP2">
        <f>10+AO2</f>
        <v>2070</v>
      </c>
    </row>
    <row r="3" spans="1:42" x14ac:dyDescent="0.25">
      <c r="B3" t="s">
        <v>760</v>
      </c>
      <c r="C3" t="s">
        <v>740</v>
      </c>
      <c r="D3" t="s">
        <v>755</v>
      </c>
      <c r="E3" t="s">
        <v>260</v>
      </c>
      <c r="F3" t="s">
        <v>236</v>
      </c>
      <c r="G3" t="s">
        <v>291</v>
      </c>
      <c r="H3" t="s">
        <v>236</v>
      </c>
      <c r="I3">
        <v>0</v>
      </c>
      <c r="J3" t="s">
        <v>756</v>
      </c>
      <c r="K3" t="s">
        <v>756</v>
      </c>
      <c r="L3" t="s">
        <v>756</v>
      </c>
      <c r="M3" t="s">
        <v>756</v>
      </c>
      <c r="N3" t="s">
        <v>756</v>
      </c>
      <c r="O3" t="s">
        <v>756</v>
      </c>
      <c r="P3" t="s">
        <v>756</v>
      </c>
      <c r="Q3" t="s">
        <v>756</v>
      </c>
      <c r="R3">
        <v>0.99990000000000001</v>
      </c>
      <c r="S3" t="s">
        <v>756</v>
      </c>
      <c r="T3" t="s">
        <v>756</v>
      </c>
      <c r="U3" t="s">
        <v>756</v>
      </c>
      <c r="V3" t="s">
        <v>756</v>
      </c>
      <c r="W3" t="s">
        <v>756</v>
      </c>
      <c r="X3" t="s">
        <v>756</v>
      </c>
      <c r="Y3" t="s">
        <v>756</v>
      </c>
      <c r="Z3" t="s">
        <v>756</v>
      </c>
      <c r="AA3" t="s">
        <v>756</v>
      </c>
      <c r="AB3" t="s">
        <v>756</v>
      </c>
      <c r="AC3" t="s">
        <v>756</v>
      </c>
      <c r="AD3" t="s">
        <v>756</v>
      </c>
      <c r="AE3" t="s">
        <v>756</v>
      </c>
      <c r="AF3" t="s">
        <v>756</v>
      </c>
      <c r="AG3" t="s">
        <v>756</v>
      </c>
      <c r="AH3" t="s">
        <v>756</v>
      </c>
      <c r="AI3" t="s">
        <v>756</v>
      </c>
      <c r="AJ3" t="s">
        <v>756</v>
      </c>
      <c r="AK3" t="s">
        <v>756</v>
      </c>
      <c r="AL3" t="s">
        <v>756</v>
      </c>
      <c r="AM3" t="s">
        <v>756</v>
      </c>
      <c r="AN3" t="s">
        <v>756</v>
      </c>
      <c r="AO3" s="80" t="str">
        <f t="shared" ref="AO3:AP14" si="1">AN3</f>
        <v>null</v>
      </c>
      <c r="AP3" s="80" t="str">
        <f t="shared" si="1"/>
        <v>null</v>
      </c>
    </row>
    <row r="4" spans="1:42" x14ac:dyDescent="0.25">
      <c r="B4" t="s">
        <v>26</v>
      </c>
      <c r="C4" t="s">
        <v>744</v>
      </c>
      <c r="D4" t="s">
        <v>236</v>
      </c>
      <c r="E4" t="s">
        <v>236</v>
      </c>
      <c r="F4" t="s">
        <v>236</v>
      </c>
      <c r="G4" t="s">
        <v>291</v>
      </c>
      <c r="H4" t="s">
        <v>243</v>
      </c>
      <c r="I4">
        <v>0</v>
      </c>
      <c r="J4" t="s">
        <v>756</v>
      </c>
      <c r="K4" t="s">
        <v>756</v>
      </c>
      <c r="L4" t="s">
        <v>756</v>
      </c>
      <c r="M4" t="s">
        <v>756</v>
      </c>
      <c r="N4" t="s">
        <v>756</v>
      </c>
      <c r="O4" t="s">
        <v>756</v>
      </c>
      <c r="P4" t="s">
        <v>756</v>
      </c>
      <c r="Q4" t="s">
        <v>756</v>
      </c>
      <c r="R4">
        <v>1</v>
      </c>
      <c r="S4" t="s">
        <v>756</v>
      </c>
      <c r="T4" t="s">
        <v>756</v>
      </c>
      <c r="U4" t="s">
        <v>756</v>
      </c>
      <c r="V4" t="s">
        <v>756</v>
      </c>
      <c r="W4" t="s">
        <v>756</v>
      </c>
      <c r="X4" t="s">
        <v>756</v>
      </c>
      <c r="Y4" t="s">
        <v>756</v>
      </c>
      <c r="Z4" t="s">
        <v>756</v>
      </c>
      <c r="AA4" t="s">
        <v>756</v>
      </c>
      <c r="AB4" t="s">
        <v>756</v>
      </c>
      <c r="AC4" t="s">
        <v>756</v>
      </c>
      <c r="AD4" t="s">
        <v>756</v>
      </c>
      <c r="AE4" t="s">
        <v>756</v>
      </c>
      <c r="AF4" t="s">
        <v>756</v>
      </c>
      <c r="AG4" t="s">
        <v>756</v>
      </c>
      <c r="AH4" t="s">
        <v>756</v>
      </c>
      <c r="AI4" t="s">
        <v>756</v>
      </c>
      <c r="AJ4" t="s">
        <v>756</v>
      </c>
      <c r="AK4" t="s">
        <v>756</v>
      </c>
      <c r="AL4" t="s">
        <v>756</v>
      </c>
      <c r="AM4" t="s">
        <v>756</v>
      </c>
      <c r="AN4" t="s">
        <v>756</v>
      </c>
      <c r="AO4" s="80" t="str">
        <f t="shared" si="1"/>
        <v>null</v>
      </c>
      <c r="AP4" s="80" t="str">
        <f t="shared" si="1"/>
        <v>null</v>
      </c>
    </row>
    <row r="5" spans="1:42" x14ac:dyDescent="0.25">
      <c r="B5" t="s">
        <v>46</v>
      </c>
      <c r="C5" t="s">
        <v>744</v>
      </c>
      <c r="D5" t="s">
        <v>236</v>
      </c>
      <c r="E5" t="s">
        <v>236</v>
      </c>
      <c r="F5" t="s">
        <v>236</v>
      </c>
      <c r="G5" t="s">
        <v>236</v>
      </c>
      <c r="H5" t="s">
        <v>243</v>
      </c>
      <c r="I5">
        <v>0</v>
      </c>
      <c r="J5" t="s">
        <v>756</v>
      </c>
      <c r="K5" t="s">
        <v>756</v>
      </c>
      <c r="L5" t="s">
        <v>756</v>
      </c>
      <c r="M5" t="s">
        <v>756</v>
      </c>
      <c r="N5" t="s">
        <v>756</v>
      </c>
      <c r="O5" t="s">
        <v>756</v>
      </c>
      <c r="P5" t="s">
        <v>756</v>
      </c>
      <c r="Q5" t="s">
        <v>756</v>
      </c>
      <c r="R5">
        <v>0.9</v>
      </c>
      <c r="S5" t="s">
        <v>756</v>
      </c>
      <c r="T5" t="s">
        <v>756</v>
      </c>
      <c r="U5" t="s">
        <v>756</v>
      </c>
      <c r="V5" t="s">
        <v>756</v>
      </c>
      <c r="W5" t="s">
        <v>756</v>
      </c>
      <c r="X5" t="s">
        <v>756</v>
      </c>
      <c r="Y5" t="s">
        <v>756</v>
      </c>
      <c r="Z5" t="s">
        <v>756</v>
      </c>
      <c r="AA5" t="s">
        <v>756</v>
      </c>
      <c r="AB5" t="s">
        <v>756</v>
      </c>
      <c r="AC5" t="s">
        <v>756</v>
      </c>
      <c r="AD5" t="s">
        <v>756</v>
      </c>
      <c r="AE5" t="s">
        <v>756</v>
      </c>
      <c r="AF5" t="s">
        <v>756</v>
      </c>
      <c r="AG5" t="s">
        <v>756</v>
      </c>
      <c r="AH5" t="s">
        <v>756</v>
      </c>
      <c r="AI5" t="s">
        <v>756</v>
      </c>
      <c r="AJ5" t="s">
        <v>756</v>
      </c>
      <c r="AK5" t="s">
        <v>756</v>
      </c>
      <c r="AL5" t="s">
        <v>756</v>
      </c>
      <c r="AM5" t="s">
        <v>756</v>
      </c>
      <c r="AN5" t="s">
        <v>756</v>
      </c>
      <c r="AO5" s="80" t="str">
        <f t="shared" si="1"/>
        <v>null</v>
      </c>
      <c r="AP5" s="80" t="str">
        <f t="shared" si="1"/>
        <v>null</v>
      </c>
    </row>
    <row r="6" spans="1:42" x14ac:dyDescent="0.25">
      <c r="B6" t="s">
        <v>759</v>
      </c>
      <c r="C6" t="s">
        <v>744</v>
      </c>
      <c r="D6" t="s">
        <v>236</v>
      </c>
      <c r="E6" t="s">
        <v>293</v>
      </c>
      <c r="F6" t="s">
        <v>236</v>
      </c>
      <c r="G6" t="s">
        <v>36</v>
      </c>
      <c r="H6" t="s">
        <v>236</v>
      </c>
      <c r="I6">
        <v>0</v>
      </c>
      <c r="J6" t="s">
        <v>756</v>
      </c>
      <c r="K6" t="s">
        <v>756</v>
      </c>
      <c r="L6" t="s">
        <v>756</v>
      </c>
      <c r="M6" t="s">
        <v>756</v>
      </c>
      <c r="N6" t="s">
        <v>756</v>
      </c>
      <c r="O6" t="s">
        <v>756</v>
      </c>
      <c r="P6" t="s">
        <v>756</v>
      </c>
      <c r="Q6" t="s">
        <v>756</v>
      </c>
      <c r="R6">
        <v>1</v>
      </c>
      <c r="S6" t="s">
        <v>756</v>
      </c>
      <c r="T6" t="s">
        <v>756</v>
      </c>
      <c r="U6" t="s">
        <v>756</v>
      </c>
      <c r="V6" t="s">
        <v>756</v>
      </c>
      <c r="W6" t="s">
        <v>756</v>
      </c>
      <c r="X6" t="s">
        <v>756</v>
      </c>
      <c r="Y6" t="s">
        <v>756</v>
      </c>
      <c r="Z6" t="s">
        <v>756</v>
      </c>
      <c r="AA6" t="s">
        <v>756</v>
      </c>
      <c r="AB6" t="s">
        <v>756</v>
      </c>
      <c r="AC6" t="s">
        <v>756</v>
      </c>
      <c r="AD6" t="s">
        <v>756</v>
      </c>
      <c r="AE6" t="s">
        <v>756</v>
      </c>
      <c r="AF6" t="s">
        <v>756</v>
      </c>
      <c r="AG6" t="s">
        <v>756</v>
      </c>
      <c r="AH6" t="s">
        <v>756</v>
      </c>
      <c r="AI6" t="s">
        <v>756</v>
      </c>
      <c r="AJ6" t="s">
        <v>756</v>
      </c>
      <c r="AK6" t="s">
        <v>756</v>
      </c>
      <c r="AL6" t="s">
        <v>756</v>
      </c>
      <c r="AM6" t="s">
        <v>756</v>
      </c>
      <c r="AN6" t="s">
        <v>756</v>
      </c>
      <c r="AO6" s="80" t="str">
        <f t="shared" si="1"/>
        <v>null</v>
      </c>
      <c r="AP6" s="80" t="str">
        <f t="shared" si="1"/>
        <v>null</v>
      </c>
    </row>
    <row r="7" spans="1:42" x14ac:dyDescent="0.25">
      <c r="B7" t="s">
        <v>758</v>
      </c>
      <c r="C7" t="s">
        <v>744</v>
      </c>
      <c r="D7" t="s">
        <v>236</v>
      </c>
      <c r="E7" t="s">
        <v>236</v>
      </c>
      <c r="F7" t="s">
        <v>236</v>
      </c>
      <c r="G7" t="s">
        <v>236</v>
      </c>
      <c r="H7" t="s">
        <v>243</v>
      </c>
      <c r="I7">
        <v>3</v>
      </c>
      <c r="J7" t="s">
        <v>756</v>
      </c>
      <c r="K7" t="s">
        <v>756</v>
      </c>
      <c r="L7" t="s">
        <v>756</v>
      </c>
      <c r="M7" t="s">
        <v>756</v>
      </c>
      <c r="N7" t="s">
        <v>756</v>
      </c>
      <c r="O7" t="s">
        <v>756</v>
      </c>
      <c r="P7" t="s">
        <v>756</v>
      </c>
      <c r="Q7" t="s">
        <v>756</v>
      </c>
      <c r="R7" t="s">
        <v>756</v>
      </c>
      <c r="S7" t="s">
        <v>756</v>
      </c>
      <c r="T7" t="s">
        <v>756</v>
      </c>
      <c r="U7" t="s">
        <v>756</v>
      </c>
      <c r="V7" t="s">
        <v>756</v>
      </c>
      <c r="W7" t="s">
        <v>756</v>
      </c>
      <c r="X7" t="s">
        <v>756</v>
      </c>
      <c r="Y7" t="s">
        <v>756</v>
      </c>
      <c r="Z7" t="s">
        <v>756</v>
      </c>
      <c r="AA7" t="s">
        <v>756</v>
      </c>
      <c r="AB7" t="s">
        <v>756</v>
      </c>
      <c r="AC7" t="s">
        <v>756</v>
      </c>
      <c r="AD7" t="s">
        <v>756</v>
      </c>
      <c r="AE7" t="s">
        <v>756</v>
      </c>
      <c r="AF7" t="s">
        <v>756</v>
      </c>
      <c r="AG7" t="s">
        <v>756</v>
      </c>
      <c r="AH7" t="s">
        <v>756</v>
      </c>
      <c r="AI7" t="s">
        <v>756</v>
      </c>
      <c r="AJ7" t="s">
        <v>756</v>
      </c>
      <c r="AK7" t="s">
        <v>756</v>
      </c>
      <c r="AL7" t="s">
        <v>756</v>
      </c>
      <c r="AM7" t="s">
        <v>756</v>
      </c>
      <c r="AN7" t="s">
        <v>756</v>
      </c>
      <c r="AO7" s="80" t="str">
        <f t="shared" si="1"/>
        <v>null</v>
      </c>
      <c r="AP7" s="80" t="str">
        <f t="shared" si="1"/>
        <v>null</v>
      </c>
    </row>
    <row r="8" spans="1:42" x14ac:dyDescent="0.25">
      <c r="B8" t="s">
        <v>24</v>
      </c>
      <c r="C8" t="s">
        <v>744</v>
      </c>
      <c r="D8" t="s">
        <v>236</v>
      </c>
      <c r="E8" t="s">
        <v>236</v>
      </c>
      <c r="F8" t="s">
        <v>236</v>
      </c>
      <c r="G8" t="s">
        <v>236</v>
      </c>
      <c r="H8" t="s">
        <v>236</v>
      </c>
      <c r="I8">
        <v>0</v>
      </c>
      <c r="J8" s="80" t="str">
        <f t="array" ref="J8">_xlfn.IFNA(INDEX(H2Storage!$F$3:$J$16,MATCH('H2Storage-TSData'!$B8&amp;'H2Storage-TSData'!$C8,H2Storage!$B$3:$B$16&amp;H2Storage!$A$3:$A$16,0),MATCH(J$2,H2Storage!$F$2:$J$2,0)),"null")</f>
        <v>null</v>
      </c>
      <c r="K8" s="80" t="str">
        <f t="array" ref="K8">_xlfn.IFNA(INDEX(H2Storage!$F$3:$J$16,MATCH('H2Storage-TSData'!$B8&amp;'H2Storage-TSData'!$C8,H2Storage!$B$3:$B$16&amp;H2Storage!$A$3:$A$16,0),MATCH(K$2,H2Storage!$F$2:$J$2,0)),"null")</f>
        <v>null</v>
      </c>
      <c r="L8" s="80" t="str">
        <f t="array" ref="L8">_xlfn.IFNA(INDEX(H2Storage!$F$3:$J$16,MATCH('H2Storage-TSData'!$B8&amp;'H2Storage-TSData'!$C8,H2Storage!$B$3:$B$16&amp;H2Storage!$A$3:$A$16,0),MATCH(L$2,H2Storage!$F$2:$J$2,0)),"null")</f>
        <v>null</v>
      </c>
      <c r="M8" s="80" t="str">
        <f t="array" ref="M8">_xlfn.IFNA(INDEX(H2Storage!$F$3:$J$16,MATCH('H2Storage-TSData'!$B8&amp;'H2Storage-TSData'!$C8,H2Storage!$B$3:$B$16&amp;H2Storage!$A$3:$A$16,0),MATCH(M$2,H2Storage!$F$2:$J$2,0)),"null")</f>
        <v>null</v>
      </c>
      <c r="N8" s="80" t="str">
        <f t="array" ref="N8">_xlfn.IFNA(INDEX(H2Storage!$F$3:$J$16,MATCH('H2Storage-TSData'!$B8&amp;'H2Storage-TSData'!$C8,H2Storage!$B$3:$B$16&amp;H2Storage!$A$3:$A$16,0),MATCH(N$2,H2Storage!$F$2:$J$2,0)),"null")</f>
        <v>null</v>
      </c>
      <c r="O8" s="80" t="str">
        <f t="array" ref="O8">_xlfn.IFNA(INDEX(H2Storage!$F$3:$J$16,MATCH('H2Storage-TSData'!$B8&amp;'H2Storage-TSData'!$C8,H2Storage!$B$3:$B$16&amp;H2Storage!$A$3:$A$16,0),MATCH(O$2,H2Storage!$F$2:$J$2,0)),"null")</f>
        <v>null</v>
      </c>
      <c r="P8" s="80" t="str">
        <f t="array" ref="P8">_xlfn.IFNA(INDEX(H2Storage!$F$3:$J$16,MATCH('H2Storage-TSData'!$B8&amp;'H2Storage-TSData'!$C8,H2Storage!$B$3:$B$16&amp;H2Storage!$A$3:$A$16,0),MATCH(P$2,H2Storage!$F$2:$J$2,0)),"null")</f>
        <v>null</v>
      </c>
      <c r="Q8" s="80" t="str">
        <f t="array" ref="Q8">_xlfn.IFNA(INDEX(H2Storage!$F$3:$J$16,MATCH('H2Storage-TSData'!$B8&amp;'H2Storage-TSData'!$C8,H2Storage!$B$3:$B$16&amp;H2Storage!$A$3:$A$16,0),MATCH(Q$2,H2Storage!$F$2:$J$2,0)),"null")</f>
        <v>null</v>
      </c>
      <c r="R8" s="80">
        <f t="array" ref="R8">_xlfn.IFNA(INDEX(H2Storage!$F$3:$J$16,MATCH('H2Storage-TSData'!$B8&amp;'H2Storage-TSData'!$C8,H2Storage!$B$3:$B$16&amp;H2Storage!$A$3:$A$16,0),MATCH(R$2,H2Storage!$F$2:$J$2,0)),"null")</f>
        <v>46896.125174280474</v>
      </c>
      <c r="S8" s="80" t="str">
        <f t="array" ref="S8">_xlfn.IFNA(INDEX(H2Storage!$F$3:$J$16,MATCH('H2Storage-TSData'!$B8&amp;'H2Storage-TSData'!$C8,H2Storage!$B$3:$B$16&amp;H2Storage!$A$3:$A$16,0),MATCH(S$2,H2Storage!$F$2:$J$2,0)),"null")</f>
        <v>null</v>
      </c>
      <c r="T8" s="80" t="str">
        <f t="array" ref="T8">_xlfn.IFNA(INDEX(H2Storage!$F$3:$J$16,MATCH('H2Storage-TSData'!$B8&amp;'H2Storage-TSData'!$C8,H2Storage!$B$3:$B$16&amp;H2Storage!$A$3:$A$16,0),MATCH(T$2,H2Storage!$F$2:$J$2,0)),"null")</f>
        <v>null</v>
      </c>
      <c r="U8" s="80" t="str">
        <f t="array" ref="U8">_xlfn.IFNA(INDEX(H2Storage!$F$3:$J$16,MATCH('H2Storage-TSData'!$B8&amp;'H2Storage-TSData'!$C8,H2Storage!$B$3:$B$16&amp;H2Storage!$A$3:$A$16,0),MATCH(U$2,H2Storage!$F$2:$J$2,0)),"null")</f>
        <v>null</v>
      </c>
      <c r="V8" s="80" t="str">
        <f t="array" ref="V8">_xlfn.IFNA(INDEX(H2Storage!$F$3:$J$16,MATCH('H2Storage-TSData'!$B8&amp;'H2Storage-TSData'!$C8,H2Storage!$B$3:$B$16&amp;H2Storage!$A$3:$A$16,0),MATCH(V$2,H2Storage!$F$2:$J$2,0)),"null")</f>
        <v>null</v>
      </c>
      <c r="W8" s="80" t="str">
        <f t="array" ref="W8">_xlfn.IFNA(INDEX(H2Storage!$F$3:$J$16,MATCH('H2Storage-TSData'!$B8&amp;'H2Storage-TSData'!$C8,H2Storage!$B$3:$B$16&amp;H2Storage!$A$3:$A$16,0),MATCH(W$2,H2Storage!$F$2:$J$2,0)),"null")</f>
        <v>null</v>
      </c>
      <c r="X8" s="80" t="str">
        <f t="array" ref="X8">_xlfn.IFNA(INDEX(H2Storage!$F$3:$J$16,MATCH('H2Storage-TSData'!$B8&amp;'H2Storage-TSData'!$C8,H2Storage!$B$3:$B$16&amp;H2Storage!$A$3:$A$16,0),MATCH(X$2,H2Storage!$F$2:$J$2,0)),"null")</f>
        <v>null</v>
      </c>
      <c r="Y8" s="80" t="str">
        <f t="array" ref="Y8">_xlfn.IFNA(INDEX(H2Storage!$F$3:$J$16,MATCH('H2Storage-TSData'!$B8&amp;'H2Storage-TSData'!$C8,H2Storage!$B$3:$B$16&amp;H2Storage!$A$3:$A$16,0),MATCH(Y$2,H2Storage!$F$2:$J$2,0)),"null")</f>
        <v>null</v>
      </c>
      <c r="Z8" s="80" t="str">
        <f t="array" ref="Z8">_xlfn.IFNA(INDEX(H2Storage!$F$3:$J$16,MATCH('H2Storage-TSData'!$B8&amp;'H2Storage-TSData'!$C8,H2Storage!$B$3:$B$16&amp;H2Storage!$A$3:$A$16,0),MATCH(Z$2,H2Storage!$F$2:$J$2,0)),"null")</f>
        <v>null</v>
      </c>
      <c r="AA8" s="80" t="str">
        <f t="array" ref="AA8">_xlfn.IFNA(INDEX(H2Storage!$F$3:$J$16,MATCH('H2Storage-TSData'!$B8&amp;'H2Storage-TSData'!$C8,H2Storage!$B$3:$B$16&amp;H2Storage!$A$3:$A$16,0),MATCH(AA$2,H2Storage!$F$2:$J$2,0)),"null")</f>
        <v>null</v>
      </c>
      <c r="AB8" s="80">
        <f t="array" ref="AB8">_xlfn.IFNA(INDEX(H2Storage!$F$3:$J$16,MATCH('H2Storage-TSData'!$B8&amp;'H2Storage-TSData'!$C8,H2Storage!$B$3:$B$16&amp;H2Storage!$A$3:$A$16,0),MATCH(AB$2,H2Storage!$F$2:$J$2,0)),"null")</f>
        <v>43674.479600333063</v>
      </c>
      <c r="AC8" s="80" t="str">
        <f t="array" ref="AC8">_xlfn.IFNA(INDEX(H2Storage!$F$3:$J$16,MATCH('H2Storage-TSData'!$B8&amp;'H2Storage-TSData'!$C8,H2Storage!$B$3:$B$16&amp;H2Storage!$A$3:$A$16,0),MATCH(AC$2,H2Storage!$F$2:$J$2,0)),"null")</f>
        <v>null</v>
      </c>
      <c r="AD8" s="80" t="str">
        <f t="array" ref="AD8">_xlfn.IFNA(INDEX(H2Storage!$F$3:$J$16,MATCH('H2Storage-TSData'!$B8&amp;'H2Storage-TSData'!$C8,H2Storage!$B$3:$B$16&amp;H2Storage!$A$3:$A$16,0),MATCH(AD$2,H2Storage!$F$2:$J$2,0)),"null")</f>
        <v>null</v>
      </c>
      <c r="AE8" s="80" t="str">
        <f t="array" ref="AE8">_xlfn.IFNA(INDEX(H2Storage!$F$3:$J$16,MATCH('H2Storage-TSData'!$B8&amp;'H2Storage-TSData'!$C8,H2Storage!$B$3:$B$16&amp;H2Storage!$A$3:$A$16,0),MATCH(AE$2,H2Storage!$F$2:$J$2,0)),"null")</f>
        <v>null</v>
      </c>
      <c r="AF8" s="80" t="str">
        <f t="array" ref="AF8">_xlfn.IFNA(INDEX(H2Storage!$F$3:$J$16,MATCH('H2Storage-TSData'!$B8&amp;'H2Storage-TSData'!$C8,H2Storage!$B$3:$B$16&amp;H2Storage!$A$3:$A$16,0),MATCH(AF$2,H2Storage!$F$2:$J$2,0)),"null")</f>
        <v>null</v>
      </c>
      <c r="AG8" s="80">
        <f t="array" ref="AG8">_xlfn.IFNA(INDEX(H2Storage!$F$3:$J$16,MATCH('H2Storage-TSData'!$B8&amp;'H2Storage-TSData'!$C8,H2Storage!$B$3:$B$16&amp;H2Storage!$A$3:$A$16,0),MATCH(AG$2,H2Storage!$F$2:$J$2,0)),"null")</f>
        <v>32512.019553597809</v>
      </c>
      <c r="AH8" s="80" t="str">
        <f t="array" ref="AH8">_xlfn.IFNA(INDEX(H2Storage!$F$3:$J$16,MATCH('H2Storage-TSData'!$B8&amp;'H2Storage-TSData'!$C8,H2Storage!$B$3:$B$16&amp;H2Storage!$A$3:$A$16,0),MATCH(AH$2,H2Storage!$F$2:$J$2,0)),"null")</f>
        <v>null</v>
      </c>
      <c r="AI8" s="80" t="str">
        <f t="array" ref="AI8">_xlfn.IFNA(INDEX(H2Storage!$F$3:$J$16,MATCH('H2Storage-TSData'!$B8&amp;'H2Storage-TSData'!$C8,H2Storage!$B$3:$B$16&amp;H2Storage!$A$3:$A$16,0),MATCH(AI$2,H2Storage!$F$2:$J$2,0)),"null")</f>
        <v>null</v>
      </c>
      <c r="AJ8" s="80" t="str">
        <f t="array" ref="AJ8">_xlfn.IFNA(INDEX(H2Storage!$F$3:$J$16,MATCH('H2Storage-TSData'!$B8&amp;'H2Storage-TSData'!$C8,H2Storage!$B$3:$B$16&amp;H2Storage!$A$3:$A$16,0),MATCH(AJ$2,H2Storage!$F$2:$J$2,0)),"null")</f>
        <v>null</v>
      </c>
      <c r="AK8" s="80" t="str">
        <f t="array" ref="AK8">_xlfn.IFNA(INDEX(H2Storage!$F$3:$J$16,MATCH('H2Storage-TSData'!$B8&amp;'H2Storage-TSData'!$C8,H2Storage!$B$3:$B$16&amp;H2Storage!$A$3:$A$16,0),MATCH(AK$2,H2Storage!$F$2:$J$2,0)),"null")</f>
        <v>null</v>
      </c>
      <c r="AL8" s="80">
        <f t="array" ref="AL8">_xlfn.IFNA(INDEX(H2Storage!$F$3:$J$16,MATCH('H2Storage-TSData'!$B8&amp;'H2Storage-TSData'!$C8,H2Storage!$B$3:$B$16&amp;H2Storage!$A$3:$A$16,0),MATCH(AL$2,H2Storage!$F$2:$J$2,0)),"null")</f>
        <v>28141.935483870966</v>
      </c>
      <c r="AM8" s="80" t="str">
        <f t="array" ref="AM8">_xlfn.IFNA(INDEX(H2Storage!$F$3:$J$16,MATCH('H2Storage-TSData'!$B8&amp;'H2Storage-TSData'!$C8,H2Storage!$B$3:$B$16&amp;H2Storage!$A$3:$A$16,0),MATCH(AM$2,H2Storage!$F$2:$J$2,0)),"null")</f>
        <v>null</v>
      </c>
      <c r="AN8" s="80">
        <f t="array" ref="AN8">_xlfn.IFNA(INDEX(H2Storage!$F$3:$J$16,MATCH('H2Storage-TSData'!$B8&amp;'H2Storage-TSData'!$C8,H2Storage!$B$3:$B$16&amp;H2Storage!$A$3:$A$16,0),MATCH(AN$2,H2Storage!$F$2:$J$2,0)),"null")</f>
        <v>28141.935483870966</v>
      </c>
      <c r="AO8" s="80">
        <f t="shared" si="1"/>
        <v>28141.935483870966</v>
      </c>
      <c r="AP8" s="80">
        <f t="shared" si="1"/>
        <v>28141.935483870966</v>
      </c>
    </row>
    <row r="9" spans="1:42" x14ac:dyDescent="0.25">
      <c r="B9" t="s">
        <v>44</v>
      </c>
      <c r="C9" t="s">
        <v>744</v>
      </c>
      <c r="D9" t="s">
        <v>236</v>
      </c>
      <c r="E9" t="s">
        <v>236</v>
      </c>
      <c r="F9" t="s">
        <v>236</v>
      </c>
      <c r="G9" t="s">
        <v>236</v>
      </c>
      <c r="H9" t="s">
        <v>236</v>
      </c>
      <c r="I9">
        <v>0</v>
      </c>
      <c r="J9" s="80" t="str">
        <f t="array" ref="J9">_xlfn.IFNA(INDEX(H2Storage!$F$3:$J$16,MATCH('H2Storage-TSData'!$B9&amp;'H2Storage-TSData'!$C9,H2Storage!$B$3:$B$16&amp;H2Storage!$A$3:$A$16,0),MATCH(J$2,H2Storage!$F$2:$J$2,0)),"null")</f>
        <v>null</v>
      </c>
      <c r="K9" s="80" t="str">
        <f t="array" ref="K9">_xlfn.IFNA(INDEX(H2Storage!$F$3:$J$16,MATCH('H2Storage-TSData'!$B9&amp;'H2Storage-TSData'!$C9,H2Storage!$B$3:$B$16&amp;H2Storage!$A$3:$A$16,0),MATCH(K$2,H2Storage!$F$2:$J$2,0)),"null")</f>
        <v>null</v>
      </c>
      <c r="L9" s="80" t="str">
        <f t="array" ref="L9">_xlfn.IFNA(INDEX(H2Storage!$F$3:$J$16,MATCH('H2Storage-TSData'!$B9&amp;'H2Storage-TSData'!$C9,H2Storage!$B$3:$B$16&amp;H2Storage!$A$3:$A$16,0),MATCH(L$2,H2Storage!$F$2:$J$2,0)),"null")</f>
        <v>null</v>
      </c>
      <c r="M9" s="80" t="str">
        <f t="array" ref="M9">_xlfn.IFNA(INDEX(H2Storage!$F$3:$J$16,MATCH('H2Storage-TSData'!$B9&amp;'H2Storage-TSData'!$C9,H2Storage!$B$3:$B$16&amp;H2Storage!$A$3:$A$16,0),MATCH(M$2,H2Storage!$F$2:$J$2,0)),"null")</f>
        <v>null</v>
      </c>
      <c r="N9" s="80" t="str">
        <f t="array" ref="N9">_xlfn.IFNA(INDEX(H2Storage!$F$3:$J$16,MATCH('H2Storage-TSData'!$B9&amp;'H2Storage-TSData'!$C9,H2Storage!$B$3:$B$16&amp;H2Storage!$A$3:$A$16,0),MATCH(N$2,H2Storage!$F$2:$J$2,0)),"null")</f>
        <v>null</v>
      </c>
      <c r="O9" s="80" t="str">
        <f t="array" ref="O9">_xlfn.IFNA(INDEX(H2Storage!$F$3:$J$16,MATCH('H2Storage-TSData'!$B9&amp;'H2Storage-TSData'!$C9,H2Storage!$B$3:$B$16&amp;H2Storage!$A$3:$A$16,0),MATCH(O$2,H2Storage!$F$2:$J$2,0)),"null")</f>
        <v>null</v>
      </c>
      <c r="P9" s="80" t="str">
        <f t="array" ref="P9">_xlfn.IFNA(INDEX(H2Storage!$F$3:$J$16,MATCH('H2Storage-TSData'!$B9&amp;'H2Storage-TSData'!$C9,H2Storage!$B$3:$B$16&amp;H2Storage!$A$3:$A$16,0),MATCH(P$2,H2Storage!$F$2:$J$2,0)),"null")</f>
        <v>null</v>
      </c>
      <c r="Q9" s="80" t="str">
        <f t="array" ref="Q9">_xlfn.IFNA(INDEX(H2Storage!$F$3:$J$16,MATCH('H2Storage-TSData'!$B9&amp;'H2Storage-TSData'!$C9,H2Storage!$B$3:$B$16&amp;H2Storage!$A$3:$A$16,0),MATCH(Q$2,H2Storage!$F$2:$J$2,0)),"null")</f>
        <v>null</v>
      </c>
      <c r="R9" s="80">
        <f t="array" ref="R9">_xlfn.IFNA(INDEX(H2Storage!$F$3:$J$16,MATCH('H2Storage-TSData'!$B9&amp;'H2Storage-TSData'!$C9,H2Storage!$B$3:$B$16&amp;H2Storage!$A$3:$A$16,0),MATCH(R$2,H2Storage!$F$2:$J$2,0)),"null")</f>
        <v>1406.8837552284142</v>
      </c>
      <c r="S9" s="80" t="str">
        <f t="array" ref="S9">_xlfn.IFNA(INDEX(H2Storage!$F$3:$J$16,MATCH('H2Storage-TSData'!$B9&amp;'H2Storage-TSData'!$C9,H2Storage!$B$3:$B$16&amp;H2Storage!$A$3:$A$16,0),MATCH(S$2,H2Storage!$F$2:$J$2,0)),"null")</f>
        <v>null</v>
      </c>
      <c r="T9" s="80" t="str">
        <f t="array" ref="T9">_xlfn.IFNA(INDEX(H2Storage!$F$3:$J$16,MATCH('H2Storage-TSData'!$B9&amp;'H2Storage-TSData'!$C9,H2Storage!$B$3:$B$16&amp;H2Storage!$A$3:$A$16,0),MATCH(T$2,H2Storage!$F$2:$J$2,0)),"null")</f>
        <v>null</v>
      </c>
      <c r="U9" s="80" t="str">
        <f t="array" ref="U9">_xlfn.IFNA(INDEX(H2Storage!$F$3:$J$16,MATCH('H2Storage-TSData'!$B9&amp;'H2Storage-TSData'!$C9,H2Storage!$B$3:$B$16&amp;H2Storage!$A$3:$A$16,0),MATCH(U$2,H2Storage!$F$2:$J$2,0)),"null")</f>
        <v>null</v>
      </c>
      <c r="V9" s="80" t="str">
        <f t="array" ref="V9">_xlfn.IFNA(INDEX(H2Storage!$F$3:$J$16,MATCH('H2Storage-TSData'!$B9&amp;'H2Storage-TSData'!$C9,H2Storage!$B$3:$B$16&amp;H2Storage!$A$3:$A$16,0),MATCH(V$2,H2Storage!$F$2:$J$2,0)),"null")</f>
        <v>null</v>
      </c>
      <c r="W9" s="80" t="str">
        <f t="array" ref="W9">_xlfn.IFNA(INDEX(H2Storage!$F$3:$J$16,MATCH('H2Storage-TSData'!$B9&amp;'H2Storage-TSData'!$C9,H2Storage!$B$3:$B$16&amp;H2Storage!$A$3:$A$16,0),MATCH(W$2,H2Storage!$F$2:$J$2,0)),"null")</f>
        <v>null</v>
      </c>
      <c r="X9" s="80" t="str">
        <f t="array" ref="X9">_xlfn.IFNA(INDEX(H2Storage!$F$3:$J$16,MATCH('H2Storage-TSData'!$B9&amp;'H2Storage-TSData'!$C9,H2Storage!$B$3:$B$16&amp;H2Storage!$A$3:$A$16,0),MATCH(X$2,H2Storage!$F$2:$J$2,0)),"null")</f>
        <v>null</v>
      </c>
      <c r="Y9" s="80" t="str">
        <f t="array" ref="Y9">_xlfn.IFNA(INDEX(H2Storage!$F$3:$J$16,MATCH('H2Storage-TSData'!$B9&amp;'H2Storage-TSData'!$C9,H2Storage!$B$3:$B$16&amp;H2Storage!$A$3:$A$16,0),MATCH(Y$2,H2Storage!$F$2:$J$2,0)),"null")</f>
        <v>null</v>
      </c>
      <c r="Z9" s="80" t="str">
        <f t="array" ref="Z9">_xlfn.IFNA(INDEX(H2Storage!$F$3:$J$16,MATCH('H2Storage-TSData'!$B9&amp;'H2Storage-TSData'!$C9,H2Storage!$B$3:$B$16&amp;H2Storage!$A$3:$A$16,0),MATCH(Z$2,H2Storage!$F$2:$J$2,0)),"null")</f>
        <v>null</v>
      </c>
      <c r="AA9" s="80" t="str">
        <f t="array" ref="AA9">_xlfn.IFNA(INDEX(H2Storage!$F$3:$J$16,MATCH('H2Storage-TSData'!$B9&amp;'H2Storage-TSData'!$C9,H2Storage!$B$3:$B$16&amp;H2Storage!$A$3:$A$16,0),MATCH(AA$2,H2Storage!$F$2:$J$2,0)),"null")</f>
        <v>null</v>
      </c>
      <c r="AB9" s="80">
        <f t="array" ref="AB9">_xlfn.IFNA(INDEX(H2Storage!$F$3:$J$16,MATCH('H2Storage-TSData'!$B9&amp;'H2Storage-TSData'!$C9,H2Storage!$B$3:$B$16&amp;H2Storage!$A$3:$A$16,0),MATCH(AB$2,H2Storage!$F$2:$J$2,0)),"null")</f>
        <v>1310.2343880099918</v>
      </c>
      <c r="AC9" s="80" t="str">
        <f t="array" ref="AC9">_xlfn.IFNA(INDEX(H2Storage!$F$3:$J$16,MATCH('H2Storage-TSData'!$B9&amp;'H2Storage-TSData'!$C9,H2Storage!$B$3:$B$16&amp;H2Storage!$A$3:$A$16,0),MATCH(AC$2,H2Storage!$F$2:$J$2,0)),"null")</f>
        <v>null</v>
      </c>
      <c r="AD9" s="80" t="str">
        <f t="array" ref="AD9">_xlfn.IFNA(INDEX(H2Storage!$F$3:$J$16,MATCH('H2Storage-TSData'!$B9&amp;'H2Storage-TSData'!$C9,H2Storage!$B$3:$B$16&amp;H2Storage!$A$3:$A$16,0),MATCH(AD$2,H2Storage!$F$2:$J$2,0)),"null")</f>
        <v>null</v>
      </c>
      <c r="AE9" s="80" t="str">
        <f t="array" ref="AE9">_xlfn.IFNA(INDEX(H2Storage!$F$3:$J$16,MATCH('H2Storage-TSData'!$B9&amp;'H2Storage-TSData'!$C9,H2Storage!$B$3:$B$16&amp;H2Storage!$A$3:$A$16,0),MATCH(AE$2,H2Storage!$F$2:$J$2,0)),"null")</f>
        <v>null</v>
      </c>
      <c r="AF9" s="80" t="str">
        <f t="array" ref="AF9">_xlfn.IFNA(INDEX(H2Storage!$F$3:$J$16,MATCH('H2Storage-TSData'!$B9&amp;'H2Storage-TSData'!$C9,H2Storage!$B$3:$B$16&amp;H2Storage!$A$3:$A$16,0),MATCH(AF$2,H2Storage!$F$2:$J$2,0)),"null")</f>
        <v>null</v>
      </c>
      <c r="AG9" s="80">
        <f t="array" ref="AG9">_xlfn.IFNA(INDEX(H2Storage!$F$3:$J$16,MATCH('H2Storage-TSData'!$B9&amp;'H2Storage-TSData'!$C9,H2Storage!$B$3:$B$16&amp;H2Storage!$A$3:$A$16,0),MATCH(AG$2,H2Storage!$F$2:$J$2,0)),"null")</f>
        <v>975.36058660793424</v>
      </c>
      <c r="AH9" s="80" t="str">
        <f t="array" ref="AH9">_xlfn.IFNA(INDEX(H2Storage!$F$3:$J$16,MATCH('H2Storage-TSData'!$B9&amp;'H2Storage-TSData'!$C9,H2Storage!$B$3:$B$16&amp;H2Storage!$A$3:$A$16,0),MATCH(AH$2,H2Storage!$F$2:$J$2,0)),"null")</f>
        <v>null</v>
      </c>
      <c r="AI9" s="80" t="str">
        <f t="array" ref="AI9">_xlfn.IFNA(INDEX(H2Storage!$F$3:$J$16,MATCH('H2Storage-TSData'!$B9&amp;'H2Storage-TSData'!$C9,H2Storage!$B$3:$B$16&amp;H2Storage!$A$3:$A$16,0),MATCH(AI$2,H2Storage!$F$2:$J$2,0)),"null")</f>
        <v>null</v>
      </c>
      <c r="AJ9" s="80" t="str">
        <f t="array" ref="AJ9">_xlfn.IFNA(INDEX(H2Storage!$F$3:$J$16,MATCH('H2Storage-TSData'!$B9&amp;'H2Storage-TSData'!$C9,H2Storage!$B$3:$B$16&amp;H2Storage!$A$3:$A$16,0),MATCH(AJ$2,H2Storage!$F$2:$J$2,0)),"null")</f>
        <v>null</v>
      </c>
      <c r="AK9" s="80" t="str">
        <f t="array" ref="AK9">_xlfn.IFNA(INDEX(H2Storage!$F$3:$J$16,MATCH('H2Storage-TSData'!$B9&amp;'H2Storage-TSData'!$C9,H2Storage!$B$3:$B$16&amp;H2Storage!$A$3:$A$16,0),MATCH(AK$2,H2Storage!$F$2:$J$2,0)),"null")</f>
        <v>null</v>
      </c>
      <c r="AL9" s="80">
        <f t="array" ref="AL9">_xlfn.IFNA(INDEX(H2Storage!$F$3:$J$16,MATCH('H2Storage-TSData'!$B9&amp;'H2Storage-TSData'!$C9,H2Storage!$B$3:$B$16&amp;H2Storage!$A$3:$A$16,0),MATCH(AL$2,H2Storage!$F$2:$J$2,0)),"null")</f>
        <v>844.25806451612891</v>
      </c>
      <c r="AM9" s="80" t="str">
        <f t="array" ref="AM9">_xlfn.IFNA(INDEX(H2Storage!$F$3:$J$16,MATCH('H2Storage-TSData'!$B9&amp;'H2Storage-TSData'!$C9,H2Storage!$B$3:$B$16&amp;H2Storage!$A$3:$A$16,0),MATCH(AM$2,H2Storage!$F$2:$J$2,0)),"null")</f>
        <v>null</v>
      </c>
      <c r="AN9" s="80">
        <f t="array" ref="AN9">_xlfn.IFNA(INDEX(H2Storage!$F$3:$J$16,MATCH('H2Storage-TSData'!$B9&amp;'H2Storage-TSData'!$C9,H2Storage!$B$3:$B$16&amp;H2Storage!$A$3:$A$16,0),MATCH(AN$2,H2Storage!$F$2:$J$2,0)),"null")</f>
        <v>844.25806451612891</v>
      </c>
      <c r="AO9" s="82">
        <f t="shared" si="1"/>
        <v>844.25806451612891</v>
      </c>
      <c r="AP9" s="82">
        <f t="shared" si="1"/>
        <v>844.25806451612891</v>
      </c>
    </row>
    <row r="10" spans="1:42" x14ac:dyDescent="0.25">
      <c r="B10" t="s">
        <v>47</v>
      </c>
      <c r="C10" t="s">
        <v>744</v>
      </c>
      <c r="D10" t="s">
        <v>236</v>
      </c>
      <c r="E10" t="s">
        <v>236</v>
      </c>
      <c r="F10" t="s">
        <v>236</v>
      </c>
      <c r="G10" t="s">
        <v>236</v>
      </c>
      <c r="H10" t="s">
        <v>236</v>
      </c>
      <c r="I10">
        <v>0</v>
      </c>
      <c r="J10" t="s">
        <v>756</v>
      </c>
      <c r="K10" t="s">
        <v>756</v>
      </c>
      <c r="L10" t="s">
        <v>756</v>
      </c>
      <c r="M10" t="s">
        <v>756</v>
      </c>
      <c r="N10" t="s">
        <v>756</v>
      </c>
      <c r="O10" t="s">
        <v>756</v>
      </c>
      <c r="P10" t="s">
        <v>756</v>
      </c>
      <c r="Q10" t="s">
        <v>756</v>
      </c>
      <c r="R10">
        <v>-1</v>
      </c>
      <c r="S10" t="s">
        <v>756</v>
      </c>
      <c r="T10" t="s">
        <v>756</v>
      </c>
      <c r="U10" t="s">
        <v>756</v>
      </c>
      <c r="V10" t="s">
        <v>756</v>
      </c>
      <c r="W10" t="s">
        <v>756</v>
      </c>
      <c r="X10" t="s">
        <v>756</v>
      </c>
      <c r="Y10" t="s">
        <v>756</v>
      </c>
      <c r="Z10" t="s">
        <v>756</v>
      </c>
      <c r="AA10" t="s">
        <v>756</v>
      </c>
      <c r="AB10" t="s">
        <v>756</v>
      </c>
      <c r="AC10" t="s">
        <v>756</v>
      </c>
      <c r="AD10" t="s">
        <v>756</v>
      </c>
      <c r="AE10" t="s">
        <v>756</v>
      </c>
      <c r="AF10" t="s">
        <v>756</v>
      </c>
      <c r="AG10" t="s">
        <v>756</v>
      </c>
      <c r="AH10" t="s">
        <v>756</v>
      </c>
      <c r="AI10" t="s">
        <v>756</v>
      </c>
      <c r="AJ10" t="s">
        <v>756</v>
      </c>
      <c r="AK10" t="s">
        <v>756</v>
      </c>
      <c r="AL10" t="s">
        <v>756</v>
      </c>
      <c r="AM10" t="s">
        <v>756</v>
      </c>
      <c r="AN10" t="s">
        <v>756</v>
      </c>
      <c r="AO10" s="82" t="str">
        <f t="shared" si="1"/>
        <v>null</v>
      </c>
      <c r="AP10" s="82" t="str">
        <f t="shared" si="1"/>
        <v>null</v>
      </c>
    </row>
    <row r="11" spans="1:42" x14ac:dyDescent="0.25">
      <c r="B11" t="s">
        <v>757</v>
      </c>
      <c r="C11" t="s">
        <v>744</v>
      </c>
      <c r="D11" t="s">
        <v>236</v>
      </c>
      <c r="E11" t="s">
        <v>236</v>
      </c>
      <c r="F11" t="s">
        <v>236</v>
      </c>
      <c r="G11" t="s">
        <v>291</v>
      </c>
      <c r="H11" t="s">
        <v>236</v>
      </c>
      <c r="I11">
        <v>0</v>
      </c>
      <c r="J11" t="s">
        <v>756</v>
      </c>
      <c r="K11" t="s">
        <v>756</v>
      </c>
      <c r="L11" t="s">
        <v>756</v>
      </c>
      <c r="M11" t="s">
        <v>756</v>
      </c>
      <c r="N11" t="s">
        <v>756</v>
      </c>
      <c r="O11" t="s">
        <v>756</v>
      </c>
      <c r="P11" t="s">
        <v>756</v>
      </c>
      <c r="Q11" t="s">
        <v>756</v>
      </c>
      <c r="R11">
        <v>1</v>
      </c>
      <c r="S11" t="s">
        <v>756</v>
      </c>
      <c r="T11" t="s">
        <v>756</v>
      </c>
      <c r="U11" t="s">
        <v>756</v>
      </c>
      <c r="V11" t="s">
        <v>756</v>
      </c>
      <c r="W11" t="s">
        <v>756</v>
      </c>
      <c r="X11" t="s">
        <v>756</v>
      </c>
      <c r="Y11" t="s">
        <v>756</v>
      </c>
      <c r="Z11" t="s">
        <v>756</v>
      </c>
      <c r="AA11" t="s">
        <v>756</v>
      </c>
      <c r="AB11" t="s">
        <v>756</v>
      </c>
      <c r="AC11" t="s">
        <v>756</v>
      </c>
      <c r="AD11" t="s">
        <v>756</v>
      </c>
      <c r="AE11" t="s">
        <v>756</v>
      </c>
      <c r="AF11" t="s">
        <v>756</v>
      </c>
      <c r="AG11" t="s">
        <v>756</v>
      </c>
      <c r="AH11" t="s">
        <v>756</v>
      </c>
      <c r="AI11" t="s">
        <v>756</v>
      </c>
      <c r="AJ11" t="s">
        <v>756</v>
      </c>
      <c r="AK11" t="s">
        <v>756</v>
      </c>
      <c r="AL11" t="s">
        <v>756</v>
      </c>
      <c r="AM11" t="s">
        <v>756</v>
      </c>
      <c r="AN11" t="s">
        <v>756</v>
      </c>
      <c r="AO11" s="82" t="str">
        <f t="shared" si="1"/>
        <v>null</v>
      </c>
      <c r="AP11" s="82" t="str">
        <f t="shared" si="1"/>
        <v>null</v>
      </c>
    </row>
    <row r="12" spans="1:42" x14ac:dyDescent="0.25">
      <c r="B12" t="s">
        <v>239</v>
      </c>
      <c r="C12" t="s">
        <v>744</v>
      </c>
      <c r="D12" t="s">
        <v>236</v>
      </c>
      <c r="E12" t="s">
        <v>236</v>
      </c>
      <c r="F12" t="s">
        <v>236</v>
      </c>
      <c r="G12" t="s">
        <v>236</v>
      </c>
      <c r="H12" t="s">
        <v>236</v>
      </c>
      <c r="I12">
        <v>0</v>
      </c>
      <c r="J12" s="80" t="str">
        <f t="array" ref="J12">_xlfn.IFNA(INDEX(H2Storage!$F$3:$J$16,MATCH('H2Storage-TSData'!$B12&amp;'H2Storage-TSData'!$C12,H2Storage!$B$3:$B$16&amp;H2Storage!$A$3:$A$16,0),MATCH(J$2,H2Storage!$F$2:$J$2,0)),"null")</f>
        <v>null</v>
      </c>
      <c r="K12" s="80" t="str">
        <f t="array" ref="K12">_xlfn.IFNA(INDEX(H2Storage!$F$3:$J$16,MATCH('H2Storage-TSData'!$B12&amp;'H2Storage-TSData'!$C12,H2Storage!$B$3:$B$16&amp;H2Storage!$A$3:$A$16,0),MATCH(K$2,H2Storage!$F$2:$J$2,0)),"null")</f>
        <v>null</v>
      </c>
      <c r="L12" s="80" t="str">
        <f t="array" ref="L12">_xlfn.IFNA(INDEX(H2Storage!$F$3:$J$16,MATCH('H2Storage-TSData'!$B12&amp;'H2Storage-TSData'!$C12,H2Storage!$B$3:$B$16&amp;H2Storage!$A$3:$A$16,0),MATCH(L$2,H2Storage!$F$2:$J$2,0)),"null")</f>
        <v>null</v>
      </c>
      <c r="M12" s="80" t="str">
        <f t="array" ref="M12">_xlfn.IFNA(INDEX(H2Storage!$F$3:$J$16,MATCH('H2Storage-TSData'!$B12&amp;'H2Storage-TSData'!$C12,H2Storage!$B$3:$B$16&amp;H2Storage!$A$3:$A$16,0),MATCH(M$2,H2Storage!$F$2:$J$2,0)),"null")</f>
        <v>null</v>
      </c>
      <c r="N12" s="80" t="str">
        <f t="array" ref="N12">_xlfn.IFNA(INDEX(H2Storage!$F$3:$J$16,MATCH('H2Storage-TSData'!$B12&amp;'H2Storage-TSData'!$C12,H2Storage!$B$3:$B$16&amp;H2Storage!$A$3:$A$16,0),MATCH(N$2,H2Storage!$F$2:$J$2,0)),"null")</f>
        <v>null</v>
      </c>
      <c r="O12" s="80" t="str">
        <f t="array" ref="O12">_xlfn.IFNA(INDEX(H2Storage!$F$3:$J$16,MATCH('H2Storage-TSData'!$B12&amp;'H2Storage-TSData'!$C12,H2Storage!$B$3:$B$16&amp;H2Storage!$A$3:$A$16,0),MATCH(O$2,H2Storage!$F$2:$J$2,0)),"null")</f>
        <v>null</v>
      </c>
      <c r="P12" s="80" t="str">
        <f t="array" ref="P12">_xlfn.IFNA(INDEX(H2Storage!$F$3:$J$16,MATCH('H2Storage-TSData'!$B12&amp;'H2Storage-TSData'!$C12,H2Storage!$B$3:$B$16&amp;H2Storage!$A$3:$A$16,0),MATCH(P$2,H2Storage!$F$2:$J$2,0)),"null")</f>
        <v>null</v>
      </c>
      <c r="Q12" s="80" t="str">
        <f t="array" ref="Q12">_xlfn.IFNA(INDEX(H2Storage!$F$3:$J$16,MATCH('H2Storage-TSData'!$B12&amp;'H2Storage-TSData'!$C12,H2Storage!$B$3:$B$16&amp;H2Storage!$A$3:$A$16,0),MATCH(Q$2,H2Storage!$F$2:$J$2,0)),"null")</f>
        <v>null</v>
      </c>
      <c r="R12" s="80">
        <f t="array" ref="R12">_xlfn.IFNA(INDEX(H2Storage!$F$3:$J$16,MATCH('H2Storage-TSData'!$B12&amp;'H2Storage-TSData'!$C12,H2Storage!$B$3:$B$16&amp;H2Storage!$A$3:$A$16,0),MATCH(R$2,H2Storage!$F$2:$J$2,0)),"null")</f>
        <v>10</v>
      </c>
      <c r="S12" s="80" t="str">
        <f t="array" ref="S12">_xlfn.IFNA(INDEX(H2Storage!$F$3:$J$16,MATCH('H2Storage-TSData'!$B12&amp;'H2Storage-TSData'!$C12,H2Storage!$B$3:$B$16&amp;H2Storage!$A$3:$A$16,0),MATCH(S$2,H2Storage!$F$2:$J$2,0)),"null")</f>
        <v>null</v>
      </c>
      <c r="T12" s="80" t="str">
        <f t="array" ref="T12">_xlfn.IFNA(INDEX(H2Storage!$F$3:$J$16,MATCH('H2Storage-TSData'!$B12&amp;'H2Storage-TSData'!$C12,H2Storage!$B$3:$B$16&amp;H2Storage!$A$3:$A$16,0),MATCH(T$2,H2Storage!$F$2:$J$2,0)),"null")</f>
        <v>null</v>
      </c>
      <c r="U12" s="80" t="str">
        <f t="array" ref="U12">_xlfn.IFNA(INDEX(H2Storage!$F$3:$J$16,MATCH('H2Storage-TSData'!$B12&amp;'H2Storage-TSData'!$C12,H2Storage!$B$3:$B$16&amp;H2Storage!$A$3:$A$16,0),MATCH(U$2,H2Storage!$F$2:$J$2,0)),"null")</f>
        <v>null</v>
      </c>
      <c r="V12" s="80" t="str">
        <f t="array" ref="V12">_xlfn.IFNA(INDEX(H2Storage!$F$3:$J$16,MATCH('H2Storage-TSData'!$B12&amp;'H2Storage-TSData'!$C12,H2Storage!$B$3:$B$16&amp;H2Storage!$A$3:$A$16,0),MATCH(V$2,H2Storage!$F$2:$J$2,0)),"null")</f>
        <v>null</v>
      </c>
      <c r="W12" s="80" t="str">
        <f t="array" ref="W12">_xlfn.IFNA(INDEX(H2Storage!$F$3:$J$16,MATCH('H2Storage-TSData'!$B12&amp;'H2Storage-TSData'!$C12,H2Storage!$B$3:$B$16&amp;H2Storage!$A$3:$A$16,0),MATCH(W$2,H2Storage!$F$2:$J$2,0)),"null")</f>
        <v>null</v>
      </c>
      <c r="X12" s="80" t="str">
        <f t="array" ref="X12">_xlfn.IFNA(INDEX(H2Storage!$F$3:$J$16,MATCH('H2Storage-TSData'!$B12&amp;'H2Storage-TSData'!$C12,H2Storage!$B$3:$B$16&amp;H2Storage!$A$3:$A$16,0),MATCH(X$2,H2Storage!$F$2:$J$2,0)),"null")</f>
        <v>null</v>
      </c>
      <c r="Y12" s="80" t="str">
        <f t="array" ref="Y12">_xlfn.IFNA(INDEX(H2Storage!$F$3:$J$16,MATCH('H2Storage-TSData'!$B12&amp;'H2Storage-TSData'!$C12,H2Storage!$B$3:$B$16&amp;H2Storage!$A$3:$A$16,0),MATCH(Y$2,H2Storage!$F$2:$J$2,0)),"null")</f>
        <v>null</v>
      </c>
      <c r="Z12" s="80" t="str">
        <f t="array" ref="Z12">_xlfn.IFNA(INDEX(H2Storage!$F$3:$J$16,MATCH('H2Storage-TSData'!$B12&amp;'H2Storage-TSData'!$C12,H2Storage!$B$3:$B$16&amp;H2Storage!$A$3:$A$16,0),MATCH(Z$2,H2Storage!$F$2:$J$2,0)),"null")</f>
        <v>null</v>
      </c>
      <c r="AA12" s="80" t="str">
        <f t="array" ref="AA12">_xlfn.IFNA(INDEX(H2Storage!$F$3:$J$16,MATCH('H2Storage-TSData'!$B12&amp;'H2Storage-TSData'!$C12,H2Storage!$B$3:$B$16&amp;H2Storage!$A$3:$A$16,0),MATCH(AA$2,H2Storage!$F$2:$J$2,0)),"null")</f>
        <v>null</v>
      </c>
      <c r="AB12" s="80">
        <f t="array" ref="AB12">_xlfn.IFNA(INDEX(H2Storage!$F$3:$J$16,MATCH('H2Storage-TSData'!$B12&amp;'H2Storage-TSData'!$C12,H2Storage!$B$3:$B$16&amp;H2Storage!$A$3:$A$16,0),MATCH(AB$2,H2Storage!$F$2:$J$2,0)),"null")</f>
        <v>10</v>
      </c>
      <c r="AC12" s="80" t="str">
        <f t="array" ref="AC12">_xlfn.IFNA(INDEX(H2Storage!$F$3:$J$16,MATCH('H2Storage-TSData'!$B12&amp;'H2Storage-TSData'!$C12,H2Storage!$B$3:$B$16&amp;H2Storage!$A$3:$A$16,0),MATCH(AC$2,H2Storage!$F$2:$J$2,0)),"null")</f>
        <v>null</v>
      </c>
      <c r="AD12" s="80" t="str">
        <f t="array" ref="AD12">_xlfn.IFNA(INDEX(H2Storage!$F$3:$J$16,MATCH('H2Storage-TSData'!$B12&amp;'H2Storage-TSData'!$C12,H2Storage!$B$3:$B$16&amp;H2Storage!$A$3:$A$16,0),MATCH(AD$2,H2Storage!$F$2:$J$2,0)),"null")</f>
        <v>null</v>
      </c>
      <c r="AE12" s="80" t="str">
        <f t="array" ref="AE12">_xlfn.IFNA(INDEX(H2Storage!$F$3:$J$16,MATCH('H2Storage-TSData'!$B12&amp;'H2Storage-TSData'!$C12,H2Storage!$B$3:$B$16&amp;H2Storage!$A$3:$A$16,0),MATCH(AE$2,H2Storage!$F$2:$J$2,0)),"null")</f>
        <v>null</v>
      </c>
      <c r="AF12" s="80" t="str">
        <f t="array" ref="AF12">_xlfn.IFNA(INDEX(H2Storage!$F$3:$J$16,MATCH('H2Storage-TSData'!$B12&amp;'H2Storage-TSData'!$C12,H2Storage!$B$3:$B$16&amp;H2Storage!$A$3:$A$16,0),MATCH(AF$2,H2Storage!$F$2:$J$2,0)),"null")</f>
        <v>null</v>
      </c>
      <c r="AG12" s="80">
        <f t="array" ref="AG12">_xlfn.IFNA(INDEX(H2Storage!$F$3:$J$16,MATCH('H2Storage-TSData'!$B12&amp;'H2Storage-TSData'!$C12,H2Storage!$B$3:$B$16&amp;H2Storage!$A$3:$A$16,0),MATCH(AG$2,H2Storage!$F$2:$J$2,0)),"null")</f>
        <v>10</v>
      </c>
      <c r="AH12" s="80" t="str">
        <f t="array" ref="AH12">_xlfn.IFNA(INDEX(H2Storage!$F$3:$J$16,MATCH('H2Storage-TSData'!$B12&amp;'H2Storage-TSData'!$C12,H2Storage!$B$3:$B$16&amp;H2Storage!$A$3:$A$16,0),MATCH(AH$2,H2Storage!$F$2:$J$2,0)),"null")</f>
        <v>null</v>
      </c>
      <c r="AI12" s="80" t="str">
        <f t="array" ref="AI12">_xlfn.IFNA(INDEX(H2Storage!$F$3:$J$16,MATCH('H2Storage-TSData'!$B12&amp;'H2Storage-TSData'!$C12,H2Storage!$B$3:$B$16&amp;H2Storage!$A$3:$A$16,0),MATCH(AI$2,H2Storage!$F$2:$J$2,0)),"null")</f>
        <v>null</v>
      </c>
      <c r="AJ12" s="80" t="str">
        <f t="array" ref="AJ12">_xlfn.IFNA(INDEX(H2Storage!$F$3:$J$16,MATCH('H2Storage-TSData'!$B12&amp;'H2Storage-TSData'!$C12,H2Storage!$B$3:$B$16&amp;H2Storage!$A$3:$A$16,0),MATCH(AJ$2,H2Storage!$F$2:$J$2,0)),"null")</f>
        <v>null</v>
      </c>
      <c r="AK12" s="80" t="str">
        <f t="array" ref="AK12">_xlfn.IFNA(INDEX(H2Storage!$F$3:$J$16,MATCH('H2Storage-TSData'!$B12&amp;'H2Storage-TSData'!$C12,H2Storage!$B$3:$B$16&amp;H2Storage!$A$3:$A$16,0),MATCH(AK$2,H2Storage!$F$2:$J$2,0)),"null")</f>
        <v>null</v>
      </c>
      <c r="AL12" s="80">
        <f t="array" ref="AL12">_xlfn.IFNA(INDEX(H2Storage!$F$3:$J$16,MATCH('H2Storage-TSData'!$B12&amp;'H2Storage-TSData'!$C12,H2Storage!$B$3:$B$16&amp;H2Storage!$A$3:$A$16,0),MATCH(AL$2,H2Storage!$F$2:$J$2,0)),"null")</f>
        <v>15</v>
      </c>
      <c r="AM12" s="80" t="str">
        <f t="array" ref="AM12">_xlfn.IFNA(INDEX(H2Storage!$F$3:$J$16,MATCH('H2Storage-TSData'!$B12&amp;'H2Storage-TSData'!$C12,H2Storage!$B$3:$B$16&amp;H2Storage!$A$3:$A$16,0),MATCH(AM$2,H2Storage!$F$2:$J$2,0)),"null")</f>
        <v>null</v>
      </c>
      <c r="AN12" s="80">
        <f t="array" ref="AN12">_xlfn.IFNA(INDEX(H2Storage!$F$3:$J$16,MATCH('H2Storage-TSData'!$B12&amp;'H2Storage-TSData'!$C12,H2Storage!$B$3:$B$16&amp;H2Storage!$A$3:$A$16,0),MATCH(AN$2,H2Storage!$F$2:$J$2,0)),"null")</f>
        <v>15</v>
      </c>
      <c r="AO12" s="82">
        <f t="shared" si="1"/>
        <v>15</v>
      </c>
      <c r="AP12" s="82">
        <f t="shared" si="1"/>
        <v>15</v>
      </c>
    </row>
    <row r="13" spans="1:42" x14ac:dyDescent="0.25">
      <c r="B13" t="s">
        <v>264</v>
      </c>
      <c r="C13" t="s">
        <v>740</v>
      </c>
      <c r="D13" t="s">
        <v>236</v>
      </c>
      <c r="E13" t="s">
        <v>741</v>
      </c>
      <c r="F13" t="s">
        <v>236</v>
      </c>
      <c r="G13" t="s">
        <v>236</v>
      </c>
      <c r="H13" t="s">
        <v>236</v>
      </c>
      <c r="I13">
        <v>0</v>
      </c>
      <c r="J13" s="83" t="str">
        <f t="array" ref="J13">_xlfn.IFNA(INDEX(H2Storage!$F$3:$J$16,MATCH('H2Storage-TSData'!$B13&amp;'H2Storage-TSData'!$C13,H2Storage!$B$3:$B$16&amp;H2Storage!$A$3:$A$16,0),MATCH(J$2,H2Storage!$F$2:$J$2,0)),"null")</f>
        <v>null</v>
      </c>
      <c r="K13" s="83" t="str">
        <f t="array" ref="K13">_xlfn.IFNA(INDEX(H2Storage!$F$3:$J$16,MATCH('H2Storage-TSData'!$B13&amp;'H2Storage-TSData'!$C13,H2Storage!$B$3:$B$16&amp;H2Storage!$A$3:$A$16,0),MATCH(K$2,H2Storage!$F$2:$J$2,0)),"null")</f>
        <v>null</v>
      </c>
      <c r="L13" s="83" t="str">
        <f t="array" ref="L13">_xlfn.IFNA(INDEX(H2Storage!$F$3:$J$16,MATCH('H2Storage-TSData'!$B13&amp;'H2Storage-TSData'!$C13,H2Storage!$B$3:$B$16&amp;H2Storage!$A$3:$A$16,0),MATCH(L$2,H2Storage!$F$2:$J$2,0)),"null")</f>
        <v>null</v>
      </c>
      <c r="M13" s="83" t="str">
        <f t="array" ref="M13">_xlfn.IFNA(INDEX(H2Storage!$F$3:$J$16,MATCH('H2Storage-TSData'!$B13&amp;'H2Storage-TSData'!$C13,H2Storage!$B$3:$B$16&amp;H2Storage!$A$3:$A$16,0),MATCH(M$2,H2Storage!$F$2:$J$2,0)),"null")</f>
        <v>null</v>
      </c>
      <c r="N13" s="83" t="str">
        <f t="array" ref="N13">_xlfn.IFNA(INDEX(H2Storage!$F$3:$J$16,MATCH('H2Storage-TSData'!$B13&amp;'H2Storage-TSData'!$C13,H2Storage!$B$3:$B$16&amp;H2Storage!$A$3:$A$16,0),MATCH(N$2,H2Storage!$F$2:$J$2,0)),"null")</f>
        <v>null</v>
      </c>
      <c r="O13" s="83" t="str">
        <f t="array" ref="O13">_xlfn.IFNA(INDEX(H2Storage!$F$3:$J$16,MATCH('H2Storage-TSData'!$B13&amp;'H2Storage-TSData'!$C13,H2Storage!$B$3:$B$16&amp;H2Storage!$A$3:$A$16,0),MATCH(O$2,H2Storage!$F$2:$J$2,0)),"null")</f>
        <v>null</v>
      </c>
      <c r="P13" s="83" t="str">
        <f t="array" ref="P13">_xlfn.IFNA(INDEX(H2Storage!$F$3:$J$16,MATCH('H2Storage-TSData'!$B13&amp;'H2Storage-TSData'!$C13,H2Storage!$B$3:$B$16&amp;H2Storage!$A$3:$A$16,0),MATCH(P$2,H2Storage!$F$2:$J$2,0)),"null")</f>
        <v>null</v>
      </c>
      <c r="Q13" s="83" t="str">
        <f t="array" ref="Q13">_xlfn.IFNA(INDEX(H2Storage!$F$3:$J$16,MATCH('H2Storage-TSData'!$B13&amp;'H2Storage-TSData'!$C13,H2Storage!$B$3:$B$16&amp;H2Storage!$A$3:$A$16,0),MATCH(Q$2,H2Storage!$F$2:$J$2,0)),"null")</f>
        <v>null</v>
      </c>
      <c r="R13" s="83">
        <f t="array" ref="R13">_xlfn.IFNA(INDEX(H2Storage!$F$3:$J$16,MATCH('H2Storage-TSData'!$B13&amp;'H2Storage-TSData'!$C13,H2Storage!$B$3:$B$16&amp;H2Storage!$A$3:$A$16,0),MATCH(R$2,H2Storage!$F$2:$J$2,0)),"null")</f>
        <v>3.0332436967337745E-2</v>
      </c>
      <c r="S13" s="83" t="str">
        <f t="array" ref="S13">_xlfn.IFNA(INDEX(H2Storage!$F$3:$J$16,MATCH('H2Storage-TSData'!$B13&amp;'H2Storage-TSData'!$C13,H2Storage!$B$3:$B$16&amp;H2Storage!$A$3:$A$16,0),MATCH(S$2,H2Storage!$F$2:$J$2,0)),"null")</f>
        <v>null</v>
      </c>
      <c r="T13" s="83" t="str">
        <f t="array" ref="T13">_xlfn.IFNA(INDEX(H2Storage!$F$3:$J$16,MATCH('H2Storage-TSData'!$B13&amp;'H2Storage-TSData'!$C13,H2Storage!$B$3:$B$16&amp;H2Storage!$A$3:$A$16,0),MATCH(T$2,H2Storage!$F$2:$J$2,0)),"null")</f>
        <v>null</v>
      </c>
      <c r="U13" s="83" t="str">
        <f t="array" ref="U13">_xlfn.IFNA(INDEX(H2Storage!$F$3:$J$16,MATCH('H2Storage-TSData'!$B13&amp;'H2Storage-TSData'!$C13,H2Storage!$B$3:$B$16&amp;H2Storage!$A$3:$A$16,0),MATCH(U$2,H2Storage!$F$2:$J$2,0)),"null")</f>
        <v>null</v>
      </c>
      <c r="V13" s="83" t="str">
        <f t="array" ref="V13">_xlfn.IFNA(INDEX(H2Storage!$F$3:$J$16,MATCH('H2Storage-TSData'!$B13&amp;'H2Storage-TSData'!$C13,H2Storage!$B$3:$B$16&amp;H2Storage!$A$3:$A$16,0),MATCH(V$2,H2Storage!$F$2:$J$2,0)),"null")</f>
        <v>null</v>
      </c>
      <c r="W13" s="83" t="str">
        <f t="array" ref="W13">_xlfn.IFNA(INDEX(H2Storage!$F$3:$J$16,MATCH('H2Storage-TSData'!$B13&amp;'H2Storage-TSData'!$C13,H2Storage!$B$3:$B$16&amp;H2Storage!$A$3:$A$16,0),MATCH(W$2,H2Storage!$F$2:$J$2,0)),"null")</f>
        <v>null</v>
      </c>
      <c r="X13" s="83" t="str">
        <f t="array" ref="X13">_xlfn.IFNA(INDEX(H2Storage!$F$3:$J$16,MATCH('H2Storage-TSData'!$B13&amp;'H2Storage-TSData'!$C13,H2Storage!$B$3:$B$16&amp;H2Storage!$A$3:$A$16,0),MATCH(X$2,H2Storage!$F$2:$J$2,0)),"null")</f>
        <v>null</v>
      </c>
      <c r="Y13" s="83" t="str">
        <f t="array" ref="Y13">_xlfn.IFNA(INDEX(H2Storage!$F$3:$J$16,MATCH('H2Storage-TSData'!$B13&amp;'H2Storage-TSData'!$C13,H2Storage!$B$3:$B$16&amp;H2Storage!$A$3:$A$16,0),MATCH(Y$2,H2Storage!$F$2:$J$2,0)),"null")</f>
        <v>null</v>
      </c>
      <c r="Z13" s="83" t="str">
        <f t="array" ref="Z13">_xlfn.IFNA(INDEX(H2Storage!$F$3:$J$16,MATCH('H2Storage-TSData'!$B13&amp;'H2Storage-TSData'!$C13,H2Storage!$B$3:$B$16&amp;H2Storage!$A$3:$A$16,0),MATCH(Z$2,H2Storage!$F$2:$J$2,0)),"null")</f>
        <v>null</v>
      </c>
      <c r="AA13" s="83" t="str">
        <f t="array" ref="AA13">_xlfn.IFNA(INDEX(H2Storage!$F$3:$J$16,MATCH('H2Storage-TSData'!$B13&amp;'H2Storage-TSData'!$C13,H2Storage!$B$3:$B$16&amp;H2Storage!$A$3:$A$16,0),MATCH(AA$2,H2Storage!$F$2:$J$2,0)),"null")</f>
        <v>null</v>
      </c>
      <c r="AB13" s="83">
        <f t="array" ref="AB13">_xlfn.IFNA(INDEX(H2Storage!$F$3:$J$16,MATCH('H2Storage-TSData'!$B13&amp;'H2Storage-TSData'!$C13,H2Storage!$B$3:$B$16&amp;H2Storage!$A$3:$A$16,0),MATCH(AB$2,H2Storage!$F$2:$J$2,0)),"null")</f>
        <v>3.0332436967337745E-2</v>
      </c>
      <c r="AC13" s="83" t="str">
        <f t="array" ref="AC13">_xlfn.IFNA(INDEX(H2Storage!$F$3:$J$16,MATCH('H2Storage-TSData'!$B13&amp;'H2Storage-TSData'!$C13,H2Storage!$B$3:$B$16&amp;H2Storage!$A$3:$A$16,0),MATCH(AC$2,H2Storage!$F$2:$J$2,0)),"null")</f>
        <v>null</v>
      </c>
      <c r="AD13" s="83" t="str">
        <f t="array" ref="AD13">_xlfn.IFNA(INDEX(H2Storage!$F$3:$J$16,MATCH('H2Storage-TSData'!$B13&amp;'H2Storage-TSData'!$C13,H2Storage!$B$3:$B$16&amp;H2Storage!$A$3:$A$16,0),MATCH(AD$2,H2Storage!$F$2:$J$2,0)),"null")</f>
        <v>null</v>
      </c>
      <c r="AE13" s="83" t="str">
        <f t="array" ref="AE13">_xlfn.IFNA(INDEX(H2Storage!$F$3:$J$16,MATCH('H2Storage-TSData'!$B13&amp;'H2Storage-TSData'!$C13,H2Storage!$B$3:$B$16&amp;H2Storage!$A$3:$A$16,0),MATCH(AE$2,H2Storage!$F$2:$J$2,0)),"null")</f>
        <v>null</v>
      </c>
      <c r="AF13" s="83" t="str">
        <f t="array" ref="AF13">_xlfn.IFNA(INDEX(H2Storage!$F$3:$J$16,MATCH('H2Storage-TSData'!$B13&amp;'H2Storage-TSData'!$C13,H2Storage!$B$3:$B$16&amp;H2Storage!$A$3:$A$16,0),MATCH(AF$2,H2Storage!$F$2:$J$2,0)),"null")</f>
        <v>null</v>
      </c>
      <c r="AG13" s="83">
        <f t="array" ref="AG13">_xlfn.IFNA(INDEX(H2Storage!$F$3:$J$16,MATCH('H2Storage-TSData'!$B13&amp;'H2Storage-TSData'!$C13,H2Storage!$B$3:$B$16&amp;H2Storage!$A$3:$A$16,0),MATCH(AG$2,H2Storage!$F$2:$J$2,0)),"null")</f>
        <v>3.0332436967337745E-2</v>
      </c>
      <c r="AH13" s="83" t="str">
        <f t="array" ref="AH13">_xlfn.IFNA(INDEX(H2Storage!$F$3:$J$16,MATCH('H2Storage-TSData'!$B13&amp;'H2Storage-TSData'!$C13,H2Storage!$B$3:$B$16&amp;H2Storage!$A$3:$A$16,0),MATCH(AH$2,H2Storage!$F$2:$J$2,0)),"null")</f>
        <v>null</v>
      </c>
      <c r="AI13" s="83" t="str">
        <f t="array" ref="AI13">_xlfn.IFNA(INDEX(H2Storage!$F$3:$J$16,MATCH('H2Storage-TSData'!$B13&amp;'H2Storage-TSData'!$C13,H2Storage!$B$3:$B$16&amp;H2Storage!$A$3:$A$16,0),MATCH(AI$2,H2Storage!$F$2:$J$2,0)),"null")</f>
        <v>null</v>
      </c>
      <c r="AJ13" s="83" t="str">
        <f t="array" ref="AJ13">_xlfn.IFNA(INDEX(H2Storage!$F$3:$J$16,MATCH('H2Storage-TSData'!$B13&amp;'H2Storage-TSData'!$C13,H2Storage!$B$3:$B$16&amp;H2Storage!$A$3:$A$16,0),MATCH(AJ$2,H2Storage!$F$2:$J$2,0)),"null")</f>
        <v>null</v>
      </c>
      <c r="AK13" s="83" t="str">
        <f t="array" ref="AK13">_xlfn.IFNA(INDEX(H2Storage!$F$3:$J$16,MATCH('H2Storage-TSData'!$B13&amp;'H2Storage-TSData'!$C13,H2Storage!$B$3:$B$16&amp;H2Storage!$A$3:$A$16,0),MATCH(AK$2,H2Storage!$F$2:$J$2,0)),"null")</f>
        <v>null</v>
      </c>
      <c r="AL13" s="83">
        <f t="array" ref="AL13">_xlfn.IFNA(INDEX(H2Storage!$F$3:$J$16,MATCH('H2Storage-TSData'!$B13&amp;'H2Storage-TSData'!$C13,H2Storage!$B$3:$B$16&amp;H2Storage!$A$3:$A$16,0),MATCH(AL$2,H2Storage!$F$2:$J$2,0)),"null")</f>
        <v>3.0332436967337745E-2</v>
      </c>
      <c r="AM13" s="83" t="str">
        <f t="array" ref="AM13">_xlfn.IFNA(INDEX(H2Storage!$F$3:$J$16,MATCH('H2Storage-TSData'!$B13&amp;'H2Storage-TSData'!$C13,H2Storage!$B$3:$B$16&amp;H2Storage!$A$3:$A$16,0),MATCH(AM$2,H2Storage!$F$2:$J$2,0)),"null")</f>
        <v>null</v>
      </c>
      <c r="AN13" s="83">
        <f t="array" ref="AN13">_xlfn.IFNA(INDEX(H2Storage!$F$3:$J$16,MATCH('H2Storage-TSData'!$B13&amp;'H2Storage-TSData'!$C13,H2Storage!$B$3:$B$16&amp;H2Storage!$A$3:$A$16,0),MATCH(AN$2,H2Storage!$F$2:$J$2,0)),"null")</f>
        <v>3.0332436967337745E-2</v>
      </c>
      <c r="AO13" s="82">
        <f t="shared" si="1"/>
        <v>3.0332436967337745E-2</v>
      </c>
      <c r="AP13" s="82">
        <f t="shared" si="1"/>
        <v>3.0332436967337745E-2</v>
      </c>
    </row>
    <row r="14" spans="1:42" x14ac:dyDescent="0.25">
      <c r="B14" t="s">
        <v>746</v>
      </c>
      <c r="C14" t="s">
        <v>744</v>
      </c>
      <c r="D14" t="s">
        <v>236</v>
      </c>
      <c r="E14" t="s">
        <v>236</v>
      </c>
      <c r="F14" t="s">
        <v>236</v>
      </c>
      <c r="G14" t="s">
        <v>236</v>
      </c>
      <c r="H14" t="s">
        <v>236</v>
      </c>
      <c r="I14">
        <v>0</v>
      </c>
      <c r="J14" s="83" t="str">
        <f t="array" ref="J14">_xlfn.IFNA(INDEX(H2Storage!$F$3:$J$16,MATCH('H2Storage-TSData'!$B14&amp;'H2Storage-TSData'!$C14,H2Storage!$B$3:$B$16&amp;H2Storage!$A$3:$A$16,0),MATCH(J$2,H2Storage!$F$2:$J$2,0)),"null")</f>
        <v>null</v>
      </c>
      <c r="K14" s="83" t="str">
        <f t="array" ref="K14">_xlfn.IFNA(INDEX(H2Storage!$F$3:$J$16,MATCH('H2Storage-TSData'!$B14&amp;'H2Storage-TSData'!$C14,H2Storage!$B$3:$B$16&amp;H2Storage!$A$3:$A$16,0),MATCH(K$2,H2Storage!$F$2:$J$2,0)),"null")</f>
        <v>null</v>
      </c>
      <c r="L14" s="83" t="str">
        <f t="array" ref="L14">_xlfn.IFNA(INDEX(H2Storage!$F$3:$J$16,MATCH('H2Storage-TSData'!$B14&amp;'H2Storage-TSData'!$C14,H2Storage!$B$3:$B$16&amp;H2Storage!$A$3:$A$16,0),MATCH(L$2,H2Storage!$F$2:$J$2,0)),"null")</f>
        <v>null</v>
      </c>
      <c r="M14" s="83" t="str">
        <f t="array" ref="M14">_xlfn.IFNA(INDEX(H2Storage!$F$3:$J$16,MATCH('H2Storage-TSData'!$B14&amp;'H2Storage-TSData'!$C14,H2Storage!$B$3:$B$16&amp;H2Storage!$A$3:$A$16,0),MATCH(M$2,H2Storage!$F$2:$J$2,0)),"null")</f>
        <v>null</v>
      </c>
      <c r="N14" s="83" t="str">
        <f t="array" ref="N14">_xlfn.IFNA(INDEX(H2Storage!$F$3:$J$16,MATCH('H2Storage-TSData'!$B14&amp;'H2Storage-TSData'!$C14,H2Storage!$B$3:$B$16&amp;H2Storage!$A$3:$A$16,0),MATCH(N$2,H2Storage!$F$2:$J$2,0)),"null")</f>
        <v>null</v>
      </c>
      <c r="O14" s="83" t="str">
        <f t="array" ref="O14">_xlfn.IFNA(INDEX(H2Storage!$F$3:$J$16,MATCH('H2Storage-TSData'!$B14&amp;'H2Storage-TSData'!$C14,H2Storage!$B$3:$B$16&amp;H2Storage!$A$3:$A$16,0),MATCH(O$2,H2Storage!$F$2:$J$2,0)),"null")</f>
        <v>null</v>
      </c>
      <c r="P14" s="83" t="str">
        <f t="array" ref="P14">_xlfn.IFNA(INDEX(H2Storage!$F$3:$J$16,MATCH('H2Storage-TSData'!$B14&amp;'H2Storage-TSData'!$C14,H2Storage!$B$3:$B$16&amp;H2Storage!$A$3:$A$16,0),MATCH(P$2,H2Storage!$F$2:$J$2,0)),"null")</f>
        <v>null</v>
      </c>
      <c r="Q14" s="83" t="str">
        <f t="array" ref="Q14">_xlfn.IFNA(INDEX(H2Storage!$F$3:$J$16,MATCH('H2Storage-TSData'!$B14&amp;'H2Storage-TSData'!$C14,H2Storage!$B$3:$B$16&amp;H2Storage!$A$3:$A$16,0),MATCH(Q$2,H2Storage!$F$2:$J$2,0)),"null")</f>
        <v>null</v>
      </c>
      <c r="R14" s="83">
        <f t="array" ref="R14">_xlfn.IFNA(INDEX(H2Storage!$F$3:$J$16,MATCH('H2Storage-TSData'!$B14&amp;'H2Storage-TSData'!$C14,H2Storage!$B$3:$B$16&amp;H2Storage!$A$3:$A$16,0),MATCH(R$2,H2Storage!$F$2:$J$2,0)),"null")</f>
        <v>0.98</v>
      </c>
      <c r="S14" s="83" t="str">
        <f t="array" ref="S14">_xlfn.IFNA(INDEX(H2Storage!$F$3:$J$16,MATCH('H2Storage-TSData'!$B14&amp;'H2Storage-TSData'!$C14,H2Storage!$B$3:$B$16&amp;H2Storage!$A$3:$A$16,0),MATCH(S$2,H2Storage!$F$2:$J$2,0)),"null")</f>
        <v>null</v>
      </c>
      <c r="T14" s="83" t="str">
        <f t="array" ref="T14">_xlfn.IFNA(INDEX(H2Storage!$F$3:$J$16,MATCH('H2Storage-TSData'!$B14&amp;'H2Storage-TSData'!$C14,H2Storage!$B$3:$B$16&amp;H2Storage!$A$3:$A$16,0),MATCH(T$2,H2Storage!$F$2:$J$2,0)),"null")</f>
        <v>null</v>
      </c>
      <c r="U14" s="83" t="str">
        <f t="array" ref="U14">_xlfn.IFNA(INDEX(H2Storage!$F$3:$J$16,MATCH('H2Storage-TSData'!$B14&amp;'H2Storage-TSData'!$C14,H2Storage!$B$3:$B$16&amp;H2Storage!$A$3:$A$16,0),MATCH(U$2,H2Storage!$F$2:$J$2,0)),"null")</f>
        <v>null</v>
      </c>
      <c r="V14" s="83" t="str">
        <f t="array" ref="V14">_xlfn.IFNA(INDEX(H2Storage!$F$3:$J$16,MATCH('H2Storage-TSData'!$B14&amp;'H2Storage-TSData'!$C14,H2Storage!$B$3:$B$16&amp;H2Storage!$A$3:$A$16,0),MATCH(V$2,H2Storage!$F$2:$J$2,0)),"null")</f>
        <v>null</v>
      </c>
      <c r="W14" s="83" t="str">
        <f t="array" ref="W14">_xlfn.IFNA(INDEX(H2Storage!$F$3:$J$16,MATCH('H2Storage-TSData'!$B14&amp;'H2Storage-TSData'!$C14,H2Storage!$B$3:$B$16&amp;H2Storage!$A$3:$A$16,0),MATCH(W$2,H2Storage!$F$2:$J$2,0)),"null")</f>
        <v>null</v>
      </c>
      <c r="X14" s="83" t="str">
        <f t="array" ref="X14">_xlfn.IFNA(INDEX(H2Storage!$F$3:$J$16,MATCH('H2Storage-TSData'!$B14&amp;'H2Storage-TSData'!$C14,H2Storage!$B$3:$B$16&amp;H2Storage!$A$3:$A$16,0),MATCH(X$2,H2Storage!$F$2:$J$2,0)),"null")</f>
        <v>null</v>
      </c>
      <c r="Y14" s="83" t="str">
        <f t="array" ref="Y14">_xlfn.IFNA(INDEX(H2Storage!$F$3:$J$16,MATCH('H2Storage-TSData'!$B14&amp;'H2Storage-TSData'!$C14,H2Storage!$B$3:$B$16&amp;H2Storage!$A$3:$A$16,0),MATCH(Y$2,H2Storage!$F$2:$J$2,0)),"null")</f>
        <v>null</v>
      </c>
      <c r="Z14" s="83" t="str">
        <f t="array" ref="Z14">_xlfn.IFNA(INDEX(H2Storage!$F$3:$J$16,MATCH('H2Storage-TSData'!$B14&amp;'H2Storage-TSData'!$C14,H2Storage!$B$3:$B$16&amp;H2Storage!$A$3:$A$16,0),MATCH(Z$2,H2Storage!$F$2:$J$2,0)),"null")</f>
        <v>null</v>
      </c>
      <c r="AA14" s="83" t="str">
        <f t="array" ref="AA14">_xlfn.IFNA(INDEX(H2Storage!$F$3:$J$16,MATCH('H2Storage-TSData'!$B14&amp;'H2Storage-TSData'!$C14,H2Storage!$B$3:$B$16&amp;H2Storage!$A$3:$A$16,0),MATCH(AA$2,H2Storage!$F$2:$J$2,0)),"null")</f>
        <v>null</v>
      </c>
      <c r="AB14" s="83">
        <f t="array" ref="AB14">_xlfn.IFNA(INDEX(H2Storage!$F$3:$J$16,MATCH('H2Storage-TSData'!$B14&amp;'H2Storage-TSData'!$C14,H2Storage!$B$3:$B$16&amp;H2Storage!$A$3:$A$16,0),MATCH(AB$2,H2Storage!$F$2:$J$2,0)),"null")</f>
        <v>0.98</v>
      </c>
      <c r="AC14" s="83" t="str">
        <f t="array" ref="AC14">_xlfn.IFNA(INDEX(H2Storage!$F$3:$J$16,MATCH('H2Storage-TSData'!$B14&amp;'H2Storage-TSData'!$C14,H2Storage!$B$3:$B$16&amp;H2Storage!$A$3:$A$16,0),MATCH(AC$2,H2Storage!$F$2:$J$2,0)),"null")</f>
        <v>null</v>
      </c>
      <c r="AD14" s="83" t="str">
        <f t="array" ref="AD14">_xlfn.IFNA(INDEX(H2Storage!$F$3:$J$16,MATCH('H2Storage-TSData'!$B14&amp;'H2Storage-TSData'!$C14,H2Storage!$B$3:$B$16&amp;H2Storage!$A$3:$A$16,0),MATCH(AD$2,H2Storage!$F$2:$J$2,0)),"null")</f>
        <v>null</v>
      </c>
      <c r="AE14" s="83" t="str">
        <f t="array" ref="AE14">_xlfn.IFNA(INDEX(H2Storage!$F$3:$J$16,MATCH('H2Storage-TSData'!$B14&amp;'H2Storage-TSData'!$C14,H2Storage!$B$3:$B$16&amp;H2Storage!$A$3:$A$16,0),MATCH(AE$2,H2Storage!$F$2:$J$2,0)),"null")</f>
        <v>null</v>
      </c>
      <c r="AF14" s="83" t="str">
        <f t="array" ref="AF14">_xlfn.IFNA(INDEX(H2Storage!$F$3:$J$16,MATCH('H2Storage-TSData'!$B14&amp;'H2Storage-TSData'!$C14,H2Storage!$B$3:$B$16&amp;H2Storage!$A$3:$A$16,0),MATCH(AF$2,H2Storage!$F$2:$J$2,0)),"null")</f>
        <v>null</v>
      </c>
      <c r="AG14" s="83">
        <f t="array" ref="AG14">_xlfn.IFNA(INDEX(H2Storage!$F$3:$J$16,MATCH('H2Storage-TSData'!$B14&amp;'H2Storage-TSData'!$C14,H2Storage!$B$3:$B$16&amp;H2Storage!$A$3:$A$16,0),MATCH(AG$2,H2Storage!$F$2:$J$2,0)),"null")</f>
        <v>0.98</v>
      </c>
      <c r="AH14" s="83" t="str">
        <f t="array" ref="AH14">_xlfn.IFNA(INDEX(H2Storage!$F$3:$J$16,MATCH('H2Storage-TSData'!$B14&amp;'H2Storage-TSData'!$C14,H2Storage!$B$3:$B$16&amp;H2Storage!$A$3:$A$16,0),MATCH(AH$2,H2Storage!$F$2:$J$2,0)),"null")</f>
        <v>null</v>
      </c>
      <c r="AI14" s="83" t="str">
        <f t="array" ref="AI14">_xlfn.IFNA(INDEX(H2Storage!$F$3:$J$16,MATCH('H2Storage-TSData'!$B14&amp;'H2Storage-TSData'!$C14,H2Storage!$B$3:$B$16&amp;H2Storage!$A$3:$A$16,0),MATCH(AI$2,H2Storage!$F$2:$J$2,0)),"null")</f>
        <v>null</v>
      </c>
      <c r="AJ14" s="83" t="str">
        <f t="array" ref="AJ14">_xlfn.IFNA(INDEX(H2Storage!$F$3:$J$16,MATCH('H2Storage-TSData'!$B14&amp;'H2Storage-TSData'!$C14,H2Storage!$B$3:$B$16&amp;H2Storage!$A$3:$A$16,0),MATCH(AJ$2,H2Storage!$F$2:$J$2,0)),"null")</f>
        <v>null</v>
      </c>
      <c r="AK14" s="83" t="str">
        <f t="array" ref="AK14">_xlfn.IFNA(INDEX(H2Storage!$F$3:$J$16,MATCH('H2Storage-TSData'!$B14&amp;'H2Storage-TSData'!$C14,H2Storage!$B$3:$B$16&amp;H2Storage!$A$3:$A$16,0),MATCH(AK$2,H2Storage!$F$2:$J$2,0)),"null")</f>
        <v>null</v>
      </c>
      <c r="AL14" s="83">
        <f t="array" ref="AL14">_xlfn.IFNA(INDEX(H2Storage!$F$3:$J$16,MATCH('H2Storage-TSData'!$B14&amp;'H2Storage-TSData'!$C14,H2Storage!$B$3:$B$16&amp;H2Storage!$A$3:$A$16,0),MATCH(AL$2,H2Storage!$F$2:$J$2,0)),"null")</f>
        <v>0.98</v>
      </c>
      <c r="AM14" s="83" t="str">
        <f t="array" ref="AM14">_xlfn.IFNA(INDEX(H2Storage!$F$3:$J$16,MATCH('H2Storage-TSData'!$B14&amp;'H2Storage-TSData'!$C14,H2Storage!$B$3:$B$16&amp;H2Storage!$A$3:$A$16,0),MATCH(AM$2,H2Storage!$F$2:$J$2,0)),"null")</f>
        <v>null</v>
      </c>
      <c r="AN14" s="83">
        <f t="array" ref="AN14">_xlfn.IFNA(INDEX(H2Storage!$F$3:$J$16,MATCH('H2Storage-TSData'!$B14&amp;'H2Storage-TSData'!$C14,H2Storage!$B$3:$B$16&amp;H2Storage!$A$3:$A$16,0),MATCH(AN$2,H2Storage!$F$2:$J$2,0)),"null")</f>
        <v>0.98</v>
      </c>
      <c r="AO14" s="82">
        <f t="shared" si="1"/>
        <v>0.98</v>
      </c>
      <c r="AP14" s="82">
        <f t="shared" si="1"/>
        <v>0.98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05FF7-3DDD-4103-B719-9D4E4B0C0A19}">
  <dimension ref="A1:I13"/>
  <sheetViews>
    <sheetView workbookViewId="0">
      <selection activeCell="C32" sqref="C32"/>
    </sheetView>
  </sheetViews>
  <sheetFormatPr defaultRowHeight="15" x14ac:dyDescent="0.25"/>
  <cols>
    <col min="1" max="1" width="9.140625" bestFit="1" customWidth="1"/>
    <col min="2" max="2" width="12.5703125" bestFit="1" customWidth="1"/>
    <col min="3" max="3" width="11.140625" bestFit="1" customWidth="1"/>
    <col min="4" max="4" width="11.28515625" bestFit="1" customWidth="1"/>
    <col min="5" max="9" width="6.140625" bestFit="1" customWidth="1"/>
  </cols>
  <sheetData>
    <row r="1" spans="1:9" x14ac:dyDescent="0.25">
      <c r="A1" t="s">
        <v>312</v>
      </c>
      <c r="B1" t="s">
        <v>289</v>
      </c>
    </row>
    <row r="2" spans="1:9" x14ac:dyDescent="0.25">
      <c r="A2" t="s">
        <v>7</v>
      </c>
      <c r="B2" t="s">
        <v>303</v>
      </c>
      <c r="C2" t="s">
        <v>302</v>
      </c>
      <c r="D2" t="s">
        <v>311</v>
      </c>
      <c r="E2" t="s">
        <v>310</v>
      </c>
      <c r="F2" t="s">
        <v>299</v>
      </c>
      <c r="G2" t="s">
        <v>298</v>
      </c>
      <c r="H2" t="s">
        <v>297</v>
      </c>
      <c r="I2" t="s">
        <v>309</v>
      </c>
    </row>
    <row r="3" spans="1:9" x14ac:dyDescent="0.25">
      <c r="B3" t="s">
        <v>266</v>
      </c>
      <c r="C3" t="s">
        <v>744</v>
      </c>
      <c r="D3" t="s">
        <v>236</v>
      </c>
      <c r="E3" t="s">
        <v>236</v>
      </c>
      <c r="F3" t="s">
        <v>236</v>
      </c>
      <c r="G3" t="s">
        <v>236</v>
      </c>
      <c r="H3" t="s">
        <v>236</v>
      </c>
      <c r="I3" s="80">
        <f>H2Storage!$F$9</f>
        <v>2025</v>
      </c>
    </row>
    <row r="4" spans="1:9" x14ac:dyDescent="0.25">
      <c r="B4" t="s">
        <v>266</v>
      </c>
      <c r="C4" t="s">
        <v>740</v>
      </c>
      <c r="D4" t="s">
        <v>236</v>
      </c>
      <c r="E4" t="s">
        <v>236</v>
      </c>
      <c r="F4" t="s">
        <v>236</v>
      </c>
      <c r="G4" t="s">
        <v>236</v>
      </c>
      <c r="H4" t="s">
        <v>236</v>
      </c>
      <c r="I4" s="80">
        <f>H2Storage!$F$9</f>
        <v>2025</v>
      </c>
    </row>
    <row r="5" spans="1:9" x14ac:dyDescent="0.25">
      <c r="B5" t="s">
        <v>306</v>
      </c>
      <c r="C5" t="s">
        <v>744</v>
      </c>
      <c r="D5" t="s">
        <v>236</v>
      </c>
      <c r="E5" t="s">
        <v>260</v>
      </c>
      <c r="F5" t="s">
        <v>236</v>
      </c>
      <c r="G5" t="s">
        <v>236</v>
      </c>
      <c r="H5" t="s">
        <v>236</v>
      </c>
      <c r="I5">
        <v>1</v>
      </c>
    </row>
    <row r="6" spans="1:9" x14ac:dyDescent="0.25">
      <c r="B6" t="s">
        <v>306</v>
      </c>
      <c r="C6" t="s">
        <v>740</v>
      </c>
      <c r="D6" t="s">
        <v>236</v>
      </c>
      <c r="E6" t="s">
        <v>260</v>
      </c>
      <c r="F6" t="s">
        <v>236</v>
      </c>
      <c r="G6" t="s">
        <v>236</v>
      </c>
      <c r="H6" t="s">
        <v>236</v>
      </c>
      <c r="I6">
        <v>1</v>
      </c>
    </row>
    <row r="7" spans="1:9" x14ac:dyDescent="0.25">
      <c r="B7" t="s">
        <v>305</v>
      </c>
      <c r="C7" t="s">
        <v>744</v>
      </c>
      <c r="D7" t="s">
        <v>236</v>
      </c>
      <c r="E7" t="s">
        <v>236</v>
      </c>
      <c r="F7" t="s">
        <v>236</v>
      </c>
      <c r="G7" t="s">
        <v>236</v>
      </c>
      <c r="H7" t="s">
        <v>236</v>
      </c>
      <c r="I7">
        <v>1</v>
      </c>
    </row>
    <row r="8" spans="1:9" x14ac:dyDescent="0.25">
      <c r="B8" t="s">
        <v>305</v>
      </c>
      <c r="C8" t="s">
        <v>740</v>
      </c>
      <c r="D8" t="s">
        <v>236</v>
      </c>
      <c r="E8" t="s">
        <v>236</v>
      </c>
      <c r="F8" t="s">
        <v>236</v>
      </c>
      <c r="G8" t="s">
        <v>236</v>
      </c>
      <c r="H8" t="s">
        <v>236</v>
      </c>
      <c r="I8">
        <v>1</v>
      </c>
    </row>
    <row r="9" spans="1:9" x14ac:dyDescent="0.25">
      <c r="B9" t="s">
        <v>252</v>
      </c>
      <c r="C9" t="s">
        <v>744</v>
      </c>
      <c r="D9" t="s">
        <v>260</v>
      </c>
      <c r="E9" t="s">
        <v>236</v>
      </c>
      <c r="F9" t="s">
        <v>236</v>
      </c>
      <c r="G9" t="s">
        <v>236</v>
      </c>
      <c r="H9" t="s">
        <v>236</v>
      </c>
      <c r="I9">
        <v>1</v>
      </c>
    </row>
    <row r="10" spans="1:9" x14ac:dyDescent="0.25">
      <c r="B10" t="s">
        <v>252</v>
      </c>
      <c r="C10" t="s">
        <v>740</v>
      </c>
      <c r="D10" t="s">
        <v>741</v>
      </c>
      <c r="E10" t="s">
        <v>236</v>
      </c>
      <c r="F10" t="s">
        <v>236</v>
      </c>
      <c r="G10" t="s">
        <v>236</v>
      </c>
      <c r="H10" t="s">
        <v>236</v>
      </c>
      <c r="I10">
        <v>1</v>
      </c>
    </row>
    <row r="11" spans="1:9" x14ac:dyDescent="0.25">
      <c r="B11" t="s">
        <v>252</v>
      </c>
      <c r="C11" t="s">
        <v>740</v>
      </c>
      <c r="D11" t="s">
        <v>755</v>
      </c>
      <c r="E11" t="s">
        <v>236</v>
      </c>
      <c r="F11" t="s">
        <v>236</v>
      </c>
      <c r="G11" t="s">
        <v>236</v>
      </c>
      <c r="H11" t="s">
        <v>236</v>
      </c>
      <c r="I11">
        <v>1</v>
      </c>
    </row>
    <row r="12" spans="1:9" x14ac:dyDescent="0.25">
      <c r="B12" t="s">
        <v>248</v>
      </c>
      <c r="C12" t="s">
        <v>744</v>
      </c>
      <c r="D12" t="s">
        <v>260</v>
      </c>
      <c r="E12" t="s">
        <v>236</v>
      </c>
      <c r="F12" t="s">
        <v>236</v>
      </c>
      <c r="G12" t="s">
        <v>236</v>
      </c>
      <c r="H12" t="s">
        <v>236</v>
      </c>
      <c r="I12">
        <v>1</v>
      </c>
    </row>
    <row r="13" spans="1:9" x14ac:dyDescent="0.25">
      <c r="B13" t="s">
        <v>248</v>
      </c>
      <c r="C13" t="s">
        <v>740</v>
      </c>
      <c r="D13" t="s">
        <v>260</v>
      </c>
      <c r="E13" t="s">
        <v>236</v>
      </c>
      <c r="F13" t="s">
        <v>236</v>
      </c>
      <c r="G13" t="s">
        <v>236</v>
      </c>
      <c r="H13" t="s">
        <v>236</v>
      </c>
      <c r="I1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D7EF9-C149-4295-A3D4-E9EF6480BBB6}">
  <dimension ref="A1:H35"/>
  <sheetViews>
    <sheetView workbookViewId="0">
      <selection activeCell="C32" sqref="C32"/>
    </sheetView>
  </sheetViews>
  <sheetFormatPr defaultColWidth="11.42578125" defaultRowHeight="11.25" x14ac:dyDescent="0.2"/>
  <cols>
    <col min="1" max="2" width="11.42578125" style="294" customWidth="1"/>
    <col min="3" max="3" width="12" style="294" customWidth="1"/>
    <col min="4" max="4" width="44.7109375" style="294" customWidth="1"/>
    <col min="5" max="5" width="11.42578125" style="294" customWidth="1"/>
    <col min="6" max="6" width="17.28515625" style="294" customWidth="1"/>
    <col min="7" max="16384" width="11.42578125" style="294"/>
  </cols>
  <sheetData>
    <row r="1" spans="1:8" x14ac:dyDescent="0.2">
      <c r="A1" s="298" t="str">
        <f>IF([3]Index!B8=0,"ITEMS","")</f>
        <v>ITEMS</v>
      </c>
      <c r="B1" s="299" t="s">
        <v>289</v>
      </c>
      <c r="C1" s="299"/>
      <c r="D1" s="299"/>
      <c r="E1" s="299"/>
      <c r="F1" s="299"/>
      <c r="G1" s="299"/>
      <c r="H1" s="299"/>
    </row>
    <row r="2" spans="1:8" x14ac:dyDescent="0.2">
      <c r="A2" s="299" t="s">
        <v>7</v>
      </c>
      <c r="B2" s="299"/>
      <c r="C2" s="299"/>
      <c r="D2" s="299"/>
      <c r="E2" s="299"/>
      <c r="F2" s="299"/>
      <c r="G2" s="299"/>
      <c r="H2" s="299"/>
    </row>
    <row r="3" spans="1:8" x14ac:dyDescent="0.2">
      <c r="A3" s="299" t="s">
        <v>7</v>
      </c>
      <c r="B3" s="299"/>
      <c r="C3" s="299"/>
      <c r="D3" s="299"/>
      <c r="E3" s="299"/>
      <c r="F3" s="299"/>
      <c r="G3" s="299"/>
      <c r="H3" s="299"/>
    </row>
    <row r="4" spans="1:8" x14ac:dyDescent="0.2">
      <c r="A4" s="299" t="s">
        <v>7</v>
      </c>
      <c r="B4" s="299"/>
      <c r="C4" s="299"/>
      <c r="D4" s="299"/>
      <c r="E4" s="299"/>
      <c r="F4" s="299"/>
      <c r="G4" s="299"/>
      <c r="H4" s="299"/>
    </row>
    <row r="5" spans="1:8" x14ac:dyDescent="0.2">
      <c r="A5" s="299" t="s">
        <v>7</v>
      </c>
      <c r="B5" s="299"/>
      <c r="C5" s="299"/>
      <c r="D5" s="299"/>
      <c r="E5" s="299"/>
      <c r="F5" s="299"/>
      <c r="G5" s="299"/>
      <c r="H5" s="299"/>
    </row>
    <row r="6" spans="1:8" x14ac:dyDescent="0.2">
      <c r="A6" s="299" t="s">
        <v>7</v>
      </c>
      <c r="B6" s="299"/>
      <c r="C6" s="299"/>
      <c r="D6" s="299"/>
      <c r="E6" s="299"/>
      <c r="F6" s="299"/>
      <c r="G6" s="299"/>
      <c r="H6" s="299"/>
    </row>
    <row r="7" spans="1:8" x14ac:dyDescent="0.2">
      <c r="A7" s="299" t="s">
        <v>7</v>
      </c>
      <c r="B7" s="298" t="s">
        <v>795</v>
      </c>
      <c r="C7" s="300" t="s">
        <v>794</v>
      </c>
      <c r="D7" s="298" t="s">
        <v>793</v>
      </c>
      <c r="E7" s="298" t="s">
        <v>792</v>
      </c>
      <c r="F7" s="298" t="s">
        <v>791</v>
      </c>
      <c r="G7" s="298" t="s">
        <v>790</v>
      </c>
      <c r="H7" s="299"/>
    </row>
    <row r="8" spans="1:8" x14ac:dyDescent="0.2">
      <c r="A8" s="299" t="s">
        <v>7</v>
      </c>
      <c r="B8" s="298" t="s">
        <v>789</v>
      </c>
      <c r="C8" s="300"/>
      <c r="D8" s="298"/>
      <c r="E8" s="298"/>
      <c r="F8" s="298"/>
      <c r="G8" s="298"/>
      <c r="H8" s="299"/>
    </row>
    <row r="9" spans="1:8" x14ac:dyDescent="0.2">
      <c r="A9" s="299"/>
      <c r="B9" s="295" t="str">
        <f>IF(A9="*","","T")</f>
        <v>T</v>
      </c>
      <c r="C9" s="297" t="e">
        <f>H2_Production!#REF!</f>
        <v>#REF!</v>
      </c>
      <c r="D9" s="297" t="e">
        <f>H2_Production!#REF!</f>
        <v>#REF!</v>
      </c>
      <c r="E9" s="295" t="e">
        <f>"PJ,"&amp;IF(RIGHT(C9,3)="ELC","GW","PJa")</f>
        <v>#REF!</v>
      </c>
      <c r="F9" s="295" t="e">
        <f>"PRC,PRE,"&amp;IF(RIGHT(C9,3)="ELC","DAYNITE","ANNUAL")</f>
        <v>#REF!</v>
      </c>
      <c r="G9" s="298"/>
      <c r="H9" s="299"/>
    </row>
    <row r="10" spans="1:8" x14ac:dyDescent="0.2">
      <c r="B10" s="295" t="str">
        <f>IF(A10="*","","T")</f>
        <v>T</v>
      </c>
      <c r="C10" s="297" t="e">
        <f>H2_Production!#REF!</f>
        <v>#REF!</v>
      </c>
      <c r="D10" s="297" t="e">
        <f>H2_Production!#REF!</f>
        <v>#REF!</v>
      </c>
      <c r="E10" s="295" t="e">
        <f>"PJ,"&amp;IF(RIGHT(C10,3)="ELC","GW","PJa")</f>
        <v>#REF!</v>
      </c>
      <c r="F10" s="295" t="e">
        <f>"PRC,PRE,"&amp;IF(RIGHT(C10,3)="ELC","DAYNITE","ANNUAL")</f>
        <v>#REF!</v>
      </c>
    </row>
    <row r="11" spans="1:8" x14ac:dyDescent="0.2">
      <c r="B11" s="295" t="str">
        <f>IF(A11="*","","T")</f>
        <v>T</v>
      </c>
      <c r="C11" s="297" t="e">
        <f>H2_Production!#REF!</f>
        <v>#REF!</v>
      </c>
      <c r="D11" s="297" t="e">
        <f>H2_Production!#REF!</f>
        <v>#REF!</v>
      </c>
      <c r="E11" s="295" t="e">
        <f>"PJ,"&amp;IF(RIGHT(C11,3)="ELC","GW","PJa")</f>
        <v>#REF!</v>
      </c>
      <c r="F11" s="295" t="e">
        <f>"PRC,PRE,"&amp;IF(RIGHT(C11,3)="ELC","DAYNITE","ANNUAL")</f>
        <v>#REF!</v>
      </c>
    </row>
    <row r="12" spans="1:8" x14ac:dyDescent="0.2">
      <c r="B12" s="295" t="str">
        <f>IF(A12="*","","T")</f>
        <v>T</v>
      </c>
      <c r="C12" s="297" t="e">
        <f>H2_Production!#REF!</f>
        <v>#REF!</v>
      </c>
      <c r="D12" s="297" t="e">
        <f>H2_Production!#REF!</f>
        <v>#REF!</v>
      </c>
      <c r="E12" s="295" t="e">
        <f>"PJ,"&amp;IF(RIGHT(C12,3)="ELC","GW","PJa")</f>
        <v>#REF!</v>
      </c>
      <c r="F12" s="295" t="e">
        <f>"PRC,PRE,"&amp;IF(RIGHT(C12,3)="ELC","DAYNITE","ANNUAL")</f>
        <v>#REF!</v>
      </c>
    </row>
    <row r="13" spans="1:8" x14ac:dyDescent="0.2">
      <c r="A13" s="299" t="s">
        <v>7</v>
      </c>
      <c r="B13" s="298" t="s">
        <v>788</v>
      </c>
      <c r="C13" s="300"/>
      <c r="D13" s="298"/>
      <c r="E13" s="298"/>
      <c r="F13" s="298"/>
      <c r="G13" s="298"/>
      <c r="H13" s="299"/>
    </row>
    <row r="14" spans="1:8" x14ac:dyDescent="0.2">
      <c r="B14" s="295" t="str">
        <f>IF(A14="*","","T")</f>
        <v>T</v>
      </c>
      <c r="C14" s="297" t="e">
        <f>H2_Production!#REF!</f>
        <v>#REF!</v>
      </c>
      <c r="D14" s="297" t="e">
        <f>H2_Production!#REF!</f>
        <v>#REF!</v>
      </c>
      <c r="E14" s="295" t="e">
        <f>"PJ,"&amp;IF(RIGHT(C14,3)="ELC","GW","PJa")</f>
        <v>#REF!</v>
      </c>
      <c r="F14" s="295" t="e">
        <f>"PRC,PRE,"&amp;IF(RIGHT(C14,3)="ELC","DAYNITE","ANNUAL")</f>
        <v>#REF!</v>
      </c>
    </row>
    <row r="15" spans="1:8" x14ac:dyDescent="0.2">
      <c r="B15" s="295" t="str">
        <f>IF(A15="*","","T")</f>
        <v>T</v>
      </c>
      <c r="C15" s="297" t="e">
        <f>H2_Production!#REF!</f>
        <v>#REF!</v>
      </c>
      <c r="D15" s="297" t="e">
        <f>H2_Production!#REF!</f>
        <v>#REF!</v>
      </c>
      <c r="E15" s="295" t="e">
        <f>"PJ,"&amp;IF(RIGHT(C15,3)="ELC","GW","PJa")</f>
        <v>#REF!</v>
      </c>
      <c r="F15" s="295" t="e">
        <f>"PRC,PRE,"&amp;IF(RIGHT(C15,3)="ELC","DAYNITE","ANNUAL")</f>
        <v>#REF!</v>
      </c>
    </row>
    <row r="16" spans="1:8" x14ac:dyDescent="0.2">
      <c r="B16" s="295" t="str">
        <f>IF(A16="*","","T")</f>
        <v>T</v>
      </c>
      <c r="C16" s="297" t="e">
        <f>H2_Production!#REF!</f>
        <v>#REF!</v>
      </c>
      <c r="D16" s="297" t="e">
        <f>H2_Production!#REF!</f>
        <v>#REF!</v>
      </c>
      <c r="E16" s="295" t="e">
        <f>"PJ,"&amp;IF(RIGHT(C16,3)="ELC","GW","PJa")</f>
        <v>#REF!</v>
      </c>
      <c r="F16" s="295" t="e">
        <f>"PRC,PRE,"&amp;IF(RIGHT(C16,3)="ELC","DAYNITE","ANNUAL")</f>
        <v>#REF!</v>
      </c>
    </row>
    <row r="17" spans="1:6" x14ac:dyDescent="0.2">
      <c r="B17" s="295" t="str">
        <f>IF(A17="*","","T")</f>
        <v>T</v>
      </c>
      <c r="C17" s="297" t="e">
        <f>H2_Production!#REF!</f>
        <v>#REF!</v>
      </c>
      <c r="D17" s="297" t="e">
        <f>H2_Production!#REF!</f>
        <v>#REF!</v>
      </c>
      <c r="E17" s="295" t="e">
        <f>"PJ,"&amp;IF(RIGHT(C17,3)="ELC","GW","PJa")</f>
        <v>#REF!</v>
      </c>
      <c r="F17" s="295" t="e">
        <f>"PRC,PRE,"&amp;IF(RIGHT(C17,3)="ELC","DAYNITE","ANNUAL")</f>
        <v>#REF!</v>
      </c>
    </row>
    <row r="18" spans="1:6" x14ac:dyDescent="0.2">
      <c r="A18" s="299" t="s">
        <v>7</v>
      </c>
      <c r="B18" s="298" t="s">
        <v>784</v>
      </c>
      <c r="C18" s="297"/>
      <c r="D18" s="297"/>
      <c r="E18" s="295"/>
      <c r="F18" s="295"/>
    </row>
    <row r="19" spans="1:6" x14ac:dyDescent="0.2">
      <c r="B19" s="295" t="str">
        <f>IF(A19="*","","T")</f>
        <v>T</v>
      </c>
      <c r="C19" s="297" t="e">
        <f>H2_Production!#REF!</f>
        <v>#REF!</v>
      </c>
      <c r="D19" s="297" t="e">
        <f>H2_Production!#REF!</f>
        <v>#REF!</v>
      </c>
      <c r="E19" s="295" t="e">
        <f>"PJ,"&amp;IF(RIGHT(C19,3)="ELC","GW","PJa")</f>
        <v>#REF!</v>
      </c>
      <c r="F19" s="295" t="e">
        <f>"PRC,PRE,"&amp;IF(RIGHT(C19,3)="ELC","DAYNITE","ANNUAL")</f>
        <v>#REF!</v>
      </c>
    </row>
    <row r="20" spans="1:6" x14ac:dyDescent="0.2">
      <c r="B20" s="295" t="str">
        <f>IF(A20="*","","T")</f>
        <v>T</v>
      </c>
      <c r="C20" s="297" t="e">
        <f>H2_Production!#REF!</f>
        <v>#REF!</v>
      </c>
      <c r="D20" s="297" t="e">
        <f>H2_Production!#REF!</f>
        <v>#REF!</v>
      </c>
      <c r="E20" s="295" t="e">
        <f>"PJ,"&amp;IF(RIGHT(C20,3)="ELC","GW","PJa")</f>
        <v>#REF!</v>
      </c>
      <c r="F20" s="295" t="e">
        <f>"PRC,PRE,"&amp;IF(RIGHT(C20,3)="ELC","DAYNITE","ANNUAL")</f>
        <v>#REF!</v>
      </c>
    </row>
    <row r="21" spans="1:6" x14ac:dyDescent="0.2">
      <c r="B21" s="295" t="str">
        <f>IF(A21="*","","T")</f>
        <v>T</v>
      </c>
      <c r="C21" s="297" t="e">
        <f>H2_Production!#REF!</f>
        <v>#REF!</v>
      </c>
      <c r="D21" s="297" t="e">
        <f>H2_Production!#REF!</f>
        <v>#REF!</v>
      </c>
      <c r="E21" s="295" t="e">
        <f>"PJ,"&amp;IF(RIGHT(C21,3)="ELC","GW","PJa")</f>
        <v>#REF!</v>
      </c>
      <c r="F21" s="295" t="e">
        <f>"PRC,PRE,"&amp;IF(RIGHT(C21,3)="ELC","DAYNITE","ANNUAL")</f>
        <v>#REF!</v>
      </c>
    </row>
    <row r="22" spans="1:6" x14ac:dyDescent="0.2">
      <c r="A22" s="294" t="s">
        <v>7</v>
      </c>
      <c r="B22" s="296" t="s">
        <v>787</v>
      </c>
    </row>
    <row r="23" spans="1:6" x14ac:dyDescent="0.2">
      <c r="B23" s="295" t="str">
        <f t="shared" ref="B23:B29" si="0">IF(A23="*","","T")</f>
        <v>T</v>
      </c>
      <c r="C23" s="294" t="e">
        <f>+H2_Production!#REF!</f>
        <v>#REF!</v>
      </c>
      <c r="D23" s="294" t="e">
        <f>+H2_Production!#REF!</f>
        <v>#REF!</v>
      </c>
      <c r="E23" s="295" t="e">
        <f t="shared" ref="E23:E29" si="1">"PJ,"&amp;IF(RIGHT(C23,3)="ELC","GW","PJa")</f>
        <v>#REF!</v>
      </c>
      <c r="F23" s="295" t="e">
        <f t="shared" ref="F23:F29" si="2">"PRC,PRE,"&amp;IF(RIGHT(C23,3)="ELC","DAYNITE","ANNUAL")</f>
        <v>#REF!</v>
      </c>
    </row>
    <row r="24" spans="1:6" x14ac:dyDescent="0.2">
      <c r="B24" s="295" t="str">
        <f t="shared" si="0"/>
        <v>T</v>
      </c>
      <c r="C24" s="294" t="e">
        <f>+H2_Production!#REF!</f>
        <v>#REF!</v>
      </c>
      <c r="D24" s="294" t="e">
        <f>+H2_Production!#REF!</f>
        <v>#REF!</v>
      </c>
      <c r="E24" s="295" t="e">
        <f t="shared" si="1"/>
        <v>#REF!</v>
      </c>
      <c r="F24" s="295" t="e">
        <f t="shared" si="2"/>
        <v>#REF!</v>
      </c>
    </row>
    <row r="25" spans="1:6" x14ac:dyDescent="0.2">
      <c r="B25" s="295" t="str">
        <f t="shared" si="0"/>
        <v>T</v>
      </c>
      <c r="C25" s="294" t="e">
        <f>+H2_Production!#REF!</f>
        <v>#REF!</v>
      </c>
      <c r="D25" s="294" t="e">
        <f>+H2_Production!#REF!</f>
        <v>#REF!</v>
      </c>
      <c r="E25" s="295" t="e">
        <f t="shared" si="1"/>
        <v>#REF!</v>
      </c>
      <c r="F25" s="295" t="e">
        <f t="shared" si="2"/>
        <v>#REF!</v>
      </c>
    </row>
    <row r="26" spans="1:6" x14ac:dyDescent="0.2">
      <c r="B26" s="295" t="str">
        <f t="shared" si="0"/>
        <v>T</v>
      </c>
      <c r="C26" s="294" t="e">
        <f>H2_Production!#REF!</f>
        <v>#REF!</v>
      </c>
      <c r="D26" s="294" t="e">
        <f>H2_Production!#REF!</f>
        <v>#REF!</v>
      </c>
      <c r="E26" s="295" t="e">
        <f t="shared" si="1"/>
        <v>#REF!</v>
      </c>
      <c r="F26" s="295" t="e">
        <f t="shared" si="2"/>
        <v>#REF!</v>
      </c>
    </row>
    <row r="27" spans="1:6" x14ac:dyDescent="0.2">
      <c r="B27" s="295" t="str">
        <f t="shared" si="0"/>
        <v>T</v>
      </c>
      <c r="C27" s="294" t="e">
        <f>+H2_Production!#REF!</f>
        <v>#REF!</v>
      </c>
      <c r="D27" s="294" t="e">
        <f>+H2_Production!#REF!</f>
        <v>#REF!</v>
      </c>
      <c r="E27" s="295" t="e">
        <f t="shared" si="1"/>
        <v>#REF!</v>
      </c>
      <c r="F27" s="295" t="e">
        <f t="shared" si="2"/>
        <v>#REF!</v>
      </c>
    </row>
    <row r="28" spans="1:6" x14ac:dyDescent="0.2">
      <c r="B28" s="295" t="str">
        <f t="shared" si="0"/>
        <v>T</v>
      </c>
      <c r="C28" s="294" t="e">
        <f>+H2_Production!#REF!</f>
        <v>#REF!</v>
      </c>
      <c r="D28" s="294" t="e">
        <f>+H2_Production!#REF!</f>
        <v>#REF!</v>
      </c>
      <c r="E28" s="295" t="e">
        <f t="shared" si="1"/>
        <v>#REF!</v>
      </c>
      <c r="F28" s="295" t="e">
        <f t="shared" si="2"/>
        <v>#REF!</v>
      </c>
    </row>
    <row r="29" spans="1:6" x14ac:dyDescent="0.2">
      <c r="B29" s="295" t="str">
        <f t="shared" si="0"/>
        <v>T</v>
      </c>
      <c r="C29" s="294" t="e">
        <f>+H2_Production!#REF!</f>
        <v>#REF!</v>
      </c>
      <c r="D29" s="294" t="e">
        <f>+H2_Production!#REF!</f>
        <v>#REF!</v>
      </c>
      <c r="E29" s="295" t="e">
        <f t="shared" si="1"/>
        <v>#REF!</v>
      </c>
      <c r="F29" s="295" t="e">
        <f t="shared" si="2"/>
        <v>#REF!</v>
      </c>
    </row>
    <row r="30" spans="1:6" x14ac:dyDescent="0.2">
      <c r="A30" s="294" t="s">
        <v>7</v>
      </c>
      <c r="B30" s="296" t="s">
        <v>786</v>
      </c>
      <c r="E30" s="295"/>
      <c r="F30" s="295"/>
    </row>
    <row r="31" spans="1:6" x14ac:dyDescent="0.2">
      <c r="B31" s="295" t="str">
        <f>IF(A31="*","","T")</f>
        <v>T</v>
      </c>
      <c r="C31" s="294" t="str">
        <f>+H2_Production!B6</f>
        <v>USMRGASHGN</v>
      </c>
      <c r="D31" s="294" t="str">
        <f>+H2_Production!A6</f>
        <v>Production Plant Hydrogen - Large SMR - Inland</v>
      </c>
      <c r="E31" s="295" t="str">
        <f>"PJ,"&amp;IF(RIGHT(C31,3)="ELC","GW","PJa")</f>
        <v>PJ,PJa</v>
      </c>
      <c r="F31" s="295" t="str">
        <f>"PRC,PRE,"&amp;IF(RIGHT(C31,3)="ELC","DAYNITE","ANNUAL")</f>
        <v>PRC,PRE,ANNUAL</v>
      </c>
    </row>
    <row r="32" spans="1:6" x14ac:dyDescent="0.2">
      <c r="B32" s="295" t="str">
        <f>IF(A32="*","","T")</f>
        <v>T</v>
      </c>
      <c r="C32" s="294" t="str">
        <f>H2_Production!B10</f>
        <v>USMRGICHGN</v>
      </c>
      <c r="D32" s="294" t="str">
        <f>H2_Production!A10</f>
        <v>Production Plant Hydrogen - Large SMR - Coastal</v>
      </c>
      <c r="E32" s="295" t="str">
        <f>"PJ,"&amp;IF(RIGHT(C32,3)="ELC","GW","PJa")</f>
        <v>PJ,PJa</v>
      </c>
      <c r="F32" s="295" t="str">
        <f>"PRC,PRE,"&amp;IF(RIGHT(C32,3)="ELC","DAYNITE","ANNUAL")</f>
        <v>PRC,PRE,ANNUAL</v>
      </c>
    </row>
    <row r="33" spans="2:6" x14ac:dyDescent="0.2">
      <c r="B33" s="295" t="str">
        <f>IF(A33="*","","T")</f>
        <v>T</v>
      </c>
      <c r="C33" s="294" t="str">
        <f>+H2_Production!B14</f>
        <v>UCOGCLEHGN</v>
      </c>
      <c r="D33" s="294" t="str">
        <f>+H2_Production!A14</f>
        <v>Production Plant Hydrogen - Large Coal Gasification</v>
      </c>
      <c r="E33" s="295" t="str">
        <f>"PJ,"&amp;IF(RIGHT(C33,3)="ELC","GW","PJa")</f>
        <v>PJ,PJa</v>
      </c>
      <c r="F33" s="295" t="str">
        <f>"PRC,PRE,"&amp;IF(RIGHT(C33,3)="ELC","DAYNITE","ANNUAL")</f>
        <v>PRC,PRE,ANNUAL</v>
      </c>
    </row>
    <row r="34" spans="2:6" x14ac:dyDescent="0.2">
      <c r="B34" s="295" t="str">
        <f>IF(A34="*","","T")</f>
        <v>T</v>
      </c>
      <c r="C34" s="294" t="str">
        <f>+H2_Production!B18</f>
        <v>UELEP1HGN</v>
      </c>
      <c r="D34" s="294" t="str">
        <f>+H2_Production!A18</f>
        <v>Production Plant Hydrogen Electrolysis PEM</v>
      </c>
      <c r="E34" s="295" t="str">
        <f>"PJ,"&amp;IF(RIGHT(C34,3)="ELC","GW","PJa")</f>
        <v>PJ,PJa</v>
      </c>
      <c r="F34" s="295" t="str">
        <f>"PRC,PRE,"&amp;IF(RIGHT(C34,3)="ELC","DAYNITE","DAYNITE")</f>
        <v>PRC,PRE,DAYNITE</v>
      </c>
    </row>
    <row r="35" spans="2:6" x14ac:dyDescent="0.2">
      <c r="B35" s="295" t="str">
        <f>IF(A35="*","","T")</f>
        <v>T</v>
      </c>
      <c r="C35" s="294" t="str">
        <f>H2_Production!B21</f>
        <v>UELEA1HGN</v>
      </c>
      <c r="D35" s="294" t="str">
        <f>H2_Production!A21</f>
        <v>Production Plant Hydrogen Electrolysis Alkaline</v>
      </c>
      <c r="E35" s="295" t="str">
        <f>"PJ,"&amp;IF(RIGHT(C35,3)="ELC","GW","PJa")</f>
        <v>PJ,PJa</v>
      </c>
      <c r="F35" s="295" t="str">
        <f>"PRC,PRE,"&amp;IF(RIGHT(C35,3)="ELC","DAYNITE","DAYNITE")</f>
        <v>PRC,PRE,DAYNITE</v>
      </c>
    </row>
  </sheetData>
  <pageMargins left="0.7" right="0.7" top="0.75" bottom="0.75" header="0.3" footer="0.3"/>
  <pageSetup paperSize="9" orientation="portrait" horizontalDpi="4294967292" verticalDpi="4294967292"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EC81-ED0E-48D7-8D33-8B56D573E650}">
  <dimension ref="A1:AH33"/>
  <sheetViews>
    <sheetView workbookViewId="0"/>
  </sheetViews>
  <sheetFormatPr defaultColWidth="11.42578125" defaultRowHeight="12.75" x14ac:dyDescent="0.2"/>
  <cols>
    <col min="1" max="1" width="12.7109375" style="258" customWidth="1"/>
    <col min="2" max="2" width="6.7109375" style="258" customWidth="1"/>
    <col min="3" max="21" width="5.42578125" style="258" customWidth="1"/>
    <col min="22" max="23" width="5.7109375" style="258" customWidth="1"/>
    <col min="24" max="16384" width="11.42578125" style="258"/>
  </cols>
  <sheetData>
    <row r="1" spans="1:34" ht="15.75" customHeight="1" x14ac:dyDescent="0.25">
      <c r="A1" s="337" t="s">
        <v>808</v>
      </c>
      <c r="B1" s="337">
        <v>1991</v>
      </c>
      <c r="C1" s="337">
        <v>1992</v>
      </c>
      <c r="D1" s="337">
        <v>1993</v>
      </c>
      <c r="E1" s="337">
        <v>1994</v>
      </c>
      <c r="F1" s="337">
        <v>1995</v>
      </c>
      <c r="G1" s="337">
        <v>1996</v>
      </c>
      <c r="H1" s="337">
        <v>1997</v>
      </c>
      <c r="I1" s="337">
        <v>1998</v>
      </c>
      <c r="J1" s="337">
        <v>1999</v>
      </c>
      <c r="K1" s="337">
        <v>2000</v>
      </c>
      <c r="L1" s="337">
        <v>2001</v>
      </c>
      <c r="M1" s="337">
        <v>2002</v>
      </c>
      <c r="N1" s="337">
        <v>2003</v>
      </c>
      <c r="O1" s="337">
        <v>2004</v>
      </c>
      <c r="P1" s="337">
        <v>2005</v>
      </c>
      <c r="Q1" s="337">
        <v>2006</v>
      </c>
      <c r="R1" s="337">
        <v>2007</v>
      </c>
      <c r="S1" s="337">
        <v>2008</v>
      </c>
      <c r="T1" s="337">
        <v>2009</v>
      </c>
      <c r="U1" s="336">
        <v>2010</v>
      </c>
      <c r="V1" s="336">
        <v>2011</v>
      </c>
      <c r="W1" s="336">
        <v>2012</v>
      </c>
      <c r="X1" s="335">
        <v>2013</v>
      </c>
      <c r="Y1" s="335">
        <v>2014</v>
      </c>
      <c r="Z1" s="335">
        <v>2015</v>
      </c>
      <c r="AA1" s="335">
        <v>2016</v>
      </c>
      <c r="AB1" s="334">
        <v>2017</v>
      </c>
      <c r="AC1" s="334">
        <v>2018</v>
      </c>
      <c r="AD1" s="334">
        <v>2019</v>
      </c>
      <c r="AE1" s="321">
        <v>2020</v>
      </c>
      <c r="AF1" s="321">
        <v>2021</v>
      </c>
      <c r="AG1" s="321"/>
      <c r="AH1" s="333" t="s">
        <v>823</v>
      </c>
    </row>
    <row r="2" spans="1:34" ht="15.75" customHeight="1" x14ac:dyDescent="0.2">
      <c r="A2" s="332" t="s">
        <v>785</v>
      </c>
      <c r="B2" s="331">
        <v>15.727008694067001</v>
      </c>
      <c r="C2" s="331">
        <v>14.5711517216375</v>
      </c>
      <c r="D2" s="331">
        <v>13.0875688743451</v>
      </c>
      <c r="E2" s="331">
        <v>9.5940101543789797</v>
      </c>
      <c r="F2" s="331">
        <v>10.250325952765699</v>
      </c>
      <c r="G2" s="330">
        <v>7.9057626177225204</v>
      </c>
      <c r="H2" s="330">
        <v>7.9871533674518798</v>
      </c>
      <c r="I2" s="330">
        <v>7.7873391569621004</v>
      </c>
      <c r="J2" s="330">
        <v>7.0278247472558499</v>
      </c>
      <c r="K2" s="330">
        <v>8.7963222595021993</v>
      </c>
      <c r="L2" s="330">
        <v>7.6417362147513304</v>
      </c>
      <c r="M2" s="330">
        <v>12.205405688193901</v>
      </c>
      <c r="N2" s="330">
        <v>5.7936025975283902</v>
      </c>
      <c r="O2" s="330">
        <v>6.5271139772024496</v>
      </c>
      <c r="P2" s="330">
        <v>5.4490666230227598</v>
      </c>
      <c r="Q2" s="330">
        <v>6.2741537708994999</v>
      </c>
      <c r="R2" s="330">
        <v>8.8492898126298094</v>
      </c>
      <c r="S2" s="330">
        <v>8.8315688644124695</v>
      </c>
      <c r="T2" s="330">
        <v>7.5045113457487203</v>
      </c>
      <c r="U2" s="330">
        <v>6.3510267905241404</v>
      </c>
      <c r="V2" s="330">
        <v>6.6517827868979502</v>
      </c>
      <c r="W2" s="330">
        <v>5.5122264718124399</v>
      </c>
      <c r="X2" s="330">
        <v>5.9856351455896997</v>
      </c>
      <c r="Y2" s="330">
        <v>5.79552879780148</v>
      </c>
      <c r="Z2" s="330">
        <v>4.5454545454545414</v>
      </c>
      <c r="AA2" s="330">
        <v>6.3405797101449224</v>
      </c>
      <c r="AB2" s="329">
        <v>5.2725724020443065</v>
      </c>
      <c r="AC2" s="329">
        <v>4.6201148960271832</v>
      </c>
      <c r="AD2" s="329">
        <v>4.1299303944315469</v>
      </c>
      <c r="AE2" s="321"/>
      <c r="AF2" s="321"/>
      <c r="AG2" s="321"/>
      <c r="AH2" s="321"/>
    </row>
    <row r="3" spans="1:34" ht="15.75" customHeight="1" x14ac:dyDescent="0.2">
      <c r="A3" s="312">
        <f>B12</f>
        <v>2015</v>
      </c>
      <c r="B3" s="311">
        <f t="shared" ref="B3:Y3" si="0">IF(B1=$A$3,1,IF(B1&lt;$A3,C3/(1+C2/100),A3*(B2/100+1)))</f>
        <v>0.16025960579724249</v>
      </c>
      <c r="C3" s="311">
        <f t="shared" si="0"/>
        <v>0.18361127610645686</v>
      </c>
      <c r="D3" s="311">
        <f t="shared" si="0"/>
        <v>0.20764152832795335</v>
      </c>
      <c r="E3" s="311">
        <f t="shared" si="0"/>
        <v>0.22756267764044488</v>
      </c>
      <c r="F3" s="311">
        <f t="shared" si="0"/>
        <v>0.25088859384543194</v>
      </c>
      <c r="G3" s="311">
        <f t="shared" si="0"/>
        <v>0.27072325050979379</v>
      </c>
      <c r="H3" s="311">
        <f t="shared" si="0"/>
        <v>0.29234633172936197</v>
      </c>
      <c r="I3" s="311">
        <f t="shared" si="0"/>
        <v>0.31511233209406492</v>
      </c>
      <c r="J3" s="311">
        <f t="shared" si="0"/>
        <v>0.33725787455062667</v>
      </c>
      <c r="K3" s="311">
        <f t="shared" si="0"/>
        <v>0.36692416404164746</v>
      </c>
      <c r="L3" s="311">
        <f t="shared" si="0"/>
        <v>0.39496354076589157</v>
      </c>
      <c r="M3" s="311">
        <f t="shared" si="0"/>
        <v>0.44317044323682375</v>
      </c>
      <c r="N3" s="311">
        <f t="shared" si="0"/>
        <v>0.46884597754767043</v>
      </c>
      <c r="O3" s="311">
        <f t="shared" si="0"/>
        <v>0.49944808887973591</v>
      </c>
      <c r="P3" s="311">
        <f t="shared" si="0"/>
        <v>0.52666334799020664</v>
      </c>
      <c r="Q3" s="311">
        <f t="shared" si="0"/>
        <v>0.55970701629807973</v>
      </c>
      <c r="R3" s="311">
        <f t="shared" si="0"/>
        <v>0.6092371122719199</v>
      </c>
      <c r="S3" s="311">
        <f t="shared" si="0"/>
        <v>0.66304230738977243</v>
      </c>
      <c r="T3" s="311">
        <f t="shared" si="0"/>
        <v>0.71280039257495198</v>
      </c>
      <c r="U3" s="310">
        <f t="shared" si="0"/>
        <v>0.7580705364703485</v>
      </c>
      <c r="V3" s="310">
        <f t="shared" si="0"/>
        <v>0.80849574192782814</v>
      </c>
      <c r="W3" s="310">
        <f t="shared" si="0"/>
        <v>0.8530618582378503</v>
      </c>
      <c r="X3" s="328">
        <f t="shared" si="0"/>
        <v>0.90412302863815563</v>
      </c>
      <c r="Y3" s="328">
        <f t="shared" si="0"/>
        <v>0.95652173913043481</v>
      </c>
      <c r="Z3" s="328">
        <f>IF(Z1=$A$3,1,IF(Z1&lt;$A3,#REF!/(1+#REF!/100),Y3*(Z2/100+1)))</f>
        <v>1</v>
      </c>
      <c r="AA3" s="328">
        <f>IF(AA1=$A$3,1,IF(AA1&lt;$A3,#REF!/(1+#REF!/100),Z3*(AA2/100+1)))</f>
        <v>1.0634057971014492</v>
      </c>
      <c r="AB3" s="327">
        <f>IF(AB1=$A$3,1,IF(AB1&lt;$A3,#REF!/(1+#REF!/100),AA3*(AB2/100+1)))</f>
        <v>1.1194746376811595</v>
      </c>
      <c r="AC3" s="327">
        <f>IF(AC1=$A$3,1,IF(AC1&lt;$A3,#REF!/(1+#REF!/100),AB3*(AC2/100+1)))</f>
        <v>1.1711956521739131</v>
      </c>
      <c r="AD3" s="327">
        <f>IF(AD1=$A$3,1,IF(AD1&lt;$A3,#REF!/(1+#REF!/100),AC3*(AD2/100+1)))</f>
        <v>1.2195652173913043</v>
      </c>
      <c r="AE3" s="326">
        <f>1/AE4</f>
        <v>1.2594458438287153</v>
      </c>
      <c r="AF3" s="325">
        <f>1/AF4</f>
        <v>1.3020833333333333</v>
      </c>
      <c r="AG3" s="321"/>
      <c r="AH3" s="321"/>
    </row>
    <row r="4" spans="1:34" ht="15.75" customHeight="1" x14ac:dyDescent="0.2">
      <c r="A4" s="312" t="s">
        <v>810</v>
      </c>
      <c r="B4" s="311">
        <f t="shared" ref="B4:AD4" si="1">1/B3</f>
        <v>6.2398755757903315</v>
      </c>
      <c r="C4" s="311">
        <f t="shared" si="1"/>
        <v>5.4462886005988285</v>
      </c>
      <c r="D4" s="311">
        <f t="shared" si="1"/>
        <v>4.8159922923538652</v>
      </c>
      <c r="E4" s="311">
        <f t="shared" si="1"/>
        <v>4.3943937132785313</v>
      </c>
      <c r="F4" s="311">
        <f t="shared" si="1"/>
        <v>3.9858328538286698</v>
      </c>
      <c r="G4" s="311">
        <f t="shared" si="1"/>
        <v>3.6938090766748668</v>
      </c>
      <c r="H4" s="311">
        <f t="shared" si="1"/>
        <v>3.4206004709706588</v>
      </c>
      <c r="I4" s="311">
        <f t="shared" si="1"/>
        <v>3.1734714835009621</v>
      </c>
      <c r="J4" s="311">
        <f t="shared" si="1"/>
        <v>2.9650901445442375</v>
      </c>
      <c r="K4" s="311">
        <f t="shared" si="1"/>
        <v>2.7253588016255472</v>
      </c>
      <c r="L4" s="311">
        <f t="shared" si="1"/>
        <v>2.5318792667820809</v>
      </c>
      <c r="M4" s="311">
        <f t="shared" si="1"/>
        <v>2.2564681721466129</v>
      </c>
      <c r="N4" s="311">
        <f t="shared" si="1"/>
        <v>2.1328966182680409</v>
      </c>
      <c r="O4" s="311">
        <f t="shared" si="1"/>
        <v>2.0022100840209522</v>
      </c>
      <c r="P4" s="311">
        <f t="shared" si="1"/>
        <v>1.8987461417546663</v>
      </c>
      <c r="Q4" s="311">
        <f t="shared" si="1"/>
        <v>1.7866490340143175</v>
      </c>
      <c r="R4" s="311">
        <f t="shared" si="1"/>
        <v>1.6413970519144465</v>
      </c>
      <c r="S4" s="311">
        <f t="shared" si="1"/>
        <v>1.5081993846467259</v>
      </c>
      <c r="T4" s="311">
        <f t="shared" si="1"/>
        <v>1.4029172969273422</v>
      </c>
      <c r="U4" s="310">
        <f t="shared" si="1"/>
        <v>1.3191384599328964</v>
      </c>
      <c r="V4" s="310">
        <f t="shared" si="1"/>
        <v>1.2368648938280578</v>
      </c>
      <c r="W4" s="310">
        <f t="shared" si="1"/>
        <v>1.1722479329525719</v>
      </c>
      <c r="X4" s="324">
        <f t="shared" si="1"/>
        <v>1.106044164704288</v>
      </c>
      <c r="Y4" s="324">
        <f t="shared" si="1"/>
        <v>1.0454545454545454</v>
      </c>
      <c r="Z4" s="323">
        <f t="shared" si="1"/>
        <v>1</v>
      </c>
      <c r="AA4" s="323">
        <f t="shared" si="1"/>
        <v>0.94037478705281097</v>
      </c>
      <c r="AB4" s="322">
        <f t="shared" si="1"/>
        <v>0.89327615502872393</v>
      </c>
      <c r="AC4" s="322">
        <f t="shared" si="1"/>
        <v>0.85382830626450112</v>
      </c>
      <c r="AD4" s="322">
        <f t="shared" si="1"/>
        <v>0.81996434937611407</v>
      </c>
      <c r="AE4" s="321">
        <v>0.79400000000000004</v>
      </c>
      <c r="AF4" s="321">
        <v>0.76800000000000002</v>
      </c>
      <c r="AG4" s="321"/>
      <c r="AH4" s="321"/>
    </row>
    <row r="5" spans="1:34" x14ac:dyDescent="0.2">
      <c r="A5" s="258" t="s">
        <v>822</v>
      </c>
      <c r="U5" s="308"/>
      <c r="V5" s="308"/>
      <c r="W5" s="308"/>
    </row>
    <row r="6" spans="1:34" x14ac:dyDescent="0.2">
      <c r="A6" s="74" t="s">
        <v>821</v>
      </c>
      <c r="U6" s="308"/>
      <c r="V6" s="308"/>
      <c r="W6" s="308"/>
    </row>
    <row r="7" spans="1:34" x14ac:dyDescent="0.2">
      <c r="A7" s="258" t="s">
        <v>820</v>
      </c>
      <c r="U7" s="308"/>
      <c r="V7" s="308"/>
      <c r="W7" s="308"/>
    </row>
    <row r="8" spans="1:34" x14ac:dyDescent="0.2">
      <c r="U8" s="308"/>
      <c r="V8" s="308"/>
      <c r="W8" s="308"/>
    </row>
    <row r="9" spans="1:34" x14ac:dyDescent="0.2">
      <c r="A9" s="258" t="s">
        <v>819</v>
      </c>
      <c r="U9" s="308"/>
      <c r="V9" s="308"/>
      <c r="W9" s="308"/>
    </row>
    <row r="10" spans="1:34" ht="15" x14ac:dyDescent="0.25">
      <c r="B10" s="320">
        <v>2010</v>
      </c>
      <c r="C10" s="258" t="s">
        <v>817</v>
      </c>
      <c r="U10" s="308"/>
      <c r="V10" s="308"/>
      <c r="W10" s="308"/>
      <c r="AA10" s="258">
        <v>2005</v>
      </c>
    </row>
    <row r="11" spans="1:34" x14ac:dyDescent="0.2">
      <c r="A11" s="258" t="s">
        <v>818</v>
      </c>
      <c r="U11" s="308"/>
      <c r="V11" s="308"/>
      <c r="W11" s="308"/>
      <c r="AA11" s="258">
        <v>2006</v>
      </c>
    </row>
    <row r="12" spans="1:34" ht="15" x14ac:dyDescent="0.25">
      <c r="B12" s="320">
        <v>2015</v>
      </c>
      <c r="C12" s="258" t="s">
        <v>817</v>
      </c>
      <c r="U12" s="308"/>
      <c r="V12" s="308"/>
      <c r="W12" s="308"/>
      <c r="AA12" s="258">
        <v>2007</v>
      </c>
    </row>
    <row r="13" spans="1:34" x14ac:dyDescent="0.2">
      <c r="A13" s="258" t="s">
        <v>816</v>
      </c>
      <c r="U13" s="308"/>
      <c r="V13" s="308"/>
      <c r="W13" s="308"/>
      <c r="X13" s="258">
        <f>PRODUCT(P17:T17)</f>
        <v>1.1326254216924159</v>
      </c>
      <c r="AA13" s="258">
        <v>2008</v>
      </c>
    </row>
    <row r="14" spans="1:34" ht="15" x14ac:dyDescent="0.25">
      <c r="A14" s="258" t="s">
        <v>815</v>
      </c>
      <c r="B14" s="319">
        <f>1/B15</f>
        <v>1.3191384599328964</v>
      </c>
      <c r="U14" s="308"/>
      <c r="V14" s="308"/>
      <c r="W14" s="308"/>
      <c r="AA14" s="258">
        <v>2009</v>
      </c>
    </row>
    <row r="15" spans="1:34" ht="15" x14ac:dyDescent="0.25">
      <c r="A15" s="258" t="s">
        <v>814</v>
      </c>
      <c r="B15" s="318">
        <f>SUMIF($B$1:$U$1,B10,$B$3:$U$3)</f>
        <v>0.7580705364703485</v>
      </c>
      <c r="U15" s="308"/>
      <c r="V15" s="308"/>
      <c r="W15" s="308"/>
      <c r="AA15" s="258">
        <v>2010</v>
      </c>
    </row>
    <row r="16" spans="1:34" x14ac:dyDescent="0.2">
      <c r="U16" s="308"/>
      <c r="W16" s="308"/>
    </row>
    <row r="17" spans="1:25" x14ac:dyDescent="0.2">
      <c r="A17" s="258" t="s">
        <v>813</v>
      </c>
      <c r="P17" s="258">
        <f t="shared" ref="P17:U17" si="2">(1+P19/100)</f>
        <v>1.0333465966170388</v>
      </c>
      <c r="Q17" s="258">
        <f t="shared" si="2"/>
        <v>1.0325252979731299</v>
      </c>
      <c r="R17" s="258">
        <f t="shared" si="2"/>
        <v>1.0294106674465962</v>
      </c>
      <c r="S17" s="258">
        <f t="shared" si="2"/>
        <v>1.0217815161638351</v>
      </c>
      <c r="T17" s="258">
        <f t="shared" si="2"/>
        <v>1.0092363494772816</v>
      </c>
      <c r="U17" s="258">
        <f t="shared" si="2"/>
        <v>1.0115232634848643</v>
      </c>
      <c r="V17" s="308">
        <f>V20/U20</f>
        <v>1.0273128343245979</v>
      </c>
      <c r="W17" s="308"/>
    </row>
    <row r="18" spans="1:25" ht="15.75" customHeight="1" x14ac:dyDescent="0.2">
      <c r="A18" s="307" t="s">
        <v>808</v>
      </c>
      <c r="B18" s="307">
        <v>1991</v>
      </c>
      <c r="C18" s="307">
        <v>1992</v>
      </c>
      <c r="D18" s="307">
        <v>1993</v>
      </c>
      <c r="E18" s="307">
        <v>1994</v>
      </c>
      <c r="F18" s="307">
        <v>1995</v>
      </c>
      <c r="G18" s="307">
        <v>1996</v>
      </c>
      <c r="H18" s="307">
        <v>1997</v>
      </c>
      <c r="I18" s="307">
        <v>1998</v>
      </c>
      <c r="J18" s="307">
        <v>1999</v>
      </c>
      <c r="K18" s="307">
        <v>2000</v>
      </c>
      <c r="L18" s="307">
        <v>2001</v>
      </c>
      <c r="M18" s="307">
        <v>2002</v>
      </c>
      <c r="N18" s="307">
        <v>2003</v>
      </c>
      <c r="O18" s="307">
        <v>2004</v>
      </c>
      <c r="P18" s="307">
        <v>2005</v>
      </c>
      <c r="Q18" s="307">
        <v>2006</v>
      </c>
      <c r="R18" s="307">
        <v>2007</v>
      </c>
      <c r="S18" s="307">
        <v>2008</v>
      </c>
      <c r="T18" s="307">
        <v>2009</v>
      </c>
      <c r="U18" s="306">
        <v>2010</v>
      </c>
      <c r="V18" s="306">
        <v>2011</v>
      </c>
      <c r="W18" s="306">
        <v>2012</v>
      </c>
      <c r="X18" s="258">
        <v>2013</v>
      </c>
      <c r="Y18" s="258">
        <v>2014</v>
      </c>
    </row>
    <row r="19" spans="1:25" ht="15.75" customHeight="1" x14ac:dyDescent="0.2">
      <c r="A19" s="305" t="s">
        <v>812</v>
      </c>
      <c r="B19" s="304">
        <v>3.3994252378249699</v>
      </c>
      <c r="C19" s="304">
        <v>2.1054788150436798</v>
      </c>
      <c r="D19" s="304">
        <v>2.1924332890308</v>
      </c>
      <c r="E19" s="304">
        <v>2.0360309460728101</v>
      </c>
      <c r="F19" s="304">
        <v>2.3263787079223999</v>
      </c>
      <c r="G19" s="304">
        <v>1.7717629484628601</v>
      </c>
      <c r="H19" s="304">
        <v>1.9273567571815799</v>
      </c>
      <c r="I19" s="304">
        <v>1.4055393887866201</v>
      </c>
      <c r="J19" s="304">
        <v>1.46557115641922</v>
      </c>
      <c r="K19" s="304">
        <v>2.1635805504784602</v>
      </c>
      <c r="L19" s="304">
        <v>2.2671398465768702</v>
      </c>
      <c r="M19" s="304">
        <v>1.6245670393856999</v>
      </c>
      <c r="N19" s="304">
        <v>2.1553754412521502</v>
      </c>
      <c r="O19" s="304">
        <v>2.8345692622040302</v>
      </c>
      <c r="P19" s="304">
        <v>3.33465966170388</v>
      </c>
      <c r="Q19" s="304">
        <v>3.2525297973129899</v>
      </c>
      <c r="R19" s="304">
        <v>2.9410667446596199</v>
      </c>
      <c r="S19" s="304">
        <v>2.1781516163835</v>
      </c>
      <c r="T19" s="304">
        <v>0.92363494772816102</v>
      </c>
      <c r="U19" s="314">
        <v>1.1523263484864299</v>
      </c>
      <c r="V19" s="314">
        <v>2.7312834324597901</v>
      </c>
      <c r="W19" s="313">
        <v>2.7312834324597901</v>
      </c>
      <c r="X19" s="317">
        <f>W19</f>
        <v>2.7312834324597901</v>
      </c>
      <c r="Y19" s="317">
        <f>X19</f>
        <v>2.7312834324597901</v>
      </c>
    </row>
    <row r="20" spans="1:25" x14ac:dyDescent="0.2">
      <c r="A20" s="312">
        <v>2010</v>
      </c>
      <c r="B20" s="311">
        <f t="shared" ref="B20:Y20" si="3">IF(B18=$A$20,1,IF(B18&lt;$A20,C20/(1+C19/100),A20*(B19/100+1)))</f>
        <v>0.67297533398349141</v>
      </c>
      <c r="C20" s="311">
        <f t="shared" si="3"/>
        <v>0.68714468707098331</v>
      </c>
      <c r="D20" s="311">
        <f t="shared" si="3"/>
        <v>0.70220987593413409</v>
      </c>
      <c r="E20" s="311">
        <f t="shared" si="3"/>
        <v>0.71650708631453253</v>
      </c>
      <c r="F20" s="311">
        <f t="shared" si="3"/>
        <v>0.73317575461130902</v>
      </c>
      <c r="G20" s="311">
        <f t="shared" si="3"/>
        <v>0.74616589097862518</v>
      </c>
      <c r="H20" s="311">
        <f t="shared" si="3"/>
        <v>0.76054716969818592</v>
      </c>
      <c r="I20" s="311">
        <f t="shared" si="3"/>
        <v>0.77123695973859574</v>
      </c>
      <c r="J20" s="311">
        <f t="shared" si="3"/>
        <v>0.782539986168169</v>
      </c>
      <c r="K20" s="311">
        <f t="shared" si="3"/>
        <v>0.79947086910862031</v>
      </c>
      <c r="L20" s="311">
        <f t="shared" si="3"/>
        <v>0.81759599174395625</v>
      </c>
      <c r="M20" s="311">
        <f t="shared" si="3"/>
        <v>0.8308783867411671</v>
      </c>
      <c r="N20" s="311">
        <f t="shared" si="3"/>
        <v>0.84878693543565831</v>
      </c>
      <c r="O20" s="311">
        <f t="shared" si="3"/>
        <v>0.87284638900912104</v>
      </c>
      <c r="P20" s="311">
        <f t="shared" si="3"/>
        <v>0.90195284545204713</v>
      </c>
      <c r="Q20" s="316">
        <f t="shared" si="3"/>
        <v>0.93128913050808726</v>
      </c>
      <c r="R20" s="311">
        <f t="shared" si="3"/>
        <v>0.9586789654220903</v>
      </c>
      <c r="S20" s="311">
        <f t="shared" si="3"/>
        <v>0.97956044680336019</v>
      </c>
      <c r="T20" s="311">
        <f t="shared" si="3"/>
        <v>0.98860800942415816</v>
      </c>
      <c r="U20" s="310">
        <f t="shared" si="3"/>
        <v>1</v>
      </c>
      <c r="V20" s="310">
        <f t="shared" si="3"/>
        <v>1.0273128343245979</v>
      </c>
      <c r="W20" s="310">
        <f t="shared" si="3"/>
        <v>1.0553716595680387</v>
      </c>
      <c r="X20" s="315">
        <f t="shared" si="3"/>
        <v>1.0841968508566964</v>
      </c>
      <c r="Y20" s="315">
        <f t="shared" si="3"/>
        <v>1.113809339819396</v>
      </c>
    </row>
    <row r="21" spans="1:25" x14ac:dyDescent="0.2">
      <c r="A21" s="312" t="s">
        <v>810</v>
      </c>
      <c r="B21" s="311">
        <f t="shared" ref="B21:Y21" si="4">1/B20</f>
        <v>1.4859385619392267</v>
      </c>
      <c r="C21" s="311">
        <f t="shared" si="4"/>
        <v>1.4552975797027419</v>
      </c>
      <c r="D21" s="311">
        <f t="shared" si="4"/>
        <v>1.424075670638671</v>
      </c>
      <c r="E21" s="311">
        <f t="shared" si="4"/>
        <v>1.395659609095645</v>
      </c>
      <c r="F21" s="311">
        <f t="shared" si="4"/>
        <v>1.3639294448984434</v>
      </c>
      <c r="G21" s="311">
        <f t="shared" si="4"/>
        <v>1.3401845515726558</v>
      </c>
      <c r="H21" s="311">
        <f t="shared" si="4"/>
        <v>1.314842839263787</v>
      </c>
      <c r="I21" s="311">
        <f t="shared" si="4"/>
        <v>1.2966183575265138</v>
      </c>
      <c r="J21" s="311">
        <f t="shared" si="4"/>
        <v>1.2778899707050861</v>
      </c>
      <c r="K21" s="311">
        <f t="shared" si="4"/>
        <v>1.2508273142146655</v>
      </c>
      <c r="L21" s="311">
        <f t="shared" si="4"/>
        <v>1.2230979727126239</v>
      </c>
      <c r="M21" s="311">
        <f t="shared" si="4"/>
        <v>1.2035455681091356</v>
      </c>
      <c r="N21" s="311">
        <f t="shared" si="4"/>
        <v>1.1781519698895087</v>
      </c>
      <c r="O21" s="311">
        <f t="shared" si="4"/>
        <v>1.1456769628562331</v>
      </c>
      <c r="P21" s="311">
        <f t="shared" si="4"/>
        <v>1.1087054107566043</v>
      </c>
      <c r="Q21" s="311">
        <f t="shared" si="4"/>
        <v>1.0737803838153097</v>
      </c>
      <c r="R21" s="311">
        <f t="shared" si="4"/>
        <v>1.0431020561296207</v>
      </c>
      <c r="S21" s="311">
        <f t="shared" si="4"/>
        <v>1.020866045850811</v>
      </c>
      <c r="T21" s="311">
        <f t="shared" si="4"/>
        <v>1.0115232634848643</v>
      </c>
      <c r="U21" s="310">
        <f t="shared" si="4"/>
        <v>1</v>
      </c>
      <c r="V21" s="310">
        <f t="shared" si="4"/>
        <v>0.97341332317477125</v>
      </c>
      <c r="W21" s="310">
        <f t="shared" si="4"/>
        <v>0.94753349773415163</v>
      </c>
      <c r="X21" s="310">
        <f t="shared" si="4"/>
        <v>0.9223417308488151</v>
      </c>
      <c r="Y21" s="310">
        <f t="shared" si="4"/>
        <v>0.89781972932831555</v>
      </c>
    </row>
    <row r="22" spans="1:25" x14ac:dyDescent="0.2">
      <c r="U22" s="308"/>
      <c r="V22" s="308"/>
      <c r="W22" s="308"/>
    </row>
    <row r="23" spans="1:25" x14ac:dyDescent="0.2">
      <c r="A23" s="309" t="s">
        <v>811</v>
      </c>
      <c r="U23" s="308"/>
      <c r="V23" s="308"/>
      <c r="W23" s="308"/>
    </row>
    <row r="24" spans="1:25" ht="15.75" customHeight="1" x14ac:dyDescent="0.2">
      <c r="A24" s="307" t="s">
        <v>808</v>
      </c>
      <c r="B24" s="307">
        <v>1991</v>
      </c>
      <c r="C24" s="307">
        <v>1992</v>
      </c>
      <c r="D24" s="307">
        <v>1993</v>
      </c>
      <c r="E24" s="307">
        <v>1994</v>
      </c>
      <c r="F24" s="307">
        <v>1995</v>
      </c>
      <c r="G24" s="307">
        <v>1996</v>
      </c>
      <c r="H24" s="307">
        <v>1997</v>
      </c>
      <c r="I24" s="307">
        <v>1998</v>
      </c>
      <c r="J24" s="307">
        <v>1999</v>
      </c>
      <c r="K24" s="307">
        <v>2000</v>
      </c>
      <c r="L24" s="307">
        <v>2001</v>
      </c>
      <c r="M24" s="307">
        <v>2002</v>
      </c>
      <c r="N24" s="307">
        <v>2003</v>
      </c>
      <c r="O24" s="307">
        <v>2004</v>
      </c>
      <c r="P24" s="307">
        <v>2005</v>
      </c>
      <c r="Q24" s="307">
        <v>2006</v>
      </c>
      <c r="R24" s="307">
        <v>2007</v>
      </c>
      <c r="S24" s="307">
        <v>2008</v>
      </c>
      <c r="T24" s="307">
        <v>2009</v>
      </c>
      <c r="U24" s="306">
        <v>2010</v>
      </c>
      <c r="V24" s="306">
        <v>2011</v>
      </c>
      <c r="W24" s="306">
        <v>2012</v>
      </c>
    </row>
    <row r="25" spans="1:25" ht="15.75" customHeight="1" x14ac:dyDescent="0.2">
      <c r="A25" s="305" t="s">
        <v>785</v>
      </c>
      <c r="B25" s="304">
        <v>2.7613150000000002</v>
      </c>
      <c r="C25" s="304">
        <v>2.8520141666666698</v>
      </c>
      <c r="D25" s="304">
        <v>3.2677415833333301</v>
      </c>
      <c r="E25" s="304">
        <v>3.5507983333333302</v>
      </c>
      <c r="F25" s="304">
        <v>3.6270850000000001</v>
      </c>
      <c r="G25" s="304">
        <v>4.2993491666666701</v>
      </c>
      <c r="H25" s="304">
        <v>4.6079616666666698</v>
      </c>
      <c r="I25" s="304">
        <v>5.52828416666667</v>
      </c>
      <c r="J25" s="304">
        <v>6.1094841666666699</v>
      </c>
      <c r="K25" s="304">
        <v>6.9398283333333302</v>
      </c>
      <c r="L25" s="304">
        <v>8.6091808333333297</v>
      </c>
      <c r="M25" s="304">
        <v>10.540746666666699</v>
      </c>
      <c r="N25" s="304">
        <v>7.5647491666666697</v>
      </c>
      <c r="O25" s="304">
        <v>6.4596925000000001</v>
      </c>
      <c r="P25" s="304">
        <v>6.3593283333333304</v>
      </c>
      <c r="Q25" s="304">
        <v>6.7715491666666701</v>
      </c>
      <c r="R25" s="304">
        <v>7.0453650000000003</v>
      </c>
      <c r="S25" s="304">
        <v>8.26122333333333</v>
      </c>
      <c r="T25" s="304">
        <v>8.4736741582488797</v>
      </c>
      <c r="U25" s="303">
        <v>7.3212219611528804</v>
      </c>
      <c r="V25" s="314">
        <v>7.2611321323273499</v>
      </c>
      <c r="W25" s="313">
        <v>8.5</v>
      </c>
    </row>
    <row r="26" spans="1:25" x14ac:dyDescent="0.2">
      <c r="A26" s="312">
        <v>2005</v>
      </c>
      <c r="B26" s="311">
        <f t="shared" ref="B26:W26" si="5">IF(B24=$A$26,1,IF(B24&lt;$A26,C26/(1+C25/100),A26*(B25/100+1)))</f>
        <v>0.45926906270745477</v>
      </c>
      <c r="C26" s="311">
        <f t="shared" si="5"/>
        <v>0.4723674814389886</v>
      </c>
      <c r="D26" s="311">
        <f t="shared" si="5"/>
        <v>0.48780323005611481</v>
      </c>
      <c r="E26" s="311">
        <f t="shared" si="5"/>
        <v>0.50512413901889353</v>
      </c>
      <c r="F26" s="311">
        <f t="shared" si="5"/>
        <v>0.52344542089662693</v>
      </c>
      <c r="G26" s="311">
        <f t="shared" si="5"/>
        <v>0.54595016723790091</v>
      </c>
      <c r="H26" s="311">
        <f t="shared" si="5"/>
        <v>0.57110734166332588</v>
      </c>
      <c r="I26" s="311">
        <f t="shared" si="5"/>
        <v>0.60267977840717046</v>
      </c>
      <c r="J26" s="311">
        <f t="shared" si="5"/>
        <v>0.63950040404465835</v>
      </c>
      <c r="K26" s="311">
        <f t="shared" si="5"/>
        <v>0.68388063427633072</v>
      </c>
      <c r="L26" s="311">
        <f t="shared" si="5"/>
        <v>0.742757154765327</v>
      </c>
      <c r="M26" s="311">
        <f t="shared" si="5"/>
        <v>0.82104930479768157</v>
      </c>
      <c r="N26" s="311">
        <f t="shared" si="5"/>
        <v>0.88315962524028668</v>
      </c>
      <c r="O26" s="311">
        <f t="shared" si="5"/>
        <v>0.94020902131496165</v>
      </c>
      <c r="P26" s="311">
        <f t="shared" si="5"/>
        <v>1</v>
      </c>
      <c r="Q26" s="311">
        <f t="shared" si="5"/>
        <v>1.0677154916666667</v>
      </c>
      <c r="R26" s="311">
        <f t="shared" si="5"/>
        <v>1.142939945216128</v>
      </c>
      <c r="S26" s="311">
        <f t="shared" si="5"/>
        <v>1.2373607666563098</v>
      </c>
      <c r="T26" s="311">
        <f t="shared" si="5"/>
        <v>1.3422106861847758</v>
      </c>
      <c r="U26" s="310">
        <f t="shared" si="5"/>
        <v>1.4404769097066763</v>
      </c>
      <c r="V26" s="310">
        <f t="shared" si="5"/>
        <v>1.5450718414561437</v>
      </c>
      <c r="W26" s="310">
        <f t="shared" si="5"/>
        <v>1.6764029479799158</v>
      </c>
    </row>
    <row r="27" spans="1:25" x14ac:dyDescent="0.2">
      <c r="A27" s="312" t="s">
        <v>810</v>
      </c>
      <c r="B27" s="311">
        <f t="shared" ref="B27:W27" si="6">1/B26</f>
        <v>2.1773728761629654</v>
      </c>
      <c r="C27" s="311">
        <f t="shared" si="6"/>
        <v>2.1169958544852983</v>
      </c>
      <c r="D27" s="311">
        <f t="shared" si="6"/>
        <v>2.0500069257125753</v>
      </c>
      <c r="E27" s="311">
        <f t="shared" si="6"/>
        <v>1.9797113674715836</v>
      </c>
      <c r="F27" s="311">
        <f t="shared" si="6"/>
        <v>1.9104188518586465</v>
      </c>
      <c r="G27" s="311">
        <f t="shared" si="6"/>
        <v>1.8316690057249205</v>
      </c>
      <c r="H27" s="311">
        <f t="shared" si="6"/>
        <v>1.7509843194933241</v>
      </c>
      <c r="I27" s="311">
        <f t="shared" si="6"/>
        <v>1.6592559362832977</v>
      </c>
      <c r="J27" s="311">
        <f t="shared" si="6"/>
        <v>1.563720669565311</v>
      </c>
      <c r="K27" s="311">
        <f t="shared" si="6"/>
        <v>1.4622434820927204</v>
      </c>
      <c r="L27" s="311">
        <f t="shared" si="6"/>
        <v>1.3463350619839516</v>
      </c>
      <c r="M27" s="311">
        <f t="shared" si="6"/>
        <v>1.2179536529129813</v>
      </c>
      <c r="N27" s="311">
        <f t="shared" si="6"/>
        <v>1.1322981388873203</v>
      </c>
      <c r="O27" s="311">
        <f t="shared" si="6"/>
        <v>1.0635932833333333</v>
      </c>
      <c r="P27" s="311">
        <f t="shared" si="6"/>
        <v>1</v>
      </c>
      <c r="Q27" s="311">
        <f t="shared" si="6"/>
        <v>0.93657908666196721</v>
      </c>
      <c r="R27" s="311">
        <f t="shared" si="6"/>
        <v>0.87493660903670811</v>
      </c>
      <c r="S27" s="311">
        <f t="shared" si="6"/>
        <v>0.80817173693188604</v>
      </c>
      <c r="T27" s="311">
        <f t="shared" si="6"/>
        <v>0.74503951599617557</v>
      </c>
      <c r="U27" s="310">
        <f t="shared" si="6"/>
        <v>0.69421452941139439</v>
      </c>
      <c r="V27" s="310">
        <f t="shared" si="6"/>
        <v>0.64721909568784575</v>
      </c>
      <c r="W27" s="310">
        <f t="shared" si="6"/>
        <v>0.59651529556483485</v>
      </c>
    </row>
    <row r="28" spans="1:25" x14ac:dyDescent="0.2">
      <c r="U28" s="308"/>
      <c r="V28" s="308"/>
      <c r="W28" s="308"/>
    </row>
    <row r="29" spans="1:25" x14ac:dyDescent="0.2">
      <c r="A29" s="309" t="s">
        <v>809</v>
      </c>
      <c r="U29" s="308"/>
      <c r="V29" s="308"/>
      <c r="W29" s="308"/>
    </row>
    <row r="30" spans="1:25" ht="15.75" customHeight="1" x14ac:dyDescent="0.2">
      <c r="A30" s="307" t="s">
        <v>808</v>
      </c>
      <c r="B30" s="307">
        <v>1991</v>
      </c>
      <c r="C30" s="307">
        <v>1992</v>
      </c>
      <c r="D30" s="307">
        <v>1993</v>
      </c>
      <c r="E30" s="307">
        <v>1994</v>
      </c>
      <c r="F30" s="307">
        <v>1995</v>
      </c>
      <c r="G30" s="307">
        <v>1996</v>
      </c>
      <c r="H30" s="307">
        <v>1997</v>
      </c>
      <c r="I30" s="307">
        <v>1998</v>
      </c>
      <c r="J30" s="307">
        <v>1999</v>
      </c>
      <c r="K30" s="307">
        <v>2000</v>
      </c>
      <c r="L30" s="307">
        <v>2001</v>
      </c>
      <c r="M30" s="307">
        <v>2002</v>
      </c>
      <c r="N30" s="307">
        <v>2003</v>
      </c>
      <c r="O30" s="307">
        <v>2004</v>
      </c>
      <c r="P30" s="307">
        <v>2005</v>
      </c>
      <c r="Q30" s="307">
        <v>2006</v>
      </c>
      <c r="R30" s="307">
        <v>2007</v>
      </c>
      <c r="S30" s="307">
        <v>2008</v>
      </c>
      <c r="T30" s="307">
        <v>2009</v>
      </c>
      <c r="U30" s="306">
        <v>2010</v>
      </c>
      <c r="V30" s="306">
        <v>2011</v>
      </c>
      <c r="W30" s="306">
        <v>2012</v>
      </c>
    </row>
    <row r="31" spans="1:25" ht="15.75" customHeight="1" x14ac:dyDescent="0.2">
      <c r="A31" s="305" t="s">
        <v>785</v>
      </c>
      <c r="B31" s="304">
        <v>120.919166666666</v>
      </c>
      <c r="C31" s="304">
        <v>124.9175</v>
      </c>
      <c r="D31" s="304">
        <v>122.595</v>
      </c>
      <c r="E31" s="304">
        <v>117.354166666667</v>
      </c>
      <c r="F31" s="304">
        <v>114.07250000000001</v>
      </c>
      <c r="G31" s="304">
        <v>105.07</v>
      </c>
      <c r="H31" s="304">
        <v>110.886666666667</v>
      </c>
      <c r="I31" s="304">
        <v>101.948333333333</v>
      </c>
      <c r="J31" s="304">
        <v>96.432500000000005</v>
      </c>
      <c r="K31" s="304">
        <v>93.360833333333304</v>
      </c>
      <c r="L31" s="304">
        <v>82.358333333333306</v>
      </c>
      <c r="M31" s="304">
        <v>70.561666666666696</v>
      </c>
      <c r="N31" s="304">
        <v>91.406666666666695</v>
      </c>
      <c r="O31" s="304">
        <v>99.689166666666793</v>
      </c>
      <c r="P31" s="304">
        <v>100</v>
      </c>
      <c r="Q31" s="304">
        <v>96.115833333333299</v>
      </c>
      <c r="R31" s="304">
        <v>90.378333333333302</v>
      </c>
      <c r="S31" s="304">
        <v>80.405000000000001</v>
      </c>
      <c r="T31" s="304">
        <v>87.792500000000004</v>
      </c>
      <c r="U31" s="303">
        <v>101.2</v>
      </c>
      <c r="V31" s="303">
        <v>99.1</v>
      </c>
      <c r="W31" s="303"/>
    </row>
    <row r="32" spans="1:25" ht="13.5" thickBot="1" x14ac:dyDescent="0.25"/>
    <row r="33" spans="1:6" ht="13.5" thickBot="1" x14ac:dyDescent="0.25">
      <c r="A33" s="258" t="s">
        <v>807</v>
      </c>
      <c r="F33" s="302">
        <f>[3]PRI!E51</f>
        <v>11.914999999999999</v>
      </c>
    </row>
  </sheetData>
  <hyperlinks>
    <hyperlink ref="A6" r:id="rId1" xr:uid="{6310E0D4-CC97-47D0-B3B3-1458F9DFD741}"/>
  </hyperlinks>
  <pageMargins left="0.75" right="0.75" top="1" bottom="1" header="0.5" footer="0.5"/>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Cover</vt:lpstr>
      <vt:lpstr>ITEMS</vt:lpstr>
      <vt:lpstr>H2_Production</vt:lpstr>
      <vt:lpstr>SUP_H2Liquefaction</vt:lpstr>
      <vt:lpstr>SUP_H2Delivery</vt:lpstr>
      <vt:lpstr>SUP_H2Storage</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ITEMS_UPS</vt:lpstr>
      <vt:lpstr>Deflator</vt:lpstr>
      <vt:lpstr>Evaluate</vt:lpstr>
      <vt:lpstr>H2.LHV.MJ_kg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Olex</dc:creator>
  <cp:lastModifiedBy>Bruno Merven</cp:lastModifiedBy>
  <dcterms:created xsi:type="dcterms:W3CDTF">2020-12-10T22:20:56Z</dcterms:created>
  <dcterms:modified xsi:type="dcterms:W3CDTF">2023-10-02T08:49:48Z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988966882228851</vt:r8>
  </property>
</Properties>
</file>