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9.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2F4281A4-6CB6-4AC5-95DE-7B60106395D8}" xr6:coauthVersionLast="47" xr6:coauthVersionMax="47" xr10:uidLastSave="{00000000-0000-0000-0000-000000000000}"/>
  <bookViews>
    <workbookView xWindow="28680" yWindow="-120" windowWidth="38640" windowHeight="21240" tabRatio="742" firstSheet="20" activeTab="26" xr2:uid="{EADC4856-49BE-4DD1-AE06-BDD1A06F7643}"/>
  </bookViews>
  <sheets>
    <sheet name="ChangeLog" sheetId="2" r:id="rId1"/>
    <sheet name="Index" sheetId="1" r:id="rId2"/>
    <sheet name="NameConv" sheetId="3" r:id="rId3"/>
    <sheet name="PP prod. and Capacity (OLD)" sheetId="34" r:id="rId4"/>
    <sheet name="2006 model details (OLD)" sheetId="33" r:id="rId5"/>
    <sheet name="TNAPP Energy Intensity (OLD) " sheetId="31" r:id="rId6"/>
    <sheet name="2006 PP model inputs (OLD)" sheetId="32" r:id="rId7"/>
    <sheet name="Paper production &amp; consumption " sheetId="26" r:id="rId8"/>
    <sheet name="Recovered and recycled" sheetId="27" r:id="rId9"/>
    <sheet name="Students report revision" sheetId="21" r:id="rId10"/>
    <sheet name="Carbon and energy data" sheetId="22" r:id="rId11"/>
    <sheet name="Mass balance" sheetId="28" r:id="rId12"/>
    <sheet name="Capital costs" sheetId="17" r:id="rId13"/>
    <sheet name="SATIM Data" sheetId="29" r:id="rId14"/>
    <sheet name="Methodology" sheetId="24" r:id="rId15"/>
    <sheet name="Methodology II" sheetId="38" r:id="rId16"/>
    <sheet name="RES" sheetId="12" r:id="rId17"/>
    <sheet name="PAMS levers" sheetId="16" r:id="rId18"/>
    <sheet name="CHP &amp; Boiler summary" sheetId="30" r:id="rId19"/>
    <sheet name="EB_Exist" sheetId="11" r:id="rId20"/>
    <sheet name="AFA" sheetId="15" r:id="rId21"/>
    <sheet name="REGIONS" sheetId="4" r:id="rId22"/>
    <sheet name="ITEMS_Comm_BASE_JM " sheetId="35" r:id="rId23"/>
    <sheet name="CommData_BASE_JM" sheetId="14" r:id="rId24"/>
    <sheet name="ITEM_Tech_BASE_JM " sheetId="36" r:id="rId25"/>
    <sheet name="ITEMS_P&amp;P_Constraints_JM" sheetId="8" r:id="rId26"/>
    <sheet name="Processes_JM " sheetId="37" r:id="rId27"/>
    <sheet name="REC &amp; DIS (cut outs)" sheetId="39" r:id="rId28"/>
    <sheet name="ProcData_Xtechs_JM" sheetId="18" r:id="rId29"/>
    <sheet name="ProcData_CHP_JM" sheetId="19" r:id="rId30"/>
    <sheet name="ITEMS_GRP_P&amp;P_JM" sheetId="7" r:id="rId31"/>
    <sheet name="ITEMS_Emiss_JM" sheetId="9" r:id="rId32"/>
    <sheet name="Links to constraints" sheetId="20" r:id="rId33"/>
    <sheet name="GPS Coordinates" sheetId="23" r:id="rId34"/>
    <sheet name="Deflator" sheetId="10" r:id="rId35"/>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4">#REF!</definedName>
    <definedName name="CPI" localSheetId="6">#REF!</definedName>
    <definedName name="CPI" localSheetId="18">#REF!</definedName>
    <definedName name="CPI" localSheetId="3">#REF!</definedName>
    <definedName name="CPI" localSheetId="5">#REF!</definedName>
    <definedName name="CPI">#REF!</definedName>
    <definedName name="CPI.1990" localSheetId="4">#REF!</definedName>
    <definedName name="CPI.1990" localSheetId="6">#REF!</definedName>
    <definedName name="CPI.1990" localSheetId="18">#REF!</definedName>
    <definedName name="CPI.1990" localSheetId="3">#REF!</definedName>
    <definedName name="CPI.1990" localSheetId="5">#REF!</definedName>
    <definedName name="CPI.1990">#REF!</definedName>
    <definedName name="CPI.1991" localSheetId="4">#REF!</definedName>
    <definedName name="CPI.1991" localSheetId="6">#REF!</definedName>
    <definedName name="CPI.1991" localSheetId="18">#REF!</definedName>
    <definedName name="CPI.1991" localSheetId="3">#REF!</definedName>
    <definedName name="CPI.1991" localSheetId="5">#REF!</definedName>
    <definedName name="CPI.1991">#REF!</definedName>
    <definedName name="CPI.1992" localSheetId="4">#REF!</definedName>
    <definedName name="CPI.1992" localSheetId="6">#REF!</definedName>
    <definedName name="CPI.1992" localSheetId="18">#REF!</definedName>
    <definedName name="CPI.1992" localSheetId="3">#REF!</definedName>
    <definedName name="CPI.1992" localSheetId="5">#REF!</definedName>
    <definedName name="CPI.1992">#REF!</definedName>
    <definedName name="CPI.1993" localSheetId="4">#REF!</definedName>
    <definedName name="CPI.1993" localSheetId="6">#REF!</definedName>
    <definedName name="CPI.1993" localSheetId="18">#REF!</definedName>
    <definedName name="CPI.1993" localSheetId="3">#REF!</definedName>
    <definedName name="CPI.1993" localSheetId="5">#REF!</definedName>
    <definedName name="CPI.1993">#REF!</definedName>
    <definedName name="CPI.1994" localSheetId="4">#REF!</definedName>
    <definedName name="CPI.1994" localSheetId="6">#REF!</definedName>
    <definedName name="CPI.1994" localSheetId="18">#REF!</definedName>
    <definedName name="CPI.1994" localSheetId="3">#REF!</definedName>
    <definedName name="CPI.1994" localSheetId="5">#REF!</definedName>
    <definedName name="CPI.1994">#REF!</definedName>
    <definedName name="CPI.1995" localSheetId="4">#REF!</definedName>
    <definedName name="CPI.1995" localSheetId="6">#REF!</definedName>
    <definedName name="CPI.1995" localSheetId="18">#REF!</definedName>
    <definedName name="CPI.1995" localSheetId="3">#REF!</definedName>
    <definedName name="CPI.1995" localSheetId="5">#REF!</definedName>
    <definedName name="CPI.1995">#REF!</definedName>
    <definedName name="CPI.1996" localSheetId="4">#REF!</definedName>
    <definedName name="CPI.1996" localSheetId="6">#REF!</definedName>
    <definedName name="CPI.1996" localSheetId="18">#REF!</definedName>
    <definedName name="CPI.1996" localSheetId="3">#REF!</definedName>
    <definedName name="CPI.1996" localSheetId="5">#REF!</definedName>
    <definedName name="CPI.1996">#REF!</definedName>
    <definedName name="CPI.1997" localSheetId="4">#REF!</definedName>
    <definedName name="CPI.1997" localSheetId="6">#REF!</definedName>
    <definedName name="CPI.1997" localSheetId="18">#REF!</definedName>
    <definedName name="CPI.1997" localSheetId="3">#REF!</definedName>
    <definedName name="CPI.1997" localSheetId="5">#REF!</definedName>
    <definedName name="CPI.1997">#REF!</definedName>
    <definedName name="CPI.1998" localSheetId="4">#REF!</definedName>
    <definedName name="CPI.1998" localSheetId="6">#REF!</definedName>
    <definedName name="CPI.1998" localSheetId="18">#REF!</definedName>
    <definedName name="CPI.1998" localSheetId="3">#REF!</definedName>
    <definedName name="CPI.1998" localSheetId="5">#REF!</definedName>
    <definedName name="CPI.1998">#REF!</definedName>
    <definedName name="CPI.1999" localSheetId="4">#REF!</definedName>
    <definedName name="CPI.1999" localSheetId="6">#REF!</definedName>
    <definedName name="CPI.1999" localSheetId="18">#REF!</definedName>
    <definedName name="CPI.1999" localSheetId="3">#REF!</definedName>
    <definedName name="CPI.1999" localSheetId="5">#REF!</definedName>
    <definedName name="CPI.1999">#REF!</definedName>
    <definedName name="CPI.2000" localSheetId="4">#REF!</definedName>
    <definedName name="CPI.2000" localSheetId="6">#REF!</definedName>
    <definedName name="CPI.2000" localSheetId="18">#REF!</definedName>
    <definedName name="CPI.2000" localSheetId="3">#REF!</definedName>
    <definedName name="CPI.2000" localSheetId="5">#REF!</definedName>
    <definedName name="CPI.2000">#REF!</definedName>
    <definedName name="CPI.2001" localSheetId="4">#REF!</definedName>
    <definedName name="CPI.2001" localSheetId="6">#REF!</definedName>
    <definedName name="CPI.2001" localSheetId="18">#REF!</definedName>
    <definedName name="CPI.2001" localSheetId="3">#REF!</definedName>
    <definedName name="CPI.2001" localSheetId="5">#REF!</definedName>
    <definedName name="CPI.2001">#REF!</definedName>
    <definedName name="CPI.2002" localSheetId="4">#REF!</definedName>
    <definedName name="CPI.2002" localSheetId="6">#REF!</definedName>
    <definedName name="CPI.2002" localSheetId="18">#REF!</definedName>
    <definedName name="CPI.2002" localSheetId="3">#REF!</definedName>
    <definedName name="CPI.2002" localSheetId="5">#REF!</definedName>
    <definedName name="CPI.2002">#REF!</definedName>
    <definedName name="CPI.2003" localSheetId="4">#REF!</definedName>
    <definedName name="CPI.2003" localSheetId="6">#REF!</definedName>
    <definedName name="CPI.2003" localSheetId="18">#REF!</definedName>
    <definedName name="CPI.2003" localSheetId="3">#REF!</definedName>
    <definedName name="CPI.2003" localSheetId="5">#REF!</definedName>
    <definedName name="CPI.2003">#REF!</definedName>
    <definedName name="CPI.2004" localSheetId="4">#REF!</definedName>
    <definedName name="CPI.2004" localSheetId="6">#REF!</definedName>
    <definedName name="CPI.2004" localSheetId="18">#REF!</definedName>
    <definedName name="CPI.2004" localSheetId="3">#REF!</definedName>
    <definedName name="CPI.2004" localSheetId="5">#REF!</definedName>
    <definedName name="CPI.2004">#REF!</definedName>
    <definedName name="CPI.2005" localSheetId="4">#REF!</definedName>
    <definedName name="CPI.2005" localSheetId="6">#REF!</definedName>
    <definedName name="CPI.2005" localSheetId="18">#REF!</definedName>
    <definedName name="CPI.2005" localSheetId="3">#REF!</definedName>
    <definedName name="CPI.2005" localSheetId="5">#REF!</definedName>
    <definedName name="CPI.2005">#REF!</definedName>
    <definedName name="CPI.2006" localSheetId="4">#REF!</definedName>
    <definedName name="CPI.2006" localSheetId="6">#REF!</definedName>
    <definedName name="CPI.2006" localSheetId="18">#REF!</definedName>
    <definedName name="CPI.2006" localSheetId="3">#REF!</definedName>
    <definedName name="CPI.2006" localSheetId="5">#REF!</definedName>
    <definedName name="CPI.2006">#REF!</definedName>
    <definedName name="CPI.2007" localSheetId="4">#REF!</definedName>
    <definedName name="CPI.2007" localSheetId="6">#REF!</definedName>
    <definedName name="CPI.2007" localSheetId="18">#REF!</definedName>
    <definedName name="CPI.2007" localSheetId="3">#REF!</definedName>
    <definedName name="CPI.2007" localSheetId="5">#REF!</definedName>
    <definedName name="CPI.2007">#REF!</definedName>
    <definedName name="CPI.2008" localSheetId="4">#REF!</definedName>
    <definedName name="CPI.2008" localSheetId="6">#REF!</definedName>
    <definedName name="CPI.2008" localSheetId="18">#REF!</definedName>
    <definedName name="CPI.2008" localSheetId="3">#REF!</definedName>
    <definedName name="CPI.2008" localSheetId="5">#REF!</definedName>
    <definedName name="CPI.2008">#REF!</definedName>
    <definedName name="CPI.2009" localSheetId="4">#REF!</definedName>
    <definedName name="CPI.2009" localSheetId="6">#REF!</definedName>
    <definedName name="CPI.2009" localSheetId="18">#REF!</definedName>
    <definedName name="CPI.2009" localSheetId="3">#REF!</definedName>
    <definedName name="CPI.2009" localSheetId="5">#REF!</definedName>
    <definedName name="CPI.2009">#REF!</definedName>
    <definedName name="CPI.2010" localSheetId="4">#REF!</definedName>
    <definedName name="CPI.2010" localSheetId="6">#REF!</definedName>
    <definedName name="CPI.2010" localSheetId="18">#REF!</definedName>
    <definedName name="CPI.2010" localSheetId="3">#REF!</definedName>
    <definedName name="CPI.2010" localSheetId="5">#REF!</definedName>
    <definedName name="CPI.2010">#REF!</definedName>
    <definedName name="CPI.2011" localSheetId="4">#REF!</definedName>
    <definedName name="CPI.2011" localSheetId="6">#REF!</definedName>
    <definedName name="CPI.2011" localSheetId="18">#REF!</definedName>
    <definedName name="CPI.2011" localSheetId="3">#REF!</definedName>
    <definedName name="CPI.2011" localSheetId="5">#REF!</definedName>
    <definedName name="CPI.2011">#REF!</definedName>
    <definedName name="Deflator">#REF!</definedName>
    <definedName name="epp_start" localSheetId="4">#REF!</definedName>
    <definedName name="epp_start" localSheetId="6">#REF!</definedName>
    <definedName name="epp_start" localSheetId="18">#REF!</definedName>
    <definedName name="epp_start" localSheetId="3">#REF!</definedName>
    <definedName name="epp_start" localSheetId="5">#REF!</definedName>
    <definedName name="epp_start">#REF!</definedName>
    <definedName name="eps">#REF!</definedName>
    <definedName name="etech_data" localSheetId="4">#REF!</definedName>
    <definedName name="etech_data" localSheetId="6">#REF!</definedName>
    <definedName name="etech_data" localSheetId="18">#REF!</definedName>
    <definedName name="etech_data" localSheetId="3">#REF!</definedName>
    <definedName name="etech_data" localSheetId="5">#REF!</definedName>
    <definedName name="etech_data">#REF!</definedName>
    <definedName name="etech_parameters" localSheetId="4">#REF!</definedName>
    <definedName name="etech_parameters" localSheetId="6">#REF!</definedName>
    <definedName name="etech_parameters" localSheetId="18">#REF!</definedName>
    <definedName name="etech_parameters" localSheetId="3">#REF!</definedName>
    <definedName name="etech_parameters" localSheetId="5">#REF!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4">#REF!</definedName>
    <definedName name="fuel_types" localSheetId="6">#REF!</definedName>
    <definedName name="fuel_types" localSheetId="18">#REF!</definedName>
    <definedName name="fuel_types" localSheetId="3">#REF!</definedName>
    <definedName name="fuel_types" localSheetId="5">#REF!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4">#REF!</definedName>
    <definedName name="newtech_data" localSheetId="6">#REF!</definedName>
    <definedName name="newtech_data" localSheetId="18">#REF!</definedName>
    <definedName name="newtech_data" localSheetId="3">#REF!</definedName>
    <definedName name="newtech_data" localSheetId="5">#REF!</definedName>
    <definedName name="newtech_data">#REF!</definedName>
    <definedName name="newtech_parameters" localSheetId="4">#REF!</definedName>
    <definedName name="newtech_parameters" localSheetId="6">#REF!</definedName>
    <definedName name="newtech_parameters" localSheetId="18">#REF!</definedName>
    <definedName name="newtech_parameters" localSheetId="3">#REF!</definedName>
    <definedName name="newtech_parameters" localSheetId="5">#REF!</definedName>
    <definedName name="newtech_parameters">#REF!</definedName>
    <definedName name="Newtech_Start" localSheetId="4">#REF!</definedName>
    <definedName name="Newtech_Start" localSheetId="6">#REF!</definedName>
    <definedName name="Newtech_Start" localSheetId="18">#REF!</definedName>
    <definedName name="Newtech_Start" localSheetId="3">#REF!</definedName>
    <definedName name="Newtech_Start" localSheetId="5">#REF!</definedName>
    <definedName name="Newtech_Start">#REF!</definedName>
    <definedName name="NMM_EE_switch" localSheetId="4">#REF!</definedName>
    <definedName name="NMM_EE_switch" localSheetId="6">#REF!</definedName>
    <definedName name="NMM_EE_switch" localSheetId="18">#REF!</definedName>
    <definedName name="NMM_EE_switch" localSheetId="3">#REF!</definedName>
    <definedName name="NMM_EE_switch" localSheetId="5">#REF!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4">#REF!</definedName>
    <definedName name="SASApp_GDPDATA_DISCREPANCY_TABLE" localSheetId="6">#REF!</definedName>
    <definedName name="SASApp_GDPDATA_DISCREPANCY_TABLE" localSheetId="18">#REF!</definedName>
    <definedName name="SASApp_GDPDATA_DISCREPANCY_TABLE" localSheetId="3">#REF!</definedName>
    <definedName name="SASApp_GDPDATA_DISCREPANCY_TABLE" localSheetId="5">#REF!</definedName>
    <definedName name="SASApp_GDPDATA_DISCREPANCY_TABLE">#REF!</definedName>
    <definedName name="SASApp_GDPDATA_SUPPLY_TABLE_FIRST" localSheetId="4">#REF!</definedName>
    <definedName name="SASApp_GDPDATA_SUPPLY_TABLE_FIRST" localSheetId="6">#REF!</definedName>
    <definedName name="SASApp_GDPDATA_SUPPLY_TABLE_FIRST" localSheetId="18">#REF!</definedName>
    <definedName name="SASApp_GDPDATA_SUPPLY_TABLE_FIRST" localSheetId="3">#REF!</definedName>
    <definedName name="SASApp_GDPDATA_SUPPLY_TABLE_FIRST" localSheetId="5">#REF!</definedName>
    <definedName name="SASApp_GDPDATA_SUPPLY_TABLE_FIRST">#REF!</definedName>
    <definedName name="SASApp_GDPDATA_SUPPLY_TABLE_SECOND" localSheetId="4">#REF!</definedName>
    <definedName name="SASApp_GDPDATA_SUPPLY_TABLE_SECOND" localSheetId="6">#REF!</definedName>
    <definedName name="SASApp_GDPDATA_SUPPLY_TABLE_SECOND" localSheetId="18">#REF!</definedName>
    <definedName name="SASApp_GDPDATA_SUPPLY_TABLE_SECOND" localSheetId="3">#REF!</definedName>
    <definedName name="SASApp_GDPDATA_SUPPLY_TABLE_SECOND" localSheetId="5">#REF!</definedName>
    <definedName name="SASApp_GDPDATA_SUPPLY_TABLE_SECOND">#REF!</definedName>
    <definedName name="SASApp_GDPDATA_USE_TABLE_FIRST" localSheetId="4">#REF!</definedName>
    <definedName name="SASApp_GDPDATA_USE_TABLE_FIRST" localSheetId="6">#REF!</definedName>
    <definedName name="SASApp_GDPDATA_USE_TABLE_FIRST" localSheetId="18">#REF!</definedName>
    <definedName name="SASApp_GDPDATA_USE_TABLE_FIRST" localSheetId="3">#REF!</definedName>
    <definedName name="SASApp_GDPDATA_USE_TABLE_FIRST" localSheetId="5">#REF!</definedName>
    <definedName name="SASApp_GDPDATA_USE_TABLE_FIRST">#REF!</definedName>
    <definedName name="SASApp_GDPDATA_USE_TABLE_SECOND" localSheetId="4">#REF!</definedName>
    <definedName name="SASApp_GDPDATA_USE_TABLE_SECOND" localSheetId="6">#REF!</definedName>
    <definedName name="SASApp_GDPDATA_USE_TABLE_SECOND" localSheetId="18">#REF!</definedName>
    <definedName name="SASApp_GDPDATA_USE_TABLE_SECOND" localSheetId="3">#REF!</definedName>
    <definedName name="SASApp_GDPDATA_USE_TABLE_SECOND" localSheetId="5">#REF!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61" i="37" l="1"/>
  <c r="AS50" i="37"/>
  <c r="AR66" i="37"/>
  <c r="AN8" i="11"/>
  <c r="AN11" i="11"/>
  <c r="AN9" i="11"/>
  <c r="O41" i="37"/>
  <c r="O68" i="37"/>
  <c r="P68" i="37"/>
  <c r="F12" i="17"/>
  <c r="E12" i="17"/>
  <c r="AL88" i="17"/>
  <c r="AL89" i="17"/>
  <c r="AL90" i="17"/>
  <c r="AL91" i="17"/>
  <c r="AL86" i="17"/>
  <c r="B41" i="36"/>
  <c r="C41" i="36"/>
  <c r="AI55" i="17"/>
  <c r="AI56" i="17"/>
  <c r="AI57" i="17"/>
  <c r="AI58" i="17"/>
  <c r="AI59" i="17"/>
  <c r="AI54" i="17"/>
  <c r="V5" i="17"/>
  <c r="Q3" i="17"/>
  <c r="AD61" i="17"/>
  <c r="D47" i="37"/>
  <c r="D48" i="37"/>
  <c r="D49" i="37"/>
  <c r="D50" i="37"/>
  <c r="E51" i="37"/>
  <c r="D52" i="37"/>
  <c r="D53" i="37"/>
  <c r="D54" i="37"/>
  <c r="D55" i="37"/>
  <c r="E57" i="37"/>
  <c r="J76" i="26"/>
  <c r="O39" i="37"/>
  <c r="E26" i="17"/>
  <c r="E25" i="17"/>
  <c r="E24" i="17"/>
  <c r="E23" i="17"/>
  <c r="E22" i="17"/>
  <c r="O3" i="17"/>
  <c r="W65" i="17"/>
  <c r="W64" i="17"/>
  <c r="W63" i="17"/>
  <c r="W62" i="17"/>
  <c r="W61" i="17"/>
  <c r="AL82" i="17"/>
  <c r="AL83" i="17"/>
  <c r="AL84" i="17"/>
  <c r="AL85" i="17"/>
  <c r="AL81" i="17"/>
  <c r="C24" i="17"/>
  <c r="E48" i="26"/>
  <c r="E5" i="17" l="1"/>
  <c r="E11" i="17"/>
  <c r="X59" i="17"/>
  <c r="Y59" i="17" s="1"/>
  <c r="X58" i="17"/>
  <c r="X57" i="17"/>
  <c r="X56" i="17"/>
  <c r="X55" i="17"/>
  <c r="Y55" i="17" s="1"/>
  <c r="X54" i="17"/>
  <c r="Y54" i="17" s="1"/>
  <c r="Y56" i="17"/>
  <c r="E15" i="17" s="1"/>
  <c r="Y57" i="17"/>
  <c r="E21" i="17" s="1"/>
  <c r="Y58" i="17"/>
  <c r="U7" i="17"/>
  <c r="U5" i="17"/>
  <c r="K268" i="38"/>
  <c r="K267" i="38"/>
  <c r="K266" i="38"/>
  <c r="K265" i="38"/>
  <c r="O265" i="38" s="1"/>
  <c r="K264" i="38"/>
  <c r="K263" i="38"/>
  <c r="K262" i="38"/>
  <c r="O262" i="38" s="1"/>
  <c r="K261" i="38"/>
  <c r="K260" i="38"/>
  <c r="O260" i="38" s="1"/>
  <c r="K259" i="38"/>
  <c r="O259" i="38" s="1"/>
  <c r="K258" i="38"/>
  <c r="O258" i="38" s="1"/>
  <c r="K257" i="38"/>
  <c r="O257" i="38" s="1"/>
  <c r="K256" i="38"/>
  <c r="O256" i="38" s="1"/>
  <c r="K255" i="38"/>
  <c r="O255" i="38" s="1"/>
  <c r="K254" i="38"/>
  <c r="O254" i="38" s="1"/>
  <c r="K253" i="38"/>
  <c r="O253" i="38" s="1"/>
  <c r="K252" i="38"/>
  <c r="O252" i="38" s="1"/>
  <c r="K251" i="38"/>
  <c r="O251" i="38" s="1"/>
  <c r="K250" i="38"/>
  <c r="O250" i="38" s="1"/>
  <c r="K249" i="38"/>
  <c r="O249" i="38" s="1"/>
  <c r="K248" i="38"/>
  <c r="O248" i="38" s="1"/>
  <c r="K247" i="38"/>
  <c r="O247" i="38" s="1"/>
  <c r="K246" i="38"/>
  <c r="O246" i="38" s="1"/>
  <c r="K245" i="38"/>
  <c r="O245" i="38" s="1"/>
  <c r="O244" i="38"/>
  <c r="K244" i="38"/>
  <c r="O243" i="38"/>
  <c r="K243" i="38"/>
  <c r="O242" i="38"/>
  <c r="K242" i="38"/>
  <c r="O241" i="38"/>
  <c r="K241" i="38"/>
  <c r="O240" i="38"/>
  <c r="K240" i="38"/>
  <c r="O239" i="38"/>
  <c r="K239" i="38"/>
  <c r="O238" i="38"/>
  <c r="K238" i="38"/>
  <c r="K237" i="38"/>
  <c r="O237" i="38" s="1"/>
  <c r="K236" i="38"/>
  <c r="O236" i="38" s="1"/>
  <c r="K235" i="38"/>
  <c r="K234" i="38"/>
  <c r="K233" i="38"/>
  <c r="K232" i="38"/>
  <c r="K231" i="38"/>
  <c r="K230" i="38"/>
  <c r="K229" i="38"/>
  <c r="K228" i="38"/>
  <c r="K227" i="38"/>
  <c r="O227" i="38" s="1"/>
  <c r="K226" i="38"/>
  <c r="O226" i="38" s="1"/>
  <c r="K225" i="38"/>
  <c r="K224" i="38"/>
  <c r="K223" i="38"/>
  <c r="O223" i="38" s="1"/>
  <c r="K222" i="38"/>
  <c r="K221" i="38"/>
  <c r="K220" i="38"/>
  <c r="K219" i="38"/>
  <c r="G204" i="38"/>
  <c r="E210" i="38" s="1"/>
  <c r="C204" i="38"/>
  <c r="N205" i="38" s="1"/>
  <c r="D203" i="38"/>
  <c r="F211" i="38" s="1"/>
  <c r="C203" i="38"/>
  <c r="D211" i="38" s="1"/>
  <c r="H211" i="38" s="1"/>
  <c r="G202" i="38"/>
  <c r="F202" i="38"/>
  <c r="E202" i="38"/>
  <c r="D202" i="38"/>
  <c r="T188" i="38"/>
  <c r="T189" i="38" s="1"/>
  <c r="E183" i="38"/>
  <c r="D183" i="38"/>
  <c r="E182" i="38"/>
  <c r="D182" i="38"/>
  <c r="E181" i="38"/>
  <c r="D181" i="38"/>
  <c r="E180" i="38"/>
  <c r="D180" i="38"/>
  <c r="E179" i="38"/>
  <c r="D179" i="38"/>
  <c r="E178" i="38"/>
  <c r="D178" i="38"/>
  <c r="E177" i="38"/>
  <c r="D177" i="38"/>
  <c r="E176" i="38"/>
  <c r="D176" i="38"/>
  <c r="T175" i="38"/>
  <c r="E171" i="38"/>
  <c r="D171" i="38"/>
  <c r="E170" i="38"/>
  <c r="D170" i="38"/>
  <c r="E169" i="38"/>
  <c r="D169" i="38"/>
  <c r="E168" i="38"/>
  <c r="D168" i="38"/>
  <c r="E167" i="38"/>
  <c r="D167" i="38"/>
  <c r="E166" i="38"/>
  <c r="D166" i="38"/>
  <c r="E165" i="38"/>
  <c r="D165" i="38"/>
  <c r="T164" i="38"/>
  <c r="E158" i="38"/>
  <c r="D158" i="38"/>
  <c r="E157" i="38"/>
  <c r="L157" i="38" s="1"/>
  <c r="D157" i="38"/>
  <c r="E156" i="38"/>
  <c r="D156" i="38"/>
  <c r="F154" i="38" s="1"/>
  <c r="E155" i="38"/>
  <c r="D155" i="38"/>
  <c r="E154" i="38"/>
  <c r="D154" i="38"/>
  <c r="E153" i="38"/>
  <c r="D153" i="38"/>
  <c r="E146" i="38"/>
  <c r="D146" i="38"/>
  <c r="E145" i="38"/>
  <c r="L145" i="38" s="1"/>
  <c r="D145" i="38"/>
  <c r="E144" i="38"/>
  <c r="D144" i="38"/>
  <c r="E143" i="38"/>
  <c r="D143" i="38"/>
  <c r="E142" i="38"/>
  <c r="D142" i="38"/>
  <c r="V138" i="38"/>
  <c r="M264" i="38" s="1"/>
  <c r="O264" i="38" s="1"/>
  <c r="U137" i="38"/>
  <c r="T137" i="38"/>
  <c r="M263" i="38" s="1"/>
  <c r="O263" i="38" s="1"/>
  <c r="H125" i="38"/>
  <c r="G125" i="38"/>
  <c r="F125" i="38"/>
  <c r="E125" i="38"/>
  <c r="D125" i="38"/>
  <c r="Q118" i="38"/>
  <c r="Q117" i="38"/>
  <c r="P116" i="38"/>
  <c r="Q115" i="38"/>
  <c r="Q114" i="38"/>
  <c r="T108" i="38"/>
  <c r="W139" i="38" s="1"/>
  <c r="M267" i="38" s="1"/>
  <c r="O267" i="38" s="1"/>
  <c r="U107" i="38"/>
  <c r="T107" i="38"/>
  <c r="T184" i="38" s="1"/>
  <c r="T185" i="38" s="1"/>
  <c r="T106" i="38"/>
  <c r="U105" i="38"/>
  <c r="T105" i="38"/>
  <c r="S136" i="38" s="1"/>
  <c r="M266" i="38" s="1"/>
  <c r="O266" i="38" s="1"/>
  <c r="H100" i="38"/>
  <c r="H118" i="38" s="1"/>
  <c r="G100" i="38"/>
  <c r="G118" i="38" s="1"/>
  <c r="F100" i="38"/>
  <c r="F118" i="38" s="1"/>
  <c r="E100" i="38"/>
  <c r="E118" i="38" s="1"/>
  <c r="H99" i="38"/>
  <c r="H117" i="38" s="1"/>
  <c r="G99" i="38"/>
  <c r="G117" i="38" s="1"/>
  <c r="F99" i="38"/>
  <c r="F117" i="38" s="1"/>
  <c r="E99" i="38"/>
  <c r="E117" i="38" s="1"/>
  <c r="H98" i="38"/>
  <c r="H116" i="38" s="1"/>
  <c r="G98" i="38"/>
  <c r="G116" i="38" s="1"/>
  <c r="F98" i="38"/>
  <c r="F116" i="38" s="1"/>
  <c r="E98" i="38"/>
  <c r="E116" i="38" s="1"/>
  <c r="H97" i="38"/>
  <c r="H115" i="38" s="1"/>
  <c r="G97" i="38"/>
  <c r="G115" i="38" s="1"/>
  <c r="F97" i="38"/>
  <c r="F115" i="38" s="1"/>
  <c r="E97" i="38"/>
  <c r="E115" i="38" s="1"/>
  <c r="H96" i="38"/>
  <c r="H114" i="38" s="1"/>
  <c r="G96" i="38"/>
  <c r="G114" i="38" s="1"/>
  <c r="F96" i="38"/>
  <c r="F114" i="38" s="1"/>
  <c r="E96" i="38"/>
  <c r="E114" i="38" s="1"/>
  <c r="P91" i="38"/>
  <c r="Q87" i="38"/>
  <c r="Q85" i="38"/>
  <c r="R75" i="38"/>
  <c r="J73" i="38" s="1"/>
  <c r="R74" i="38"/>
  <c r="D73" i="38" s="1"/>
  <c r="J51" i="38"/>
  <c r="J70" i="38" s="1"/>
  <c r="I51" i="38"/>
  <c r="I70" i="38" s="1"/>
  <c r="I107" i="38" s="1"/>
  <c r="I125" i="38" s="1"/>
  <c r="H51" i="38"/>
  <c r="H70" i="38" s="1"/>
  <c r="G51" i="38"/>
  <c r="G70" i="38" s="1"/>
  <c r="F51" i="38"/>
  <c r="F70" i="38" s="1"/>
  <c r="E51" i="38"/>
  <c r="E70" i="38" s="1"/>
  <c r="D51" i="38"/>
  <c r="D70" i="38" s="1"/>
  <c r="J50" i="38"/>
  <c r="J69" i="38" s="1"/>
  <c r="I50" i="38"/>
  <c r="I69" i="38" s="1"/>
  <c r="H50" i="38"/>
  <c r="H69" i="38" s="1"/>
  <c r="G50" i="38"/>
  <c r="G69" i="38" s="1"/>
  <c r="F50" i="38"/>
  <c r="F69" i="38" s="1"/>
  <c r="E50" i="38"/>
  <c r="E69" i="38" s="1"/>
  <c r="D50" i="38"/>
  <c r="D69" i="38" s="1"/>
  <c r="J49" i="38"/>
  <c r="J68" i="38" s="1"/>
  <c r="J105" i="38" s="1"/>
  <c r="J123" i="38" s="1"/>
  <c r="I49" i="38"/>
  <c r="I68" i="38" s="1"/>
  <c r="I105" i="38" s="1"/>
  <c r="I123" i="38" s="1"/>
  <c r="H49" i="38"/>
  <c r="H68" i="38" s="1"/>
  <c r="H105" i="38" s="1"/>
  <c r="H123" i="38" s="1"/>
  <c r="G49" i="38"/>
  <c r="G68" i="38" s="1"/>
  <c r="G105" i="38" s="1"/>
  <c r="G123" i="38" s="1"/>
  <c r="F49" i="38"/>
  <c r="F68" i="38" s="1"/>
  <c r="F105" i="38" s="1"/>
  <c r="F123" i="38" s="1"/>
  <c r="E49" i="38"/>
  <c r="E68" i="38" s="1"/>
  <c r="E105" i="38" s="1"/>
  <c r="E123" i="38" s="1"/>
  <c r="D49" i="38"/>
  <c r="D68" i="38" s="1"/>
  <c r="D105" i="38" s="1"/>
  <c r="D123" i="38" s="1"/>
  <c r="J48" i="38"/>
  <c r="J67" i="38" s="1"/>
  <c r="J104" i="38" s="1"/>
  <c r="J122" i="38" s="1"/>
  <c r="I48" i="38"/>
  <c r="I67" i="38" s="1"/>
  <c r="I104" i="38" s="1"/>
  <c r="I122" i="38" s="1"/>
  <c r="H48" i="38"/>
  <c r="H67" i="38" s="1"/>
  <c r="H104" i="38" s="1"/>
  <c r="H122" i="38" s="1"/>
  <c r="G48" i="38"/>
  <c r="G67" i="38" s="1"/>
  <c r="G104" i="38" s="1"/>
  <c r="G122" i="38" s="1"/>
  <c r="F48" i="38"/>
  <c r="F67" i="38" s="1"/>
  <c r="F104" i="38" s="1"/>
  <c r="F122" i="38" s="1"/>
  <c r="E48" i="38"/>
  <c r="E67" i="38" s="1"/>
  <c r="E104" i="38" s="1"/>
  <c r="E122" i="38" s="1"/>
  <c r="D48" i="38"/>
  <c r="D67" i="38" s="1"/>
  <c r="D104" i="38" s="1"/>
  <c r="D122" i="38" s="1"/>
  <c r="J47" i="38"/>
  <c r="J66" i="38" s="1"/>
  <c r="J103" i="38" s="1"/>
  <c r="J121" i="38" s="1"/>
  <c r="I47" i="38"/>
  <c r="I66" i="38" s="1"/>
  <c r="I103" i="38" s="1"/>
  <c r="I121" i="38" s="1"/>
  <c r="H47" i="38"/>
  <c r="H66" i="38" s="1"/>
  <c r="H103" i="38" s="1"/>
  <c r="H121" i="38" s="1"/>
  <c r="G47" i="38"/>
  <c r="G66" i="38" s="1"/>
  <c r="G103" i="38" s="1"/>
  <c r="G121" i="38" s="1"/>
  <c r="F47" i="38"/>
  <c r="F66" i="38" s="1"/>
  <c r="F103" i="38" s="1"/>
  <c r="F121" i="38" s="1"/>
  <c r="E47" i="38"/>
  <c r="E66" i="38" s="1"/>
  <c r="E103" i="38" s="1"/>
  <c r="E121" i="38" s="1"/>
  <c r="D47" i="38"/>
  <c r="D66" i="38" s="1"/>
  <c r="D103" i="38" s="1"/>
  <c r="D121" i="38" s="1"/>
  <c r="J46" i="38"/>
  <c r="J65" i="38" s="1"/>
  <c r="J102" i="38" s="1"/>
  <c r="J120" i="38" s="1"/>
  <c r="I46" i="38"/>
  <c r="I65" i="38" s="1"/>
  <c r="H46" i="38"/>
  <c r="H65" i="38" s="1"/>
  <c r="H102" i="38" s="1"/>
  <c r="H120" i="38" s="1"/>
  <c r="G46" i="38"/>
  <c r="G65" i="38" s="1"/>
  <c r="G102" i="38" s="1"/>
  <c r="G120" i="38" s="1"/>
  <c r="F46" i="38"/>
  <c r="F65" i="38" s="1"/>
  <c r="F102" i="38" s="1"/>
  <c r="F120" i="38" s="1"/>
  <c r="E46" i="38"/>
  <c r="E65" i="38" s="1"/>
  <c r="E102" i="38" s="1"/>
  <c r="E120" i="38" s="1"/>
  <c r="D46" i="38"/>
  <c r="D65" i="38" s="1"/>
  <c r="J45" i="38"/>
  <c r="I45" i="38"/>
  <c r="I64" i="38" s="1"/>
  <c r="I101" i="38" s="1"/>
  <c r="H45" i="38"/>
  <c r="H64" i="38" s="1"/>
  <c r="G45" i="38"/>
  <c r="F45" i="38"/>
  <c r="F64" i="38" s="1"/>
  <c r="E45" i="38"/>
  <c r="D45" i="38"/>
  <c r="D64" i="38" s="1"/>
  <c r="D101" i="38" s="1"/>
  <c r="G22" i="38"/>
  <c r="F22" i="38"/>
  <c r="E22" i="38"/>
  <c r="D22" i="38"/>
  <c r="G21" i="38"/>
  <c r="F21" i="38"/>
  <c r="E21" i="38"/>
  <c r="D21" i="38"/>
  <c r="G20" i="38"/>
  <c r="F20" i="38"/>
  <c r="E20" i="38"/>
  <c r="D20" i="38"/>
  <c r="G19" i="38"/>
  <c r="F19" i="38"/>
  <c r="E19" i="38"/>
  <c r="D19" i="38"/>
  <c r="G18" i="38"/>
  <c r="F18" i="38"/>
  <c r="E18" i="38"/>
  <c r="D18" i="38"/>
  <c r="G12" i="38"/>
  <c r="D12" i="38"/>
  <c r="D11" i="38"/>
  <c r="G10" i="38"/>
  <c r="L158" i="38" s="1"/>
  <c r="D10" i="38"/>
  <c r="D9" i="38"/>
  <c r="D8" i="38"/>
  <c r="J84" i="26"/>
  <c r="J68" i="26"/>
  <c r="J108" i="26"/>
  <c r="J109" i="26"/>
  <c r="J110" i="26"/>
  <c r="J111" i="26"/>
  <c r="J96" i="26"/>
  <c r="J97" i="26"/>
  <c r="J98" i="26"/>
  <c r="AC30" i="11"/>
  <c r="AB30" i="11"/>
  <c r="AA30" i="11"/>
  <c r="Z30" i="11"/>
  <c r="T225" i="30"/>
  <c r="S225" i="30"/>
  <c r="R225" i="30"/>
  <c r="Q225" i="30"/>
  <c r="P225" i="30"/>
  <c r="U239" i="30"/>
  <c r="J29" i="30"/>
  <c r="P10" i="30"/>
  <c r="Q10" i="30"/>
  <c r="Q27" i="30" s="1"/>
  <c r="R30" i="30"/>
  <c r="F67" i="24"/>
  <c r="F71" i="24"/>
  <c r="AB24" i="11"/>
  <c r="Y9" i="11"/>
  <c r="AC29" i="11"/>
  <c r="AB29" i="11"/>
  <c r="AA29" i="11"/>
  <c r="Z29" i="11"/>
  <c r="Y8" i="11"/>
  <c r="P114" i="24"/>
  <c r="Y29" i="11"/>
  <c r="Q114" i="24"/>
  <c r="Q115" i="24"/>
  <c r="Q116" i="24"/>
  <c r="Q117" i="24"/>
  <c r="Q118" i="24"/>
  <c r="P115" i="24"/>
  <c r="P116" i="24"/>
  <c r="P117" i="24"/>
  <c r="P118" i="24"/>
  <c r="K114" i="24"/>
  <c r="C66" i="31"/>
  <c r="D142" i="24"/>
  <c r="K4" i="11"/>
  <c r="AC28" i="11"/>
  <c r="S316" i="30"/>
  <c r="S315" i="30"/>
  <c r="B55" i="22"/>
  <c r="B56" i="22"/>
  <c r="B54" i="22"/>
  <c r="G8" i="24"/>
  <c r="F14" i="27"/>
  <c r="F13" i="27"/>
  <c r="F12" i="27"/>
  <c r="D17" i="37"/>
  <c r="AF5" i="37" s="1"/>
  <c r="AP5" i="37" s="1"/>
  <c r="D22" i="37"/>
  <c r="D28" i="37"/>
  <c r="D33" i="37"/>
  <c r="D66" i="37"/>
  <c r="D61" i="37"/>
  <c r="E9" i="18"/>
  <c r="C11" i="35"/>
  <c r="D153" i="24"/>
  <c r="G142" i="26"/>
  <c r="G141" i="26"/>
  <c r="G144" i="26"/>
  <c r="G143" i="26"/>
  <c r="J85" i="26"/>
  <c r="J69" i="26"/>
  <c r="J86" i="26"/>
  <c r="J70" i="26"/>
  <c r="J71" i="26"/>
  <c r="C54" i="22" s="1"/>
  <c r="E54" i="22" s="1"/>
  <c r="J99" i="26"/>
  <c r="J87" i="26"/>
  <c r="J88" i="26"/>
  <c r="J100" i="26"/>
  <c r="J112" i="26"/>
  <c r="J72" i="26"/>
  <c r="C55" i="22" s="1"/>
  <c r="J113" i="26"/>
  <c r="J101" i="26"/>
  <c r="J89" i="26"/>
  <c r="J73" i="26"/>
  <c r="C56" i="22" s="1"/>
  <c r="E56" i="22" s="1"/>
  <c r="D36" i="37"/>
  <c r="D70" i="37" s="1"/>
  <c r="V4" i="11"/>
  <c r="D40" i="37"/>
  <c r="D69" i="37"/>
  <c r="D60" i="37"/>
  <c r="D45" i="37"/>
  <c r="D39" i="37"/>
  <c r="D35" i="37"/>
  <c r="D27" i="37"/>
  <c r="D21" i="37"/>
  <c r="D12" i="37"/>
  <c r="I12" i="36"/>
  <c r="I33" i="36" s="1"/>
  <c r="E18" i="17" l="1"/>
  <c r="V6" i="17"/>
  <c r="U6" i="17"/>
  <c r="D31" i="38"/>
  <c r="J61" i="38" s="1"/>
  <c r="G9" i="38"/>
  <c r="K115" i="38" s="1"/>
  <c r="P115" i="38" s="1"/>
  <c r="E33" i="38"/>
  <c r="I63" i="38" s="1"/>
  <c r="I100" i="38" s="1"/>
  <c r="I118" i="38" s="1"/>
  <c r="F155" i="38"/>
  <c r="D210" i="38"/>
  <c r="H210" i="38" s="1"/>
  <c r="E52" i="38"/>
  <c r="D52" i="38"/>
  <c r="F145" i="38"/>
  <c r="F166" i="38"/>
  <c r="G8" i="38"/>
  <c r="F29" i="38" s="1"/>
  <c r="G52" i="38"/>
  <c r="F146" i="38"/>
  <c r="F31" i="38"/>
  <c r="F33" i="38"/>
  <c r="D33" i="38"/>
  <c r="J63" i="38" s="1"/>
  <c r="G31" i="38"/>
  <c r="D61" i="38" s="1"/>
  <c r="D98" i="38" s="1"/>
  <c r="J153" i="38" s="1"/>
  <c r="K153" i="38" s="1"/>
  <c r="N153" i="38" s="1"/>
  <c r="M222" i="38" s="1"/>
  <c r="O222" i="38" s="1"/>
  <c r="G33" i="38"/>
  <c r="D63" i="38" s="1"/>
  <c r="D100" i="38" s="1"/>
  <c r="D118" i="38" s="1"/>
  <c r="L116" i="38"/>
  <c r="Q116" i="38" s="1"/>
  <c r="E31" i="38"/>
  <c r="I61" i="38" s="1"/>
  <c r="I98" i="38" s="1"/>
  <c r="J52" i="38"/>
  <c r="F153" i="38"/>
  <c r="F177" i="38"/>
  <c r="F52" i="38"/>
  <c r="G11" i="38"/>
  <c r="K117" i="38" s="1"/>
  <c r="N117" i="38" s="1"/>
  <c r="F71" i="38"/>
  <c r="J107" i="38"/>
  <c r="J125" i="38" s="1"/>
  <c r="K70" i="38"/>
  <c r="N206" i="38"/>
  <c r="N207" i="38" s="1"/>
  <c r="H101" i="38"/>
  <c r="H71" i="38"/>
  <c r="D119" i="38"/>
  <c r="I119" i="38"/>
  <c r="N155" i="38"/>
  <c r="P158" i="38"/>
  <c r="K156" i="38"/>
  <c r="I116" i="38"/>
  <c r="H52" i="38"/>
  <c r="J64" i="38"/>
  <c r="J101" i="38" s="1"/>
  <c r="I52" i="38"/>
  <c r="F101" i="38"/>
  <c r="M118" i="38"/>
  <c r="L183" i="38"/>
  <c r="P183" i="38" s="1"/>
  <c r="E64" i="38"/>
  <c r="G64" i="38"/>
  <c r="D55" i="22"/>
  <c r="E55" i="22"/>
  <c r="D54" i="22"/>
  <c r="D56" i="22"/>
  <c r="AB31" i="11"/>
  <c r="AA31" i="11"/>
  <c r="U226" i="30"/>
  <c r="Z31" i="11" s="1"/>
  <c r="AC31" i="11"/>
  <c r="AX7" i="37"/>
  <c r="AW7" i="37"/>
  <c r="AV7" i="37"/>
  <c r="AD16" i="11"/>
  <c r="AC16" i="11" s="1"/>
  <c r="K114" i="38" l="1"/>
  <c r="L146" i="38"/>
  <c r="E29" i="38"/>
  <c r="F30" i="38"/>
  <c r="L171" i="38"/>
  <c r="P171" i="38" s="1"/>
  <c r="E30" i="38"/>
  <c r="I60" i="38" s="1"/>
  <c r="I97" i="38" s="1"/>
  <c r="K168" i="38" s="1"/>
  <c r="G30" i="38"/>
  <c r="D60" i="38" s="1"/>
  <c r="D97" i="38" s="1"/>
  <c r="D115" i="38" s="1"/>
  <c r="D30" i="38"/>
  <c r="J60" i="38" s="1"/>
  <c r="D32" i="38"/>
  <c r="J62" i="38" s="1"/>
  <c r="E32" i="38"/>
  <c r="I62" i="38" s="1"/>
  <c r="I99" i="38" s="1"/>
  <c r="I117" i="38" s="1"/>
  <c r="P117" i="38"/>
  <c r="G32" i="38"/>
  <c r="D62" i="38" s="1"/>
  <c r="D99" i="38" s="1"/>
  <c r="D117" i="38" s="1"/>
  <c r="F32" i="38"/>
  <c r="K179" i="38"/>
  <c r="G29" i="38"/>
  <c r="K9" i="38"/>
  <c r="D29" i="38"/>
  <c r="J59" i="38" s="1"/>
  <c r="D116" i="38"/>
  <c r="F119" i="38"/>
  <c r="F106" i="38"/>
  <c r="G71" i="38"/>
  <c r="G101" i="38"/>
  <c r="K118" i="38"/>
  <c r="P118" i="38" s="1"/>
  <c r="P114" i="38"/>
  <c r="J119" i="38"/>
  <c r="J106" i="38"/>
  <c r="P146" i="38"/>
  <c r="H119" i="38"/>
  <c r="H106" i="38"/>
  <c r="I59" i="38"/>
  <c r="E71" i="38"/>
  <c r="E101" i="38"/>
  <c r="G36" i="37"/>
  <c r="G70" i="37" s="1"/>
  <c r="I115" i="38" l="1"/>
  <c r="F34" i="38"/>
  <c r="J71" i="38"/>
  <c r="J74" i="38" s="1"/>
  <c r="J84" i="38" s="1"/>
  <c r="J100" i="38" s="1"/>
  <c r="K182" i="38"/>
  <c r="N183" i="38" s="1"/>
  <c r="M261" i="38" s="1"/>
  <c r="O261" i="38" s="1"/>
  <c r="E34" i="38"/>
  <c r="G34" i="38"/>
  <c r="D34" i="38"/>
  <c r="D59" i="38"/>
  <c r="D96" i="38" s="1"/>
  <c r="J81" i="38"/>
  <c r="J97" i="38" s="1"/>
  <c r="E119" i="38"/>
  <c r="E106" i="38"/>
  <c r="G119" i="38"/>
  <c r="G106" i="38"/>
  <c r="H108" i="38"/>
  <c r="H124" i="38"/>
  <c r="F108" i="38"/>
  <c r="F124" i="38"/>
  <c r="I96" i="38"/>
  <c r="I71" i="38"/>
  <c r="J124" i="38"/>
  <c r="C40" i="36"/>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J75" i="38" l="1"/>
  <c r="J80" i="38"/>
  <c r="J96" i="38" s="1"/>
  <c r="J83" i="38"/>
  <c r="J99" i="38" s="1"/>
  <c r="J117" i="38" s="1"/>
  <c r="J82" i="38"/>
  <c r="J98" i="38" s="1"/>
  <c r="J154" i="38" s="1"/>
  <c r="K154" i="38" s="1"/>
  <c r="D71" i="38"/>
  <c r="D74" i="38" s="1"/>
  <c r="D86" i="38" s="1"/>
  <c r="J166" i="38"/>
  <c r="K166" i="38" s="1"/>
  <c r="J115" i="38"/>
  <c r="J142" i="38"/>
  <c r="K142" i="38" s="1"/>
  <c r="N146" i="38" s="1"/>
  <c r="M220" i="38" s="1"/>
  <c r="O220" i="38" s="1"/>
  <c r="D114" i="38"/>
  <c r="J114" i="38"/>
  <c r="J143" i="38"/>
  <c r="K143" i="38" s="1"/>
  <c r="G124" i="38"/>
  <c r="G108" i="38"/>
  <c r="E108" i="38"/>
  <c r="E124" i="38"/>
  <c r="K144" i="38"/>
  <c r="I114" i="38"/>
  <c r="J177" i="38"/>
  <c r="K177" i="38" s="1"/>
  <c r="J118" i="38"/>
  <c r="C18" i="17"/>
  <c r="C4" i="17"/>
  <c r="C5" i="17"/>
  <c r="C6" i="17"/>
  <c r="C7" i="17"/>
  <c r="C8" i="17"/>
  <c r="C9" i="17"/>
  <c r="C10" i="17"/>
  <c r="C11" i="17"/>
  <c r="C12" i="17"/>
  <c r="C13" i="17"/>
  <c r="C14" i="17"/>
  <c r="C15" i="17"/>
  <c r="C16" i="17"/>
  <c r="C17" i="17"/>
  <c r="C19" i="17"/>
  <c r="C20" i="17"/>
  <c r="C21" i="17"/>
  <c r="C22" i="17"/>
  <c r="C23" i="17"/>
  <c r="C25" i="17"/>
  <c r="C26" i="17"/>
  <c r="C3" i="17"/>
  <c r="J116" i="38" l="1"/>
  <c r="D75" i="38"/>
  <c r="J108" i="38"/>
  <c r="N145" i="38"/>
  <c r="M219" i="38" s="1"/>
  <c r="O219" i="38" s="1"/>
  <c r="M228" i="38"/>
  <c r="M232" i="38"/>
  <c r="N166" i="38"/>
  <c r="M224" i="38" s="1"/>
  <c r="O224" i="38" s="1"/>
  <c r="I86" i="38"/>
  <c r="I102" i="38" s="1"/>
  <c r="D102" i="38"/>
  <c r="J126" i="38"/>
  <c r="M234" i="38"/>
  <c r="N177" i="38"/>
  <c r="M225" i="38" s="1"/>
  <c r="O225" i="38" s="1"/>
  <c r="M230" i="38"/>
  <c r="N154" i="38"/>
  <c r="M221" i="38" s="1"/>
  <c r="O221" i="38" s="1"/>
  <c r="G7" i="19"/>
  <c r="G7" i="18"/>
  <c r="I120" i="38" l="1"/>
  <c r="I106" i="38"/>
  <c r="M233" i="38"/>
  <c r="O233" i="38" s="1"/>
  <c r="O232" i="38"/>
  <c r="M231" i="38"/>
  <c r="O231" i="38" s="1"/>
  <c r="O230" i="38"/>
  <c r="M229" i="38"/>
  <c r="O229" i="38" s="1"/>
  <c r="O228" i="38"/>
  <c r="D120" i="38"/>
  <c r="D106" i="38"/>
  <c r="O234" i="38"/>
  <c r="M235" i="38"/>
  <c r="O235" i="38" s="1"/>
  <c r="G7" i="37"/>
  <c r="D108" i="38" l="1"/>
  <c r="D124" i="38"/>
  <c r="I108" i="38"/>
  <c r="I124" i="38"/>
  <c r="I126" i="38" s="1"/>
  <c r="A2" i="8"/>
  <c r="A2" i="7"/>
  <c r="A2" i="19" l="1"/>
  <c r="A2" i="18"/>
  <c r="E11" i="18"/>
  <c r="R5" i="18" s="1"/>
  <c r="E12" i="18"/>
  <c r="S5" i="18" s="1"/>
  <c r="E10" i="18"/>
  <c r="Q5" i="18" s="1"/>
  <c r="E13" i="18"/>
  <c r="T5" i="18" s="1"/>
  <c r="E8" i="18"/>
  <c r="P5" i="18" s="1"/>
  <c r="D10" i="18"/>
  <c r="D11" i="18"/>
  <c r="D12" i="18"/>
  <c r="D8" i="18"/>
  <c r="C8" i="18"/>
  <c r="C10" i="18"/>
  <c r="C11" i="18"/>
  <c r="C12" i="18"/>
  <c r="C13" i="18"/>
  <c r="B10" i="18"/>
  <c r="B11" i="18"/>
  <c r="B12" i="18"/>
  <c r="B13" i="18"/>
  <c r="B8" i="18"/>
  <c r="A2" i="37"/>
  <c r="E73" i="37"/>
  <c r="C73" i="37"/>
  <c r="B73" i="37"/>
  <c r="E72" i="37"/>
  <c r="D72" i="37"/>
  <c r="E71" i="37"/>
  <c r="D71" i="37"/>
  <c r="E70" i="37"/>
  <c r="E69" i="37"/>
  <c r="D65" i="37"/>
  <c r="E67" i="37"/>
  <c r="D64" i="37"/>
  <c r="E63" i="37"/>
  <c r="D59" i="37"/>
  <c r="E62" i="37"/>
  <c r="D58" i="37"/>
  <c r="D44" i="37"/>
  <c r="D43" i="37"/>
  <c r="E46" i="37"/>
  <c r="D42" i="37"/>
  <c r="E41" i="37"/>
  <c r="D41" i="37"/>
  <c r="E39" i="37"/>
  <c r="E38" i="37"/>
  <c r="D38" i="37"/>
  <c r="G37" i="37"/>
  <c r="G71" i="37" s="1"/>
  <c r="E37" i="37"/>
  <c r="D37" i="37"/>
  <c r="E36" i="37"/>
  <c r="E35" i="37"/>
  <c r="D32" i="37"/>
  <c r="E34" i="37"/>
  <c r="D31" i="37"/>
  <c r="E24" i="37"/>
  <c r="AI5" i="37" s="1"/>
  <c r="D20" i="37"/>
  <c r="E23" i="37"/>
  <c r="E56" i="37" s="1"/>
  <c r="D19" i="37"/>
  <c r="D16" i="37"/>
  <c r="D15" i="37"/>
  <c r="E18" i="37"/>
  <c r="D14" i="37"/>
  <c r="AG5" i="37" s="1"/>
  <c r="AO5" i="37" s="1"/>
  <c r="AH5" i="37"/>
  <c r="D11" i="37"/>
  <c r="AE5" i="37" s="1"/>
  <c r="D10" i="37"/>
  <c r="AD5" i="37" s="1"/>
  <c r="E13" i="37"/>
  <c r="AB5" i="37" s="1"/>
  <c r="D9" i="37"/>
  <c r="AC5" i="37" s="1"/>
  <c r="AL5" i="37" s="1"/>
  <c r="A2" i="36"/>
  <c r="C9" i="19"/>
  <c r="B9" i="19"/>
  <c r="P9" i="19" s="1"/>
  <c r="C39" i="36"/>
  <c r="B39" i="36"/>
  <c r="C39" i="37"/>
  <c r="B39" i="37"/>
  <c r="C38" i="36"/>
  <c r="C72" i="37" s="1"/>
  <c r="B38" i="36"/>
  <c r="B72" i="37" s="1"/>
  <c r="C37" i="36"/>
  <c r="C71" i="37" s="1"/>
  <c r="B37" i="36"/>
  <c r="B71" i="37" s="1"/>
  <c r="C36" i="37"/>
  <c r="B36" i="36"/>
  <c r="B70" i="37" s="1"/>
  <c r="C35" i="36"/>
  <c r="C69" i="37" s="1"/>
  <c r="B35" i="36"/>
  <c r="B69" i="37" s="1"/>
  <c r="P69" i="37" s="1"/>
  <c r="O69" i="37" s="1"/>
  <c r="O35" i="37" s="1"/>
  <c r="C34" i="36"/>
  <c r="C64" i="37" s="1"/>
  <c r="B24" i="36"/>
  <c r="C28" i="36"/>
  <c r="B28" i="36"/>
  <c r="C11" i="36"/>
  <c r="C27" i="36" s="1"/>
  <c r="B11" i="36"/>
  <c r="B32" i="36" s="1"/>
  <c r="B52" i="37" s="1"/>
  <c r="P56" i="37" s="1"/>
  <c r="C10" i="36"/>
  <c r="C31" i="36" s="1"/>
  <c r="C47" i="37" s="1"/>
  <c r="B10" i="36"/>
  <c r="B26" i="36" s="1"/>
  <c r="A2" i="35"/>
  <c r="P72" i="37" l="1"/>
  <c r="O72" i="37" s="1"/>
  <c r="O38" i="37" s="1"/>
  <c r="P71" i="37"/>
  <c r="O71" i="37" s="1"/>
  <c r="O37" i="37" s="1"/>
  <c r="P70" i="37"/>
  <c r="O70" i="37" s="1"/>
  <c r="O36" i="37" s="1"/>
  <c r="I11" i="36"/>
  <c r="I32" i="36" s="1"/>
  <c r="C32" i="36"/>
  <c r="C52" i="37" s="1"/>
  <c r="B14" i="37"/>
  <c r="B8" i="20" s="1"/>
  <c r="C14" i="37"/>
  <c r="B22" i="36"/>
  <c r="C19" i="37"/>
  <c r="B21" i="36"/>
  <c r="B19" i="37"/>
  <c r="B5" i="20" s="1"/>
  <c r="Y39" i="37"/>
  <c r="C25" i="37"/>
  <c r="C38" i="37"/>
  <c r="B31" i="37"/>
  <c r="B25" i="37"/>
  <c r="B33" i="36"/>
  <c r="B58" i="37" s="1"/>
  <c r="P62" i="37" s="1"/>
  <c r="C36" i="36"/>
  <c r="C70" i="37" s="1"/>
  <c r="B37" i="37"/>
  <c r="B41" i="37"/>
  <c r="C31" i="37"/>
  <c r="C37" i="37"/>
  <c r="C41" i="37"/>
  <c r="B36" i="37"/>
  <c r="C24" i="36"/>
  <c r="B35" i="37"/>
  <c r="B38" i="37"/>
  <c r="C35" i="37"/>
  <c r="AN5" i="37"/>
  <c r="AM5" i="37"/>
  <c r="C21" i="36"/>
  <c r="C29" i="36"/>
  <c r="C33" i="36"/>
  <c r="C58" i="37" s="1"/>
  <c r="B29" i="36"/>
  <c r="C22" i="36"/>
  <c r="C26" i="36"/>
  <c r="B34" i="36"/>
  <c r="B64" i="37" s="1"/>
  <c r="P67" i="37" s="1"/>
  <c r="B23" i="36"/>
  <c r="B27" i="36"/>
  <c r="B31" i="36"/>
  <c r="B47" i="37" s="1"/>
  <c r="P51" i="37" s="1"/>
  <c r="C23" i="36"/>
  <c r="S18" i="37" l="1"/>
  <c r="AH21" i="37"/>
  <c r="AN21" i="37" s="1"/>
  <c r="AC19" i="37"/>
  <c r="AC52" i="37" s="1"/>
  <c r="S23" i="37"/>
  <c r="AD20" i="37"/>
  <c r="AD53" i="37" s="1"/>
  <c r="W19" i="37"/>
  <c r="B6" i="20"/>
  <c r="B4" i="20"/>
  <c r="S34" i="37"/>
  <c r="Y37" i="37"/>
  <c r="Y35" i="37"/>
  <c r="S29" i="37"/>
  <c r="Y38" i="37"/>
  <c r="Y36" i="37"/>
  <c r="AM20" i="37" l="1"/>
  <c r="AL19" i="37"/>
  <c r="C26" i="35"/>
  <c r="C25" i="35"/>
  <c r="C24" i="35"/>
  <c r="C23" i="35"/>
  <c r="C21" i="35"/>
  <c r="C20" i="35"/>
  <c r="C19" i="35"/>
  <c r="C18" i="35"/>
  <c r="C17" i="35"/>
  <c r="C16" i="35"/>
  <c r="C15" i="35"/>
  <c r="C14" i="35"/>
  <c r="C13" i="35"/>
  <c r="C12" i="35"/>
  <c r="C10" i="35"/>
  <c r="C9" i="35"/>
  <c r="U8" i="11" l="1"/>
  <c r="U23" i="11"/>
  <c r="G7" i="34" l="1"/>
  <c r="I7" i="34" s="1"/>
  <c r="U105" i="24" s="1"/>
  <c r="G8" i="34"/>
  <c r="I8" i="34" s="1"/>
  <c r="U107" i="24" s="1"/>
  <c r="N14" i="34"/>
  <c r="Q14" i="34" s="1"/>
  <c r="N15" i="34"/>
  <c r="Q15" i="34" s="1"/>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X20" i="30"/>
  <c r="O20" i="30"/>
  <c r="Q254" i="30" l="1"/>
  <c r="R254" i="30"/>
  <c r="S254" i="30"/>
  <c r="T254" i="30"/>
  <c r="P254" i="30"/>
  <c r="Q247" i="30"/>
  <c r="R247" i="30"/>
  <c r="S247" i="30"/>
  <c r="T247" i="30"/>
  <c r="P247" i="30"/>
  <c r="Q238" i="30"/>
  <c r="R238" i="30"/>
  <c r="S238" i="30"/>
  <c r="T238" i="30"/>
  <c r="P238" i="30"/>
  <c r="Q233" i="30"/>
  <c r="R233" i="30"/>
  <c r="S233" i="30"/>
  <c r="T233" i="30"/>
  <c r="P233" i="30"/>
  <c r="Q194" i="30"/>
  <c r="R194" i="30" s="1"/>
  <c r="S194" i="30" s="1"/>
  <c r="T194" i="30" s="1"/>
  <c r="Q130" i="30"/>
  <c r="R130" i="30" s="1"/>
  <c r="S130" i="30" s="1"/>
  <c r="Q87" i="24"/>
  <c r="C204" i="24" l="1"/>
  <c r="Q85" i="24"/>
  <c r="J14" i="33" l="1"/>
  <c r="L14" i="33"/>
  <c r="E142" i="24" s="1"/>
  <c r="J15" i="33"/>
  <c r="L15" i="33"/>
  <c r="E143" i="24" s="1"/>
  <c r="J16" i="33"/>
  <c r="D144" i="24" s="1"/>
  <c r="L16" i="33"/>
  <c r="E144" i="24" s="1"/>
  <c r="J17" i="33"/>
  <c r="V41" i="33" s="1"/>
  <c r="L17" i="33"/>
  <c r="E145" i="24" s="1"/>
  <c r="L145" i="24" s="1"/>
  <c r="J18" i="33"/>
  <c r="D146" i="24" s="1"/>
  <c r="L18" i="33"/>
  <c r="E146" i="24" s="1"/>
  <c r="V39" i="33"/>
  <c r="V42" i="33"/>
  <c r="X43" i="33"/>
  <c r="V44" i="33"/>
  <c r="W44" i="33"/>
  <c r="X44" i="33"/>
  <c r="O46" i="33"/>
  <c r="J56" i="33"/>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D125" i="24"/>
  <c r="E125" i="24"/>
  <c r="F125" i="24"/>
  <c r="G125" i="24"/>
  <c r="H125" i="24"/>
  <c r="T137" i="24"/>
  <c r="M263" i="24" s="1"/>
  <c r="O263" i="24" s="1"/>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c r="K257" i="24"/>
  <c r="O257" i="24" s="1"/>
  <c r="K258" i="24"/>
  <c r="O258" i="24" s="1"/>
  <c r="K259" i="24"/>
  <c r="O259" i="24" s="1"/>
  <c r="K260" i="24"/>
  <c r="O260" i="24" s="1"/>
  <c r="K261" i="24"/>
  <c r="K262" i="24"/>
  <c r="O262" i="24" s="1"/>
  <c r="K263" i="24"/>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R44" i="31" s="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S44" i="31"/>
  <c r="T44" i="31"/>
  <c r="G45" i="31"/>
  <c r="H45" i="31"/>
  <c r="S45" i="31"/>
  <c r="T45" i="31"/>
  <c r="D46" i="31"/>
  <c r="E46" i="31"/>
  <c r="G46" i="31"/>
  <c r="H46" i="31"/>
  <c r="J46" i="31"/>
  <c r="K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c r="S62" i="31" s="1"/>
  <c r="X64" i="31" s="1"/>
  <c r="R62" i="31"/>
  <c r="T62" i="31"/>
  <c r="P63" i="31"/>
  <c r="Q63" i="31" s="1"/>
  <c r="R63" i="31"/>
  <c r="P64" i="31"/>
  <c r="Q64" i="31" s="1"/>
  <c r="C92" i="31"/>
  <c r="D12" i="24" s="1"/>
  <c r="F94" i="31"/>
  <c r="G94" i="31"/>
  <c r="R46" i="31" l="1"/>
  <c r="K64" i="33"/>
  <c r="R47" i="31"/>
  <c r="R37" i="31"/>
  <c r="C37" i="31"/>
  <c r="O37" i="31"/>
  <c r="R39" i="31"/>
  <c r="R45" i="31"/>
  <c r="X55" i="31"/>
  <c r="C70" i="31" s="1"/>
  <c r="D22" i="24" s="1"/>
  <c r="D33" i="24" s="1"/>
  <c r="J63" i="24" s="1"/>
  <c r="G166" i="33"/>
  <c r="Z50" i="33" s="1"/>
  <c r="R49" i="31"/>
  <c r="L36" i="31"/>
  <c r="F47" i="31"/>
  <c r="C46" i="31"/>
  <c r="V43" i="33"/>
  <c r="Z43" i="33" s="1"/>
  <c r="N18" i="33"/>
  <c r="Z41" i="33"/>
  <c r="F37" i="31"/>
  <c r="Q55" i="31"/>
  <c r="H55" i="31"/>
  <c r="I36" i="31"/>
  <c r="N17" i="33"/>
  <c r="W40" i="33"/>
  <c r="W45" i="33" s="1"/>
  <c r="J166" i="33"/>
  <c r="Z49" i="33" s="1"/>
  <c r="V38" i="33"/>
  <c r="L37" i="31"/>
  <c r="S13" i="34"/>
  <c r="S15" i="34" s="1"/>
  <c r="T15" i="34"/>
  <c r="V37" i="33"/>
  <c r="F36" i="31"/>
  <c r="I47" i="31"/>
  <c r="H166" i="33"/>
  <c r="Z48" i="33" s="1"/>
  <c r="Y55" i="31"/>
  <c r="D70" i="31" s="1"/>
  <c r="E112" i="31" s="1"/>
  <c r="D156" i="24"/>
  <c r="I46" i="31"/>
  <c r="R36" i="31"/>
  <c r="E70" i="31"/>
  <c r="F22" i="24" s="1"/>
  <c r="F33" i="24" s="1"/>
  <c r="E22" i="24"/>
  <c r="E33" i="24" s="1"/>
  <c r="I63" i="24" s="1"/>
  <c r="I100" i="24" s="1"/>
  <c r="E105" i="31"/>
  <c r="D80" i="31"/>
  <c r="D112" i="31"/>
  <c r="D98" i="31"/>
  <c r="F153" i="24"/>
  <c r="V40" i="33"/>
  <c r="D155" i="24"/>
  <c r="F155" i="24" s="1"/>
  <c r="D181" i="24"/>
  <c r="Z55" i="31"/>
  <c r="F70" i="31" s="1"/>
  <c r="G22" i="24" s="1"/>
  <c r="G33" i="24" s="1"/>
  <c r="D92" i="31"/>
  <c r="Y38" i="33"/>
  <c r="K55" i="31"/>
  <c r="F68" i="31" s="1"/>
  <c r="G20" i="24" s="1"/>
  <c r="G31" i="24" s="1"/>
  <c r="F146" i="24"/>
  <c r="D154" i="24"/>
  <c r="D180" i="24"/>
  <c r="Q68" i="31"/>
  <c r="I166" i="33"/>
  <c r="Z47" i="33" s="1"/>
  <c r="X37" i="33"/>
  <c r="D165" i="24"/>
  <c r="W64" i="31"/>
  <c r="C50" i="31"/>
  <c r="D171" i="24"/>
  <c r="D179" i="24"/>
  <c r="F177" i="24" s="1"/>
  <c r="D182" i="24"/>
  <c r="E55" i="31"/>
  <c r="F66" i="31" s="1"/>
  <c r="G18" i="24" s="1"/>
  <c r="N21" i="33"/>
  <c r="D170" i="24"/>
  <c r="D176" i="24"/>
  <c r="D166" i="24"/>
  <c r="F166" i="24" s="1"/>
  <c r="W55" i="31"/>
  <c r="F69" i="31" s="1"/>
  <c r="G21" i="24" s="1"/>
  <c r="O36" i="31"/>
  <c r="N24" i="33"/>
  <c r="D143" i="24"/>
  <c r="F145" i="24" s="1"/>
  <c r="D158" i="24"/>
  <c r="D169" i="24"/>
  <c r="D178" i="24"/>
  <c r="J55" i="31"/>
  <c r="D68" i="31" s="1"/>
  <c r="E20" i="24" s="1"/>
  <c r="E31" i="24" s="1"/>
  <c r="T55" i="31"/>
  <c r="R40" i="31"/>
  <c r="N55" i="31"/>
  <c r="D145" i="24"/>
  <c r="D157" i="24"/>
  <c r="D167" i="24"/>
  <c r="D183" i="24"/>
  <c r="T185" i="24"/>
  <c r="L183" i="24"/>
  <c r="P183" i="24" s="1"/>
  <c r="L116" i="24"/>
  <c r="M118" i="24"/>
  <c r="Z44" i="33"/>
  <c r="Z42" i="33"/>
  <c r="Z39" i="33"/>
  <c r="K65" i="33"/>
  <c r="X40" i="33"/>
  <c r="G11" i="24"/>
  <c r="F101" i="24"/>
  <c r="H120" i="24"/>
  <c r="J119" i="24"/>
  <c r="J106" i="24"/>
  <c r="I69" i="24"/>
  <c r="F66" i="24"/>
  <c r="F103" i="24" s="1"/>
  <c r="F121" i="24" s="1"/>
  <c r="E65" i="24"/>
  <c r="E102" i="24" s="1"/>
  <c r="E120" i="24" s="1"/>
  <c r="D64" i="24"/>
  <c r="D101" i="24" s="1"/>
  <c r="N207" i="24"/>
  <c r="G101" i="24"/>
  <c r="P158" i="24"/>
  <c r="G9" i="24"/>
  <c r="S64" i="31"/>
  <c r="Q70" i="31" s="1"/>
  <c r="G55" i="31"/>
  <c r="S61" i="31"/>
  <c r="R67" i="31" s="1"/>
  <c r="G97" i="31"/>
  <c r="S60" i="31"/>
  <c r="Q66" i="31" s="1"/>
  <c r="S63" i="31"/>
  <c r="R69" i="31" s="1"/>
  <c r="P50" i="31"/>
  <c r="P55" i="31" s="1"/>
  <c r="R43" i="31"/>
  <c r="E89" i="31"/>
  <c r="E85" i="31"/>
  <c r="E77" i="31"/>
  <c r="O50" i="31"/>
  <c r="D50" i="31"/>
  <c r="D55" i="31" s="1"/>
  <c r="F48" i="31"/>
  <c r="U42" i="31"/>
  <c r="D85" i="31"/>
  <c r="R68" i="31"/>
  <c r="S68" i="31" s="1"/>
  <c r="D109" i="31"/>
  <c r="D105" i="31"/>
  <c r="D101" i="31"/>
  <c r="E80" i="31"/>
  <c r="U50" i="31"/>
  <c r="M50" i="31"/>
  <c r="M55" i="31" s="1"/>
  <c r="R48" i="31"/>
  <c r="I43" i="31"/>
  <c r="D89" i="31"/>
  <c r="D77" i="31"/>
  <c r="V50" i="31"/>
  <c r="V55" i="31" s="1"/>
  <c r="D69" i="31" s="1"/>
  <c r="E21" i="24" s="1"/>
  <c r="L50" i="31"/>
  <c r="C48" i="31"/>
  <c r="S50" i="31"/>
  <c r="S55" i="31" s="1"/>
  <c r="AB51" i="33" l="1"/>
  <c r="U56" i="33" s="1"/>
  <c r="F98" i="31"/>
  <c r="F154" i="24"/>
  <c r="F112" i="31"/>
  <c r="E109" i="31"/>
  <c r="H70" i="31"/>
  <c r="E101" i="31"/>
  <c r="E84" i="31"/>
  <c r="E98" i="31"/>
  <c r="Z38" i="33"/>
  <c r="E92" i="31"/>
  <c r="G70" i="31"/>
  <c r="G108" i="31"/>
  <c r="G104" i="31"/>
  <c r="F105" i="31"/>
  <c r="F101" i="31"/>
  <c r="F67" i="31"/>
  <c r="I55" i="31"/>
  <c r="C68" i="31" s="1"/>
  <c r="D20" i="24" s="1"/>
  <c r="D31" i="24" s="1"/>
  <c r="J61" i="24" s="1"/>
  <c r="Y45" i="33"/>
  <c r="C55" i="31"/>
  <c r="F55" i="31"/>
  <c r="D67" i="31"/>
  <c r="E19" i="24" s="1"/>
  <c r="E30" i="24" s="1"/>
  <c r="I60" i="24" s="1"/>
  <c r="I97" i="24" s="1"/>
  <c r="I115" i="24" s="1"/>
  <c r="O55" i="31"/>
  <c r="V45" i="33"/>
  <c r="Z40" i="33"/>
  <c r="D66" i="31"/>
  <c r="E18" i="24" s="1"/>
  <c r="E29" i="24" s="1"/>
  <c r="R55" i="31"/>
  <c r="Z37" i="33"/>
  <c r="U63" i="33" s="1"/>
  <c r="U64" i="33" s="1"/>
  <c r="L55" i="31"/>
  <c r="F109" i="31"/>
  <c r="G111" i="31"/>
  <c r="I61" i="24"/>
  <c r="I98" i="24" s="1"/>
  <c r="D61" i="24"/>
  <c r="D98" i="24" s="1"/>
  <c r="E87" i="31"/>
  <c r="D63" i="24"/>
  <c r="D100" i="24" s="1"/>
  <c r="D118" i="24" s="1"/>
  <c r="G101" i="31"/>
  <c r="Q67" i="31"/>
  <c r="S67" i="31" s="1"/>
  <c r="G112" i="31"/>
  <c r="X45" i="33"/>
  <c r="G98" i="31"/>
  <c r="G99" i="31" s="1"/>
  <c r="G100" i="31"/>
  <c r="G19" i="24"/>
  <c r="G30" i="24" s="1"/>
  <c r="D60" i="24" s="1"/>
  <c r="D97" i="24" s="1"/>
  <c r="D115" i="24" s="1"/>
  <c r="G109" i="31"/>
  <c r="G29" i="24"/>
  <c r="D59" i="24" s="1"/>
  <c r="G105" i="31"/>
  <c r="G107" i="31"/>
  <c r="G103" i="31"/>
  <c r="K117" i="24"/>
  <c r="N117" i="24" s="1"/>
  <c r="E32" i="24"/>
  <c r="I62" i="24" s="1"/>
  <c r="I99" i="24" s="1"/>
  <c r="I117" i="24" s="1"/>
  <c r="G32" i="24"/>
  <c r="D62" i="24" s="1"/>
  <c r="D99" i="24" s="1"/>
  <c r="D117" i="24" s="1"/>
  <c r="G119" i="24"/>
  <c r="J124" i="24"/>
  <c r="L146" i="24"/>
  <c r="D119" i="24"/>
  <c r="I118" i="24"/>
  <c r="K179" i="24"/>
  <c r="F119" i="24"/>
  <c r="L171" i="24"/>
  <c r="P171" i="24" s="1"/>
  <c r="K115" i="24"/>
  <c r="K9" i="24"/>
  <c r="E68" i="31"/>
  <c r="F20" i="24" s="1"/>
  <c r="F31" i="24" s="1"/>
  <c r="E88" i="31"/>
  <c r="E90" i="31" s="1"/>
  <c r="E97" i="31"/>
  <c r="E99" i="31" s="1"/>
  <c r="E107" i="31"/>
  <c r="D18" i="24"/>
  <c r="D29" i="24" s="1"/>
  <c r="R66" i="31"/>
  <c r="S66" i="31" s="1"/>
  <c r="E104" i="31"/>
  <c r="E108" i="31"/>
  <c r="E111" i="31"/>
  <c r="E113" i="31" s="1"/>
  <c r="E76" i="31"/>
  <c r="E78" i="31" s="1"/>
  <c r="U55" i="31"/>
  <c r="C69" i="31" s="1"/>
  <c r="D21" i="24" s="1"/>
  <c r="D32" i="24" s="1"/>
  <c r="J62" i="24" s="1"/>
  <c r="Q69" i="31"/>
  <c r="S69" i="31" s="1"/>
  <c r="G113" i="31"/>
  <c r="R70" i="31"/>
  <c r="S70" i="31" s="1"/>
  <c r="W66" i="31"/>
  <c r="X66" i="31"/>
  <c r="G110" i="31" l="1"/>
  <c r="D84" i="31"/>
  <c r="E82" i="31"/>
  <c r="D87" i="31"/>
  <c r="E100" i="31"/>
  <c r="E102" i="31" s="1"/>
  <c r="G106" i="31"/>
  <c r="Z45" i="33"/>
  <c r="E83" i="31"/>
  <c r="E79" i="31"/>
  <c r="E81" i="31" s="1"/>
  <c r="E103" i="31"/>
  <c r="E106" i="31" s="1"/>
  <c r="E91" i="31"/>
  <c r="E93" i="31" s="1"/>
  <c r="C67" i="31"/>
  <c r="D19" i="24" s="1"/>
  <c r="D30" i="24" s="1"/>
  <c r="J60" i="24" s="1"/>
  <c r="E66" i="31"/>
  <c r="F18" i="24" s="1"/>
  <c r="F29" i="24" s="1"/>
  <c r="AB45" i="33"/>
  <c r="U55" i="33" s="1"/>
  <c r="U57" i="33" s="1"/>
  <c r="V56" i="33" s="1"/>
  <c r="E69" i="31"/>
  <c r="F21" i="24" s="1"/>
  <c r="F32" i="24" s="1"/>
  <c r="J153" i="24"/>
  <c r="K153" i="24" s="1"/>
  <c r="N153" i="24" s="1"/>
  <c r="M222" i="24" s="1"/>
  <c r="O222" i="24" s="1"/>
  <c r="D116" i="24"/>
  <c r="K156" i="24"/>
  <c r="I116" i="24"/>
  <c r="G102" i="31"/>
  <c r="G114" i="31"/>
  <c r="K168" i="24"/>
  <c r="K118" i="24"/>
  <c r="J59" i="24"/>
  <c r="I59" i="24"/>
  <c r="E34" i="24"/>
  <c r="P146" i="24"/>
  <c r="K182" i="24"/>
  <c r="N183" i="24" s="1"/>
  <c r="M261" i="24" s="1"/>
  <c r="O261" i="24" s="1"/>
  <c r="G34" i="24"/>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E86" i="31" l="1"/>
  <c r="E94" i="31" s="1"/>
  <c r="D82" i="31"/>
  <c r="D86" i="31" s="1"/>
  <c r="D94" i="31" s="1"/>
  <c r="D100" i="31"/>
  <c r="D102" i="31" s="1"/>
  <c r="V55" i="33"/>
  <c r="E67" i="31"/>
  <c r="F19" i="24" s="1"/>
  <c r="F30" i="24" s="1"/>
  <c r="F34" i="24" s="1"/>
  <c r="F111" i="31"/>
  <c r="F113" i="31" s="1"/>
  <c r="F107" i="31"/>
  <c r="D34" i="24"/>
  <c r="F108" i="31"/>
  <c r="F104" i="31"/>
  <c r="G69" i="31"/>
  <c r="G66" i="31"/>
  <c r="F103" i="31"/>
  <c r="H69" i="31"/>
  <c r="G67" i="31"/>
  <c r="D96" i="24"/>
  <c r="I96" i="24"/>
  <c r="D110" i="31"/>
  <c r="D106" i="31"/>
  <c r="F106" i="31" l="1"/>
  <c r="H67" i="31"/>
  <c r="F100" i="31"/>
  <c r="F102" i="31" s="1"/>
  <c r="F110" i="31"/>
  <c r="I114" i="24"/>
  <c r="K144" i="24"/>
  <c r="D114" i="24"/>
  <c r="J142" i="24"/>
  <c r="K142" i="24" s="1"/>
  <c r="N146" i="24" s="1"/>
  <c r="M220" i="24" s="1"/>
  <c r="O220" i="24" s="1"/>
  <c r="F114" i="31" l="1"/>
  <c r="H114" i="31" s="1"/>
  <c r="V25" i="11"/>
  <c r="V26" i="11"/>
  <c r="O6" i="30" l="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2" i="30" s="1"/>
  <c r="J205" i="30"/>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5" i="37" s="1"/>
  <c r="G69"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V15" i="11" s="1"/>
  <c r="U7" i="30"/>
  <c r="V6" i="30"/>
  <c r="V12" i="30" s="1"/>
  <c r="R12" i="30"/>
  <c r="P29" i="30"/>
  <c r="R15" i="11" s="1"/>
  <c r="R29" i="11" s="1"/>
  <c r="AZ39" i="37" s="1"/>
  <c r="U29" i="30"/>
  <c r="I47" i="24" s="1"/>
  <c r="X12" i="30"/>
  <c r="Q12" i="30"/>
  <c r="Q19" i="30" s="1"/>
  <c r="E45" i="24"/>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F48" i="24"/>
  <c r="H66" i="24"/>
  <c r="H52" i="24"/>
  <c r="T12" i="30"/>
  <c r="R19" i="30" s="1"/>
  <c r="D47" i="24"/>
  <c r="D66" i="24" s="1"/>
  <c r="D103" i="24" s="1"/>
  <c r="D121" i="24" s="1"/>
  <c r="G39" i="37"/>
  <c r="D65" i="24"/>
  <c r="D71" i="24" s="1"/>
  <c r="S13" i="11"/>
  <c r="U28" i="30"/>
  <c r="I46" i="24" s="1"/>
  <c r="I65" i="24" s="1"/>
  <c r="I45" i="24"/>
  <c r="AD13" i="11" l="1"/>
  <c r="G38" i="37" s="1"/>
  <c r="G72"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E101" i="24"/>
  <c r="E71" i="24"/>
  <c r="I101" i="24"/>
  <c r="I71" i="24"/>
  <c r="D31" i="28"/>
  <c r="E31" i="28" s="1"/>
  <c r="F31" i="28"/>
  <c r="D34" i="28"/>
  <c r="F34" i="28" s="1"/>
  <c r="E34" i="28"/>
  <c r="G34" i="28" s="1"/>
  <c r="D37" i="28"/>
  <c r="E37" i="28" s="1"/>
  <c r="D40" i="28"/>
  <c r="E40" i="28" s="1"/>
  <c r="D43" i="28"/>
  <c r="F43" i="28" s="1"/>
  <c r="E43" i="28"/>
  <c r="D46" i="28"/>
  <c r="E46" i="28" s="1"/>
  <c r="I86" i="24" l="1"/>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E119" i="24"/>
  <c r="E106" i="24"/>
  <c r="H34" i="28"/>
  <c r="F40" i="28"/>
  <c r="F46" i="28"/>
  <c r="F37" i="28"/>
  <c r="B5" i="23"/>
  <c r="B6" i="23" s="1"/>
  <c r="B7" i="23" s="1"/>
  <c r="B8" i="23" s="1"/>
  <c r="B9" i="23" s="1"/>
  <c r="B10" i="23" s="1"/>
  <c r="B11" i="23" s="1"/>
  <c r="B12" i="23" s="1"/>
  <c r="B13" i="23" s="1"/>
  <c r="B14" i="23" s="1"/>
  <c r="K5" i="9"/>
  <c r="J5" i="9"/>
  <c r="I5" i="9"/>
  <c r="I106" i="24" l="1"/>
  <c r="I124" i="24" s="1"/>
  <c r="I126" i="24" s="1"/>
  <c r="J114" i="24"/>
  <c r="J143" i="24"/>
  <c r="K143" i="24" s="1"/>
  <c r="J108" i="24"/>
  <c r="J177" i="24"/>
  <c r="K177" i="24" s="1"/>
  <c r="J118" i="24"/>
  <c r="J154" i="24"/>
  <c r="K154" i="24" s="1"/>
  <c r="J116" i="24"/>
  <c r="D120" i="24"/>
  <c r="D106" i="24"/>
  <c r="F124" i="24"/>
  <c r="F108" i="24"/>
  <c r="J115" i="24"/>
  <c r="J166" i="24"/>
  <c r="K166" i="24" s="1"/>
  <c r="E124" i="24"/>
  <c r="E108" i="24"/>
  <c r="I108" i="24"/>
  <c r="B61" i="22"/>
  <c r="C61" i="22"/>
  <c r="B62" i="22"/>
  <c r="C62" i="22"/>
  <c r="D62" i="22"/>
  <c r="B63" i="22"/>
  <c r="C63" i="22"/>
  <c r="D63" i="22"/>
  <c r="C64" i="22"/>
  <c r="D64"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73"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C13" i="20" l="1"/>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23" i="11"/>
  <c r="Y11" i="11" s="1"/>
  <c r="AC11" i="11" s="1"/>
  <c r="Y22" i="11"/>
  <c r="AB11" i="11" s="1"/>
  <c r="AG14" i="37" s="1"/>
  <c r="AG47" i="37" s="1"/>
  <c r="AC19" i="11"/>
  <c r="H41" i="37" s="1"/>
  <c r="I41" i="37" s="1"/>
  <c r="AC17" i="11"/>
  <c r="H37" i="37" s="1"/>
  <c r="I37" i="37" s="1"/>
  <c r="H36" i="37"/>
  <c r="I36" i="37" s="1"/>
  <c r="AC15" i="11"/>
  <c r="H39" i="37" s="1"/>
  <c r="I39" i="37" s="1"/>
  <c r="AC14" i="11"/>
  <c r="H35" i="37" s="1"/>
  <c r="I35" i="37" s="1"/>
  <c r="AC13" i="11"/>
  <c r="H38" i="37" s="1"/>
  <c r="I38" i="37" s="1"/>
  <c r="AC12" i="11"/>
  <c r="AC10" i="11"/>
  <c r="H19" i="37" s="1"/>
  <c r="U10" i="11"/>
  <c r="K8" i="11"/>
  <c r="K7" i="11"/>
  <c r="K6" i="11"/>
  <c r="K5" i="11"/>
  <c r="C9" i="36"/>
  <c r="B9" i="36"/>
  <c r="E9" i="14"/>
  <c r="E10" i="14"/>
  <c r="AO14" i="37" l="1"/>
  <c r="AI24" i="37"/>
  <c r="AI57" i="37" s="1"/>
  <c r="L7" i="14"/>
  <c r="AC8" i="11"/>
  <c r="H25" i="37" s="1"/>
  <c r="AH27" i="37"/>
  <c r="AH54" i="37" s="1"/>
  <c r="AD26" i="37"/>
  <c r="AC25" i="37"/>
  <c r="W25" i="37"/>
  <c r="AI30" i="37"/>
  <c r="AI63" i="37" s="1"/>
  <c r="H14" i="37"/>
  <c r="W14" i="37"/>
  <c r="AC15" i="37"/>
  <c r="AC48" i="37" s="1"/>
  <c r="AD16" i="37"/>
  <c r="AD49" i="37" s="1"/>
  <c r="N19" i="37"/>
  <c r="I19" i="37"/>
  <c r="C5" i="20" s="1"/>
  <c r="U22" i="11"/>
  <c r="B20" i="36"/>
  <c r="B9" i="37"/>
  <c r="B30" i="36"/>
  <c r="B42" i="37" s="1"/>
  <c r="P46" i="37" s="1"/>
  <c r="B25" i="36"/>
  <c r="C30" i="36"/>
  <c r="C42" i="37" s="1"/>
  <c r="C20" i="36"/>
  <c r="C9" i="37"/>
  <c r="C25" i="36"/>
  <c r="AB22" i="11"/>
  <c r="Y25" i="11"/>
  <c r="Y12" i="11" s="1"/>
  <c r="AF33" i="37" l="1"/>
  <c r="AF17" i="37"/>
  <c r="AF50" i="37" s="1"/>
  <c r="AF22" i="37"/>
  <c r="AF55" i="37" s="1"/>
  <c r="AF28" i="37"/>
  <c r="Y18" i="11"/>
  <c r="AL15" i="37"/>
  <c r="AM16" i="37"/>
  <c r="N14" i="37"/>
  <c r="I14" i="37"/>
  <c r="C8" i="20" s="1"/>
  <c r="AL25" i="37"/>
  <c r="AC58" i="37"/>
  <c r="AD59" i="37"/>
  <c r="AM26" i="37"/>
  <c r="AH60" i="37"/>
  <c r="AN27" i="37"/>
  <c r="AC9" i="11"/>
  <c r="H31" i="37" s="1"/>
  <c r="AC31" i="37"/>
  <c r="W31" i="37"/>
  <c r="AD32" i="37"/>
  <c r="N25" i="37"/>
  <c r="I25" i="37"/>
  <c r="C4" i="20" s="1"/>
  <c r="H9" i="37"/>
  <c r="N9" i="37" s="1"/>
  <c r="B7" i="20"/>
  <c r="AE11" i="37"/>
  <c r="AD10" i="37"/>
  <c r="S13" i="37"/>
  <c r="AH12" i="37"/>
  <c r="AC9" i="37"/>
  <c r="W9" i="37"/>
  <c r="AF61" i="37" l="1"/>
  <c r="AP28" i="37"/>
  <c r="AP22" i="37"/>
  <c r="AP17" i="37"/>
  <c r="AF66" i="37"/>
  <c r="AP33" i="37"/>
  <c r="AC64" i="37"/>
  <c r="AM32" i="37"/>
  <c r="AD65" i="37"/>
  <c r="AL31" i="37"/>
  <c r="N31" i="37"/>
  <c r="I31" i="37"/>
  <c r="C6" i="20" s="1"/>
  <c r="I9" i="37"/>
  <c r="C7" i="20" s="1"/>
  <c r="AC42" i="37"/>
  <c r="AL9" i="37"/>
  <c r="AH45" i="37"/>
  <c r="AN12" i="37"/>
  <c r="AM10" i="37"/>
  <c r="AD43" i="37"/>
  <c r="AE44"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H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 ref="T3" authorId="0" shapeId="0" xr:uid="{F52A1100-0D35-491D-AE7F-37E3C409831F}">
      <text>
        <r>
          <rPr>
            <b/>
            <sz val="9"/>
            <color indexed="81"/>
            <rFont val="Tahoma"/>
            <family val="2"/>
          </rPr>
          <t>Joseph Masenda:</t>
        </r>
        <r>
          <rPr>
            <sz val="9"/>
            <color indexed="81"/>
            <rFont val="Tahoma"/>
            <family val="2"/>
          </rPr>
          <t xml:space="preserve">
ETSAP 2015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P113" authorId="0" shapeId="0" xr:uid="{58CF3B1B-D6A4-436F-89C6-62C75127CFED}">
      <text>
        <r>
          <rPr>
            <b/>
            <sz val="9"/>
            <color indexed="81"/>
            <rFont val="Tahoma"/>
            <family val="2"/>
          </rPr>
          <t>Joseph Masenda:</t>
        </r>
        <r>
          <rPr>
            <sz val="9"/>
            <color indexed="81"/>
            <rFont val="Tahoma"/>
            <family val="2"/>
          </rPr>
          <t xml:space="preserve">
Conversion of mt usage to the RE share based on Tamaryn's assumption.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0DF76DF5-7E58-42FB-BEE7-75FBCCCD683D}">
      <text>
        <r>
          <rPr>
            <b/>
            <sz val="9"/>
            <color indexed="81"/>
            <rFont val="Tahoma"/>
            <family val="2"/>
          </rPr>
          <t>Joseph Masenda:</t>
        </r>
        <r>
          <rPr>
            <sz val="9"/>
            <color indexed="81"/>
            <rFont val="Tahoma"/>
            <family val="2"/>
          </rPr>
          <t xml:space="preserve">
From Tamryn, according to the EB*</t>
        </r>
      </text>
    </comment>
    <comment ref="O81" authorId="1" shapeId="0" xr:uid="{BEC6B3FA-D824-4767-B58B-D5D44351CF84}">
      <text>
        <r>
          <rPr>
            <sz val="12"/>
            <color theme="1"/>
            <rFont val="Arial"/>
            <family val="2"/>
          </rPr>
          <t>From Eskom, sales by SIC
	-Bruno Merven</t>
        </r>
      </text>
    </comment>
    <comment ref="O83" authorId="1" shapeId="0" xr:uid="{28E3969E-BF97-4553-B085-B9D869F4BE3D}">
      <text>
        <r>
          <rPr>
            <sz val="12"/>
            <color theme="1"/>
            <rFont val="Arial"/>
            <family val="2"/>
          </rPr>
          <t>from data collected by SEA, padded with Eskom sales to redistributors.
	-Bruno Merven</t>
        </r>
      </text>
    </comment>
    <comment ref="P113" authorId="0" shapeId="0" xr:uid="{10CA01A7-B2D9-4779-9FCC-F14AAA03ACE1}">
      <text>
        <r>
          <rPr>
            <b/>
            <sz val="9"/>
            <color indexed="81"/>
            <rFont val="Tahoma"/>
            <family val="2"/>
          </rPr>
          <t>Joseph Masenda:</t>
        </r>
        <r>
          <rPr>
            <sz val="9"/>
            <color indexed="81"/>
            <rFont val="Tahoma"/>
            <family val="2"/>
          </rPr>
          <t xml:space="preserve">
Conversion of mt usage to the RE share based on Tamaryn's assumption.</t>
        </r>
      </text>
    </comment>
    <comment ref="T183" authorId="0" shapeId="0" xr:uid="{958DDDEB-22F1-4B4B-BEC0-5BC3829B5BA7}">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0E48C383-30B1-4FDD-8A81-77CDA0717E42}">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sharedStrings.xml><?xml version="1.0" encoding="utf-8"?>
<sst xmlns="http://schemas.openxmlformats.org/spreadsheetml/2006/main" count="5426" uniqueCount="1550">
  <si>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</si>
  <si>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</si>
  <si>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</si>
  <si>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</si>
  <si>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</si>
  <si>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</si>
  <si>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</si>
  <si>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</si>
  <si>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</si>
  <si>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</si>
  <si>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</si>
  <si>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</si>
  <si>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</si>
  <si>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</si>
  <si>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</si>
  <si>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</si>
  <si>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</si>
  <si>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</si>
  <si>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</si>
  <si>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</si>
  <si>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</si>
  <si>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</si>
  <si>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</si>
  <si>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</si>
  <si>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</si>
  <si>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</si>
  <si>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</si>
  <si>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</si>
  <si>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</si>
  <si>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</si>
  <si>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</si>
  <si>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</si>
  <si>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</si>
  <si>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</si>
  <si>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</si>
  <si>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</si>
  <si>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</si>
  <si>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</si>
  <si>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</si>
  <si>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</si>
  <si>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</si>
  <si>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</si>
  <si>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</si>
  <si>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</si>
  <si>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</si>
  <si>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</si>
  <si>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</si>
  <si>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</si>
  <si>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</si>
  <si>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</si>
  <si>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</si>
  <si>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</si>
  <si>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</si>
  <si>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</si>
  <si>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</si>
  <si>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</si>
  <si>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</si>
  <si>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</si>
  <si>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</si>
  <si>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</si>
  <si>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</si>
  <si>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</si>
  <si>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</si>
  <si>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</si>
  <si>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</si>
  <si>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</si>
  <si>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</si>
  <si>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</si>
  <si>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</si>
  <si>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</si>
  <si>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</si>
  <si>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</si>
  <si>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</si>
  <si>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</si>
  <si>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</si>
  <si>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</si>
  <si>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</si>
  <si>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</si>
  <si>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</si>
  <si>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</si>
  <si>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</si>
  <si>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</si>
  <si>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</si>
  <si>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</si>
  <si>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</si>
  <si>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</si>
  <si>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</si>
  <si>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</si>
  <si>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</si>
  <si>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</si>
  <si>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</si>
  <si>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</si>
  <si>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</si>
  <si>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</si>
  <si>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</si>
  <si>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</si>
  <si>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</si>
  <si>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</si>
  <si>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</si>
  <si>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</si>
  <si>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</si>
  <si>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</si>
  <si>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</si>
  <si>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</si>
  <si>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</si>
  <si>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</si>
  <si>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</si>
  <si>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</si>
  <si>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</si>
  <si>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</si>
  <si>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</si>
  <si>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</si>
  <si>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</si>
  <si>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</si>
  <si>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</si>
  <si>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</si>
  <si>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</si>
  <si>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</si>
  <si>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</si>
  <si>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</si>
  <si>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</si>
  <si>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</si>
  <si>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</si>
  <si>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</si>
  <si>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</si>
  <si>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</si>
  <si>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</si>
  <si>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</si>
  <si>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</si>
  <si>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</si>
  <si>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</si>
  <si>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</si>
  <si>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</si>
  <si>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</si>
  <si>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</si>
  <si>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</si>
  <si>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</si>
  <si>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</si>
  <si>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</si>
  <si>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</si>
  <si>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</si>
  <si>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</si>
  <si>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</si>
  <si>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</si>
  <si>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</si>
  <si>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</si>
  <si>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</si>
  <si>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</si>
  <si>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</si>
  <si>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</si>
  <si>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</si>
  <si>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</si>
  <si>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</si>
  <si>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</si>
  <si>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</si>
  <si>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</si>
  <si>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</si>
  <si>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</si>
  <si>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</si>
  <si>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</si>
  <si>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</si>
  <si>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</si>
  <si>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</si>
  <si>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</si>
  <si>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</si>
  <si>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</si>
  <si>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</si>
  <si>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</si>
  <si>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</si>
  <si>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</si>
  <si>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</si>
  <si>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</si>
  <si>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</si>
  <si>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</si>
  <si>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</si>
  <si>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</si>
  <si>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</si>
  <si>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</si>
  <si>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</si>
  <si>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</si>
  <si>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</si>
  <si>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</si>
  <si>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</si>
  <si>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</si>
  <si>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</si>
  <si>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</si>
  <si>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</si>
  <si>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</si>
  <si>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</si>
  <si>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</si>
  <si>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</si>
  <si>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</si>
  <si>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</si>
  <si>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</si>
  <si>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</si>
  <si>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</si>
  <si>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</si>
  <si>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</si>
  <si>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</si>
  <si>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</si>
  <si>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</si>
  <si>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</si>
  <si>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</si>
  <si>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</si>
  <si>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</si>
  <si>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</si>
  <si>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</si>
  <si>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</si>
  <si>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</si>
  <si>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</si>
  <si>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</si>
  <si>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</si>
  <si>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</si>
  <si>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</si>
  <si>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</si>
  <si>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</si>
  <si>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</si>
  <si>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</si>
  <si>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</si>
  <si>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</si>
  <si>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</si>
  <si>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</si>
  <si>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</si>
  <si>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</si>
  <si>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</si>
  <si>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</si>
  <si>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</si>
  <si>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</si>
  <si>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</si>
  <si>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</si>
  <si>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</si>
  <si>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</si>
  <si>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</si>
  <si>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</si>
  <si>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</si>
  <si>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</si>
  <si>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</si>
  <si>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</si>
  <si>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</si>
  <si>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</si>
  <si>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</si>
  <si>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</si>
  <si>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</si>
  <si>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</si>
  <si>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</si>
  <si>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</si>
  <si>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</si>
  <si>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</si>
  <si>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</si>
  <si>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</si>
  <si>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</si>
  <si>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</si>
  <si>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</si>
  <si>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</si>
  <si>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</si>
  <si>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</si>
  <si>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</si>
  <si>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</si>
  <si>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</si>
  <si>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</si>
  <si>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</si>
  <si>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</si>
  <si>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</si>
  <si>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</si>
  <si>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</si>
  <si>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</si>
  <si>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</si>
  <si>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</si>
  <si>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</si>
  <si>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</si>
  <si>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</si>
  <si>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</si>
  <si>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</si>
  <si>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</si>
  <si>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</si>
  <si>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</si>
  <si>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</si>
  <si>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</si>
  <si>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</si>
  <si>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</si>
  <si>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</si>
  <si>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</si>
  <si>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</si>
  <si>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</si>
  <si>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</si>
  <si>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</si>
  <si>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</si>
  <si>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</si>
  <si>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</si>
  <si>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</si>
  <si>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</si>
  <si>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</si>
  <si>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</si>
  <si>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</si>
  <si>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</si>
  <si>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</si>
  <si>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</si>
  <si>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</si>
  <si>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</si>
  <si>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</si>
  <si>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</si>
  <si>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</si>
  <si>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</si>
  <si>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</si>
  <si>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</si>
  <si>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</si>
  <si>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</si>
  <si>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</si>
  <si>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</si>
  <si>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</si>
  <si>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</si>
  <si>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</si>
  <si>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</si>
  <si>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</si>
  <si>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</si>
  <si>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</si>
  <si>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</si>
  <si>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</si>
  <si>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</si>
  <si>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</si>
  <si>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</si>
  <si>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</si>
  <si>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</si>
  <si>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</si>
  <si>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</si>
  <si>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</si>
  <si>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</si>
  <si>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</si>
  <si>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</si>
  <si>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</si>
  <si>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</si>
  <si>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</si>
  <si>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</si>
  <si>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</si>
  <si>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</si>
  <si>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</si>
  <si>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</si>
  <si>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</si>
  <si>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</si>
  <si>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</si>
  <si>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</si>
  <si>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</si>
  <si>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</si>
  <si>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</si>
  <si>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</si>
  <si>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</si>
  <si>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</si>
  <si>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</si>
  <si>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</si>
  <si>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</si>
  <si>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</si>
  <si>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</si>
  <si>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</si>
  <si>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</si>
  <si>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</si>
  <si>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</si>
  <si>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</si>
  <si>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</si>
  <si>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</si>
  <si>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</si>
  <si>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</si>
  <si>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</si>
  <si>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</si>
  <si>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</si>
  <si>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</si>
  <si>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</si>
  <si>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</si>
  <si>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</si>
  <si>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</si>
  <si>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</si>
  <si>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</si>
  <si>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</si>
  <si>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</si>
  <si>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</si>
  <si>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</si>
  <si>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</si>
  <si>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</si>
  <si>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</si>
  <si>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</si>
  <si>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</si>
  <si>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</si>
  <si>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</si>
  <si>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</si>
  <si>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</si>
  <si>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</si>
  <si>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</si>
  <si>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</si>
  <si>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</si>
  <si>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</si>
  <si>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</si>
  <si>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</si>
  <si>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</si>
  <si>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</si>
  <si>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</si>
  <si>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</si>
  <si>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</si>
  <si>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</si>
  <si>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</si>
  <si>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</si>
  <si>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</si>
  <si>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</si>
  <si>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</si>
  <si>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</si>
  <si>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</si>
  <si>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</si>
  <si>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</si>
  <si>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</si>
  <si>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</si>
  <si>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</si>
  <si>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</si>
  <si>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</si>
  <si>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</si>
  <si>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</si>
  <si>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</si>
  <si>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</si>
  <si>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</si>
  <si>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</si>
  <si>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</si>
  <si>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</si>
  <si>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</si>
  <si>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</si>
  <si>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</si>
  <si>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</si>
  <si>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</si>
  <si>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</si>
  <si>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</si>
  <si>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</si>
  <si>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</si>
  <si>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</si>
  <si>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</si>
  <si>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</si>
  <si>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</si>
  <si>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</si>
  <si>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</si>
  <si>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</si>
  <si>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</si>
  <si>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</si>
  <si>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</si>
  <si>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</si>
  <si>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</si>
  <si>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</si>
  <si>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</si>
  <si>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</si>
  <si>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</si>
  <si>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</si>
  <si>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</si>
  <si>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</si>
  <si>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</si>
  <si>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</si>
  <si>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</si>
  <si>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</si>
  <si>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</si>
  <si>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</si>
  <si>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</si>
  <si>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</si>
  <si>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</si>
  <si>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</si>
  <si>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</si>
  <si>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</si>
  <si>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</si>
  <si>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</si>
  <si>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</si>
  <si>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</si>
  <si>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</si>
  <si>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</si>
  <si>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</si>
  <si>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</si>
  <si>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</si>
  <si>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</si>
  <si>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</si>
  <si>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</si>
  <si>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</si>
  <si>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</si>
  <si>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</si>
  <si>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</si>
  <si>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</si>
  <si>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</si>
  <si>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</si>
  <si>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</si>
  <si>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</si>
  <si>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</si>
  <si>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</si>
  <si>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</si>
  <si>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</si>
  <si>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</si>
  <si>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</si>
  <si>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</si>
  <si>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</si>
  <si>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</si>
  <si>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</si>
  <si>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</si>
  <si>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</si>
  <si>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</si>
  <si>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</si>
  <si>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</si>
  <si>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</si>
  <si>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</si>
  <si>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</si>
  <si>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</si>
  <si>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</si>
  <si>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</si>
  <si>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</si>
  <si>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</si>
  <si>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</si>
  <si>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</si>
  <si>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</si>
  <si>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</si>
  <si>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</si>
  <si>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</si>
  <si>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</si>
  <si>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</si>
  <si>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</si>
  <si>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</si>
  <si>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</si>
  <si>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</si>
  <si>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</si>
  <si>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</si>
  <si>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</si>
  <si>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</si>
  <si>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</si>
  <si>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</si>
  <si>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</si>
  <si>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</si>
  <si>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</si>
  <si>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</si>
  <si>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</si>
  <si>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</si>
  <si>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</si>
  <si>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</si>
  <si>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</si>
  <si>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</si>
  <si>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</si>
  <si>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</si>
  <si>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</si>
  <si>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</si>
  <si>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</si>
  <si>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</si>
  <si>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</si>
  <si>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</si>
  <si>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</si>
  <si>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</si>
  <si>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</si>
  <si>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</si>
  <si>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</si>
  <si>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</si>
  <si>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</si>
  <si>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</si>
  <si>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</si>
  <si>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</si>
  <si>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</si>
  <si>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</si>
  <si>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</si>
  <si>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</si>
  <si>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</si>
  <si>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</si>
  <si>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</si>
  <si>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</si>
  <si>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</si>
  <si>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</si>
  <si>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</si>
  <si>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</si>
  <si>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</si>
  <si>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</si>
  <si>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</si>
  <si>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</si>
  <si>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</si>
  <si>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</si>
  <si>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</si>
  <si>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</si>
  <si>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</si>
  <si>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</si>
  <si>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</si>
  <si>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</si>
  <si>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</si>
  <si>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</si>
  <si>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</si>
  <si>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</si>
  <si>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</si>
  <si>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</si>
  <si>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</si>
  <si>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</si>
  <si>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</si>
  <si>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</si>
  <si>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</si>
  <si>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</si>
  <si>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</si>
  <si>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</si>
  <si>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</si>
  <si>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</si>
  <si>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</si>
  <si>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</si>
  <si>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</si>
  <si>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</si>
  <si>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</si>
  <si>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</si>
  <si>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</si>
  <si>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</si>
  <si>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</si>
  <si>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</si>
  <si>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</si>
  <si>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</si>
  <si>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</si>
  <si>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</si>
  <si>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</si>
  <si>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</si>
  <si>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</si>
  <si>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</si>
  <si>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</si>
  <si>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</si>
  <si>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</si>
  <si>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</si>
  <si>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</si>
  <si>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</si>
  <si>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</si>
  <si>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</si>
  <si>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</si>
  <si>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</si>
  <si>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Total</t>
  </si>
  <si>
    <t>Other wrapping paper</t>
  </si>
  <si>
    <t>Printing/writing</t>
  </si>
  <si>
    <t xml:space="preserve">Year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</si>
  <si>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</si>
  <si>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</si>
  <si>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</si>
  <si>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</si>
  <si>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</si>
  <si>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</si>
  <si>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</si>
  <si>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</si>
  <si>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</si>
  <si>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</si>
  <si>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</si>
  <si>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</si>
  <si>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</si>
  <si>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</si>
  <si>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</si>
  <si>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</si>
  <si>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</si>
  <si>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</si>
  <si>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</si>
  <si>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</si>
  <si>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</si>
  <si>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</si>
  <si>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</si>
  <si>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</si>
  <si>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</si>
  <si>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</si>
  <si>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</si>
  <si>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</si>
  <si>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</si>
  <si>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</si>
  <si>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</si>
  <si>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</si>
  <si>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</si>
  <si>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</si>
  <si>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</si>
  <si>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</si>
  <si>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</si>
  <si>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</si>
  <si>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</si>
  <si>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</si>
  <si>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</si>
  <si>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</si>
  <si>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</si>
  <si>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</si>
  <si>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</si>
  <si>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</si>
  <si>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</si>
  <si>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</si>
  <si>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</si>
  <si>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</si>
  <si>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</si>
  <si>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</si>
  <si>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</si>
  <si>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</si>
  <si>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</si>
  <si>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</si>
  <si>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</si>
  <si>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</si>
  <si>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</si>
  <si>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</si>
  <si>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</si>
  <si>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</si>
  <si>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</si>
  <si>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</si>
  <si>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</si>
  <si>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</si>
  <si>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</si>
  <si>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</si>
  <si>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</si>
  <si>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</si>
  <si>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</si>
  <si>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</si>
  <si>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</si>
  <si>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</si>
  <si>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</si>
  <si>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</si>
  <si>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</si>
  <si>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</si>
  <si>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</si>
  <si>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</si>
  <si>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</si>
  <si>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</si>
  <si>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</si>
  <si>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</si>
  <si>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</si>
  <si>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</si>
  <si>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</si>
  <si>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</si>
  <si>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</si>
  <si>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</si>
  <si>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</si>
  <si>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</si>
  <si>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</si>
  <si>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</si>
  <si>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</si>
  <si>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</si>
  <si>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</si>
  <si>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</si>
  <si>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</si>
  <si>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</si>
  <si>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</si>
  <si>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</si>
  <si>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</si>
  <si>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</si>
  <si>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</si>
  <si>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</si>
  <si>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</si>
  <si>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</si>
  <si>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</si>
  <si>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</si>
  <si>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</si>
  <si>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</si>
  <si>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</si>
  <si>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</si>
  <si>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</si>
  <si>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</si>
  <si>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</si>
  <si>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</si>
  <si>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</si>
  <si>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</si>
  <si>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</si>
  <si>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</si>
  <si>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</si>
  <si>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</si>
  <si>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</si>
  <si>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</si>
  <si>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</si>
  <si>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</si>
  <si>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</si>
  <si>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</si>
  <si>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</si>
  <si>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</si>
  <si>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</si>
  <si>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</si>
  <si>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</si>
  <si>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</si>
  <si>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</si>
  <si>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</si>
  <si>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</si>
  <si>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</si>
  <si>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</si>
  <si>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</si>
  <si>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</si>
  <si>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</si>
  <si>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</si>
  <si>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</si>
  <si>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</si>
  <si>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</si>
  <si>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</si>
  <si>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</si>
  <si>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</si>
  <si>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</si>
  <si>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</si>
  <si>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</si>
  <si>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</si>
  <si>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</si>
  <si>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</si>
  <si>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</si>
  <si>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</si>
  <si>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</si>
  <si>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</si>
  <si>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</si>
  <si>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</si>
  <si>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</si>
  <si>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</si>
  <si>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</si>
  <si>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</si>
  <si>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</si>
  <si>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</si>
  <si>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</si>
  <si>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</si>
  <si>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</si>
  <si>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</si>
  <si>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</si>
  <si>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</si>
  <si>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</si>
  <si>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</si>
  <si>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</si>
  <si>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</si>
  <si>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</si>
  <si>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</si>
  <si>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</si>
  <si>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</si>
  <si>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</si>
  <si>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</si>
  <si>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</si>
  <si>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</si>
  <si>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</si>
  <si>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</si>
  <si>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</si>
  <si>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</si>
  <si>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</si>
  <si>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</si>
  <si>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</si>
  <si>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</si>
  <si>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</si>
  <si>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</si>
  <si>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</si>
  <si>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</si>
  <si>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</si>
  <si>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</si>
  <si>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</si>
  <si>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</si>
  <si>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</si>
  <si>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</si>
  <si>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</si>
  <si>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</si>
  <si>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</si>
  <si>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</si>
  <si>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</si>
  <si>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</si>
  <si>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</si>
  <si>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</si>
  <si>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</si>
  <si>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</si>
  <si>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</si>
  <si>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</si>
  <si>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</si>
  <si>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</si>
  <si>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</si>
  <si>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</si>
  <si>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</si>
  <si>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</si>
  <si>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</si>
  <si>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</si>
  <si>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</si>
  <si>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</si>
  <si>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</si>
  <si>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</si>
  <si>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</si>
  <si>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</si>
  <si>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</si>
  <si>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</si>
  <si>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</si>
  <si>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</si>
  <si>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</si>
  <si>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</si>
  <si>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</si>
  <si>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</si>
  <si>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</si>
  <si>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</si>
  <si>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</si>
  <si>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</si>
  <si>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</si>
  <si>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</si>
  <si>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</si>
  <si>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</si>
  <si>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</si>
  <si>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</si>
  <si>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</si>
  <si>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</si>
  <si>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</si>
  <si>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</si>
  <si>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</si>
  <si>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</si>
  <si>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</si>
  <si>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</si>
  <si>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</si>
  <si>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</si>
  <si>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</si>
  <si>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</si>
  <si>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</si>
  <si>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</si>
  <si>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</si>
  <si>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</si>
  <si>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</si>
  <si>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</si>
  <si>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</si>
  <si>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</si>
  <si>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</si>
  <si>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</si>
  <si>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</si>
  <si>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</si>
  <si>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</si>
  <si>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</si>
  <si>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</si>
  <si>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</si>
  <si>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</si>
  <si>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</si>
  <si>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</si>
  <si>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</si>
  <si>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</si>
  <si>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</si>
  <si>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</si>
  <si>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</si>
  <si>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</si>
  <si>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</si>
  <si>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</si>
  <si>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</si>
  <si>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</si>
  <si>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</si>
  <si>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</si>
  <si>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</si>
  <si>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</si>
  <si>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</si>
  <si>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</si>
  <si>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</si>
  <si>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</si>
  <si>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</si>
  <si>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</si>
  <si>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</si>
  <si>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</si>
  <si>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</si>
  <si>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</si>
  <si>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</si>
  <si>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</si>
  <si>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</si>
  <si>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</si>
  <si>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</si>
  <si>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</si>
  <si>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</si>
  <si>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</si>
  <si>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</si>
  <si>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</si>
  <si>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</si>
  <si>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</si>
  <si>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</si>
  <si>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</si>
  <si>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</si>
  <si>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</si>
  <si>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</si>
  <si>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</si>
  <si>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</si>
  <si>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</si>
  <si>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</si>
  <si>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</si>
  <si>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</si>
  <si>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</si>
  <si>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</si>
  <si>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</si>
  <si>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</si>
  <si>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</si>
  <si>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</si>
  <si>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</si>
  <si>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</si>
  <si>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</si>
  <si>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</si>
  <si>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</si>
  <si>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</si>
  <si>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</si>
  <si>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</si>
  <si>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</si>
  <si>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</si>
  <si>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</si>
  <si>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</si>
  <si>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</si>
  <si>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</si>
  <si>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</si>
  <si>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</si>
  <si>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</si>
  <si>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</si>
  <si>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</si>
  <si>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</si>
  <si>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</si>
  <si>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</si>
  <si>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</si>
  <si>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</si>
  <si>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</si>
  <si>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</si>
  <si>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</si>
  <si>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</si>
  <si>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</si>
  <si>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</si>
  <si>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</si>
  <si>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</si>
  <si>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</si>
  <si>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</si>
  <si>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</si>
  <si>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</si>
  <si>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</si>
  <si>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</si>
  <si>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</si>
  <si>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</si>
  <si>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</si>
  <si>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</si>
  <si>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</si>
  <si>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</si>
  <si>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</si>
  <si>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</si>
  <si>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</si>
  <si>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</si>
  <si>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</si>
  <si>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</si>
  <si>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</si>
  <si>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</si>
  <si>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</si>
  <si>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</si>
  <si>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</si>
  <si>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</si>
  <si>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</si>
  <si>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</si>
  <si>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</si>
  <si>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</si>
  <si>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</si>
  <si>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</si>
  <si>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</si>
  <si>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</si>
  <si>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</si>
  <si>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</si>
  <si>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</si>
  <si>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</si>
  <si>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</si>
  <si>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</si>
  <si>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</si>
  <si>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</si>
  <si>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</si>
  <si>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</si>
  <si>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</si>
  <si>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</si>
  <si>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</si>
  <si>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</si>
  <si>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</si>
  <si>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</si>
  <si>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</si>
  <si>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</si>
  <si>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</si>
  <si>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</si>
  <si>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</si>
  <si>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</si>
  <si>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</si>
  <si>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</si>
  <si>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</si>
  <si>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</si>
  <si>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</si>
  <si>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</si>
  <si>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</si>
  <si>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</si>
  <si>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</si>
  <si>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</si>
  <si>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</si>
  <si>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</si>
  <si>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</si>
  <si>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</si>
  <si>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</si>
  <si>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</si>
  <si>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</si>
  <si>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</si>
  <si>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</si>
  <si>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</si>
  <si>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</si>
  <si>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</si>
  <si>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</si>
  <si>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</si>
  <si>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</si>
  <si>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</si>
  <si>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</si>
  <si>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</si>
  <si>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</si>
  <si>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</si>
  <si>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</si>
  <si>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</si>
  <si>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</si>
  <si>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</si>
  <si>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</si>
  <si>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</si>
  <si>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</si>
  <si>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</si>
  <si>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</si>
  <si>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</si>
  <si>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</si>
  <si>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</si>
  <si>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</si>
  <si>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</si>
  <si>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</si>
  <si>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</si>
  <si>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</si>
  <si>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</si>
  <si>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</si>
  <si>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</si>
  <si>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</si>
  <si>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</si>
  <si>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</si>
  <si>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</si>
  <si>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</si>
  <si>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</si>
  <si>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</si>
  <si>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</si>
  <si>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</si>
  <si>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</si>
  <si>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</si>
  <si>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</si>
  <si>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</si>
  <si>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</si>
  <si>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</si>
  <si>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</si>
  <si>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</si>
  <si>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</si>
  <si>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</si>
  <si>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</si>
  <si>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</si>
  <si>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</si>
  <si>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</si>
  <si>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</si>
  <si>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</si>
  <si>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</si>
  <si>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</si>
  <si>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</si>
  <si>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</si>
  <si>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</si>
  <si>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</si>
  <si>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</si>
  <si>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</si>
  <si>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</si>
  <si>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</si>
  <si>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</si>
  <si>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</si>
  <si>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</si>
  <si>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</si>
  <si>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</si>
  <si>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</si>
  <si>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</si>
  <si>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</si>
  <si>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</si>
  <si>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</si>
  <si>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</si>
  <si>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</si>
  <si>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</si>
  <si>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</si>
  <si>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</si>
  <si>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</si>
  <si>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</si>
  <si>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</si>
  <si>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</si>
  <si>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</si>
  <si>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</si>
  <si>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</si>
  <si>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</si>
  <si>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</si>
  <si>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</si>
  <si>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</si>
  <si>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</si>
  <si>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</si>
  <si>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</si>
  <si>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</si>
  <si>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</si>
  <si>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</si>
  <si>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</si>
  <si>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</si>
  <si>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</si>
  <si>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</si>
  <si>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</si>
  <si>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</si>
  <si>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</si>
  <si>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</si>
  <si>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</si>
  <si>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</si>
  <si>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</si>
  <si>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</si>
  <si>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</si>
  <si>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</si>
  <si>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</si>
  <si>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</si>
  <si>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</si>
  <si>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</si>
  <si>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</si>
  <si>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</si>
  <si>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</si>
  <si>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</si>
  <si>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</si>
  <si>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</si>
  <si>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</si>
  <si>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</si>
  <si>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</si>
  <si>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</si>
  <si>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</si>
  <si>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</si>
  <si>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</si>
  <si>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</si>
  <si>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</si>
  <si>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</si>
  <si>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</si>
  <si>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</si>
  <si>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</si>
  <si>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</si>
  <si>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</si>
  <si>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</si>
  <si>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</si>
  <si>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</si>
  <si>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</si>
  <si>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</si>
  <si>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</si>
  <si>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</si>
  <si>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</si>
  <si>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</si>
  <si>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</si>
  <si>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</si>
  <si>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</si>
  <si>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</si>
  <si>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</si>
  <si>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</si>
  <si>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</si>
  <si>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</si>
  <si>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</si>
  <si>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</si>
  <si>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</si>
  <si>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</si>
  <si>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</si>
  <si>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</si>
  <si>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</si>
  <si>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</si>
  <si>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</si>
  <si>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</si>
  <si>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</si>
  <si>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</si>
  <si>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</si>
  <si>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</si>
  <si>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</si>
  <si>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</si>
  <si>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</si>
  <si>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</si>
  <si>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</si>
  <si>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</si>
  <si>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</si>
  <si>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</si>
  <si>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</si>
  <si>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</si>
  <si>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</si>
  <si>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</si>
  <si>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</si>
  <si>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</si>
  <si>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</si>
  <si>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</si>
  <si>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</si>
  <si>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</si>
  <si>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</si>
  <si>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</si>
  <si>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</si>
  <si>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</si>
  <si>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</si>
  <si>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</si>
  <si>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</si>
  <si>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</si>
  <si>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</si>
  <si>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</si>
  <si>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</si>
  <si>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</si>
  <si>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</si>
  <si>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</si>
  <si>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</si>
  <si>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</si>
  <si>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</si>
  <si>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</si>
  <si>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</si>
  <si>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</si>
  <si>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</si>
  <si>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</si>
  <si>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</si>
  <si>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</si>
  <si>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</si>
  <si>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</si>
  <si>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</si>
  <si>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</si>
  <si>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</si>
  <si>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</si>
  <si>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</si>
  <si>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</si>
  <si>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</si>
  <si>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</si>
  <si>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</si>
  <si>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</si>
  <si>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</si>
  <si>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</si>
  <si>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</si>
  <si>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</si>
  <si>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</si>
  <si>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</si>
  <si>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</si>
  <si>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</si>
  <si>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</si>
  <si>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</si>
  <si>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</si>
  <si>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</si>
  <si>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</si>
  <si>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</si>
  <si>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</si>
  <si>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</si>
  <si>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</si>
  <si>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</si>
  <si>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</si>
  <si>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</si>
  <si>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</si>
  <si>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</si>
  <si>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</si>
  <si>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</si>
  <si>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</si>
  <si>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</si>
  <si>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</si>
  <si>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</si>
  <si>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</si>
  <si>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</si>
  <si>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</si>
  <si>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</si>
  <si>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</si>
  <si>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</si>
  <si>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</si>
  <si>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</si>
  <si>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</si>
  <si>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</si>
  <si>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</si>
  <si>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</si>
  <si>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</si>
  <si>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NCAP_CHPR~FX~0</t>
  </si>
  <si>
    <t>PRC_ACTFLO~2020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</si>
  <si>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</si>
  <si>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</si>
  <si>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</si>
  <si>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</si>
  <si>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</si>
  <si>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</si>
  <si>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</si>
  <si>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</si>
  <si>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</si>
  <si>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</si>
  <si>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</si>
  <si>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</si>
  <si>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</si>
  <si>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</si>
  <si>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</si>
  <si>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</si>
  <si>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</si>
  <si>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</si>
  <si>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</si>
  <si>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</si>
  <si>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</si>
  <si>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</si>
  <si>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</si>
  <si>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</si>
  <si>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</si>
  <si>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</si>
  <si>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</si>
  <si>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</si>
  <si>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</si>
  <si>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</si>
  <si>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</si>
  <si>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</si>
  <si>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</si>
  <si>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</si>
  <si>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</si>
  <si>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</si>
  <si>
    <t>NCAP_BND~0</t>
  </si>
  <si>
    <t>PrimaryCG</t>
  </si>
  <si>
    <t>COAL:hfo SHARE</t>
  </si>
  <si>
    <t>FLO_SHAR~FX</t>
  </si>
  <si>
    <t>FLO_SHAR~FX~0</t>
  </si>
  <si>
    <t>16 Oct. 2023</t>
  </si>
  <si>
    <t>Added a 'flo_shar' to regulate the coal &amp; ohf consumption in the boiler</t>
  </si>
  <si>
    <t>6 Nov. 2023</t>
  </si>
  <si>
    <t>Fixing the P&amp;P VAR_ACT (for MCH-N) &amp; CAP-NEW (DIS-N)</t>
  </si>
  <si>
    <t>Worship music</t>
  </si>
  <si>
    <t>Total (cons.)</t>
  </si>
  <si>
    <t>Corrugating material/container board</t>
  </si>
  <si>
    <t>Exports (tons)</t>
  </si>
  <si>
    <t>Imports (tons)</t>
  </si>
  <si>
    <t>Total received by recycling mills</t>
  </si>
  <si>
    <t>% recycled paper fibre for tissues/packaging paper/tissue</t>
  </si>
  <si>
    <t>Paper recycling rate (diverted from landfill as % of available paper)</t>
  </si>
  <si>
    <t>https://thepaperstory.co.za/wp-content/uploads/2023/07/PAMSA-Recycling-Stats-2022.pdf</t>
  </si>
  <si>
    <t>https://thepaperstory.co.za/wp-content/uploads/2023/05/PAMSA-Recycling-Summary-2021.pdf</t>
  </si>
  <si>
    <t>Total (imp.)</t>
  </si>
  <si>
    <t>Total (exp.)</t>
  </si>
  <si>
    <t>Total (prod.)</t>
  </si>
  <si>
    <t>https://thepaperstory.co.za/wp-content/uploads/2021/12/2020-Paper-Recycling-stats-August-2021.pdf</t>
  </si>
  <si>
    <t>https://thepaperstory.co.za/wp-content/uploads/2022/09/SA-Recycling-Statistics-2019.pdf</t>
  </si>
  <si>
    <t>https://thepaperstory.co.za/wp-content/uploads/2021/08/SA-Recycling-Statistics-2018.pdf</t>
  </si>
  <si>
    <t>https://thepaperstory.co.za/wp-content/uploads/2021/01/PAMSA-stats-report-2017-final.pdf</t>
  </si>
  <si>
    <t>Other paper &amp; board paper</t>
  </si>
  <si>
    <t>The paper story (PAMSA)</t>
  </si>
  <si>
    <t>Mechanical Pulp</t>
  </si>
  <si>
    <t xml:space="preserve">Chemical Pulp </t>
  </si>
  <si>
    <t>Pulping (tons)</t>
  </si>
  <si>
    <t>Semi-chemical Pulp</t>
  </si>
  <si>
    <t>Dissolving wood Pulp</t>
  </si>
  <si>
    <t>https://thepaperstory.co.za/wp-content/uploads/2023/07/PAMSA-production-report-2022.pdf</t>
  </si>
  <si>
    <t>https://thepaperstory.co.za/wp-content/uploads/2023/04/PAMSA-Report-2021-scaled.jpg</t>
  </si>
  <si>
    <t>https://thepaperstory.co.za/wp-content/uploads/2023/10/2020-pamsa-report-cover.webp</t>
  </si>
  <si>
    <t>https://thepaperstory.co.za/wp-content/uploads/2023/04/Screenshot-2023-04-25-at-09.54.26.png</t>
  </si>
  <si>
    <t>https://thepaperstory.co.za/wp-content/uploads/2021/01/PAMSA-2018-Industry-Statistics-Summary-edited.pdf</t>
  </si>
  <si>
    <t>Sector contribution to GDP</t>
  </si>
  <si>
    <t>Total contribution to SA GDP</t>
  </si>
  <si>
    <t>Forestry/Paper (to manufacturing GDP)</t>
  </si>
  <si>
    <t>Forestry/Paper (to agricultural GDP)</t>
  </si>
  <si>
    <t>https://thepaperstory.co.za/wp-content/uploads/2021/01/2019-PAMSA-Annual-report-FINAL.pdf</t>
  </si>
  <si>
    <t>MAT</t>
  </si>
  <si>
    <t>IPPBIP</t>
  </si>
  <si>
    <t>Biomass for pulping</t>
  </si>
  <si>
    <t>14 Nov. 2023</t>
  </si>
  <si>
    <t>P&amp;P addition of BIP commodity to regulate biomass use (for utilisation in the pulping section)</t>
  </si>
  <si>
    <t>Recovered paper as of recoverable paper (%)</t>
  </si>
  <si>
    <t>mpact</t>
  </si>
  <si>
    <t>REF</t>
  </si>
  <si>
    <t>MCH pulp</t>
  </si>
  <si>
    <t>CHE pulp</t>
  </si>
  <si>
    <t>Ratio of biomass to pulp</t>
  </si>
  <si>
    <t>Biomass to pulp energy share</t>
  </si>
  <si>
    <t xml:space="preserve">Share of biomass use per pulp </t>
  </si>
  <si>
    <t>mt cons wood.</t>
  </si>
  <si>
    <t xml:space="preserve">PJ*mt cons. Biomass </t>
  </si>
  <si>
    <t>Softwood (Ton)</t>
  </si>
  <si>
    <t>Hardwood (ton)</t>
  </si>
  <si>
    <t>TOTALS</t>
  </si>
  <si>
    <t>units</t>
  </si>
  <si>
    <t>https://iea-etsap.org/E-TechDS/PDF/I07_Pulp&amp;Paper_May2015OK.pdf</t>
  </si>
  <si>
    <t>A new large-scale chemical pulp mill with an annual pulp production of around 1.4 million tons can cost around 2.5 billion USD if built from the ground up, i.e. being a socalled “greenfield” investment [10].</t>
  </si>
  <si>
    <t>It has been suggested that a pulp mill greenfield investment requires 50% equity to survive the market cycle. In practice, this implies that only a few top pulp and paper producers of the world have the resources and commercial interest to pull off a project of this kind [10].</t>
  </si>
  <si>
    <t>As can be seen, the specific investment costs (investment cost per capacity) are around 1500-2000 USD per annual production (ton/year). Cost differences are due to sitespecific conditions, such as whether hard or soft wood feedstock is used.</t>
  </si>
  <si>
    <t>A bleached market pulp mill can be said to consist of six major process areas: wood yard, pulp mill, chemical preparation, pulp dryer, causticizing &amp; lime kiln, power and recovery, water &amp; waste water treatment; and two non-process areas: non-process building area and the mill general area. The largest capital cost in a pulp mill is the power generation and chemical recovery area accounting for about a third of the capital cost [12].</t>
  </si>
  <si>
    <t>As for most capital-intensive industries, economies of scale apply in the PPI. This implies that specific investment cost decrease with larger mill sizes (within reasonable limits and with other things equal). For investments calculations related to the pulp and pulp industry, a scale factor (R) of 0.6-0.7 expressing the relation between investment cost and size as a power function exponent, according to (Cost/Costbase)=(Size/Sizebase) R , is often used (see, e.g., [2]).</t>
  </si>
  <si>
    <t>https://bea.saeon.ac.za/biomass-in-context/</t>
  </si>
  <si>
    <t>Pulpwood – 12.464 Million m3</t>
  </si>
  <si>
    <t>https://www.nbi.org.za/wp-content/uploads/2023/09/NBI-Chapter-5-Decarbonising-the-AFOLU-Sector.pdf</t>
  </si>
  <si>
    <t xml:space="preserve">Global and local demand for pulpwood will be driven by e-commerce paper packaging demand and dissolving pulp demand for cellulosic fibres to produce textile fabrics. </t>
  </si>
  <si>
    <t xml:space="preserve">Pulpwood demand is projected to increase by 80–113% in South Africa and globally, by 2050, presenting further export opportunity for South Africa’s developed pulpwood sector. </t>
  </si>
  <si>
    <t xml:space="preserve">Similarly, strong growth is likely to be seen for timber, as structural timber emerges as a lower emissions building material. </t>
  </si>
  <si>
    <t>Locally, sawlog and veneer log demand is projected to grow 60% in a low demand scenario (in line with historic trends) and over 400% in a high demand scenario (in which South African structural timber demand per capita reaches current Australian levels).</t>
  </si>
  <si>
    <t>https://www.statssa.gov.za/publications/12-00-00/12-00-002020.pdf</t>
  </si>
  <si>
    <t>Technologies</t>
  </si>
  <si>
    <t>Type</t>
  </si>
  <si>
    <t xml:space="preserve">Chemical </t>
  </si>
  <si>
    <t>Semi-Chemical</t>
  </si>
  <si>
    <t>Thermo-mechanical</t>
  </si>
  <si>
    <t>Paper manufacturing</t>
  </si>
  <si>
    <t>Kraft paper-board</t>
  </si>
  <si>
    <t>Energy Use</t>
  </si>
  <si>
    <t>PJ/mt</t>
  </si>
  <si>
    <t>https://www.sciencedirect.com/science/article/pii/S1876610217351512?ref=pdf_download&amp;fr=RR-2&amp;rr=82e2097e4b7e4925</t>
  </si>
  <si>
    <t>https://theconiferous.com/blog/how-much-pulp-constitutes-to-the-pricing-of-tissue-amongst-other-products/</t>
  </si>
  <si>
    <t>The cost of pulp is taken assuming 10% duty and USD 50 to transport the pulp from port to mill. The international pulp price we see or read about is only delivered seaport prices.</t>
  </si>
  <si>
    <t>This is an average cost borne by most mills whilst pulp makes up USD 688 of the cost, it is only  62.54% of the cost. The remaining cost comprises of factors that haven’t shown much reprieve in the last one year.</t>
  </si>
  <si>
    <t xml:space="preserve"> Pre-Covid, the manufacturing cost of the mill used to be calculated as Pulp + USD 250 PMT; however, Post-Covid, the same should be seen as Pulp + USD 310 PMT  to arrive at a weighted average cost of the mill.</t>
  </si>
  <si>
    <t xml:space="preserve">However, if the mill does not make a profit why would it invest millions in the machine? A single machine standalone Tissue Machine would cost between USD  65 – 100  Million,  and imagine the interest on the same, and the ROI expected by the promoters. </t>
  </si>
  <si>
    <t xml:space="preserve">The cost of interest on a USD 65  million loan on a period of 5 years would be close to USD 19.5 Million, which would amount to around USD 4 Million. Thus a Tissue Plant that produces roughly 100 MT day would have a financial impact of just interest, let alone depreciation at USD  110  PMT. </t>
  </si>
  <si>
    <t>This would give you perspective on the complications faced by the mills.</t>
  </si>
  <si>
    <t>NCAP_COST 2022 (NEW)</t>
  </si>
  <si>
    <t>Chem. Pulping</t>
  </si>
  <si>
    <t>STM?</t>
  </si>
  <si>
    <t>Gas CHP_2</t>
  </si>
  <si>
    <t>Dissolved pulp</t>
  </si>
  <si>
    <t>Elc-Stm</t>
  </si>
  <si>
    <t>Mech. Pulping</t>
  </si>
  <si>
    <t>Paper Rec.</t>
  </si>
  <si>
    <t>Biomass STM</t>
  </si>
  <si>
    <t>Black LQR STM</t>
  </si>
  <si>
    <t>Coal STM</t>
  </si>
  <si>
    <t>Gas STM</t>
  </si>
  <si>
    <t>Oil STM</t>
  </si>
  <si>
    <t>Investment costs</t>
  </si>
  <si>
    <t>XIPPELC</t>
  </si>
  <si>
    <t>Primary Commodity Utilisation</t>
  </si>
  <si>
    <t>Consuumption Demand Commodtitees</t>
  </si>
  <si>
    <t>Then adjust to match known data from 2017 onwards.</t>
  </si>
  <si>
    <t xml:space="preserve">Joseph, Dec 2023: This is the new calibration for the 2017 EB methodology. </t>
  </si>
  <si>
    <t>Paper recovery</t>
  </si>
  <si>
    <t>Tech simplification</t>
  </si>
  <si>
    <t>Com simplification</t>
  </si>
  <si>
    <t>Pulp wood</t>
  </si>
  <si>
    <t>Paper utilisation</t>
  </si>
  <si>
    <t>Energy use unit cost</t>
  </si>
  <si>
    <t>R/mt or R/PJ</t>
  </si>
  <si>
    <t>https://www.ceicdata.com/en/south-africa/foreign-exchange-rates-annual#:~:text=International%20Monetary%20Fund-,ZA%3A%20Official%20Rate%3A%20Period%20Average%3A%20National%20Currency%20per%20USD,14.710%20ZAR%2FUSD%20for%202016.</t>
  </si>
  <si>
    <t>"Greenfield"</t>
  </si>
  <si>
    <t>US$/t.yr</t>
  </si>
  <si>
    <t>R/t.yr</t>
  </si>
  <si>
    <t>Power Gen. and chem. Pulping costs</t>
  </si>
  <si>
    <t>Turbine (STM to ELC) BPST</t>
  </si>
  <si>
    <t>Turbine (STM to ELC) Condensing</t>
  </si>
  <si>
    <t>STM Heat exchanger</t>
  </si>
  <si>
    <t xml:space="preserve">THM Heat exchanger </t>
  </si>
  <si>
    <t>Heat Pump</t>
  </si>
  <si>
    <t>BLGCC</t>
  </si>
  <si>
    <t>BLGMF</t>
  </si>
  <si>
    <t>Lignin extraction  plant</t>
  </si>
  <si>
    <t>Fuel Use (direct)</t>
  </si>
  <si>
    <t>For Steam Gen.</t>
  </si>
  <si>
    <t>Steam Use (Excl backpressure power gen.).</t>
  </si>
  <si>
    <t>Electricity use</t>
  </si>
  <si>
    <t>Total energy use</t>
  </si>
  <si>
    <t>Steam geeneration efficieincy</t>
  </si>
  <si>
    <t>Energy Use (units)</t>
  </si>
  <si>
    <t>For backpressure Power Gen.</t>
  </si>
  <si>
    <t>Price (bilion US$/mt.yr)</t>
  </si>
  <si>
    <t>ZAR-US$ (2015) exchange</t>
  </si>
  <si>
    <t>Conversion Price (billion ZAR/mt.yr)</t>
  </si>
  <si>
    <t>mZAR/PJ.yr</t>
  </si>
  <si>
    <t>New costs (NCAP_COST)</t>
  </si>
  <si>
    <t>Coal-fired</t>
  </si>
  <si>
    <t>Gas-fired</t>
  </si>
  <si>
    <t>Biomass-fired</t>
  </si>
  <si>
    <t>Black-liquor fired</t>
  </si>
  <si>
    <t>HFO/Diesel powered</t>
  </si>
  <si>
    <t>total eqp</t>
  </si>
  <si>
    <t>turb only</t>
  </si>
  <si>
    <t>INV</t>
  </si>
  <si>
    <t>VOM</t>
  </si>
  <si>
    <t>FOM</t>
  </si>
  <si>
    <t>R/KWh</t>
  </si>
  <si>
    <t>R/MWh</t>
  </si>
  <si>
    <t>R/KW/yr</t>
  </si>
  <si>
    <t>$/KWh</t>
  </si>
  <si>
    <t>References</t>
  </si>
  <si>
    <t>$/MWh</t>
  </si>
  <si>
    <t>2015 ZAR conv</t>
  </si>
  <si>
    <t>Coal (PF)</t>
  </si>
  <si>
    <t>US$2018</t>
  </si>
  <si>
    <t>IEA</t>
  </si>
  <si>
    <t>Coal (CCS)</t>
  </si>
  <si>
    <t>Ngas (OC)</t>
  </si>
  <si>
    <t>Ngas (CC)</t>
  </si>
  <si>
    <t>Solar PV</t>
  </si>
  <si>
    <t>Wind</t>
  </si>
  <si>
    <t>CHP R/Gja</t>
  </si>
  <si>
    <t>R/Gja</t>
  </si>
  <si>
    <t>ZAR 2018</t>
  </si>
  <si>
    <t>PRC_ACTFLO~2021</t>
  </si>
  <si>
    <t>BPST</t>
  </si>
  <si>
    <t>steam to elc</t>
  </si>
  <si>
    <r>
      <rPr>
        <sz val="11"/>
        <color theme="1"/>
        <rFont val="Calibri"/>
        <family val="2"/>
      </rPr>
      <t>€</t>
    </r>
    <r>
      <rPr>
        <sz val="11"/>
        <color theme="1"/>
        <rFont val="Calibri"/>
        <family val="2"/>
        <scheme val="minor"/>
      </rPr>
      <t>/Gja</t>
    </r>
  </si>
  <si>
    <t>CEST</t>
  </si>
  <si>
    <t>US$2019</t>
  </si>
  <si>
    <t>OCGT</t>
  </si>
  <si>
    <t>US$2020</t>
  </si>
  <si>
    <t>BIG-CC</t>
  </si>
  <si>
    <t>US$2021</t>
  </si>
  <si>
    <t>$/KW/yr</t>
  </si>
  <si>
    <t>IPPELCSTM-N</t>
  </si>
  <si>
    <t>Steam to elec New</t>
  </si>
  <si>
    <t>FLO_MARK</t>
  </si>
  <si>
    <t>FLO_MARK~UP~0</t>
  </si>
  <si>
    <t>FLO_MARK~UP~2017</t>
  </si>
  <si>
    <t>FLO_MARK~LO~2017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</si>
</sst>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0">
    <numFmt numFmtId="43" formatCode="_(* #,##0.00_);_(* \(#,##0.00\);_(* &quot;-&quot;??_);_(@_)"/>
    <numFmt numFmtId="164" formatCode="_-* #,##0.00_-;\-* #,##0.00_-;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 numFmtId="180" formatCode="_(* #,##0.0_);_(* \(#,##0.0\);_(* &quot;-&quot;??_);_(@_)"/>
    <numFmt numFmtId="181" formatCode="_(* #,##0.0000000_);_(* \(#,##0.0000000\);_(* &quot;-&quot;??_);_(@_)"/>
    <numFmt numFmtId="182" formatCode="[$€-2]\ #,##0;[Red]\-[$€-2]\ #,##0"/>
  </numFmts>
  <fonts count="132"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
      <sz val="10"/>
      <name val="Arial"/>
      <family val="2"/>
    </font>
    <font>
      <u/>
      <sz val="10"/>
      <color indexed="12"/>
      <name val="Arial"/>
      <family val="2"/>
    </font>
    <font>
      <sz val="11"/>
      <color theme="1"/>
      <name val="Arial"/>
      <family val="2"/>
    </font>
    <font>
      <u/>
      <sz val="10"/>
      <color theme="10"/>
      <name val="Arial"/>
      <family val="2"/>
    </font>
    <font>
      <sz val="11"/>
      <color rgb="FF0070C0"/>
      <name val="Calibri"/>
      <family val="2"/>
    </font>
    <font>
      <sz val="8"/>
      <color rgb="FF0070C0"/>
      <name val="Arial"/>
      <family val="2"/>
    </font>
    <font>
      <sz val="11"/>
      <color rgb="FF0070C0"/>
      <name val="Arial"/>
      <family val="2"/>
    </font>
    <font>
      <sz val="12"/>
      <color rgb="FFFF0000"/>
      <name val="Arial"/>
      <family val="2"/>
    </font>
    <font>
      <sz val="11"/>
      <color theme="4" tint="-0.249977111117893"/>
      <name val="Calibri"/>
      <family val="2"/>
      <scheme val="minor"/>
    </font>
    <font>
      <b/>
      <sz val="11"/>
      <color rgb="FF0070C0"/>
      <name val="Calibri"/>
      <family val="2"/>
      <scheme val="minor"/>
    </font>
    <font>
      <b/>
      <u/>
      <sz val="11"/>
      <color rgb="FF0070C0"/>
      <name val="Calibri"/>
      <family val="2"/>
      <scheme val="minor"/>
    </font>
    <font>
      <sz val="10"/>
      <name val="Arial"/>
    </font>
    <font>
      <b/>
      <sz val="12"/>
      <name val="Arial"/>
      <family val="2"/>
    </font>
    <font>
      <sz val="10"/>
      <color rgb="FF0070C0"/>
      <name val="Arial"/>
    </font>
    <font>
      <b/>
      <sz val="8"/>
      <color rgb="FFFF0000"/>
      <name val="Arial"/>
      <family val="2"/>
    </font>
  </fonts>
  <fills count="37">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
      <patternFill patternType="solid">
        <fgColor rgb="FFFFF2CC"/>
        <bgColor indexed="64"/>
      </patternFill>
    </fill>
    <fill>
      <patternFill patternType="solid">
        <fgColor rgb="FFFFFFFF"/>
        <bgColor indexed="64"/>
      </patternFill>
    </fill>
    <fill>
      <patternFill patternType="solid">
        <fgColor rgb="FFFFFFCC"/>
      </patternFill>
    </fill>
    <fill>
      <patternFill patternType="solid">
        <fgColor theme="7" tint="-0.24994659260841701"/>
        <bgColor indexed="64"/>
      </patternFill>
    </fill>
  </fills>
  <borders count="90">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
      <left style="thin">
        <color indexed="64"/>
      </left>
      <right style="thin">
        <color rgb="FF0070C0"/>
      </right>
      <top/>
      <bottom/>
      <diagonal/>
    </border>
    <border>
      <left style="thin">
        <color indexed="64"/>
      </left>
      <right style="thin">
        <color rgb="FF0070C0"/>
      </right>
      <top/>
      <bottom style="thin">
        <color indexed="64"/>
      </bottom>
      <diagonal/>
    </border>
    <border>
      <left style="thin">
        <color indexed="64"/>
      </left>
      <right style="thin">
        <color rgb="FF0070C0"/>
      </right>
      <top/>
      <bottom style="medium">
        <color rgb="FFFF0000"/>
      </bottom>
      <diagonal/>
    </border>
    <border>
      <left style="thin">
        <color indexed="64"/>
      </left>
      <right style="thin">
        <color rgb="FF0070C0"/>
      </right>
      <top style="thin">
        <color indexed="64"/>
      </top>
      <bottom style="thin">
        <color indexed="64"/>
      </bottom>
      <diagonal/>
    </border>
    <border>
      <left/>
      <right style="thin">
        <color indexed="64"/>
      </right>
      <top/>
      <bottom style="thin">
        <color rgb="FF0070C0"/>
      </bottom>
      <diagonal/>
    </border>
    <border>
      <left style="thin">
        <color rgb="FF0070C0"/>
      </left>
      <right/>
      <top style="thin">
        <color indexed="64"/>
      </top>
      <bottom style="thin">
        <color rgb="FF0070C0"/>
      </bottom>
      <diagonal/>
    </border>
    <border>
      <left/>
      <right/>
      <top style="thin">
        <color indexed="64"/>
      </top>
      <bottom style="thin">
        <color rgb="FF0070C0"/>
      </bottom>
      <diagonal/>
    </border>
    <border>
      <left/>
      <right style="thin">
        <color indexed="64"/>
      </right>
      <top style="thin">
        <color indexed="64"/>
      </top>
      <bottom style="thin">
        <color rgb="FF0070C0"/>
      </bottom>
      <diagonal/>
    </border>
    <border>
      <left style="thin">
        <color indexed="64"/>
      </left>
      <right style="thin">
        <color rgb="FF0070C0"/>
      </right>
      <top/>
      <bottom style="thin">
        <color rgb="FF0070C0"/>
      </bottom>
      <diagonal/>
    </border>
    <border>
      <left style="thin">
        <color rgb="FF0070C0"/>
      </left>
      <right style="thin">
        <color rgb="FF0070C0"/>
      </right>
      <top style="thin">
        <color rgb="FF0070C0"/>
      </top>
      <bottom style="thin">
        <color rgb="FF0070C0"/>
      </bottom>
      <diagonal/>
    </border>
    <border>
      <left style="thin">
        <color indexed="64"/>
      </left>
      <right style="thin">
        <color indexed="64"/>
      </right>
      <top style="medium">
        <color rgb="FFFF0000"/>
      </top>
      <bottom/>
      <diagonal/>
    </border>
    <border>
      <left style="thin">
        <color rgb="FFB2B2B2"/>
      </left>
      <right style="thin">
        <color rgb="FFB2B2B2"/>
      </right>
      <top style="thin">
        <color rgb="FFB2B2B2"/>
      </top>
      <bottom style="thin">
        <color rgb="FFB2B2B2"/>
      </bottom>
      <diagonal/>
    </border>
    <border>
      <left/>
      <right/>
      <top style="thin">
        <color rgb="FF000000"/>
      </top>
      <bottom/>
      <diagonal/>
    </border>
  </borders>
  <cellStyleXfs count="6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8" borderId="0" applyNumberFormat="0" applyBorder="0" applyAlignment="0" applyProtection="0"/>
    <xf numFmtId="164" fontId="1" fillId="0" borderId="0" applyFont="0" applyFill="0" applyBorder="0" applyAlignment="0" applyProtection="0"/>
    <xf numFmtId="0" fontId="78" fillId="18" borderId="0" applyNumberFormat="0" applyBorder="0" applyAlignment="0" applyProtection="0"/>
    <xf numFmtId="0" fontId="79" fillId="8" borderId="0" applyNumberFormat="0" applyBorder="0" applyAlignment="0" applyProtection="0"/>
    <xf numFmtId="0" fontId="80" fillId="0" borderId="0" applyNumberFormat="0" applyFill="0" applyBorder="0" applyAlignment="0" applyProtection="0"/>
    <xf numFmtId="0" fontId="78" fillId="19" borderId="0" applyNumberFormat="0" applyBorder="0" applyAlignment="0" applyProtection="0"/>
    <xf numFmtId="0" fontId="79" fillId="17" borderId="0" applyNumberFormat="0" applyBorder="0" applyAlignment="0" applyProtection="0"/>
    <xf numFmtId="0" fontId="82" fillId="16" borderId="0" applyNumberFormat="0" applyBorder="0" applyAlignment="0" applyProtection="0"/>
    <xf numFmtId="0" fontId="83" fillId="0" borderId="45" applyNumberFormat="0" applyFill="0" applyAlignment="0" applyProtection="0"/>
    <xf numFmtId="0" fontId="84" fillId="0" borderId="0" applyNumberFormat="0" applyFill="0" applyBorder="0" applyAlignment="0" applyProtection="0"/>
    <xf numFmtId="0" fontId="1" fillId="19"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0" fontId="117" fillId="0" borderId="0"/>
    <xf numFmtId="0" fontId="12" fillId="0" borderId="0"/>
    <xf numFmtId="0" fontId="1" fillId="0" borderId="0"/>
    <xf numFmtId="0" fontId="12" fillId="0" borderId="0"/>
    <xf numFmtId="43"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2" fillId="0" borderId="0"/>
    <xf numFmtId="0" fontId="1" fillId="0" borderId="0"/>
    <xf numFmtId="0" fontId="118" fillId="0" borderId="0" applyNumberFormat="0" applyFill="0" applyBorder="0" applyAlignment="0" applyProtection="0">
      <alignment vertical="top"/>
      <protection locked="0"/>
    </xf>
    <xf numFmtId="9" fontId="1" fillId="0" borderId="0" applyFont="0" applyFill="0" applyBorder="0" applyAlignment="0" applyProtection="0"/>
    <xf numFmtId="0" fontId="119" fillId="0" borderId="0"/>
    <xf numFmtId="164" fontId="119" fillId="0" borderId="0" applyFont="0" applyFill="0" applyBorder="0" applyAlignment="0" applyProtection="0"/>
    <xf numFmtId="43" fontId="1" fillId="0" borderId="0" applyFont="0" applyFill="0" applyBorder="0" applyAlignment="0" applyProtection="0"/>
    <xf numFmtId="9" fontId="119" fillId="0" borderId="0" applyFont="0" applyFill="0" applyBorder="0" applyAlignment="0" applyProtection="0"/>
    <xf numFmtId="9" fontId="1" fillId="0" borderId="0" applyFont="0" applyFill="0" applyBorder="0" applyAlignment="0" applyProtection="0"/>
    <xf numFmtId="164" fontId="12" fillId="0" borderId="0" applyFont="0" applyFill="0" applyBorder="0" applyAlignment="0" applyProtection="0"/>
    <xf numFmtId="9" fontId="1" fillId="0" borderId="0" applyFont="0" applyFill="0" applyBorder="0" applyAlignment="0" applyProtection="0"/>
    <xf numFmtId="0" fontId="120" fillId="0" borderId="0" applyNumberFormat="0" applyFill="0" applyBorder="0" applyAlignment="0" applyProtection="0"/>
    <xf numFmtId="0" fontId="128" fillId="0" borderId="0"/>
    <xf numFmtId="0" fontId="64" fillId="0" borderId="0"/>
    <xf numFmtId="0" fontId="1" fillId="35" borderId="88" applyNumberFormat="0" applyFont="0" applyAlignment="0" applyProtection="0"/>
    <xf numFmtId="0" fontId="1" fillId="36" borderId="0"/>
    <xf numFmtId="43" fontId="1" fillId="0" borderId="0" applyFont="0" applyFill="0" applyBorder="0" applyAlignment="0" applyProtection="0"/>
    <xf numFmtId="0" fontId="129" fillId="0" borderId="89" applyNumberFormat="0" applyFill="0" applyProtection="0">
      <alignment horizontal="center" vertical="center" wrapText="1"/>
    </xf>
    <xf numFmtId="9" fontId="12" fillId="0" borderId="0" applyFont="0" applyFill="0" applyBorder="0" applyAlignment="0" applyProtection="0"/>
    <xf numFmtId="0" fontId="1" fillId="0" borderId="0"/>
    <xf numFmtId="0" fontId="1" fillId="0" borderId="0"/>
  </cellStyleXfs>
  <cellXfs count="774">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6" xfId="9" applyBorder="1"/>
    <xf numFmtId="0" fontId="1" fillId="0" borderId="17" xfId="9" applyBorder="1" applyAlignment="1">
      <alignment horizontal="center"/>
    </xf>
    <xf numFmtId="0" fontId="1" fillId="0" borderId="11" xfId="9" applyBorder="1"/>
    <xf numFmtId="0" fontId="1" fillId="0" borderId="18" xfId="9" applyBorder="1" applyAlignment="1">
      <alignment horizontal="center"/>
    </xf>
    <xf numFmtId="0" fontId="1" fillId="0" borderId="19" xfId="9" applyBorder="1" applyAlignment="1">
      <alignment horizontal="center"/>
    </xf>
    <xf numFmtId="0" fontId="1" fillId="0" borderId="21" xfId="9" applyBorder="1" applyAlignment="1">
      <alignment horizontal="center"/>
    </xf>
    <xf numFmtId="0" fontId="1" fillId="0" borderId="21" xfId="9" applyBorder="1"/>
    <xf numFmtId="0" fontId="1" fillId="0" borderId="19" xfId="9" applyBorder="1"/>
    <xf numFmtId="0" fontId="1" fillId="0" borderId="17"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2" xfId="0" applyBorder="1"/>
    <xf numFmtId="0" fontId="0" fillId="0" borderId="23" xfId="0" applyBorder="1"/>
    <xf numFmtId="0" fontId="3" fillId="0" borderId="24"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43" fontId="0" fillId="0" borderId="0" xfId="1" applyFont="1"/>
    <xf numFmtId="164" fontId="0" fillId="6" borderId="0" xfId="0" applyNumberFormat="1" applyFill="1"/>
    <xf numFmtId="43" fontId="0" fillId="0" borderId="0" xfId="1" applyFont="1" applyFill="1" applyBorder="1"/>
    <xf numFmtId="0" fontId="0" fillId="0" borderId="8" xfId="0" applyBorder="1"/>
    <xf numFmtId="167" fontId="0" fillId="0" borderId="9" xfId="0" applyNumberFormat="1" applyBorder="1"/>
    <xf numFmtId="167" fontId="0" fillId="0" borderId="23" xfId="0" applyNumberFormat="1" applyBorder="1"/>
    <xf numFmtId="167" fontId="0" fillId="7" borderId="23" xfId="0" applyNumberFormat="1" applyFill="1" applyBorder="1"/>
    <xf numFmtId="167" fontId="0" fillId="0" borderId="11" xfId="0" applyNumberFormat="1" applyBorder="1"/>
    <xf numFmtId="0" fontId="0" fillId="6" borderId="0" xfId="0" applyFill="1"/>
    <xf numFmtId="164"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19" xfId="0" applyFont="1" applyBorder="1" applyAlignment="1">
      <alignment horizontal="center" vertical="center" wrapText="1"/>
    </xf>
    <xf numFmtId="0" fontId="0" fillId="0" borderId="21" xfId="0" applyBorder="1"/>
    <xf numFmtId="164" fontId="0" fillId="0" borderId="21" xfId="0" applyNumberFormat="1" applyBorder="1"/>
    <xf numFmtId="164" fontId="0" fillId="0" borderId="19" xfId="0" applyNumberFormat="1" applyBorder="1"/>
    <xf numFmtId="3" fontId="0" fillId="0" borderId="22" xfId="0" applyNumberFormat="1" applyBorder="1"/>
    <xf numFmtId="0" fontId="12" fillId="0" borderId="23"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5" xfId="7" applyNumberFormat="1" applyFont="1" applyBorder="1" applyAlignment="1">
      <alignment horizontal="center" vertical="top" shrinkToFit="1"/>
    </xf>
    <xf numFmtId="1" fontId="36" fillId="0" borderId="25" xfId="7" applyNumberFormat="1" applyFont="1" applyBorder="1" applyAlignment="1">
      <alignment horizontal="center" vertical="top" shrinkToFit="1"/>
    </xf>
    <xf numFmtId="0" fontId="37" fillId="0" borderId="25" xfId="7" applyFont="1" applyBorder="1" applyAlignment="1">
      <alignment horizontal="center" vertical="top" wrapText="1"/>
    </xf>
    <xf numFmtId="1" fontId="38" fillId="0" borderId="25"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2" xfId="7" applyFont="1" applyBorder="1"/>
    <xf numFmtId="0" fontId="12" fillId="0" borderId="0" xfId="7" applyAlignment="1">
      <alignment horizontal="right"/>
    </xf>
    <xf numFmtId="0" fontId="41" fillId="0" borderId="0" xfId="7" applyFont="1" applyAlignment="1">
      <alignment horizontal="left" vertical="top"/>
    </xf>
    <xf numFmtId="0" fontId="12" fillId="0" borderId="19" xfId="7" applyBorder="1"/>
    <xf numFmtId="0" fontId="12" fillId="0" borderId="18" xfId="7" applyBorder="1"/>
    <xf numFmtId="0" fontId="44" fillId="0" borderId="26" xfId="7" applyFont="1" applyBorder="1" applyAlignment="1">
      <alignment horizontal="left" vertical="center" wrapText="1"/>
    </xf>
    <xf numFmtId="0" fontId="12" fillId="0" borderId="12" xfId="7" applyBorder="1"/>
    <xf numFmtId="0" fontId="44" fillId="0" borderId="27" xfId="7" applyFont="1" applyBorder="1" applyAlignment="1">
      <alignment horizontal="left" vertical="center" wrapText="1"/>
    </xf>
    <xf numFmtId="0" fontId="44" fillId="0" borderId="28" xfId="7" applyFont="1" applyBorder="1" applyAlignment="1">
      <alignment horizontal="left" vertical="center" wrapText="1"/>
    </xf>
    <xf numFmtId="0" fontId="44" fillId="0" borderId="29"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3" xfId="7" applyBorder="1"/>
    <xf numFmtId="0" fontId="12" fillId="0" borderId="22"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19" xfId="19" applyFont="1" applyBorder="1"/>
    <xf numFmtId="0" fontId="8" fillId="0" borderId="18" xfId="19" applyFont="1" applyBorder="1"/>
    <xf numFmtId="0" fontId="8" fillId="0" borderId="20" xfId="19" applyFont="1" applyBorder="1"/>
    <xf numFmtId="4" fontId="47" fillId="0" borderId="18" xfId="19" applyNumberFormat="1" applyFont="1" applyBorder="1"/>
    <xf numFmtId="3" fontId="47" fillId="0" borderId="18" xfId="19" applyNumberFormat="1" applyFont="1" applyBorder="1"/>
    <xf numFmtId="0" fontId="47" fillId="0" borderId="18" xfId="19" applyFont="1" applyBorder="1"/>
    <xf numFmtId="0" fontId="47" fillId="10" borderId="18" xfId="19" applyFont="1" applyFill="1" applyBorder="1"/>
    <xf numFmtId="0" fontId="1" fillId="11" borderId="0" xfId="19" applyFill="1"/>
    <xf numFmtId="0" fontId="7" fillId="0" borderId="0" xfId="19" applyFont="1"/>
    <xf numFmtId="0" fontId="26" fillId="0" borderId="0" xfId="19" applyFont="1"/>
    <xf numFmtId="3" fontId="47" fillId="0" borderId="25" xfId="19" applyNumberFormat="1" applyFont="1" applyBorder="1"/>
    <xf numFmtId="0" fontId="48" fillId="6" borderId="0" xfId="19" applyFont="1" applyFill="1"/>
    <xf numFmtId="11" fontId="47" fillId="0" borderId="25" xfId="19" applyNumberFormat="1" applyFont="1" applyBorder="1"/>
    <xf numFmtId="0" fontId="47" fillId="6" borderId="0" xfId="19" applyFont="1" applyFill="1"/>
    <xf numFmtId="0" fontId="49" fillId="0" borderId="18" xfId="19" applyFont="1" applyBorder="1"/>
    <xf numFmtId="0" fontId="47" fillId="0" borderId="18" xfId="19" applyFont="1" applyBorder="1" applyAlignment="1">
      <alignment horizontal="left" indent="2"/>
    </xf>
    <xf numFmtId="169" fontId="49" fillId="0" borderId="18" xfId="19" applyNumberFormat="1" applyFont="1" applyBorder="1"/>
    <xf numFmtId="0" fontId="47" fillId="0" borderId="0" xfId="19" applyFont="1"/>
    <xf numFmtId="2" fontId="49" fillId="0" borderId="18" xfId="19" applyNumberFormat="1" applyFont="1" applyBorder="1"/>
    <xf numFmtId="0" fontId="49" fillId="0" borderId="18" xfId="19" applyFont="1" applyBorder="1" applyAlignment="1">
      <alignment horizontal="right"/>
    </xf>
    <xf numFmtId="166" fontId="49" fillId="0" borderId="18" xfId="19" applyNumberFormat="1" applyFont="1" applyBorder="1"/>
    <xf numFmtId="11" fontId="47" fillId="0" borderId="18" xfId="19" applyNumberFormat="1" applyFont="1" applyBorder="1"/>
    <xf numFmtId="0" fontId="47" fillId="0" borderId="19" xfId="19" applyFont="1" applyBorder="1" applyAlignment="1">
      <alignment horizontal="center"/>
    </xf>
    <xf numFmtId="0" fontId="47" fillId="0" borderId="20" xfId="19" applyFont="1" applyBorder="1" applyAlignment="1">
      <alignment horizontal="center"/>
    </xf>
    <xf numFmtId="0" fontId="47" fillId="0" borderId="18" xfId="19" applyFont="1" applyBorder="1" applyAlignment="1">
      <alignment horizontal="center"/>
    </xf>
    <xf numFmtId="0" fontId="47" fillId="0" borderId="18" xfId="19" applyFont="1" applyBorder="1" applyAlignment="1">
      <alignment horizontal="right"/>
    </xf>
    <xf numFmtId="0" fontId="50" fillId="12" borderId="9" xfId="19" applyFont="1" applyFill="1" applyBorder="1" applyAlignment="1">
      <alignment horizontal="center"/>
    </xf>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3"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2"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164"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3"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0" xfId="0" applyNumberFormat="1" applyFont="1" applyBorder="1"/>
    <xf numFmtId="0" fontId="8" fillId="0" borderId="30" xfId="0" applyFont="1" applyBorder="1"/>
    <xf numFmtId="0" fontId="8" fillId="0" borderId="30" xfId="0" applyFont="1" applyBorder="1" applyAlignment="1">
      <alignment horizontal="center" vertical="center"/>
    </xf>
    <xf numFmtId="174" fontId="0" fillId="0" borderId="0" xfId="0" applyNumberFormat="1"/>
    <xf numFmtId="173" fontId="8" fillId="0" borderId="21" xfId="0" applyNumberFormat="1" applyFont="1" applyBorder="1"/>
    <xf numFmtId="0" fontId="8" fillId="0" borderId="21" xfId="0" applyFont="1" applyBorder="1"/>
    <xf numFmtId="0" fontId="59" fillId="0" borderId="0" xfId="0" applyFont="1"/>
    <xf numFmtId="173" fontId="8" fillId="0" borderId="0" xfId="0" applyNumberFormat="1" applyFont="1"/>
    <xf numFmtId="0" fontId="8" fillId="8" borderId="31" xfId="22" applyFont="1" applyBorder="1" applyAlignment="1">
      <alignment horizontal="center"/>
    </xf>
    <xf numFmtId="2" fontId="60" fillId="0" borderId="31" xfId="0" applyNumberFormat="1" applyFont="1" applyBorder="1"/>
    <xf numFmtId="0" fontId="1" fillId="8" borderId="31" xfId="22" applyFont="1" applyBorder="1" applyAlignment="1">
      <alignment horizontal="center"/>
    </xf>
    <xf numFmtId="0" fontId="60" fillId="0" borderId="0" xfId="0" applyFont="1"/>
    <xf numFmtId="173" fontId="8" fillId="0" borderId="0" xfId="21" applyNumberFormat="1" applyFont="1"/>
    <xf numFmtId="0" fontId="0" fillId="0" borderId="18" xfId="0" applyBorder="1"/>
    <xf numFmtId="1" fontId="0" fillId="0" borderId="18" xfId="0" applyNumberFormat="1" applyBorder="1"/>
    <xf numFmtId="0" fontId="0" fillId="11" borderId="18" xfId="0" applyFill="1" applyBorder="1"/>
    <xf numFmtId="0" fontId="62" fillId="0" borderId="18" xfId="0" applyFont="1" applyBorder="1"/>
    <xf numFmtId="0" fontId="63" fillId="0" borderId="18" xfId="0" applyFont="1" applyBorder="1"/>
    <xf numFmtId="1" fontId="63" fillId="0" borderId="18" xfId="0" applyNumberFormat="1" applyFont="1" applyBorder="1"/>
    <xf numFmtId="0" fontId="64" fillId="0" borderId="18" xfId="0"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8" fillId="0" borderId="0" xfId="0" applyFont="1"/>
    <xf numFmtId="1" fontId="47" fillId="0" borderId="18" xfId="0" applyNumberFormat="1" applyFont="1" applyBorder="1"/>
    <xf numFmtId="0" fontId="47" fillId="0" borderId="18" xfId="0" applyFont="1" applyBorder="1"/>
    <xf numFmtId="0" fontId="47" fillId="11" borderId="18" xfId="0" applyFont="1" applyFill="1" applyBorder="1"/>
    <xf numFmtId="0" fontId="0" fillId="10" borderId="18" xfId="0" applyFill="1" applyBorder="1"/>
    <xf numFmtId="0" fontId="69" fillId="0" borderId="0" xfId="0" applyFont="1"/>
    <xf numFmtId="0" fontId="70" fillId="0" borderId="0" xfId="0" applyFont="1"/>
    <xf numFmtId="0" fontId="71" fillId="0" borderId="0" xfId="0" applyFont="1"/>
    <xf numFmtId="0" fontId="51" fillId="13" borderId="0" xfId="0" applyFont="1" applyFill="1"/>
    <xf numFmtId="0" fontId="7" fillId="0" borderId="18" xfId="0" applyFont="1" applyBorder="1"/>
    <xf numFmtId="0" fontId="72" fillId="0" borderId="18" xfId="0" applyFont="1" applyBorder="1"/>
    <xf numFmtId="3" fontId="73" fillId="0" borderId="18" xfId="0" applyNumberFormat="1" applyFont="1" applyBorder="1"/>
    <xf numFmtId="1" fontId="7" fillId="0" borderId="18" xfId="0" applyNumberFormat="1" applyFont="1" applyBorder="1"/>
    <xf numFmtId="0" fontId="73" fillId="0" borderId="18" xfId="0" applyFont="1" applyBorder="1"/>
    <xf numFmtId="1" fontId="73" fillId="0" borderId="18" xfId="0" applyNumberFormat="1" applyFont="1" applyBorder="1"/>
    <xf numFmtId="0" fontId="74" fillId="0" borderId="0" xfId="0" applyFont="1"/>
    <xf numFmtId="0" fontId="7" fillId="0" borderId="0" xfId="0" applyFont="1" applyAlignment="1">
      <alignment wrapText="1"/>
    </xf>
    <xf numFmtId="0" fontId="35" fillId="0" borderId="35" xfId="7" applyFont="1" applyBorder="1" applyAlignment="1">
      <alignment horizontal="center" vertical="top" wrapText="1"/>
    </xf>
    <xf numFmtId="1" fontId="38" fillId="0" borderId="36" xfId="7" applyNumberFormat="1" applyFont="1" applyBorder="1" applyAlignment="1">
      <alignment horizontal="center" vertical="top" shrinkToFit="1"/>
    </xf>
    <xf numFmtId="1" fontId="35" fillId="0" borderId="35" xfId="7" applyNumberFormat="1" applyFont="1" applyBorder="1" applyAlignment="1">
      <alignment horizontal="center" vertical="top" shrinkToFit="1"/>
    </xf>
    <xf numFmtId="3" fontId="35" fillId="0" borderId="36"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3" fontId="35" fillId="0" borderId="39" xfId="7" applyNumberFormat="1" applyFont="1" applyBorder="1" applyAlignment="1">
      <alignment horizontal="center" vertical="top" shrinkToFit="1"/>
    </xf>
    <xf numFmtId="1" fontId="75" fillId="0" borderId="25" xfId="7" applyNumberFormat="1" applyFont="1" applyBorder="1" applyAlignment="1">
      <alignment horizontal="center" vertical="top" shrinkToFit="1"/>
    </xf>
    <xf numFmtId="3" fontId="73" fillId="0" borderId="25" xfId="7" applyNumberFormat="1" applyFont="1" applyBorder="1" applyAlignment="1">
      <alignment horizontal="center" vertical="top" shrinkToFit="1"/>
    </xf>
    <xf numFmtId="1" fontId="73" fillId="0" borderId="35" xfId="7" applyNumberFormat="1" applyFont="1" applyBorder="1" applyAlignment="1">
      <alignment horizontal="center" vertical="top" shrinkToFit="1"/>
    </xf>
    <xf numFmtId="3" fontId="73" fillId="0" borderId="36" xfId="7" applyNumberFormat="1" applyFont="1" applyBorder="1" applyAlignment="1">
      <alignment horizontal="center" vertical="top" shrinkToFit="1"/>
    </xf>
    <xf numFmtId="0" fontId="35" fillId="9" borderId="32" xfId="7" applyFont="1" applyFill="1" applyBorder="1" applyAlignment="1">
      <alignment horizontal="center" vertical="center" wrapText="1"/>
    </xf>
    <xf numFmtId="0" fontId="35" fillId="9" borderId="33" xfId="7" applyFont="1" applyFill="1" applyBorder="1" applyAlignment="1">
      <alignment horizontal="center" vertical="center" wrapText="1"/>
    </xf>
    <xf numFmtId="0" fontId="35" fillId="9" borderId="34" xfId="7" applyFont="1" applyFill="1" applyBorder="1" applyAlignment="1">
      <alignment horizontal="center" vertical="center" wrapText="1"/>
    </xf>
    <xf numFmtId="0" fontId="35" fillId="9" borderId="25" xfId="7" applyFont="1" applyFill="1" applyBorder="1" applyAlignment="1">
      <alignment horizontal="center" vertical="center" wrapText="1"/>
    </xf>
    <xf numFmtId="0" fontId="37" fillId="9" borderId="25" xfId="7" applyFont="1" applyFill="1" applyBorder="1" applyAlignment="1">
      <alignment horizontal="center" vertical="center" wrapText="1"/>
    </xf>
    <xf numFmtId="0" fontId="0" fillId="20" borderId="0" xfId="0" applyFill="1"/>
    <xf numFmtId="172" fontId="0" fillId="20" borderId="0" xfId="0" applyNumberFormat="1" applyFill="1"/>
    <xf numFmtId="0" fontId="0" fillId="20" borderId="9" xfId="0" applyFill="1" applyBorder="1"/>
    <xf numFmtId="0" fontId="77" fillId="0" borderId="9" xfId="0" applyFont="1" applyBorder="1"/>
    <xf numFmtId="172" fontId="0" fillId="0" borderId="40" xfId="16" applyNumberFormat="1" applyFont="1" applyBorder="1"/>
    <xf numFmtId="0" fontId="0" fillId="0" borderId="40" xfId="16" applyFont="1" applyBorder="1"/>
    <xf numFmtId="0" fontId="0" fillId="0" borderId="41" xfId="16" applyFont="1" applyBorder="1"/>
    <xf numFmtId="172" fontId="0" fillId="0" borderId="42" xfId="24" applyNumberFormat="1" applyFont="1" applyBorder="1" applyAlignment="1"/>
    <xf numFmtId="1" fontId="0" fillId="0" borderId="31" xfId="16" applyNumberFormat="1" applyFont="1" applyBorder="1"/>
    <xf numFmtId="0" fontId="0" fillId="0" borderId="31" xfId="16" applyFont="1" applyBorder="1"/>
    <xf numFmtId="0" fontId="0" fillId="0" borderId="43" xfId="16" applyFont="1" applyBorder="1"/>
    <xf numFmtId="2" fontId="0" fillId="0" borderId="31" xfId="16" applyNumberFormat="1" applyFont="1" applyBorder="1"/>
    <xf numFmtId="0" fontId="76" fillId="21" borderId="0" xfId="16" applyFont="1" applyFill="1"/>
    <xf numFmtId="0" fontId="76" fillId="21" borderId="42" xfId="16" applyFont="1" applyFill="1" applyBorder="1"/>
    <xf numFmtId="0" fontId="76" fillId="21" borderId="31" xfId="16" applyFont="1" applyFill="1" applyBorder="1"/>
    <xf numFmtId="0" fontId="76" fillId="21" borderId="43" xfId="16" applyFont="1" applyFill="1" applyBorder="1"/>
    <xf numFmtId="172" fontId="78" fillId="18" borderId="0" xfId="25" applyNumberFormat="1"/>
    <xf numFmtId="0" fontId="78" fillId="18" borderId="0" xfId="25"/>
    <xf numFmtId="1" fontId="0" fillId="0" borderId="42" xfId="16" applyNumberFormat="1" applyFont="1" applyBorder="1"/>
    <xf numFmtId="0" fontId="79" fillId="8" borderId="0" xfId="26"/>
    <xf numFmtId="0" fontId="1" fillId="20" borderId="0" xfId="16" applyFill="1"/>
    <xf numFmtId="0" fontId="8" fillId="0" borderId="0" xfId="16" applyFont="1"/>
    <xf numFmtId="172" fontId="0" fillId="0" borderId="0" xfId="24" applyNumberFormat="1" applyFont="1" applyBorder="1"/>
    <xf numFmtId="0" fontId="0" fillId="0" borderId="0" xfId="16" applyFont="1"/>
    <xf numFmtId="172" fontId="0" fillId="0" borderId="40" xfId="24" applyNumberFormat="1" applyFont="1" applyBorder="1"/>
    <xf numFmtId="172" fontId="0" fillId="0" borderId="31" xfId="24" applyNumberFormat="1" applyFont="1" applyBorder="1"/>
    <xf numFmtId="164" fontId="0" fillId="0" borderId="31" xfId="24" applyFont="1" applyBorder="1"/>
    <xf numFmtId="171" fontId="0" fillId="0" borderId="31"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2" xfId="21" applyFont="1" applyBorder="1"/>
    <xf numFmtId="0" fontId="80" fillId="20" borderId="0" xfId="27" applyFill="1"/>
    <xf numFmtId="172" fontId="78" fillId="19" borderId="0" xfId="28" applyNumberFormat="1"/>
    <xf numFmtId="0" fontId="78" fillId="19" borderId="0" xfId="28"/>
    <xf numFmtId="0" fontId="80" fillId="0" borderId="0" xfId="27"/>
    <xf numFmtId="169" fontId="1" fillId="0" borderId="0" xfId="16" applyNumberFormat="1"/>
    <xf numFmtId="0" fontId="77" fillId="0" borderId="0" xfId="0" applyFont="1"/>
    <xf numFmtId="0" fontId="0" fillId="0" borderId="44" xfId="16" applyFont="1" applyBorder="1"/>
    <xf numFmtId="1" fontId="0" fillId="0" borderId="40" xfId="16" applyNumberFormat="1" applyFont="1" applyBorder="1"/>
    <xf numFmtId="0" fontId="81" fillId="17" borderId="43" xfId="29" applyFont="1" applyBorder="1"/>
    <xf numFmtId="1" fontId="0" fillId="20" borderId="0" xfId="0" applyNumberFormat="1" applyFill="1"/>
    <xf numFmtId="2" fontId="0" fillId="0" borderId="44" xfId="16" applyNumberFormat="1" applyFont="1" applyBorder="1"/>
    <xf numFmtId="2" fontId="0" fillId="0" borderId="40" xfId="16" applyNumberFormat="1" applyFont="1" applyBorder="1"/>
    <xf numFmtId="1" fontId="82" fillId="16" borderId="40" xfId="30" applyNumberFormat="1" applyBorder="1"/>
    <xf numFmtId="0" fontId="0" fillId="0" borderId="42" xfId="16" applyFont="1" applyBorder="1"/>
    <xf numFmtId="172" fontId="82" fillId="16" borderId="31" xfId="30" applyNumberFormat="1" applyBorder="1"/>
    <xf numFmtId="172" fontId="0" fillId="0" borderId="42" xfId="24" applyNumberFormat="1" applyFont="1" applyBorder="1"/>
    <xf numFmtId="172" fontId="0" fillId="0" borderId="44" xfId="24" applyNumberFormat="1" applyFont="1" applyBorder="1"/>
    <xf numFmtId="2" fontId="0" fillId="0" borderId="42" xfId="16" applyNumberFormat="1" applyFont="1" applyBorder="1"/>
    <xf numFmtId="172" fontId="0" fillId="0" borderId="42" xfId="16" applyNumberFormat="1" applyFont="1" applyBorder="1"/>
    <xf numFmtId="172" fontId="0" fillId="0" borderId="31" xfId="16" applyNumberFormat="1" applyFont="1" applyBorder="1"/>
    <xf numFmtId="173" fontId="8" fillId="0" borderId="11" xfId="21" applyNumberFormat="1" applyFont="1" applyBorder="1"/>
    <xf numFmtId="173" fontId="8" fillId="0" borderId="4" xfId="21" applyNumberFormat="1" applyFont="1" applyBorder="1"/>
    <xf numFmtId="173" fontId="0" fillId="0" borderId="21" xfId="21" applyNumberFormat="1" applyFont="1" applyBorder="1"/>
    <xf numFmtId="0" fontId="0" fillId="0" borderId="19" xfId="0" applyBorder="1"/>
    <xf numFmtId="172" fontId="1" fillId="18" borderId="44" xfId="23" applyNumberFormat="1" applyBorder="1" applyAlignment="1"/>
    <xf numFmtId="172" fontId="1" fillId="18" borderId="40" xfId="23" applyNumberFormat="1" applyBorder="1" applyAlignment="1"/>
    <xf numFmtId="0" fontId="1" fillId="18" borderId="40" xfId="23" applyNumberFormat="1" applyBorder="1" applyAlignment="1"/>
    <xf numFmtId="0" fontId="1" fillId="18" borderId="41"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4" xfId="0" applyNumberFormat="1" applyBorder="1"/>
    <xf numFmtId="2" fontId="0" fillId="0" borderId="40" xfId="0" applyNumberFormat="1" applyBorder="1"/>
    <xf numFmtId="0" fontId="0" fillId="0" borderId="40" xfId="0" applyBorder="1"/>
    <xf numFmtId="0" fontId="0" fillId="0" borderId="41" xfId="0" applyBorder="1"/>
    <xf numFmtId="2" fontId="0" fillId="0" borderId="42" xfId="0" applyNumberFormat="1" applyBorder="1"/>
    <xf numFmtId="2" fontId="0" fillId="0" borderId="31" xfId="0" applyNumberFormat="1" applyBorder="1"/>
    <xf numFmtId="0" fontId="0" fillId="0" borderId="31" xfId="0" applyBorder="1"/>
    <xf numFmtId="0" fontId="0" fillId="0" borderId="43" xfId="0" applyBorder="1"/>
    <xf numFmtId="0" fontId="0" fillId="0" borderId="42" xfId="0" applyBorder="1"/>
    <xf numFmtId="0" fontId="34" fillId="8" borderId="31" xfId="22" applyBorder="1" applyAlignment="1">
      <alignment horizontal="center"/>
    </xf>
    <xf numFmtId="0" fontId="76" fillId="21" borderId="42" xfId="0" applyFont="1" applyFill="1" applyBorder="1"/>
    <xf numFmtId="0" fontId="76" fillId="21" borderId="31" xfId="0" applyFont="1" applyFill="1" applyBorder="1"/>
    <xf numFmtId="0" fontId="76" fillId="21" borderId="43" xfId="0" applyFont="1" applyFill="1" applyBorder="1"/>
    <xf numFmtId="0" fontId="84" fillId="0" borderId="0" xfId="32"/>
    <xf numFmtId="0" fontId="83" fillId="0" borderId="45" xfId="31"/>
    <xf numFmtId="2" fontId="1" fillId="19" borderId="46" xfId="33" applyNumberFormat="1" applyBorder="1"/>
    <xf numFmtId="2" fontId="1" fillId="19" borderId="31" xfId="33" applyNumberFormat="1" applyBorder="1"/>
    <xf numFmtId="2" fontId="1" fillId="19" borderId="47" xfId="33" applyNumberFormat="1" applyBorder="1"/>
    <xf numFmtId="0" fontId="1" fillId="19" borderId="40" xfId="33" applyBorder="1"/>
    <xf numFmtId="0" fontId="1" fillId="19" borderId="41" xfId="33" applyBorder="1"/>
    <xf numFmtId="2" fontId="0" fillId="0" borderId="46" xfId="0" applyNumberFormat="1" applyBorder="1"/>
    <xf numFmtId="2" fontId="0" fillId="0" borderId="47" xfId="0" applyNumberFormat="1" applyBorder="1"/>
    <xf numFmtId="2" fontId="0" fillId="22" borderId="31" xfId="0" applyNumberFormat="1" applyFill="1" applyBorder="1"/>
    <xf numFmtId="2" fontId="0" fillId="22" borderId="47" xfId="0" applyNumberFormat="1" applyFill="1" applyBorder="1"/>
    <xf numFmtId="0" fontId="8" fillId="0" borderId="43" xfId="0" applyFont="1" applyBorder="1"/>
    <xf numFmtId="2" fontId="0" fillId="22" borderId="46" xfId="0" applyNumberFormat="1" applyFill="1" applyBorder="1"/>
    <xf numFmtId="167" fontId="0" fillId="0" borderId="31" xfId="0" applyNumberFormat="1" applyBorder="1"/>
    <xf numFmtId="0" fontId="34" fillId="8" borderId="46" xfId="22" applyBorder="1" applyAlignment="1">
      <alignment horizontal="center"/>
    </xf>
    <xf numFmtId="0" fontId="34" fillId="8" borderId="47" xfId="22" applyBorder="1" applyAlignment="1">
      <alignment horizontal="center"/>
    </xf>
    <xf numFmtId="0" fontId="34" fillId="8" borderId="31" xfId="22" applyBorder="1"/>
    <xf numFmtId="0" fontId="34" fillId="8" borderId="43" xfId="22" applyBorder="1"/>
    <xf numFmtId="0" fontId="1" fillId="19" borderId="44" xfId="33" applyBorder="1"/>
    <xf numFmtId="0" fontId="5" fillId="3" borderId="3" xfId="6"/>
    <xf numFmtId="0" fontId="34" fillId="8" borderId="42" xfId="22" applyBorder="1"/>
    <xf numFmtId="173" fontId="0" fillId="0" borderId="23" xfId="21" applyNumberFormat="1" applyFont="1" applyBorder="1"/>
    <xf numFmtId="176" fontId="8" fillId="0" borderId="0" xfId="0" applyNumberFormat="1" applyFont="1"/>
    <xf numFmtId="176" fontId="0" fillId="0" borderId="0" xfId="21" applyNumberFormat="1" applyFont="1"/>
    <xf numFmtId="0" fontId="85"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7" fillId="0" borderId="0" xfId="0" applyFont="1"/>
    <xf numFmtId="3" fontId="7" fillId="0" borderId="0" xfId="0" applyNumberFormat="1" applyFont="1"/>
    <xf numFmtId="0" fontId="60" fillId="0" borderId="51" xfId="0" applyFont="1" applyBorder="1"/>
    <xf numFmtId="0" fontId="60" fillId="0" borderId="52" xfId="0" applyFont="1" applyBorder="1"/>
    <xf numFmtId="0" fontId="60" fillId="0" borderId="53" xfId="0" applyFont="1" applyBorder="1"/>
    <xf numFmtId="0" fontId="60" fillId="0" borderId="54" xfId="0" applyFont="1" applyBorder="1"/>
    <xf numFmtId="0" fontId="60" fillId="0" borderId="55" xfId="0" applyFont="1" applyBorder="1"/>
    <xf numFmtId="3" fontId="87" fillId="0" borderId="55" xfId="0" applyNumberFormat="1" applyFont="1" applyBorder="1"/>
    <xf numFmtId="0" fontId="60" fillId="0" borderId="56" xfId="0" applyFont="1" applyBorder="1"/>
    <xf numFmtId="0" fontId="87" fillId="0" borderId="57" xfId="0" applyFont="1" applyBorder="1"/>
    <xf numFmtId="0" fontId="60" fillId="0" borderId="57" xfId="0" applyFont="1" applyBorder="1"/>
    <xf numFmtId="0" fontId="60" fillId="0" borderId="58" xfId="0" applyFont="1" applyBorder="1"/>
    <xf numFmtId="0" fontId="8" fillId="0" borderId="0" xfId="0" applyFont="1" applyAlignment="1">
      <alignment horizontal="center"/>
    </xf>
    <xf numFmtId="177" fontId="7" fillId="0" borderId="0" xfId="0" applyNumberFormat="1" applyFont="1"/>
    <xf numFmtId="0" fontId="89" fillId="0" borderId="0" xfId="0" applyFont="1"/>
    <xf numFmtId="0" fontId="59" fillId="0" borderId="0" xfId="0" applyFont="1" applyAlignment="1">
      <alignment horizontal="center"/>
    </xf>
    <xf numFmtId="169" fontId="7" fillId="0" borderId="0" xfId="0" applyNumberFormat="1" applyFont="1"/>
    <xf numFmtId="0" fontId="54" fillId="0" borderId="23" xfId="0" applyFont="1" applyBorder="1" applyAlignment="1">
      <alignment horizontal="left"/>
    </xf>
    <xf numFmtId="0" fontId="54" fillId="0" borderId="23" xfId="0" applyFont="1" applyBorder="1" applyAlignment="1">
      <alignment horizontal="center"/>
    </xf>
    <xf numFmtId="1" fontId="54" fillId="0" borderId="23" xfId="0" applyNumberFormat="1" applyFont="1" applyBorder="1"/>
    <xf numFmtId="0" fontId="54" fillId="0" borderId="23" xfId="0" applyFont="1" applyBorder="1"/>
    <xf numFmtId="169" fontId="54" fillId="0" borderId="23" xfId="0" applyNumberFormat="1" applyFont="1" applyBorder="1"/>
    <xf numFmtId="0" fontId="7" fillId="0" borderId="22" xfId="0" applyFont="1" applyBorder="1"/>
    <xf numFmtId="173" fontId="7" fillId="0" borderId="23" xfId="0" applyNumberFormat="1" applyFont="1" applyBorder="1"/>
    <xf numFmtId="9" fontId="7" fillId="0" borderId="23"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0" fillId="23" borderId="59" xfId="36" applyFont="1" applyFill="1" applyBorder="1"/>
    <xf numFmtId="0" fontId="90" fillId="23" borderId="59" xfId="36" applyFont="1" applyFill="1" applyBorder="1" applyAlignment="1">
      <alignment wrapText="1"/>
    </xf>
    <xf numFmtId="0" fontId="8" fillId="6" borderId="60" xfId="36" applyFont="1" applyFill="1" applyBorder="1"/>
    <xf numFmtId="166" fontId="91" fillId="23" borderId="59" xfId="36" applyNumberFormat="1" applyFont="1" applyFill="1" applyBorder="1" applyAlignment="1">
      <alignment wrapText="1"/>
    </xf>
    <xf numFmtId="0" fontId="92" fillId="0" borderId="61" xfId="36" quotePrefix="1" applyFont="1" applyBorder="1" applyAlignment="1">
      <alignment horizontal="left" wrapText="1"/>
    </xf>
    <xf numFmtId="0" fontId="92" fillId="0" borderId="62" xfId="36" quotePrefix="1" applyFont="1" applyBorder="1" applyAlignment="1">
      <alignment horizontal="left" wrapText="1"/>
    </xf>
    <xf numFmtId="0" fontId="1" fillId="6" borderId="18" xfId="36" applyFill="1" applyBorder="1"/>
    <xf numFmtId="0" fontId="92" fillId="0" borderId="61" xfId="36" quotePrefix="1" applyFont="1" applyBorder="1" applyAlignment="1">
      <alignment horizontal="right" wrapText="1"/>
    </xf>
    <xf numFmtId="4" fontId="92" fillId="0" borderId="62" xfId="36" quotePrefix="1" applyNumberFormat="1" applyFont="1" applyBorder="1" applyAlignment="1">
      <alignment horizontal="right" wrapText="1"/>
    </xf>
    <xf numFmtId="9" fontId="1" fillId="0" borderId="0" xfId="37"/>
    <xf numFmtId="4" fontId="1" fillId="0" borderId="0" xfId="36" applyNumberFormat="1"/>
    <xf numFmtId="4" fontId="92" fillId="0" borderId="61"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93" fillId="0" borderId="0" xfId="0" applyFont="1"/>
    <xf numFmtId="0" fontId="93" fillId="0" borderId="7" xfId="0" applyFont="1" applyBorder="1"/>
    <xf numFmtId="0" fontId="93" fillId="0" borderId="9" xfId="0" applyFont="1" applyBorder="1"/>
    <xf numFmtId="0" fontId="93" fillId="0" borderId="8" xfId="0" applyFont="1" applyBorder="1"/>
    <xf numFmtId="0" fontId="93"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4" fillId="24" borderId="0" xfId="0" applyFont="1" applyFill="1" applyAlignment="1">
      <alignment horizontal="center" vertical="top" wrapText="1"/>
    </xf>
    <xf numFmtId="0" fontId="95" fillId="24" borderId="0" xfId="0" applyFont="1" applyFill="1" applyAlignment="1">
      <alignment horizontal="left" vertical="center" wrapText="1"/>
    </xf>
    <xf numFmtId="0" fontId="36" fillId="24" borderId="5" xfId="0" applyFont="1" applyFill="1" applyBorder="1" applyAlignment="1">
      <alignment horizontal="left" vertical="top" wrapText="1"/>
    </xf>
    <xf numFmtId="0" fontId="94" fillId="24" borderId="63" xfId="0" applyFont="1" applyFill="1" applyBorder="1" applyAlignment="1">
      <alignment horizontal="center" vertical="top" wrapText="1"/>
    </xf>
    <xf numFmtId="0" fontId="36" fillId="24" borderId="64" xfId="0" applyFont="1" applyFill="1" applyBorder="1" applyAlignment="1">
      <alignment horizontal="left" vertical="top" wrapText="1"/>
    </xf>
    <xf numFmtId="0" fontId="94" fillId="24" borderId="65" xfId="0" applyFont="1" applyFill="1" applyBorder="1" applyAlignment="1">
      <alignment horizontal="center" vertical="top" wrapText="1"/>
    </xf>
    <xf numFmtId="0" fontId="95" fillId="24" borderId="65" xfId="0" applyFont="1" applyFill="1" applyBorder="1" applyAlignment="1">
      <alignment horizontal="left" vertical="center" wrapText="1"/>
    </xf>
    <xf numFmtId="0" fontId="36" fillId="24" borderId="66" xfId="0" applyFont="1" applyFill="1" applyBorder="1" applyAlignment="1">
      <alignment horizontal="left" vertical="top" wrapText="1"/>
    </xf>
    <xf numFmtId="0" fontId="94" fillId="24" borderId="67" xfId="0" applyFont="1" applyFill="1" applyBorder="1" applyAlignment="1">
      <alignment horizontal="center" vertical="top" wrapText="1"/>
    </xf>
    <xf numFmtId="0" fontId="36" fillId="24" borderId="68" xfId="0" applyFont="1" applyFill="1" applyBorder="1" applyAlignment="1">
      <alignment horizontal="left" vertical="top" wrapText="1"/>
    </xf>
    <xf numFmtId="0" fontId="96" fillId="0" borderId="69" xfId="0" applyFont="1" applyBorder="1" applyAlignment="1">
      <alignment horizontal="left" vertical="top" wrapText="1" indent="1"/>
    </xf>
    <xf numFmtId="0" fontId="96" fillId="0" borderId="69" xfId="0" applyFont="1" applyBorder="1" applyAlignment="1">
      <alignment horizontal="left" vertical="top" wrapText="1" indent="2"/>
    </xf>
    <xf numFmtId="0" fontId="96" fillId="0" borderId="70" xfId="0" applyFont="1" applyBorder="1" applyAlignment="1">
      <alignment horizontal="left" vertical="top" wrapText="1"/>
    </xf>
    <xf numFmtId="0" fontId="93" fillId="0" borderId="5" xfId="0" applyFont="1" applyBorder="1"/>
    <xf numFmtId="0" fontId="97" fillId="0" borderId="71" xfId="0" applyFont="1" applyBorder="1" applyAlignment="1">
      <alignment horizontal="right" vertical="top" wrapText="1"/>
    </xf>
    <xf numFmtId="0" fontId="98" fillId="0" borderId="72" xfId="0" applyFont="1" applyBorder="1" applyAlignment="1">
      <alignment horizontal="left" vertical="top" wrapText="1"/>
    </xf>
    <xf numFmtId="1" fontId="99" fillId="0" borderId="73" xfId="0" applyNumberFormat="1" applyFont="1" applyBorder="1" applyAlignment="1">
      <alignment horizontal="right" vertical="top" shrinkToFit="1"/>
    </xf>
    <xf numFmtId="0" fontId="98" fillId="0" borderId="74" xfId="0" applyFont="1" applyBorder="1" applyAlignment="1">
      <alignment horizontal="left" vertical="top" wrapText="1"/>
    </xf>
    <xf numFmtId="0" fontId="97" fillId="0" borderId="73" xfId="0" applyFont="1" applyBorder="1" applyAlignment="1">
      <alignment horizontal="right" vertical="top" wrapText="1"/>
    </xf>
    <xf numFmtId="1" fontId="100" fillId="0" borderId="75" xfId="0" applyNumberFormat="1" applyFont="1" applyBorder="1" applyAlignment="1">
      <alignment horizontal="right" vertical="top" shrinkToFit="1"/>
    </xf>
    <xf numFmtId="0" fontId="101" fillId="0" borderId="76" xfId="0" applyFont="1" applyBorder="1" applyAlignment="1">
      <alignment horizontal="left" vertical="top" wrapText="1"/>
    </xf>
    <xf numFmtId="0" fontId="102" fillId="0" borderId="71" xfId="0" applyFont="1" applyBorder="1" applyAlignment="1">
      <alignment horizontal="right" vertical="top" wrapText="1"/>
    </xf>
    <xf numFmtId="1" fontId="35" fillId="0" borderId="71" xfId="0" applyNumberFormat="1" applyFont="1" applyBorder="1" applyAlignment="1">
      <alignment horizontal="right" vertical="top" shrinkToFit="1"/>
    </xf>
    <xf numFmtId="1" fontId="35" fillId="0" borderId="73" xfId="0" applyNumberFormat="1" applyFont="1" applyBorder="1" applyAlignment="1">
      <alignment horizontal="right" vertical="top" shrinkToFit="1"/>
    </xf>
    <xf numFmtId="0" fontId="44" fillId="0" borderId="75" xfId="0" applyFont="1" applyBorder="1" applyAlignment="1">
      <alignment horizontal="left" vertical="center" wrapText="1"/>
    </xf>
    <xf numFmtId="0" fontId="103" fillId="0" borderId="76" xfId="0" applyFont="1" applyBorder="1" applyAlignment="1">
      <alignment horizontal="left" vertical="top" wrapText="1"/>
    </xf>
    <xf numFmtId="0" fontId="104" fillId="0" borderId="75" xfId="0" applyFont="1" applyBorder="1" applyAlignment="1">
      <alignment horizontal="left" vertical="top" wrapText="1"/>
    </xf>
    <xf numFmtId="0" fontId="103" fillId="0" borderId="71" xfId="0" applyFont="1" applyBorder="1" applyAlignment="1">
      <alignment horizontal="right" vertical="top" wrapText="1"/>
    </xf>
    <xf numFmtId="0" fontId="105" fillId="0" borderId="72" xfId="0" applyFont="1" applyBorder="1" applyAlignment="1">
      <alignment horizontal="left" vertical="top" wrapText="1"/>
    </xf>
    <xf numFmtId="0" fontId="103" fillId="0" borderId="73" xfId="0" applyFont="1" applyBorder="1" applyAlignment="1">
      <alignment horizontal="right" vertical="top" wrapText="1"/>
    </xf>
    <xf numFmtId="0" fontId="105" fillId="0" borderId="74" xfId="0" applyFont="1" applyBorder="1" applyAlignment="1">
      <alignment horizontal="left" vertical="top" wrapText="1"/>
    </xf>
    <xf numFmtId="0" fontId="106" fillId="0" borderId="73" xfId="0" applyFont="1" applyBorder="1" applyAlignment="1">
      <alignment horizontal="right" vertical="top" wrapText="1"/>
    </xf>
    <xf numFmtId="0" fontId="106" fillId="0" borderId="73" xfId="0" applyFont="1" applyBorder="1" applyAlignment="1">
      <alignment horizontal="left" vertical="top" wrapText="1" indent="2"/>
    </xf>
    <xf numFmtId="0" fontId="107" fillId="0" borderId="74" xfId="0" applyFont="1" applyBorder="1" applyAlignment="1">
      <alignment horizontal="left" vertical="top" wrapText="1"/>
    </xf>
    <xf numFmtId="1" fontId="38" fillId="0" borderId="25" xfId="0" applyNumberFormat="1" applyFont="1" applyBorder="1" applyAlignment="1">
      <alignment horizontal="right" vertical="top" shrinkToFit="1"/>
    </xf>
    <xf numFmtId="0" fontId="108" fillId="0" borderId="35" xfId="0" applyFont="1" applyBorder="1" applyAlignment="1">
      <alignment horizontal="left" vertical="top" wrapText="1"/>
    </xf>
    <xf numFmtId="17" fontId="0" fillId="0" borderId="0" xfId="0" applyNumberFormat="1"/>
    <xf numFmtId="0" fontId="8" fillId="0" borderId="0" xfId="0" quotePrefix="1" applyFont="1"/>
    <xf numFmtId="1" fontId="109" fillId="0" borderId="0" xfId="0" applyNumberFormat="1" applyFont="1" applyAlignment="1">
      <alignment horizontal="right" vertical="top" shrinkToFit="1"/>
    </xf>
    <xf numFmtId="0" fontId="110" fillId="0" borderId="0" xfId="0" applyFont="1" applyAlignment="1">
      <alignment horizontal="left" vertical="top" wrapText="1" indent="2"/>
    </xf>
    <xf numFmtId="178" fontId="111" fillId="0" borderId="0" xfId="0" applyNumberFormat="1" applyFont="1" applyAlignment="1">
      <alignment horizontal="left" vertical="top" shrinkToFit="1"/>
    </xf>
    <xf numFmtId="1" fontId="109" fillId="25" borderId="0" xfId="0" applyNumberFormat="1" applyFont="1" applyFill="1" applyAlignment="1">
      <alignment horizontal="right" vertical="top" shrinkToFit="1"/>
    </xf>
    <xf numFmtId="0" fontId="110" fillId="25" borderId="0" xfId="0" applyFont="1" applyFill="1" applyAlignment="1">
      <alignment horizontal="left" vertical="top" wrapText="1" indent="2"/>
    </xf>
    <xf numFmtId="170" fontId="111" fillId="25" borderId="0" xfId="0" applyNumberFormat="1" applyFont="1" applyFill="1" applyAlignment="1">
      <alignment horizontal="left" vertical="top" shrinkToFit="1"/>
    </xf>
    <xf numFmtId="0" fontId="110" fillId="0" borderId="0" xfId="0" applyFont="1" applyAlignment="1">
      <alignment horizontal="left" vertical="top" wrapText="1" indent="1"/>
    </xf>
    <xf numFmtId="166" fontId="111" fillId="0" borderId="0" xfId="0" applyNumberFormat="1" applyFont="1" applyAlignment="1">
      <alignment horizontal="left" vertical="top" shrinkToFit="1"/>
    </xf>
    <xf numFmtId="170" fontId="111" fillId="0" borderId="0" xfId="0" applyNumberFormat="1" applyFont="1" applyAlignment="1">
      <alignment horizontal="left" vertical="top" shrinkToFit="1"/>
    </xf>
    <xf numFmtId="0" fontId="110" fillId="25" borderId="0" xfId="0" applyFont="1" applyFill="1" applyAlignment="1">
      <alignment horizontal="left" vertical="top" wrapText="1" indent="1"/>
    </xf>
    <xf numFmtId="166" fontId="111" fillId="25" borderId="0" xfId="0" applyNumberFormat="1" applyFont="1" applyFill="1" applyAlignment="1">
      <alignment horizontal="left" vertical="top" shrinkToFit="1"/>
    </xf>
    <xf numFmtId="178" fontId="111" fillId="25" borderId="0" xfId="0" applyNumberFormat="1" applyFont="1" applyFill="1" applyAlignment="1">
      <alignment horizontal="left" vertical="top" shrinkToFit="1"/>
    </xf>
    <xf numFmtId="0" fontId="110" fillId="0" borderId="0" xfId="0" applyFont="1" applyAlignment="1">
      <alignment horizontal="left" vertical="top" wrapText="1"/>
    </xf>
    <xf numFmtId="2" fontId="111" fillId="0" borderId="0" xfId="0" applyNumberFormat="1" applyFont="1" applyAlignment="1">
      <alignment horizontal="left" vertical="top" shrinkToFit="1"/>
    </xf>
    <xf numFmtId="0" fontId="110" fillId="25" borderId="0" xfId="0" applyFont="1" applyFill="1" applyAlignment="1">
      <alignment horizontal="left" vertical="top" wrapText="1"/>
    </xf>
    <xf numFmtId="2" fontId="111" fillId="25" borderId="0" xfId="0" applyNumberFormat="1" applyFont="1" applyFill="1" applyAlignment="1">
      <alignment horizontal="left" vertical="top" shrinkToFit="1"/>
    </xf>
    <xf numFmtId="169" fontId="111" fillId="0" borderId="0" xfId="0" applyNumberFormat="1" applyFont="1" applyAlignment="1">
      <alignment horizontal="left" vertical="top" shrinkToFit="1"/>
    </xf>
    <xf numFmtId="169" fontId="111" fillId="25" borderId="0" xfId="0" applyNumberFormat="1" applyFont="1" applyFill="1" applyAlignment="1">
      <alignment horizontal="left" vertical="top" shrinkToFit="1"/>
    </xf>
    <xf numFmtId="0" fontId="112" fillId="0" borderId="0" xfId="0" applyFont="1" applyAlignment="1">
      <alignment vertical="top" wrapText="1"/>
    </xf>
    <xf numFmtId="0" fontId="44" fillId="0" borderId="0" xfId="0" applyFont="1" applyAlignment="1">
      <alignment vertical="top" wrapText="1"/>
    </xf>
    <xf numFmtId="1" fontId="109" fillId="25" borderId="0" xfId="0" applyNumberFormat="1" applyFont="1" applyFill="1" applyAlignment="1">
      <alignment horizontal="right" vertical="top" indent="1" shrinkToFit="1"/>
    </xf>
    <xf numFmtId="1" fontId="109" fillId="25" borderId="0" xfId="0" applyNumberFormat="1" applyFont="1" applyFill="1" applyAlignment="1">
      <alignment vertical="top" shrinkToFit="1"/>
    </xf>
    <xf numFmtId="1" fontId="109" fillId="25" borderId="0" xfId="0" applyNumberFormat="1" applyFont="1" applyFill="1" applyAlignment="1">
      <alignment horizontal="center" vertical="top" shrinkToFit="1"/>
    </xf>
    <xf numFmtId="0" fontId="44" fillId="25" borderId="0" xfId="0" applyFont="1" applyFill="1" applyAlignment="1">
      <alignment horizontal="left" vertical="center" wrapText="1"/>
    </xf>
    <xf numFmtId="1" fontId="109" fillId="0" borderId="0" xfId="0" applyNumberFormat="1" applyFont="1" applyAlignment="1">
      <alignment horizontal="right" vertical="top" indent="1" shrinkToFit="1"/>
    </xf>
    <xf numFmtId="1" fontId="109" fillId="0" borderId="0" xfId="0" applyNumberFormat="1" applyFont="1" applyAlignment="1">
      <alignment vertical="top" shrinkToFit="1"/>
    </xf>
    <xf numFmtId="1" fontId="109" fillId="0" borderId="0" xfId="0" applyNumberFormat="1" applyFont="1" applyAlignment="1">
      <alignment horizontal="center" vertical="top" shrinkToFit="1"/>
    </xf>
    <xf numFmtId="0" fontId="44" fillId="0" borderId="0" xfId="0" applyFont="1" applyAlignment="1">
      <alignment horizontal="left" vertical="center" wrapText="1"/>
    </xf>
    <xf numFmtId="1" fontId="111" fillId="25"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3" fillId="25" borderId="0" xfId="0" applyFont="1" applyFill="1" applyAlignment="1">
      <alignment vertical="top" wrapText="1"/>
    </xf>
    <xf numFmtId="0" fontId="113" fillId="25" borderId="0" xfId="0" applyFont="1" applyFill="1" applyAlignment="1">
      <alignment horizontal="right" vertical="top" wrapText="1"/>
    </xf>
    <xf numFmtId="0" fontId="113" fillId="0" borderId="0" xfId="0" applyFont="1" applyAlignment="1">
      <alignment vertical="top" wrapText="1"/>
    </xf>
    <xf numFmtId="0" fontId="113" fillId="0" borderId="0" xfId="0" applyFont="1" applyAlignment="1">
      <alignment horizontal="right" vertical="top" wrapText="1"/>
    </xf>
    <xf numFmtId="0" fontId="113" fillId="0" borderId="0" xfId="0" applyFont="1" applyAlignment="1">
      <alignment horizontal="right" vertical="top" wrapText="1" indent="1"/>
    </xf>
    <xf numFmtId="0" fontId="113" fillId="25" borderId="0" xfId="0" applyFont="1" applyFill="1" applyAlignment="1">
      <alignment horizontal="right" vertical="top" wrapText="1" indent="1"/>
    </xf>
    <xf numFmtId="0" fontId="16" fillId="0" borderId="0" xfId="0" applyFont="1" applyAlignment="1">
      <alignment horizontal="right"/>
    </xf>
    <xf numFmtId="0" fontId="0" fillId="26" borderId="0" xfId="0" applyFill="1"/>
    <xf numFmtId="0" fontId="0" fillId="0" borderId="5" xfId="16" applyFont="1" applyBorder="1"/>
    <xf numFmtId="0" fontId="0" fillId="27" borderId="0" xfId="0" quotePrefix="1" applyFill="1"/>
    <xf numFmtId="0" fontId="0" fillId="28" borderId="0" xfId="0" quotePrefix="1" applyFill="1"/>
    <xf numFmtId="0" fontId="0" fillId="29" borderId="0" xfId="0" applyFill="1"/>
    <xf numFmtId="0" fontId="114" fillId="30" borderId="0" xfId="0" applyFont="1" applyFill="1"/>
    <xf numFmtId="0" fontId="0" fillId="30" borderId="0" xfId="0" applyFill="1"/>
    <xf numFmtId="0" fontId="0" fillId="31"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0" borderId="0" xfId="0" applyNumberFormat="1" applyFill="1"/>
    <xf numFmtId="0" fontId="99" fillId="0" borderId="0" xfId="8" applyFont="1"/>
    <xf numFmtId="179" fontId="3" fillId="0" borderId="0" xfId="34" applyNumberFormat="1" applyFill="1"/>
    <xf numFmtId="0" fontId="3" fillId="0" borderId="0" xfId="34" applyFill="1"/>
    <xf numFmtId="179" fontId="3" fillId="0" borderId="23" xfId="34" applyNumberFormat="1" applyFill="1" applyBorder="1" applyAlignment="1">
      <alignment horizontal="left"/>
    </xf>
    <xf numFmtId="179" fontId="22" fillId="32" borderId="23" xfId="0" applyNumberFormat="1" applyFont="1" applyFill="1" applyBorder="1" applyAlignment="1">
      <alignment horizontal="left"/>
    </xf>
    <xf numFmtId="179" fontId="22" fillId="32" borderId="21"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5" fillId="0" borderId="0" xfId="8" applyFont="1"/>
    <xf numFmtId="43" fontId="0" fillId="0" borderId="0" xfId="0" applyNumberFormat="1"/>
    <xf numFmtId="43" fontId="0" fillId="6" borderId="0" xfId="0" applyNumberFormat="1" applyFill="1"/>
    <xf numFmtId="0" fontId="116" fillId="0" borderId="0" xfId="7" applyFont="1"/>
    <xf numFmtId="0" fontId="17" fillId="0" borderId="0" xfId="39" applyFont="1" applyAlignment="1">
      <alignment wrapText="1"/>
    </xf>
    <xf numFmtId="1" fontId="0" fillId="0" borderId="0" xfId="0" applyNumberFormat="1"/>
    <xf numFmtId="1" fontId="63" fillId="0" borderId="0" xfId="0" applyNumberFormat="1" applyFont="1"/>
    <xf numFmtId="3" fontId="47" fillId="0" borderId="0" xfId="0" applyNumberFormat="1" applyFont="1"/>
    <xf numFmtId="0" fontId="0" fillId="0" borderId="18" xfId="0" applyBorder="1" applyAlignment="1">
      <alignment wrapText="1"/>
    </xf>
    <xf numFmtId="0" fontId="26" fillId="0" borderId="12" xfId="0" applyFont="1" applyBorder="1"/>
    <xf numFmtId="0" fontId="33" fillId="0" borderId="18" xfId="17" applyBorder="1"/>
    <xf numFmtId="0" fontId="26" fillId="0" borderId="18" xfId="0" applyFont="1" applyBorder="1"/>
    <xf numFmtId="1" fontId="26" fillId="0" borderId="18" xfId="0" applyNumberFormat="1" applyFont="1" applyBorder="1"/>
    <xf numFmtId="0" fontId="121" fillId="0" borderId="18" xfId="0" applyFont="1" applyBorder="1"/>
    <xf numFmtId="9" fontId="121" fillId="0" borderId="18" xfId="2" applyFont="1" applyFill="1" applyBorder="1"/>
    <xf numFmtId="1" fontId="121" fillId="0" borderId="18" xfId="0" applyNumberFormat="1" applyFont="1" applyBorder="1"/>
    <xf numFmtId="1" fontId="60" fillId="0" borderId="18" xfId="0" applyNumberFormat="1" applyFont="1" applyBorder="1"/>
    <xf numFmtId="175" fontId="121" fillId="0" borderId="18" xfId="0" applyNumberFormat="1" applyFont="1" applyBorder="1"/>
    <xf numFmtId="0" fontId="122" fillId="0" borderId="0" xfId="0" applyFont="1"/>
    <xf numFmtId="0" fontId="60" fillId="0" borderId="77" xfId="9" applyFont="1" applyBorder="1" applyAlignment="1">
      <alignment horizontal="center" textRotation="90"/>
    </xf>
    <xf numFmtId="0" fontId="1" fillId="0" borderId="77" xfId="9" applyBorder="1" applyAlignment="1">
      <alignment horizontal="center"/>
    </xf>
    <xf numFmtId="0" fontId="1" fillId="0" borderId="78" xfId="9" applyBorder="1" applyAlignment="1">
      <alignment horizontal="center"/>
    </xf>
    <xf numFmtId="0" fontId="1" fillId="0" borderId="79" xfId="9" applyBorder="1" applyAlignment="1">
      <alignment horizontal="center"/>
    </xf>
    <xf numFmtId="0" fontId="1" fillId="0" borderId="80" xfId="9" applyBorder="1" applyAlignment="1">
      <alignment horizontal="center"/>
    </xf>
    <xf numFmtId="0" fontId="1" fillId="0" borderId="56" xfId="9" applyBorder="1" applyAlignment="1">
      <alignment horizontal="center"/>
    </xf>
    <xf numFmtId="0" fontId="1" fillId="0" borderId="57" xfId="9" applyBorder="1"/>
    <xf numFmtId="0" fontId="1" fillId="0" borderId="57" xfId="9" applyBorder="1" applyAlignment="1">
      <alignment horizontal="center"/>
    </xf>
    <xf numFmtId="0" fontId="1" fillId="0" borderId="81" xfId="9" applyBorder="1" applyAlignment="1">
      <alignment horizontal="center"/>
    </xf>
    <xf numFmtId="0" fontId="1" fillId="0" borderId="81" xfId="9" applyBorder="1"/>
    <xf numFmtId="0" fontId="1" fillId="0" borderId="82" xfId="9" applyBorder="1" applyAlignment="1">
      <alignment horizontal="center"/>
    </xf>
    <xf numFmtId="0" fontId="1" fillId="0" borderId="83" xfId="9" applyBorder="1"/>
    <xf numFmtId="0" fontId="1" fillId="0" borderId="83" xfId="9" applyBorder="1" applyAlignment="1">
      <alignment horizontal="center"/>
    </xf>
    <xf numFmtId="0" fontId="1" fillId="0" borderId="84" xfId="9" applyBorder="1" applyAlignment="1">
      <alignment horizontal="center"/>
    </xf>
    <xf numFmtId="0" fontId="1" fillId="0" borderId="84" xfId="9" applyBorder="1"/>
    <xf numFmtId="0" fontId="1" fillId="0" borderId="85" xfId="9" applyBorder="1" applyAlignment="1">
      <alignment horizontal="center"/>
    </xf>
    <xf numFmtId="0" fontId="122" fillId="0" borderId="0" xfId="7" applyFont="1" applyAlignment="1">
      <alignment wrapText="1"/>
    </xf>
    <xf numFmtId="175" fontId="121" fillId="0" borderId="10" xfId="0" applyNumberFormat="1" applyFont="1" applyBorder="1"/>
    <xf numFmtId="1" fontId="121" fillId="0" borderId="10" xfId="0" applyNumberFormat="1" applyFont="1" applyBorder="1"/>
    <xf numFmtId="9" fontId="121" fillId="0" borderId="10" xfId="2" applyFont="1" applyFill="1" applyBorder="1"/>
    <xf numFmtId="0" fontId="121" fillId="0" borderId="10" xfId="0" applyFont="1" applyBorder="1"/>
    <xf numFmtId="1" fontId="60" fillId="0" borderId="10" xfId="0" applyNumberFormat="1" applyFont="1" applyBorder="1"/>
    <xf numFmtId="0" fontId="60" fillId="0" borderId="86" xfId="0" applyFont="1" applyBorder="1"/>
    <xf numFmtId="9" fontId="60" fillId="0" borderId="86" xfId="0" applyNumberFormat="1" applyFont="1" applyBorder="1"/>
    <xf numFmtId="9" fontId="60" fillId="0" borderId="86" xfId="2" applyFont="1" applyBorder="1"/>
    <xf numFmtId="1" fontId="60" fillId="0" borderId="86" xfId="2" applyNumberFormat="1" applyFont="1" applyBorder="1"/>
    <xf numFmtId="0" fontId="60" fillId="0" borderId="86" xfId="2" applyNumberFormat="1" applyFont="1" applyBorder="1"/>
    <xf numFmtId="0" fontId="47" fillId="0" borderId="10" xfId="19" applyFont="1" applyBorder="1"/>
    <xf numFmtId="3" fontId="47" fillId="0" borderId="10" xfId="19" applyNumberFormat="1" applyFont="1" applyBorder="1"/>
    <xf numFmtId="4" fontId="47" fillId="0" borderId="10" xfId="19" applyNumberFormat="1" applyFont="1" applyBorder="1"/>
    <xf numFmtId="0" fontId="123" fillId="0" borderId="86" xfId="19" applyFont="1" applyBorder="1"/>
    <xf numFmtId="3" fontId="123" fillId="0" borderId="86" xfId="19" applyNumberFormat="1" applyFont="1" applyBorder="1"/>
    <xf numFmtId="4" fontId="123" fillId="0" borderId="86" xfId="19" applyNumberFormat="1" applyFont="1" applyBorder="1"/>
    <xf numFmtId="0" fontId="0" fillId="0" borderId="86" xfId="0" applyBorder="1"/>
    <xf numFmtId="167" fontId="0" fillId="0" borderId="86" xfId="0" applyNumberFormat="1" applyBorder="1"/>
    <xf numFmtId="43" fontId="0" fillId="0" borderId="86" xfId="0" applyNumberFormat="1" applyBorder="1"/>
    <xf numFmtId="180" fontId="0" fillId="0" borderId="86" xfId="0" applyNumberFormat="1" applyBorder="1"/>
    <xf numFmtId="181" fontId="0" fillId="0" borderId="86" xfId="0" applyNumberFormat="1" applyBorder="1"/>
    <xf numFmtId="9" fontId="7" fillId="0" borderId="0" xfId="2" applyFont="1"/>
    <xf numFmtId="9" fontId="54" fillId="0" borderId="23" xfId="2" applyFont="1" applyBorder="1" applyAlignment="1">
      <alignment horizontal="center"/>
    </xf>
    <xf numFmtId="2" fontId="0" fillId="0" borderId="86" xfId="0" applyNumberFormat="1" applyBorder="1"/>
    <xf numFmtId="0" fontId="8" fillId="0" borderId="9" xfId="0" applyFont="1" applyBorder="1" applyAlignment="1">
      <alignment horizontal="center" wrapText="1"/>
    </xf>
    <xf numFmtId="0" fontId="124" fillId="33" borderId="18" xfId="0" applyFont="1" applyFill="1" applyBorder="1" applyAlignment="1">
      <alignment horizontal="center" vertical="center"/>
    </xf>
    <xf numFmtId="0" fontId="124" fillId="0" borderId="18" xfId="0" applyFont="1" applyBorder="1" applyAlignment="1">
      <alignment vertical="center"/>
    </xf>
    <xf numFmtId="3" fontId="124" fillId="0" borderId="18" xfId="0" applyNumberFormat="1" applyFont="1" applyBorder="1" applyAlignment="1">
      <alignment horizontal="right" vertical="center"/>
    </xf>
    <xf numFmtId="3" fontId="73" fillId="0" borderId="18" xfId="0" applyNumberFormat="1" applyFont="1" applyBorder="1" applyAlignment="1">
      <alignment horizontal="right" vertical="center"/>
    </xf>
    <xf numFmtId="3" fontId="124" fillId="34" borderId="18" xfId="0" applyNumberFormat="1" applyFont="1" applyFill="1" applyBorder="1" applyAlignment="1">
      <alignment horizontal="right" vertical="center"/>
    </xf>
    <xf numFmtId="0" fontId="73" fillId="33" borderId="18" xfId="0" applyFont="1" applyFill="1" applyBorder="1" applyAlignment="1">
      <alignment horizontal="center" vertical="center"/>
    </xf>
    <xf numFmtId="0" fontId="73" fillId="0" borderId="18" xfId="0" applyFont="1" applyBorder="1" applyAlignment="1">
      <alignment horizontal="center" vertical="center"/>
    </xf>
    <xf numFmtId="0" fontId="73" fillId="0" borderId="18" xfId="0" applyFont="1" applyBorder="1" applyAlignment="1">
      <alignment horizontal="right" vertical="center"/>
    </xf>
    <xf numFmtId="0" fontId="114" fillId="0" borderId="0" xfId="0" applyFont="1" applyAlignment="1">
      <alignment horizontal="left" vertical="center" indent="1"/>
    </xf>
    <xf numFmtId="0" fontId="12" fillId="0" borderId="0" xfId="0" applyFont="1" applyAlignment="1">
      <alignment horizontal="left" vertical="center"/>
    </xf>
    <xf numFmtId="0" fontId="7" fillId="0" borderId="0" xfId="16" applyFont="1"/>
    <xf numFmtId="43" fontId="7" fillId="0" borderId="0" xfId="0" applyNumberFormat="1" applyFont="1"/>
    <xf numFmtId="172" fontId="19" fillId="0" borderId="0" xfId="1" applyNumberFormat="1" applyFont="1"/>
    <xf numFmtId="0" fontId="125" fillId="0" borderId="0" xfId="0" applyFont="1"/>
    <xf numFmtId="0" fontId="26" fillId="0" borderId="55" xfId="9" applyFont="1" applyBorder="1" applyAlignment="1">
      <alignment horizontal="center"/>
    </xf>
    <xf numFmtId="0" fontId="1" fillId="0" borderId="55" xfId="9" applyBorder="1" applyAlignment="1">
      <alignment horizontal="center"/>
    </xf>
    <xf numFmtId="0" fontId="15" fillId="0" borderId="12" xfId="9" applyFont="1" applyBorder="1" applyAlignment="1">
      <alignment horizontal="center"/>
    </xf>
    <xf numFmtId="0" fontId="1" fillId="0" borderId="10" xfId="9" applyBorder="1"/>
    <xf numFmtId="0" fontId="1" fillId="0" borderId="87" xfId="9" applyBorder="1"/>
    <xf numFmtId="0" fontId="53" fillId="0" borderId="18" xfId="9" applyFont="1" applyBorder="1" applyAlignment="1">
      <alignment horizontal="center" vertical="center"/>
    </xf>
    <xf numFmtId="0" fontId="1" fillId="0" borderId="6" xfId="9" applyBorder="1"/>
    <xf numFmtId="0" fontId="26" fillId="0" borderId="10" xfId="9" applyFont="1" applyBorder="1"/>
    <xf numFmtId="0" fontId="60" fillId="0" borderId="12" xfId="9" applyFont="1" applyBorder="1"/>
    <xf numFmtId="0" fontId="53" fillId="0" borderId="0" xfId="0" applyFont="1" applyAlignment="1">
      <alignment horizontal="center"/>
    </xf>
    <xf numFmtId="0" fontId="16" fillId="0" borderId="0" xfId="0" applyFont="1" applyAlignment="1">
      <alignment horizontal="center"/>
    </xf>
    <xf numFmtId="0" fontId="8" fillId="0" borderId="9" xfId="0" applyFont="1" applyBorder="1" applyAlignment="1">
      <alignment horizontal="center"/>
    </xf>
    <xf numFmtId="0" fontId="126" fillId="0" borderId="9" xfId="0" applyFont="1" applyBorder="1" applyAlignment="1">
      <alignment horizontal="center"/>
    </xf>
    <xf numFmtId="0" fontId="126" fillId="0" borderId="9" xfId="0" applyFont="1" applyBorder="1" applyAlignment="1">
      <alignment horizontal="center" wrapText="1"/>
    </xf>
    <xf numFmtId="0" fontId="126" fillId="0" borderId="8" xfId="0" applyFont="1" applyBorder="1" applyAlignment="1">
      <alignment horizontal="center"/>
    </xf>
    <xf numFmtId="0" fontId="126" fillId="0" borderId="8" xfId="0" applyFont="1" applyBorder="1" applyAlignment="1">
      <alignment horizontal="center" wrapText="1"/>
    </xf>
    <xf numFmtId="9" fontId="0" fillId="0" borderId="5" xfId="0" applyNumberFormat="1" applyBorder="1"/>
    <xf numFmtId="0" fontId="127" fillId="0" borderId="0" xfId="0" applyFont="1" applyAlignment="1">
      <alignment horizontal="center"/>
    </xf>
    <xf numFmtId="172" fontId="39" fillId="0" borderId="0" xfId="1" applyNumberFormat="1" applyFont="1"/>
    <xf numFmtId="1" fontId="60" fillId="0" borderId="0" xfId="0" applyNumberFormat="1" applyFont="1"/>
    <xf numFmtId="0" fontId="126" fillId="0" borderId="0" xfId="41" applyFont="1"/>
    <xf numFmtId="0" fontId="60" fillId="0" borderId="0" xfId="41" applyFont="1"/>
    <xf numFmtId="0" fontId="130" fillId="0" borderId="0" xfId="58" applyFont="1"/>
    <xf numFmtId="170" fontId="60" fillId="0" borderId="0" xfId="0" applyNumberFormat="1" applyFont="1"/>
    <xf numFmtId="0" fontId="131" fillId="0" borderId="0" xfId="0" applyFont="1"/>
    <xf numFmtId="182" fontId="69" fillId="0" borderId="0" xfId="0" applyNumberFormat="1" applyFont="1"/>
    <xf numFmtId="4" fontId="60" fillId="0" borderId="0" xfId="41" applyNumberFormat="1" applyFont="1"/>
    <xf numFmtId="0" fontId="8" fillId="0" borderId="0" xfId="0" applyFont="1" applyAlignment="1">
      <alignment horizontal="center"/>
    </xf>
    <xf numFmtId="0" fontId="76" fillId="21" borderId="50" xfId="0" applyFont="1" applyFill="1" applyBorder="1" applyAlignment="1">
      <alignment horizontal="center"/>
    </xf>
    <xf numFmtId="0" fontId="76" fillId="21" borderId="49" xfId="0" applyFont="1" applyFill="1" applyBorder="1" applyAlignment="1">
      <alignment horizontal="center"/>
    </xf>
    <xf numFmtId="0" fontId="76" fillId="21" borderId="48" xfId="0" applyFont="1" applyFill="1" applyBorder="1" applyAlignment="1">
      <alignment horizontal="center"/>
    </xf>
    <xf numFmtId="0" fontId="0" fillId="11" borderId="20" xfId="0" applyFill="1" applyBorder="1" applyAlignment="1">
      <alignment horizontal="center"/>
    </xf>
    <xf numFmtId="0" fontId="0" fillId="11" borderId="21" xfId="0" applyFill="1" applyBorder="1" applyAlignment="1">
      <alignment horizontal="center"/>
    </xf>
    <xf numFmtId="0" fontId="0" fillId="11" borderId="19" xfId="0" applyFill="1" applyBorder="1" applyAlignment="1">
      <alignment horizontal="center"/>
    </xf>
    <xf numFmtId="0" fontId="51" fillId="15" borderId="0" xfId="0" applyFont="1" applyFill="1" applyAlignment="1">
      <alignment horizontal="center"/>
    </xf>
    <xf numFmtId="0" fontId="65" fillId="13" borderId="0" xfId="0" applyFont="1" applyFill="1" applyAlignment="1">
      <alignment horizontal="center"/>
    </xf>
    <xf numFmtId="0" fontId="51" fillId="13" borderId="0" xfId="19" applyFont="1" applyFill="1" applyAlignment="1">
      <alignment horizontal="center"/>
    </xf>
    <xf numFmtId="0" fontId="47" fillId="0" borderId="20" xfId="19" applyFont="1" applyBorder="1" applyAlignment="1">
      <alignment horizontal="center"/>
    </xf>
    <xf numFmtId="0" fontId="47" fillId="0" borderId="19"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67">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2 2 2" xfId="51" xr:uid="{F3F10916-FC93-4D1E-84B9-B8CD9812F923}"/>
    <cellStyle name="Comma 2 3" xfId="43" xr:uid="{E04EAE46-0038-45B1-852F-FE0DA2732AD0}"/>
    <cellStyle name="Comma 2 4" xfId="44" xr:uid="{53F4990E-AFBD-48E1-AD2B-3D2FBD6CC53C}"/>
    <cellStyle name="Comma 2 5" xfId="62" xr:uid="{58B0B8DD-72BE-4482-90B2-32E8AB63A417}"/>
    <cellStyle name="Comma 3" xfId="52" xr:uid="{4717979F-CC8A-4E68-885B-29F805E060DB}"/>
    <cellStyle name="Comma 4" xfId="38" xr:uid="{65BBDD8E-9CB3-4B11-9F5E-7B99137B6099}"/>
    <cellStyle name="Comma 5" xfId="55" xr:uid="{BE9B9968-0C08-4475-9BC5-C564359B31F5}"/>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Hyperlink 2 2" xfId="48" xr:uid="{C2809818-F0BB-45E3-A937-1BABD07E2863}"/>
    <cellStyle name="Hyperlink 3" xfId="57" xr:uid="{9579CCD5-D8C7-4661-B711-7A5E1819DF34}"/>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0 4" xfId="47" xr:uid="{CA8CA191-22C3-40D9-8154-FB6CB58811A1}"/>
    <cellStyle name="Normal 13" xfId="7" xr:uid="{65EA9DCA-68BF-4E0A-9331-09ECBDC3635C}"/>
    <cellStyle name="Normal 2" xfId="40" xr:uid="{C064AAA6-DE9B-4CBF-B6A5-07D5FA93B535}"/>
    <cellStyle name="Normal 2 2" xfId="41" xr:uid="{950F052D-2CCC-450B-829F-47E09206A7BA}"/>
    <cellStyle name="Normal 2 2 2" xfId="8" xr:uid="{A6C35398-660A-4026-A11A-556384AF1B9D}"/>
    <cellStyle name="Normal 2 2 2 2" xfId="46" xr:uid="{4605D1C2-B295-416D-B68D-8CEE0CB74365}"/>
    <cellStyle name="Normal 2 3" xfId="50" xr:uid="{B431C2B6-4EB5-4450-B5B2-27389F2C68D4}"/>
    <cellStyle name="Normal 2 3 2" xfId="65" xr:uid="{E754E18B-3EBF-440C-9D40-06392302BF30}"/>
    <cellStyle name="Normal 3" xfId="20" xr:uid="{710FEC1F-496A-4ACC-8853-9AE238B2C2E6}"/>
    <cellStyle name="Normal 3 2" xfId="42" xr:uid="{067D3DCA-829C-4C41-A2C2-5BFF0D1D411D}"/>
    <cellStyle name="Normal 4" xfId="9" xr:uid="{51BDC933-339C-40CE-8864-6387D10A3A21}"/>
    <cellStyle name="Normal 5" xfId="19" xr:uid="{31ABEC85-BED6-477E-9B1D-A9F3E35638C1}"/>
    <cellStyle name="Normal 5 2" xfId="59" xr:uid="{B91138FC-1BA4-417A-9397-32977FB952B7}"/>
    <cellStyle name="Normal 6" xfId="36" xr:uid="{9E0CBB88-F383-4D8D-BF3F-10C462764042}"/>
    <cellStyle name="Normal 7" xfId="39" xr:uid="{4DD74498-0ABE-4AB9-A79E-E17B14F0BBCD}"/>
    <cellStyle name="Normal 7 2" xfId="66" xr:uid="{B3571BFC-5156-45E4-9C6A-3E4A0D31169E}"/>
    <cellStyle name="Normal 8" xfId="16" xr:uid="{0FE24669-22FB-4411-9E6D-87F8A2C882A4}"/>
    <cellStyle name="Normal 9" xfId="58" xr:uid="{78B59E07-EE9A-445C-AEE9-7D7CD1090083}"/>
    <cellStyle name="Note 2" xfId="60" xr:uid="{A7170BC3-91CA-4DE5-AB18-1F5E66A33CF2}"/>
    <cellStyle name="Percent" xfId="2" builtinId="5"/>
    <cellStyle name="Percent 2" xfId="12" xr:uid="{6CD9F808-EEB5-4E7F-9F09-F9FA9A6AD595}"/>
    <cellStyle name="Percent 2 2" xfId="53" xr:uid="{EAFC4121-63A1-40CB-8DD4-B6607EEF6E86}"/>
    <cellStyle name="Percent 2 2 2" xfId="64" xr:uid="{54854746-018D-4F98-BD96-BF775B203989}"/>
    <cellStyle name="Percent 2 3" xfId="49" xr:uid="{256AB5AC-339B-4B8E-9B1D-A68213CF1F52}"/>
    <cellStyle name="Percent 3" xfId="37" xr:uid="{FB3B76A0-8A12-49EC-B2B6-8C5B9D26C810}"/>
    <cellStyle name="Percent 3 2" xfId="45" xr:uid="{14ADA4EC-4218-4AF1-ABCA-4E54D23D9720}"/>
    <cellStyle name="Percent 4" xfId="54" xr:uid="{17328A88-D604-473A-AABB-3467441ABBA6}"/>
    <cellStyle name="Percent 5" xfId="56" xr:uid="{A1EB8042-EADC-4CB7-90B0-27FD12F7C454}"/>
    <cellStyle name="ss10" xfId="63" xr:uid="{BCDD0723-698B-472C-B7C6-6EB9EE5EC110}"/>
    <cellStyle name="Style 1" xfId="61" xr:uid="{207AC541-A500-4834-956C-1A4B7B945A2F}"/>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15E9527-BBAD-4B4E-993D-4939E0559DBE}">
      <tableStyleElement type="wholeTable" dxfId="2"/>
      <tableStyleElement type="headerRow" dxfId="1"/>
    </tableStyle>
  </tableStyles>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consumption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35023186394312"/>
          <c:y val="0.15253222475304015"/>
          <c:w val="0.87481241091918183"/>
          <c:h val="0.53410127862794399"/>
        </c:manualLayout>
      </c:layout>
      <c:barChart>
        <c:barDir val="col"/>
        <c:grouping val="clustered"/>
        <c:varyColors val="0"/>
        <c:ser>
          <c:idx val="0"/>
          <c:order val="0"/>
          <c:tx>
            <c:strRef>
              <c:f>'Paper production &amp; consumption '!$C$58</c:f>
              <c:strCache>
                <c:ptCount val="1"/>
                <c:pt idx="0">
                  <c:v>Newsprint</c:v>
                </c:pt>
              </c:strCache>
            </c:strRef>
          </c:tx>
          <c:spPr>
            <a:solidFill>
              <a:schemeClr val="accent1"/>
            </a:solidFill>
            <a:ln>
              <a:noFill/>
            </a:ln>
            <a:effectLst/>
          </c:spPr>
          <c:invertIfNegative val="0"/>
          <c:cat>
            <c:numRef>
              <c:f>'Paper production &amp; consumption '!$B$59:$B$73</c:f>
              <c:numCache>
                <c:formatCode>General</c:formatCode>
                <c:ptCount val="6"/>
                <c:pt idx="0">
                  <c:v>2017</c:v>
                </c:pt>
                <c:pt idx="1">
                  <c:v>2018</c:v>
                </c:pt>
                <c:pt idx="2">
                  <c:v>2019</c:v>
                </c:pt>
                <c:pt idx="3">
                  <c:v>2020</c:v>
                </c:pt>
                <c:pt idx="4">
                  <c:v>2021</c:v>
                </c:pt>
                <c:pt idx="5">
                  <c:v>2022</c:v>
                </c:pt>
              </c:numCache>
            </c:numRef>
          </c:cat>
          <c:val>
            <c:numRef>
              <c:f>'Paper production &amp; consumption '!$C$59:$C$73</c:f>
              <c:numCache>
                <c:formatCode>General</c:formatCode>
                <c:ptCount val="6"/>
                <c:pt idx="0">
                  <c:v>147493</c:v>
                </c:pt>
                <c:pt idx="1">
                  <c:v>104297</c:v>
                </c:pt>
                <c:pt idx="2">
                  <c:v>133551</c:v>
                </c:pt>
                <c:pt idx="3">
                  <c:v>73668</c:v>
                </c:pt>
                <c:pt idx="4">
                  <c:v>104021</c:v>
                </c:pt>
                <c:pt idx="5">
                  <c:v>87951</c:v>
                </c:pt>
              </c:numCache>
            </c:numRef>
          </c:val>
          <c:extLst>
            <c:ext xmlns:c16="http://schemas.microsoft.com/office/drawing/2014/chart" uri="{C3380CC4-5D6E-409C-BE32-E72D297353CC}">
              <c16:uniqueId val="{00000000-844B-42C7-A618-EC53DC380AD5}"/>
            </c:ext>
          </c:extLst>
        </c:ser>
        <c:ser>
          <c:idx val="1"/>
          <c:order val="1"/>
          <c:tx>
            <c:strRef>
              <c:f>'Paper production &amp; consumption '!$D$58</c:f>
              <c:strCache>
                <c:ptCount val="1"/>
                <c:pt idx="0">
                  <c:v>Printing/writing</c:v>
                </c:pt>
              </c:strCache>
            </c:strRef>
          </c:tx>
          <c:spPr>
            <a:solidFill>
              <a:schemeClr val="accent2"/>
            </a:solidFill>
            <a:ln>
              <a:noFill/>
            </a:ln>
            <a:effectLst/>
          </c:spPr>
          <c:invertIfNegative val="0"/>
          <c:cat>
            <c:numRef>
              <c:f>'Paper production &amp; consumption '!$B$59:$B$73</c:f>
              <c:numCache>
                <c:formatCode>General</c:formatCode>
                <c:ptCount val="6"/>
                <c:pt idx="0">
                  <c:v>2017</c:v>
                </c:pt>
                <c:pt idx="1">
                  <c:v>2018</c:v>
                </c:pt>
                <c:pt idx="2">
                  <c:v>2019</c:v>
                </c:pt>
                <c:pt idx="3">
                  <c:v>2020</c:v>
                </c:pt>
                <c:pt idx="4">
                  <c:v>2021</c:v>
                </c:pt>
                <c:pt idx="5">
                  <c:v>2022</c:v>
                </c:pt>
              </c:numCache>
            </c:numRef>
          </c:cat>
          <c:val>
            <c:numRef>
              <c:f>'Paper production &amp; consumption '!$D$59:$D$73</c:f>
              <c:numCache>
                <c:formatCode>General</c:formatCode>
                <c:ptCount val="6"/>
                <c:pt idx="0">
                  <c:v>693796</c:v>
                </c:pt>
                <c:pt idx="1">
                  <c:v>714098</c:v>
                </c:pt>
                <c:pt idx="2">
                  <c:v>759592</c:v>
                </c:pt>
                <c:pt idx="3">
                  <c:v>568909</c:v>
                </c:pt>
                <c:pt idx="4">
                  <c:v>634993</c:v>
                </c:pt>
                <c:pt idx="5">
                  <c:v>703066</c:v>
                </c:pt>
              </c:numCache>
            </c:numRef>
          </c:val>
          <c:extLst>
            <c:ext xmlns:c16="http://schemas.microsoft.com/office/drawing/2014/chart" uri="{C3380CC4-5D6E-409C-BE32-E72D297353CC}">
              <c16:uniqueId val="{00000001-844B-42C7-A618-EC53DC380AD5}"/>
            </c:ext>
          </c:extLst>
        </c:ser>
        <c:ser>
          <c:idx val="2"/>
          <c:order val="2"/>
          <c:tx>
            <c:strRef>
              <c:f>'Paper production &amp; consumption '!$E$58</c:f>
              <c:strCache>
                <c:ptCount val="1"/>
                <c:pt idx="0">
                  <c:v>Corrugating material/container board</c:v>
                </c:pt>
              </c:strCache>
            </c:strRef>
          </c:tx>
          <c:spPr>
            <a:solidFill>
              <a:schemeClr val="accent3"/>
            </a:solidFill>
            <a:ln>
              <a:noFill/>
            </a:ln>
            <a:effectLst/>
          </c:spPr>
          <c:invertIfNegative val="0"/>
          <c:cat>
            <c:numRef>
              <c:f>'Paper production &amp; consumption '!$B$59:$B$73</c:f>
              <c:numCache>
                <c:formatCode>General</c:formatCode>
                <c:ptCount val="6"/>
                <c:pt idx="0">
                  <c:v>2017</c:v>
                </c:pt>
                <c:pt idx="1">
                  <c:v>2018</c:v>
                </c:pt>
                <c:pt idx="2">
                  <c:v>2019</c:v>
                </c:pt>
                <c:pt idx="3">
                  <c:v>2020</c:v>
                </c:pt>
                <c:pt idx="4">
                  <c:v>2021</c:v>
                </c:pt>
                <c:pt idx="5">
                  <c:v>2022</c:v>
                </c:pt>
              </c:numCache>
            </c:numRef>
          </c:cat>
          <c:val>
            <c:numRef>
              <c:f>'Paper production &amp; consumption '!$E$59:$E$73</c:f>
              <c:numCache>
                <c:formatCode>General</c:formatCode>
                <c:ptCount val="6"/>
                <c:pt idx="0">
                  <c:v>1022661</c:v>
                </c:pt>
                <c:pt idx="1">
                  <c:v>1160204</c:v>
                </c:pt>
                <c:pt idx="2">
                  <c:v>1164198</c:v>
                </c:pt>
                <c:pt idx="3">
                  <c:v>998012</c:v>
                </c:pt>
                <c:pt idx="4">
                  <c:v>1035602</c:v>
                </c:pt>
                <c:pt idx="5">
                  <c:v>1323540</c:v>
                </c:pt>
              </c:numCache>
            </c:numRef>
          </c:val>
          <c:extLst>
            <c:ext xmlns:c16="http://schemas.microsoft.com/office/drawing/2014/chart" uri="{C3380CC4-5D6E-409C-BE32-E72D297353CC}">
              <c16:uniqueId val="{00000002-844B-42C7-A618-EC53DC380AD5}"/>
            </c:ext>
          </c:extLst>
        </c:ser>
        <c:ser>
          <c:idx val="3"/>
          <c:order val="3"/>
          <c:tx>
            <c:strRef>
              <c:f>'Paper production &amp; consumption '!$F$58</c:f>
              <c:strCache>
                <c:ptCount val="1"/>
                <c:pt idx="0">
                  <c:v>Other wrapping paper</c:v>
                </c:pt>
              </c:strCache>
            </c:strRef>
          </c:tx>
          <c:spPr>
            <a:solidFill>
              <a:schemeClr val="accent4"/>
            </a:solidFill>
            <a:ln>
              <a:noFill/>
            </a:ln>
            <a:effectLst/>
          </c:spPr>
          <c:invertIfNegative val="0"/>
          <c:cat>
            <c:numRef>
              <c:f>'Paper production &amp; consumption '!$B$59:$B$73</c:f>
              <c:numCache>
                <c:formatCode>General</c:formatCode>
                <c:ptCount val="6"/>
                <c:pt idx="0">
                  <c:v>2017</c:v>
                </c:pt>
                <c:pt idx="1">
                  <c:v>2018</c:v>
                </c:pt>
                <c:pt idx="2">
                  <c:v>2019</c:v>
                </c:pt>
                <c:pt idx="3">
                  <c:v>2020</c:v>
                </c:pt>
                <c:pt idx="4">
                  <c:v>2021</c:v>
                </c:pt>
                <c:pt idx="5">
                  <c:v>2022</c:v>
                </c:pt>
              </c:numCache>
            </c:numRef>
          </c:cat>
          <c:val>
            <c:numRef>
              <c:f>'Paper production &amp; consumption '!$F$59:$F$73</c:f>
              <c:numCache>
                <c:formatCode>General</c:formatCode>
                <c:ptCount val="6"/>
                <c:pt idx="0">
                  <c:v>46950</c:v>
                </c:pt>
                <c:pt idx="1">
                  <c:v>11151</c:v>
                </c:pt>
                <c:pt idx="2">
                  <c:v>10769</c:v>
                </c:pt>
                <c:pt idx="3">
                  <c:v>6630</c:v>
                </c:pt>
                <c:pt idx="4">
                  <c:v>13400</c:v>
                </c:pt>
                <c:pt idx="5">
                  <c:v>16021</c:v>
                </c:pt>
              </c:numCache>
            </c:numRef>
          </c:val>
          <c:extLst>
            <c:ext xmlns:c16="http://schemas.microsoft.com/office/drawing/2014/chart" uri="{C3380CC4-5D6E-409C-BE32-E72D297353CC}">
              <c16:uniqueId val="{00000003-844B-42C7-A618-EC53DC380AD5}"/>
            </c:ext>
          </c:extLst>
        </c:ser>
        <c:ser>
          <c:idx val="4"/>
          <c:order val="4"/>
          <c:tx>
            <c:strRef>
              <c:f>'Paper production &amp; consumption '!$G$58</c:f>
              <c:strCache>
                <c:ptCount val="1"/>
                <c:pt idx="0">
                  <c:v>Other paper &amp; board paper</c:v>
                </c:pt>
              </c:strCache>
            </c:strRef>
          </c:tx>
          <c:spPr>
            <a:solidFill>
              <a:schemeClr val="accent5"/>
            </a:solidFill>
            <a:ln>
              <a:noFill/>
            </a:ln>
            <a:effectLst/>
          </c:spPr>
          <c:invertIfNegative val="0"/>
          <c:cat>
            <c:numRef>
              <c:f>'Paper production &amp; consumption '!$B$59:$B$73</c:f>
              <c:numCache>
                <c:formatCode>General</c:formatCode>
                <c:ptCount val="6"/>
                <c:pt idx="0">
                  <c:v>2017</c:v>
                </c:pt>
                <c:pt idx="1">
                  <c:v>2018</c:v>
                </c:pt>
                <c:pt idx="2">
                  <c:v>2019</c:v>
                </c:pt>
                <c:pt idx="3">
                  <c:v>2020</c:v>
                </c:pt>
                <c:pt idx="4">
                  <c:v>2021</c:v>
                </c:pt>
                <c:pt idx="5">
                  <c:v>2022</c:v>
                </c:pt>
              </c:numCache>
            </c:numRef>
          </c:cat>
          <c:val>
            <c:numRef>
              <c:f>'Paper production &amp; consumption '!$G$59:$G$73</c:f>
              <c:numCache>
                <c:formatCode>General</c:formatCode>
                <c:ptCount val="6"/>
                <c:pt idx="0">
                  <c:v>46950</c:v>
                </c:pt>
                <c:pt idx="1">
                  <c:v>86168</c:v>
                </c:pt>
                <c:pt idx="2">
                  <c:v>38611</c:v>
                </c:pt>
                <c:pt idx="3">
                  <c:v>139836</c:v>
                </c:pt>
                <c:pt idx="4">
                  <c:v>181455</c:v>
                </c:pt>
                <c:pt idx="5">
                  <c:v>70663</c:v>
                </c:pt>
              </c:numCache>
            </c:numRef>
          </c:val>
          <c:extLst>
            <c:ext xmlns:c16="http://schemas.microsoft.com/office/drawing/2014/chart" uri="{C3380CC4-5D6E-409C-BE32-E72D297353CC}">
              <c16:uniqueId val="{00000004-844B-42C7-A618-EC53DC380AD5}"/>
            </c:ext>
          </c:extLst>
        </c:ser>
        <c:ser>
          <c:idx val="5"/>
          <c:order val="5"/>
          <c:tx>
            <c:strRef>
              <c:f>'Paper production &amp; consumption '!$H$58</c:f>
              <c:strCache>
                <c:ptCount val="1"/>
                <c:pt idx="0">
                  <c:v>Tissue paper</c:v>
                </c:pt>
              </c:strCache>
            </c:strRef>
          </c:tx>
          <c:spPr>
            <a:solidFill>
              <a:schemeClr val="accent6"/>
            </a:solidFill>
            <a:ln>
              <a:noFill/>
            </a:ln>
            <a:effectLst/>
          </c:spPr>
          <c:invertIfNegative val="0"/>
          <c:cat>
            <c:numRef>
              <c:f>'Paper production &amp; consumption '!$B$59:$B$73</c:f>
              <c:numCache>
                <c:formatCode>General</c:formatCode>
                <c:ptCount val="6"/>
                <c:pt idx="0">
                  <c:v>2017</c:v>
                </c:pt>
                <c:pt idx="1">
                  <c:v>2018</c:v>
                </c:pt>
                <c:pt idx="2">
                  <c:v>2019</c:v>
                </c:pt>
                <c:pt idx="3">
                  <c:v>2020</c:v>
                </c:pt>
                <c:pt idx="4">
                  <c:v>2021</c:v>
                </c:pt>
                <c:pt idx="5">
                  <c:v>2022</c:v>
                </c:pt>
              </c:numCache>
            </c:numRef>
          </c:cat>
          <c:val>
            <c:numRef>
              <c:f>'Paper production &amp; consumption '!$H$59:$H$73</c:f>
              <c:numCache>
                <c:formatCode>General</c:formatCode>
                <c:ptCount val="6"/>
                <c:pt idx="0">
                  <c:v>228588</c:v>
                </c:pt>
                <c:pt idx="1">
                  <c:v>231732</c:v>
                </c:pt>
                <c:pt idx="2">
                  <c:v>243204</c:v>
                </c:pt>
                <c:pt idx="3">
                  <c:v>205369</c:v>
                </c:pt>
                <c:pt idx="4">
                  <c:v>242005</c:v>
                </c:pt>
                <c:pt idx="5">
                  <c:v>252405</c:v>
                </c:pt>
              </c:numCache>
            </c:numRef>
          </c:val>
          <c:extLst>
            <c:ext xmlns:c16="http://schemas.microsoft.com/office/drawing/2014/chart" uri="{C3380CC4-5D6E-409C-BE32-E72D297353CC}">
              <c16:uniqueId val="{00000005-844B-42C7-A618-EC53DC380AD5}"/>
            </c:ext>
          </c:extLst>
        </c:ser>
        <c:dLbls>
          <c:showLegendKey val="0"/>
          <c:showVal val="0"/>
          <c:showCatName val="0"/>
          <c:showSerName val="0"/>
          <c:showPercent val="0"/>
          <c:showBubbleSize val="0"/>
        </c:dLbls>
        <c:gapWidth val="150"/>
        <c:axId val="1636297680"/>
        <c:axId val="1625312512"/>
        <c:extLst>
          <c:ext xmlns:c15="http://schemas.microsoft.com/office/drawing/2012/chart" uri="{02D57815-91ED-43cb-92C2-25804820EDAC}">
            <c15:filteredBarSeries>
              <c15:ser>
                <c:idx val="6"/>
                <c:order val="6"/>
                <c:tx>
                  <c:strRef>
                    <c:extLst>
                      <c:ext uri="{02D57815-91ED-43cb-92C2-25804820EDAC}">
                        <c15:formulaRef>
                          <c15:sqref>'Paper production &amp; consumption '!$I$58</c15:sqref>
                        </c15:formulaRef>
                      </c:ext>
                    </c:extLst>
                    <c:strCache>
                      <c:ptCount val="1"/>
                    </c:strCache>
                  </c:strRef>
                </c:tx>
                <c:spPr>
                  <a:solidFill>
                    <a:schemeClr val="accent1">
                      <a:lumMod val="60000"/>
                    </a:schemeClr>
                  </a:solidFill>
                  <a:ln>
                    <a:noFill/>
                  </a:ln>
                  <a:effectLst/>
                </c:spPr>
                <c:invertIfNegative val="0"/>
                <c:cat>
                  <c:numRef>
                    <c:extLst>
                      <c:ext uri="{02D57815-91ED-43cb-92C2-25804820EDAC}">
                        <c15:formulaRef>
                          <c15:sqref>'Paper production &amp; consumption '!$B$59:$B$73</c15:sqref>
                        </c15:formulaRef>
                      </c:ext>
                    </c:extLst>
                    <c:numCache>
                      <c:formatCode>General</c:formatCode>
                      <c:ptCount val="6"/>
                      <c:pt idx="0">
                        <c:v>2017</c:v>
                      </c:pt>
                      <c:pt idx="1">
                        <c:v>2018</c:v>
                      </c:pt>
                      <c:pt idx="2">
                        <c:v>2019</c:v>
                      </c:pt>
                      <c:pt idx="3">
                        <c:v>2020</c:v>
                      </c:pt>
                      <c:pt idx="4">
                        <c:v>2021</c:v>
                      </c:pt>
                      <c:pt idx="5">
                        <c:v>2022</c:v>
                      </c:pt>
                    </c:numCache>
                  </c:numRef>
                </c:cat>
                <c:val>
                  <c:numRef>
                    <c:extLst>
                      <c:ext uri="{02D57815-91ED-43cb-92C2-25804820EDAC}">
                        <c15:formulaRef>
                          <c15:sqref>'Paper production &amp; consumption '!$I$59:$I$73</c15:sqref>
                        </c15:formulaRef>
                      </c:ext>
                    </c:extLst>
                    <c:numCache>
                      <c:formatCode>General</c:formatCode>
                      <c:ptCount val="6"/>
                    </c:numCache>
                  </c:numRef>
                </c:val>
                <c:extLst>
                  <c:ext xmlns:c16="http://schemas.microsoft.com/office/drawing/2014/chart" uri="{C3380CC4-5D6E-409C-BE32-E72D297353CC}">
                    <c16:uniqueId val="{00000006-844B-42C7-A618-EC53DC380AD5}"/>
                  </c:ext>
                </c:extLst>
              </c15:ser>
            </c15:filteredBarSeries>
          </c:ext>
        </c:extLst>
      </c:barChart>
      <c:lineChart>
        <c:grouping val="standard"/>
        <c:varyColors val="0"/>
        <c:ser>
          <c:idx val="7"/>
          <c:order val="7"/>
          <c:tx>
            <c:strRef>
              <c:f>'Paper production &amp; consumption '!$J$58</c:f>
              <c:strCache>
                <c:ptCount val="1"/>
                <c:pt idx="0">
                  <c:v>Total (cons.)</c:v>
                </c:pt>
              </c:strCache>
            </c:strRef>
          </c:tx>
          <c:spPr>
            <a:ln w="28575" cap="rnd">
              <a:solidFill>
                <a:schemeClr val="accent2">
                  <a:lumMod val="60000"/>
                </a:schemeClr>
              </a:solidFill>
              <a:round/>
            </a:ln>
            <a:effectLst/>
          </c:spPr>
          <c:marker>
            <c:symbol val="none"/>
          </c:marker>
          <c:cat>
            <c:numRef>
              <c:f>'Paper production &amp; consumption '!$B$59:$B$73</c:f>
              <c:numCache>
                <c:formatCode>General</c:formatCode>
                <c:ptCount val="6"/>
                <c:pt idx="0">
                  <c:v>2017</c:v>
                </c:pt>
                <c:pt idx="1">
                  <c:v>2018</c:v>
                </c:pt>
                <c:pt idx="2">
                  <c:v>2019</c:v>
                </c:pt>
                <c:pt idx="3">
                  <c:v>2020</c:v>
                </c:pt>
                <c:pt idx="4">
                  <c:v>2021</c:v>
                </c:pt>
                <c:pt idx="5">
                  <c:v>2022</c:v>
                </c:pt>
              </c:numCache>
            </c:numRef>
          </c:cat>
          <c:val>
            <c:numRef>
              <c:f>'Paper production &amp; consumption '!$J$59:$J$73</c:f>
              <c:numCache>
                <c:formatCode>General</c:formatCode>
                <c:ptCount val="6"/>
                <c:pt idx="0">
                  <c:v>2186438</c:v>
                </c:pt>
                <c:pt idx="1">
                  <c:v>2307650</c:v>
                </c:pt>
                <c:pt idx="2">
                  <c:v>2349925</c:v>
                </c:pt>
                <c:pt idx="3">
                  <c:v>1992424</c:v>
                </c:pt>
                <c:pt idx="4">
                  <c:v>2211476</c:v>
                </c:pt>
                <c:pt idx="5">
                  <c:v>2453646</c:v>
                </c:pt>
              </c:numCache>
            </c:numRef>
          </c:val>
          <c:smooth val="0"/>
          <c:extLst>
            <c:ext xmlns:c16="http://schemas.microsoft.com/office/drawing/2014/chart" uri="{C3380CC4-5D6E-409C-BE32-E72D297353CC}">
              <c16:uniqueId val="{00000007-844B-42C7-A618-EC53DC380AD5}"/>
            </c:ext>
          </c:extLst>
        </c:ser>
        <c:dLbls>
          <c:showLegendKey val="0"/>
          <c:showVal val="0"/>
          <c:showCatName val="0"/>
          <c:showSerName val="0"/>
          <c:showPercent val="0"/>
          <c:showBubbleSize val="0"/>
        </c:dLbls>
        <c:marker val="1"/>
        <c:smooth val="0"/>
        <c:axId val="1636297680"/>
        <c:axId val="1625312512"/>
      </c:lineChart>
      <c:catAx>
        <c:axId val="16362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12512"/>
        <c:crosses val="autoZero"/>
        <c:auto val="1"/>
        <c:lblAlgn val="ctr"/>
        <c:lblOffset val="100"/>
        <c:noMultiLvlLbl val="0"/>
      </c:catAx>
      <c:valAx>
        <c:axId val="1625312512"/>
        <c:scaling>
          <c:orientation val="minMax"/>
          <c:max val="2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(mt)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297680"/>
        <c:crosses val="autoZero"/>
        <c:crossBetween val="between"/>
      </c:valAx>
      <c:spPr>
        <a:noFill/>
        <a:ln>
          <a:noFill/>
        </a:ln>
        <a:effectLst/>
      </c:spPr>
    </c:plotArea>
    <c:legend>
      <c:legendPos val="b"/>
      <c:layout>
        <c:manualLayout>
          <c:xMode val="edge"/>
          <c:yMode val="edge"/>
          <c:x val="6.0233816950493093E-3"/>
          <c:y val="0.81572392758411116"/>
          <c:w val="0.95148560314059316"/>
          <c:h val="0.1834432479727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production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'!$C$79</c:f>
              <c:strCache>
                <c:ptCount val="1"/>
                <c:pt idx="0">
                  <c:v>Newsprint</c:v>
                </c:pt>
              </c:strCache>
            </c:strRef>
          </c:tx>
          <c:spPr>
            <a:solidFill>
              <a:schemeClr val="accent1"/>
            </a:solidFill>
            <a:ln>
              <a:noFill/>
            </a:ln>
            <a:effectLst/>
          </c:spPr>
          <c:invertIfNegative val="0"/>
          <c:cat>
            <c:numRef>
              <c:extLst>
                <c:ext xmlns:c15="http://schemas.microsoft.com/office/drawing/2012/chart" uri="{02D57815-91ED-43cb-92C2-25804820EDAC}">
                  <c15:fullRef>
                    <c15:sqref>'Paper production &amp; consumption '!$B$80:$B$90</c15:sqref>
                  </c15:fullRef>
                </c:ext>
              </c:extLst>
              <c:f>'Paper production &amp; consumption '!$B$80:$B$89</c:f>
              <c:numCache>
                <c:formatCode>General</c:formatCode>
                <c:ptCount val="6"/>
                <c:pt idx="0">
                  <c:v>2017</c:v>
                </c:pt>
                <c:pt idx="1">
                  <c:v>2018</c:v>
                </c:pt>
                <c:pt idx="2">
                  <c:v>2019</c:v>
                </c:pt>
                <c:pt idx="3">
                  <c:v>2020</c:v>
                </c:pt>
                <c:pt idx="4">
                  <c:v>2021</c:v>
                </c:pt>
                <c:pt idx="5">
                  <c:v>2022</c:v>
                </c:pt>
              </c:numCache>
            </c:numRef>
          </c:cat>
          <c:val>
            <c:numRef>
              <c:extLst>
                <c:ext xmlns:c15="http://schemas.microsoft.com/office/drawing/2012/chart" uri="{02D57815-91ED-43cb-92C2-25804820EDAC}">
                  <c15:fullRef>
                    <c15:sqref>'Paper production &amp; consumption '!$C$80:$C$90</c15:sqref>
                  </c15:fullRef>
                </c:ext>
              </c:extLst>
              <c:f>'Paper production &amp; consumption '!$C$80:$C$89</c:f>
              <c:numCache>
                <c:formatCode>General</c:formatCode>
                <c:ptCount val="6"/>
                <c:pt idx="0">
                  <c:v>180727</c:v>
                </c:pt>
                <c:pt idx="1">
                  <c:v>113912</c:v>
                </c:pt>
                <c:pt idx="2" formatCode="0">
                  <c:v>106786</c:v>
                </c:pt>
                <c:pt idx="3">
                  <c:v>57011</c:v>
                </c:pt>
                <c:pt idx="4" formatCode="0">
                  <c:v>80467</c:v>
                </c:pt>
                <c:pt idx="5" formatCode="0">
                  <c:v>75197</c:v>
                </c:pt>
              </c:numCache>
            </c:numRef>
          </c:val>
          <c:extLst>
            <c:ext xmlns:c16="http://schemas.microsoft.com/office/drawing/2014/chart" uri="{C3380CC4-5D6E-409C-BE32-E72D297353CC}">
              <c16:uniqueId val="{00000000-01AB-4892-AE78-919F65815BED}"/>
            </c:ext>
          </c:extLst>
        </c:ser>
        <c:ser>
          <c:idx val="1"/>
          <c:order val="1"/>
          <c:tx>
            <c:strRef>
              <c:f>'Paper production &amp; consumption '!$D$79</c:f>
              <c:strCache>
                <c:ptCount val="1"/>
                <c:pt idx="0">
                  <c:v>Printing/writing</c:v>
                </c:pt>
              </c:strCache>
            </c:strRef>
          </c:tx>
          <c:spPr>
            <a:solidFill>
              <a:schemeClr val="accent2"/>
            </a:solidFill>
            <a:ln>
              <a:noFill/>
            </a:ln>
            <a:effectLst/>
          </c:spPr>
          <c:invertIfNegative val="0"/>
          <c:cat>
            <c:numRef>
              <c:extLst>
                <c:ext xmlns:c15="http://schemas.microsoft.com/office/drawing/2012/chart" uri="{02D57815-91ED-43cb-92C2-25804820EDAC}">
                  <c15:fullRef>
                    <c15:sqref>'Paper production &amp; consumption '!$B$80:$B$90</c15:sqref>
                  </c15:fullRef>
                </c:ext>
              </c:extLst>
              <c:f>'Paper production &amp; consumption '!$B$80:$B$89</c:f>
              <c:numCache>
                <c:formatCode>General</c:formatCode>
                <c:ptCount val="6"/>
                <c:pt idx="0">
                  <c:v>2017</c:v>
                </c:pt>
                <c:pt idx="1">
                  <c:v>2018</c:v>
                </c:pt>
                <c:pt idx="2">
                  <c:v>2019</c:v>
                </c:pt>
                <c:pt idx="3">
                  <c:v>2020</c:v>
                </c:pt>
                <c:pt idx="4">
                  <c:v>2021</c:v>
                </c:pt>
                <c:pt idx="5">
                  <c:v>2022</c:v>
                </c:pt>
              </c:numCache>
            </c:numRef>
          </c:cat>
          <c:val>
            <c:numRef>
              <c:extLst>
                <c:ext xmlns:c15="http://schemas.microsoft.com/office/drawing/2012/chart" uri="{02D57815-91ED-43cb-92C2-25804820EDAC}">
                  <c15:fullRef>
                    <c15:sqref>'Paper production &amp; consumption '!$D$80:$D$90</c15:sqref>
                  </c15:fullRef>
                </c:ext>
              </c:extLst>
              <c:f>'Paper production &amp; consumption '!$D$80:$D$89</c:f>
              <c:numCache>
                <c:formatCode>General</c:formatCode>
                <c:ptCount val="6"/>
                <c:pt idx="0">
                  <c:v>342457</c:v>
                </c:pt>
                <c:pt idx="1">
                  <c:v>361238</c:v>
                </c:pt>
                <c:pt idx="2" formatCode="0">
                  <c:v>341035</c:v>
                </c:pt>
                <c:pt idx="3" formatCode="0">
                  <c:v>265264</c:v>
                </c:pt>
                <c:pt idx="4" formatCode="0">
                  <c:v>306705</c:v>
                </c:pt>
                <c:pt idx="5" formatCode="0">
                  <c:v>263951</c:v>
                </c:pt>
              </c:numCache>
            </c:numRef>
          </c:val>
          <c:extLst>
            <c:ext xmlns:c16="http://schemas.microsoft.com/office/drawing/2014/chart" uri="{C3380CC4-5D6E-409C-BE32-E72D297353CC}">
              <c16:uniqueId val="{00000001-01AB-4892-AE78-919F65815BED}"/>
            </c:ext>
          </c:extLst>
        </c:ser>
        <c:ser>
          <c:idx val="2"/>
          <c:order val="2"/>
          <c:tx>
            <c:strRef>
              <c:f>'Paper production &amp; consumption '!$E$79</c:f>
              <c:strCache>
                <c:ptCount val="1"/>
                <c:pt idx="0">
                  <c:v>Corrugating material/container board</c:v>
                </c:pt>
              </c:strCache>
            </c:strRef>
          </c:tx>
          <c:spPr>
            <a:solidFill>
              <a:schemeClr val="accent3"/>
            </a:solidFill>
            <a:ln>
              <a:noFill/>
            </a:ln>
            <a:effectLst/>
          </c:spPr>
          <c:invertIfNegative val="0"/>
          <c:cat>
            <c:numRef>
              <c:extLst>
                <c:ext xmlns:c15="http://schemas.microsoft.com/office/drawing/2012/chart" uri="{02D57815-91ED-43cb-92C2-25804820EDAC}">
                  <c15:fullRef>
                    <c15:sqref>'Paper production &amp; consumption '!$B$80:$B$90</c15:sqref>
                  </c15:fullRef>
                </c:ext>
              </c:extLst>
              <c:f>'Paper production &amp; consumption '!$B$80:$B$89</c:f>
              <c:numCache>
                <c:formatCode>General</c:formatCode>
                <c:ptCount val="6"/>
                <c:pt idx="0">
                  <c:v>2017</c:v>
                </c:pt>
                <c:pt idx="1">
                  <c:v>2018</c:v>
                </c:pt>
                <c:pt idx="2">
                  <c:v>2019</c:v>
                </c:pt>
                <c:pt idx="3">
                  <c:v>2020</c:v>
                </c:pt>
                <c:pt idx="4">
                  <c:v>2021</c:v>
                </c:pt>
                <c:pt idx="5">
                  <c:v>2022</c:v>
                </c:pt>
              </c:numCache>
            </c:numRef>
          </c:cat>
          <c:val>
            <c:numRef>
              <c:extLst>
                <c:ext xmlns:c15="http://schemas.microsoft.com/office/drawing/2012/chart" uri="{02D57815-91ED-43cb-92C2-25804820EDAC}">
                  <c15:fullRef>
                    <c15:sqref>'Paper production &amp; consumption '!$E$80:$E$90</c15:sqref>
                  </c15:fullRef>
                </c:ext>
              </c:extLst>
              <c:f>'Paper production &amp; consumption '!$E$80:$E$89</c:f>
              <c:numCache>
                <c:formatCode>General</c:formatCode>
                <c:ptCount val="6"/>
                <c:pt idx="0">
                  <c:v>1208571</c:v>
                </c:pt>
                <c:pt idx="1">
                  <c:v>1325518</c:v>
                </c:pt>
                <c:pt idx="2" formatCode="0">
                  <c:v>1295692</c:v>
                </c:pt>
                <c:pt idx="3" formatCode="0">
                  <c:v>1198631</c:v>
                </c:pt>
                <c:pt idx="4" formatCode="0">
                  <c:v>1150646</c:v>
                </c:pt>
                <c:pt idx="5" formatCode="0">
                  <c:v>1256725</c:v>
                </c:pt>
              </c:numCache>
            </c:numRef>
          </c:val>
          <c:extLst>
            <c:ext xmlns:c16="http://schemas.microsoft.com/office/drawing/2014/chart" uri="{C3380CC4-5D6E-409C-BE32-E72D297353CC}">
              <c16:uniqueId val="{00000002-01AB-4892-AE78-919F65815BED}"/>
            </c:ext>
          </c:extLst>
        </c:ser>
        <c:ser>
          <c:idx val="3"/>
          <c:order val="3"/>
          <c:tx>
            <c:strRef>
              <c:f>'Paper production &amp; consumption '!$F$79</c:f>
              <c:strCache>
                <c:ptCount val="1"/>
                <c:pt idx="0">
                  <c:v>Other wrapping paper</c:v>
                </c:pt>
              </c:strCache>
            </c:strRef>
          </c:tx>
          <c:spPr>
            <a:solidFill>
              <a:schemeClr val="accent4"/>
            </a:solidFill>
            <a:ln>
              <a:noFill/>
            </a:ln>
            <a:effectLst/>
          </c:spPr>
          <c:invertIfNegative val="0"/>
          <c:cat>
            <c:numRef>
              <c:extLst>
                <c:ext xmlns:c15="http://schemas.microsoft.com/office/drawing/2012/chart" uri="{02D57815-91ED-43cb-92C2-25804820EDAC}">
                  <c15:fullRef>
                    <c15:sqref>'Paper production &amp; consumption '!$B$80:$B$90</c15:sqref>
                  </c15:fullRef>
                </c:ext>
              </c:extLst>
              <c:f>'Paper production &amp; consumption '!$B$80:$B$89</c:f>
              <c:numCache>
                <c:formatCode>General</c:formatCode>
                <c:ptCount val="6"/>
                <c:pt idx="0">
                  <c:v>2017</c:v>
                </c:pt>
                <c:pt idx="1">
                  <c:v>2018</c:v>
                </c:pt>
                <c:pt idx="2">
                  <c:v>2019</c:v>
                </c:pt>
                <c:pt idx="3">
                  <c:v>2020</c:v>
                </c:pt>
                <c:pt idx="4">
                  <c:v>2021</c:v>
                </c:pt>
                <c:pt idx="5">
                  <c:v>2022</c:v>
                </c:pt>
              </c:numCache>
            </c:numRef>
          </c:cat>
          <c:val>
            <c:numRef>
              <c:extLst>
                <c:ext xmlns:c15="http://schemas.microsoft.com/office/drawing/2012/chart" uri="{02D57815-91ED-43cb-92C2-25804820EDAC}">
                  <c15:fullRef>
                    <c15:sqref>'Paper production &amp; consumption '!$F$80:$F$90</c15:sqref>
                  </c15:fullRef>
                </c:ext>
              </c:extLst>
              <c:f>'Paper production &amp; consumption '!$F$80:$F$89</c:f>
              <c:numCache>
                <c:formatCode>General</c:formatCode>
                <c:ptCount val="6"/>
                <c:pt idx="0">
                  <c:v>46950</c:v>
                </c:pt>
                <c:pt idx="1">
                  <c:v>11151</c:v>
                </c:pt>
                <c:pt idx="2" formatCode="0">
                  <c:v>10769</c:v>
                </c:pt>
                <c:pt idx="3" formatCode="0">
                  <c:v>6630</c:v>
                </c:pt>
                <c:pt idx="4" formatCode="0">
                  <c:v>13400</c:v>
                </c:pt>
                <c:pt idx="5" formatCode="0">
                  <c:v>16021</c:v>
                </c:pt>
              </c:numCache>
            </c:numRef>
          </c:val>
          <c:extLst>
            <c:ext xmlns:c16="http://schemas.microsoft.com/office/drawing/2014/chart" uri="{C3380CC4-5D6E-409C-BE32-E72D297353CC}">
              <c16:uniqueId val="{00000003-01AB-4892-AE78-919F65815BED}"/>
            </c:ext>
          </c:extLst>
        </c:ser>
        <c:ser>
          <c:idx val="4"/>
          <c:order val="4"/>
          <c:tx>
            <c:strRef>
              <c:f>'Paper production &amp; consumption '!$G$79</c:f>
              <c:strCache>
                <c:ptCount val="1"/>
                <c:pt idx="0">
                  <c:v>Other paper &amp; board paper</c:v>
                </c:pt>
              </c:strCache>
            </c:strRef>
          </c:tx>
          <c:spPr>
            <a:solidFill>
              <a:schemeClr val="accent5"/>
            </a:solidFill>
            <a:ln>
              <a:noFill/>
            </a:ln>
            <a:effectLst/>
          </c:spPr>
          <c:invertIfNegative val="0"/>
          <c:cat>
            <c:numRef>
              <c:extLst>
                <c:ext xmlns:c15="http://schemas.microsoft.com/office/drawing/2012/chart" uri="{02D57815-91ED-43cb-92C2-25804820EDAC}">
                  <c15:fullRef>
                    <c15:sqref>'Paper production &amp; consumption '!$B$80:$B$90</c15:sqref>
                  </c15:fullRef>
                </c:ext>
              </c:extLst>
              <c:f>'Paper production &amp; consumption '!$B$80:$B$89</c:f>
              <c:numCache>
                <c:formatCode>General</c:formatCode>
                <c:ptCount val="6"/>
                <c:pt idx="0">
                  <c:v>2017</c:v>
                </c:pt>
                <c:pt idx="1">
                  <c:v>2018</c:v>
                </c:pt>
                <c:pt idx="2">
                  <c:v>2019</c:v>
                </c:pt>
                <c:pt idx="3">
                  <c:v>2020</c:v>
                </c:pt>
                <c:pt idx="4">
                  <c:v>2021</c:v>
                </c:pt>
                <c:pt idx="5">
                  <c:v>2022</c:v>
                </c:pt>
              </c:numCache>
            </c:numRef>
          </c:cat>
          <c:val>
            <c:numRef>
              <c:extLst>
                <c:ext xmlns:c15="http://schemas.microsoft.com/office/drawing/2012/chart" uri="{02D57815-91ED-43cb-92C2-25804820EDAC}">
                  <c15:fullRef>
                    <c15:sqref>'Paper production &amp; consumption '!$G$80:$G$90</c15:sqref>
                  </c15:fullRef>
                </c:ext>
              </c:extLst>
              <c:f>'Paper production &amp; consumption '!$G$80:$G$89</c:f>
              <c:numCache>
                <c:formatCode>General</c:formatCode>
                <c:ptCount val="6"/>
                <c:pt idx="0">
                  <c:v>138186</c:v>
                </c:pt>
                <c:pt idx="1">
                  <c:v>135162</c:v>
                </c:pt>
                <c:pt idx="2" formatCode="0">
                  <c:v>69065</c:v>
                </c:pt>
                <c:pt idx="3" formatCode="0">
                  <c:v>136959</c:v>
                </c:pt>
                <c:pt idx="4">
                  <c:v>178058</c:v>
                </c:pt>
                <c:pt idx="5" formatCode="0">
                  <c:v>80402</c:v>
                </c:pt>
              </c:numCache>
            </c:numRef>
          </c:val>
          <c:extLst>
            <c:ext xmlns:c16="http://schemas.microsoft.com/office/drawing/2014/chart" uri="{C3380CC4-5D6E-409C-BE32-E72D297353CC}">
              <c16:uniqueId val="{00000004-01AB-4892-AE78-919F65815BED}"/>
            </c:ext>
          </c:extLst>
        </c:ser>
        <c:ser>
          <c:idx val="5"/>
          <c:order val="5"/>
          <c:tx>
            <c:strRef>
              <c:f>'Paper production &amp; consumption '!$H$79</c:f>
              <c:strCache>
                <c:ptCount val="1"/>
                <c:pt idx="0">
                  <c:v>Tissue paper</c:v>
                </c:pt>
              </c:strCache>
            </c:strRef>
          </c:tx>
          <c:spPr>
            <a:solidFill>
              <a:schemeClr val="accent6"/>
            </a:solidFill>
            <a:ln>
              <a:noFill/>
            </a:ln>
            <a:effectLst/>
          </c:spPr>
          <c:invertIfNegative val="0"/>
          <c:cat>
            <c:numRef>
              <c:extLst>
                <c:ext xmlns:c15="http://schemas.microsoft.com/office/drawing/2012/chart" uri="{02D57815-91ED-43cb-92C2-25804820EDAC}">
                  <c15:fullRef>
                    <c15:sqref>'Paper production &amp; consumption '!$B$80:$B$90</c15:sqref>
                  </c15:fullRef>
                </c:ext>
              </c:extLst>
              <c:f>'Paper production &amp; consumption '!$B$80:$B$89</c:f>
              <c:numCache>
                <c:formatCode>General</c:formatCode>
                <c:ptCount val="6"/>
                <c:pt idx="0">
                  <c:v>2017</c:v>
                </c:pt>
                <c:pt idx="1">
                  <c:v>2018</c:v>
                </c:pt>
                <c:pt idx="2">
                  <c:v>2019</c:v>
                </c:pt>
                <c:pt idx="3">
                  <c:v>2020</c:v>
                </c:pt>
                <c:pt idx="4">
                  <c:v>2021</c:v>
                </c:pt>
                <c:pt idx="5">
                  <c:v>2022</c:v>
                </c:pt>
              </c:numCache>
            </c:numRef>
          </c:cat>
          <c:val>
            <c:numRef>
              <c:extLst>
                <c:ext xmlns:c15="http://schemas.microsoft.com/office/drawing/2012/chart" uri="{02D57815-91ED-43cb-92C2-25804820EDAC}">
                  <c15:fullRef>
                    <c15:sqref>'Paper production &amp; consumption '!$H$80:$H$90</c15:sqref>
                  </c15:fullRef>
                </c:ext>
              </c:extLst>
              <c:f>'Paper production &amp; consumption '!$H$80:$H$89</c:f>
              <c:numCache>
                <c:formatCode>General</c:formatCode>
                <c:ptCount val="6"/>
                <c:pt idx="0">
                  <c:v>228991</c:v>
                </c:pt>
                <c:pt idx="1">
                  <c:v>239209</c:v>
                </c:pt>
                <c:pt idx="2" formatCode="0">
                  <c:v>248153</c:v>
                </c:pt>
                <c:pt idx="3" formatCode="0">
                  <c:v>226747</c:v>
                </c:pt>
                <c:pt idx="4" formatCode="0">
                  <c:v>266284</c:v>
                </c:pt>
                <c:pt idx="5" formatCode="0">
                  <c:v>270677</c:v>
                </c:pt>
              </c:numCache>
            </c:numRef>
          </c:val>
          <c:extLst>
            <c:ext xmlns:c16="http://schemas.microsoft.com/office/drawing/2014/chart" uri="{C3380CC4-5D6E-409C-BE32-E72D297353CC}">
              <c16:uniqueId val="{00000005-01AB-4892-AE78-919F65815BED}"/>
            </c:ext>
          </c:extLst>
        </c:ser>
        <c:dLbls>
          <c:showLegendKey val="0"/>
          <c:showVal val="0"/>
          <c:showCatName val="0"/>
          <c:showSerName val="0"/>
          <c:showPercent val="0"/>
          <c:showBubbleSize val="0"/>
        </c:dLbls>
        <c:gapWidth val="219"/>
        <c:axId val="1810025872"/>
        <c:axId val="1567759472"/>
        <c:extLst>
          <c:ext xmlns:c15="http://schemas.microsoft.com/office/drawing/2012/chart" uri="{02D57815-91ED-43cb-92C2-25804820EDAC}">
            <c15:filteredBarSeries>
              <c15:ser>
                <c:idx val="6"/>
                <c:order val="6"/>
                <c:tx>
                  <c:strRef>
                    <c:extLst>
                      <c:ext uri="{02D57815-91ED-43cb-92C2-25804820EDAC}">
                        <c15:formulaRef>
                          <c15:sqref>'Paper production &amp; consumption '!$I$79</c15:sqref>
                        </c15:formulaRef>
                      </c:ext>
                    </c:extLst>
                    <c:strCache>
                      <c:ptCount val="1"/>
                    </c:strCache>
                  </c:strRef>
                </c:tx>
                <c:spPr>
                  <a:solidFill>
                    <a:schemeClr val="accent1">
                      <a:lumMod val="60000"/>
                    </a:schemeClr>
                  </a:solidFill>
                  <a:ln>
                    <a:noFill/>
                  </a:ln>
                  <a:effectLst/>
                </c:spPr>
                <c:invertIfNegative val="0"/>
                <c:cat>
                  <c:numRef>
                    <c:extLst>
                      <c:ext uri="{02D57815-91ED-43cb-92C2-25804820EDAC}">
                        <c15:fullRef>
                          <c15:sqref>'Paper production &amp; consumption '!$B$80:$B$90</c15:sqref>
                        </c15:fullRef>
                        <c15:formulaRef>
                          <c15:sqref>'Paper production &amp; consumption '!$B$80:$B$89</c15:sqref>
                        </c15:formulaRef>
                      </c:ext>
                    </c:extLst>
                    <c:numCache>
                      <c:formatCode>General</c:formatCode>
                      <c:ptCount val="6"/>
                      <c:pt idx="0">
                        <c:v>2017</c:v>
                      </c:pt>
                      <c:pt idx="1">
                        <c:v>2018</c:v>
                      </c:pt>
                      <c:pt idx="2">
                        <c:v>2019</c:v>
                      </c:pt>
                      <c:pt idx="3">
                        <c:v>2020</c:v>
                      </c:pt>
                      <c:pt idx="4">
                        <c:v>2021</c:v>
                      </c:pt>
                      <c:pt idx="5">
                        <c:v>2022</c:v>
                      </c:pt>
                    </c:numCache>
                  </c:numRef>
                </c:cat>
                <c:val>
                  <c:numRef>
                    <c:extLst>
                      <c:ext uri="{02D57815-91ED-43cb-92C2-25804820EDAC}">
                        <c15:fullRef>
                          <c15:sqref>'Paper production &amp; consumption '!$I$80:$I$90</c15:sqref>
                        </c15:fullRef>
                        <c15:formulaRef>
                          <c15:sqref>'Paper production &amp; consumption '!$I$80:$I$89</c15:sqref>
                        </c15:formulaRef>
                      </c:ext>
                    </c:extLst>
                    <c:numCache>
                      <c:formatCode>General</c:formatCode>
                      <c:ptCount val="6"/>
                    </c:numCache>
                  </c:numRef>
                </c:val>
                <c:extLst>
                  <c:ext xmlns:c16="http://schemas.microsoft.com/office/drawing/2014/chart" uri="{C3380CC4-5D6E-409C-BE32-E72D297353CC}">
                    <c16:uniqueId val="{00000006-01AB-4892-AE78-919F65815BED}"/>
                  </c:ext>
                </c:extLst>
              </c15:ser>
            </c15:filteredBarSeries>
          </c:ext>
        </c:extLst>
      </c:barChart>
      <c:lineChart>
        <c:grouping val="standard"/>
        <c:varyColors val="0"/>
        <c:ser>
          <c:idx val="7"/>
          <c:order val="7"/>
          <c:tx>
            <c:strRef>
              <c:f>'Paper production &amp; consumption '!$J$79</c:f>
              <c:strCache>
                <c:ptCount val="1"/>
                <c:pt idx="0">
                  <c:v>Total (prod.)</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'Paper production &amp; consumption '!$B$80:$B$90</c15:sqref>
                  </c15:fullRef>
                </c:ext>
              </c:extLst>
              <c:f>'Paper production &amp; consumption '!$B$80:$B$89</c:f>
              <c:numCache>
                <c:formatCode>General</c:formatCode>
                <c:ptCount val="6"/>
                <c:pt idx="0">
                  <c:v>2017</c:v>
                </c:pt>
                <c:pt idx="1">
                  <c:v>2018</c:v>
                </c:pt>
                <c:pt idx="2">
                  <c:v>2019</c:v>
                </c:pt>
                <c:pt idx="3">
                  <c:v>2020</c:v>
                </c:pt>
                <c:pt idx="4">
                  <c:v>2021</c:v>
                </c:pt>
                <c:pt idx="5">
                  <c:v>2022</c:v>
                </c:pt>
              </c:numCache>
            </c:numRef>
          </c:cat>
          <c:val>
            <c:numRef>
              <c:extLst>
                <c:ext xmlns:c15="http://schemas.microsoft.com/office/drawing/2012/chart" uri="{02D57815-91ED-43cb-92C2-25804820EDAC}">
                  <c15:fullRef>
                    <c15:sqref>'Paper production &amp; consumption '!$J$80:$J$90</c15:sqref>
                  </c15:fullRef>
                </c:ext>
              </c:extLst>
              <c:f>'Paper production &amp; consumption '!$J$80:$J$89</c:f>
              <c:numCache>
                <c:formatCode>General</c:formatCode>
                <c:ptCount val="6"/>
                <c:pt idx="0">
                  <c:v>2145882</c:v>
                </c:pt>
                <c:pt idx="1">
                  <c:v>2186190</c:v>
                </c:pt>
                <c:pt idx="2">
                  <c:v>2071500</c:v>
                </c:pt>
                <c:pt idx="3">
                  <c:v>1891242</c:v>
                </c:pt>
                <c:pt idx="4">
                  <c:v>1995560</c:v>
                </c:pt>
                <c:pt idx="5">
                  <c:v>1962973</c:v>
                </c:pt>
              </c:numCache>
            </c:numRef>
          </c:val>
          <c:smooth val="0"/>
          <c:extLst>
            <c:ext xmlns:c16="http://schemas.microsoft.com/office/drawing/2014/chart" uri="{C3380CC4-5D6E-409C-BE32-E72D297353CC}">
              <c16:uniqueId val="{00000007-01AB-4892-AE78-919F65815BED}"/>
            </c:ext>
          </c:extLst>
        </c:ser>
        <c:dLbls>
          <c:showLegendKey val="0"/>
          <c:showVal val="0"/>
          <c:showCatName val="0"/>
          <c:showSerName val="0"/>
          <c:showPercent val="0"/>
          <c:showBubbleSize val="0"/>
        </c:dLbls>
        <c:marker val="1"/>
        <c:smooth val="0"/>
        <c:axId val="1810025872"/>
        <c:axId val="1567759472"/>
      </c:lineChart>
      <c:catAx>
        <c:axId val="181002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59472"/>
        <c:crosses val="autoZero"/>
        <c:auto val="1"/>
        <c:lblAlgn val="ctr"/>
        <c:lblOffset val="100"/>
        <c:noMultiLvlLbl val="0"/>
      </c:catAx>
      <c:valAx>
        <c:axId val="156775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5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Exported by</a:t>
            </a:r>
            <a:r>
              <a:rPr lang="en-US" baseline="0"/>
              <a:t> SA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'!$C$95</c:f>
              <c:strCache>
                <c:ptCount val="1"/>
                <c:pt idx="0">
                  <c:v>Newsprint</c:v>
                </c:pt>
              </c:strCache>
            </c:strRef>
          </c:tx>
          <c:spPr>
            <a:solidFill>
              <a:schemeClr val="accent1"/>
            </a:solidFill>
            <a:ln>
              <a:noFill/>
            </a:ln>
            <a:effectLst/>
          </c:spPr>
          <c:invertIfNegative val="0"/>
          <c:cat>
            <c:numRef>
              <c:f>'Paper production &amp; consumption '!$B$96:$B$101</c:f>
              <c:numCache>
                <c:formatCode>General</c:formatCode>
                <c:ptCount val="6"/>
                <c:pt idx="0">
                  <c:v>2017</c:v>
                </c:pt>
                <c:pt idx="1">
                  <c:v>2018</c:v>
                </c:pt>
                <c:pt idx="2">
                  <c:v>2019</c:v>
                </c:pt>
                <c:pt idx="3">
                  <c:v>2020</c:v>
                </c:pt>
                <c:pt idx="4">
                  <c:v>2021</c:v>
                </c:pt>
                <c:pt idx="5">
                  <c:v>2022</c:v>
                </c:pt>
              </c:numCache>
            </c:numRef>
          </c:cat>
          <c:val>
            <c:numRef>
              <c:f>'Paper production &amp; consumption '!$C$96:$C$101</c:f>
              <c:numCache>
                <c:formatCode>General</c:formatCode>
                <c:ptCount val="6"/>
                <c:pt idx="0">
                  <c:v>36980</c:v>
                </c:pt>
                <c:pt idx="1">
                  <c:v>63094</c:v>
                </c:pt>
                <c:pt idx="2">
                  <c:v>16913</c:v>
                </c:pt>
                <c:pt idx="3">
                  <c:v>9701</c:v>
                </c:pt>
                <c:pt idx="4">
                  <c:v>14164</c:v>
                </c:pt>
                <c:pt idx="5">
                  <c:v>20626</c:v>
                </c:pt>
              </c:numCache>
            </c:numRef>
          </c:val>
          <c:extLst>
            <c:ext xmlns:c16="http://schemas.microsoft.com/office/drawing/2014/chart" uri="{C3380CC4-5D6E-409C-BE32-E72D297353CC}">
              <c16:uniqueId val="{00000000-B9FB-4342-A806-F713706C5EF0}"/>
            </c:ext>
          </c:extLst>
        </c:ser>
        <c:ser>
          <c:idx val="1"/>
          <c:order val="1"/>
          <c:tx>
            <c:strRef>
              <c:f>'Paper production &amp; consumption '!$D$95</c:f>
              <c:strCache>
                <c:ptCount val="1"/>
                <c:pt idx="0">
                  <c:v>Printing/writing</c:v>
                </c:pt>
              </c:strCache>
            </c:strRef>
          </c:tx>
          <c:spPr>
            <a:solidFill>
              <a:schemeClr val="accent2"/>
            </a:solidFill>
            <a:ln>
              <a:noFill/>
            </a:ln>
            <a:effectLst/>
          </c:spPr>
          <c:invertIfNegative val="0"/>
          <c:cat>
            <c:numRef>
              <c:f>'Paper production &amp; consumption '!$B$96:$B$101</c:f>
              <c:numCache>
                <c:formatCode>General</c:formatCode>
                <c:ptCount val="6"/>
                <c:pt idx="0">
                  <c:v>2017</c:v>
                </c:pt>
                <c:pt idx="1">
                  <c:v>2018</c:v>
                </c:pt>
                <c:pt idx="2">
                  <c:v>2019</c:v>
                </c:pt>
                <c:pt idx="3">
                  <c:v>2020</c:v>
                </c:pt>
                <c:pt idx="4">
                  <c:v>2021</c:v>
                </c:pt>
                <c:pt idx="5">
                  <c:v>2022</c:v>
                </c:pt>
              </c:numCache>
            </c:numRef>
          </c:cat>
          <c:val>
            <c:numRef>
              <c:f>'Paper production &amp; consumption '!$D$96:$D$101</c:f>
              <c:numCache>
                <c:formatCode>General</c:formatCode>
                <c:ptCount val="6"/>
                <c:pt idx="0">
                  <c:v>136243</c:v>
                </c:pt>
                <c:pt idx="1">
                  <c:v>147793</c:v>
                </c:pt>
                <c:pt idx="2">
                  <c:v>132569</c:v>
                </c:pt>
                <c:pt idx="3">
                  <c:v>102976</c:v>
                </c:pt>
                <c:pt idx="4">
                  <c:v>137993</c:v>
                </c:pt>
                <c:pt idx="5">
                  <c:v>124578</c:v>
                </c:pt>
              </c:numCache>
            </c:numRef>
          </c:val>
          <c:extLst>
            <c:ext xmlns:c16="http://schemas.microsoft.com/office/drawing/2014/chart" uri="{C3380CC4-5D6E-409C-BE32-E72D297353CC}">
              <c16:uniqueId val="{00000001-B9FB-4342-A806-F713706C5EF0}"/>
            </c:ext>
          </c:extLst>
        </c:ser>
        <c:ser>
          <c:idx val="2"/>
          <c:order val="2"/>
          <c:tx>
            <c:strRef>
              <c:f>'Paper production &amp; consumption '!$E$95</c:f>
              <c:strCache>
                <c:ptCount val="1"/>
                <c:pt idx="0">
                  <c:v>Corrugating material/container board</c:v>
                </c:pt>
              </c:strCache>
            </c:strRef>
          </c:tx>
          <c:spPr>
            <a:solidFill>
              <a:schemeClr val="accent3"/>
            </a:solidFill>
            <a:ln>
              <a:noFill/>
            </a:ln>
            <a:effectLst/>
          </c:spPr>
          <c:invertIfNegative val="0"/>
          <c:cat>
            <c:numRef>
              <c:f>'Paper production &amp; consumption '!$B$96:$B$101</c:f>
              <c:numCache>
                <c:formatCode>General</c:formatCode>
                <c:ptCount val="6"/>
                <c:pt idx="0">
                  <c:v>2017</c:v>
                </c:pt>
                <c:pt idx="1">
                  <c:v>2018</c:v>
                </c:pt>
                <c:pt idx="2">
                  <c:v>2019</c:v>
                </c:pt>
                <c:pt idx="3">
                  <c:v>2020</c:v>
                </c:pt>
                <c:pt idx="4">
                  <c:v>2021</c:v>
                </c:pt>
                <c:pt idx="5">
                  <c:v>2022</c:v>
                </c:pt>
              </c:numCache>
            </c:numRef>
          </c:cat>
          <c:val>
            <c:numRef>
              <c:f>'Paper production &amp; consumption '!$E$96:$E$101</c:f>
              <c:numCache>
                <c:formatCode>General</c:formatCode>
                <c:ptCount val="6"/>
                <c:pt idx="0">
                  <c:v>326947</c:v>
                </c:pt>
                <c:pt idx="1">
                  <c:v>310034</c:v>
                </c:pt>
                <c:pt idx="2">
                  <c:v>274131</c:v>
                </c:pt>
                <c:pt idx="3">
                  <c:v>433184</c:v>
                </c:pt>
                <c:pt idx="4">
                  <c:v>338583</c:v>
                </c:pt>
                <c:pt idx="5">
                  <c:v>314987</c:v>
                </c:pt>
              </c:numCache>
            </c:numRef>
          </c:val>
          <c:extLst>
            <c:ext xmlns:c16="http://schemas.microsoft.com/office/drawing/2014/chart" uri="{C3380CC4-5D6E-409C-BE32-E72D297353CC}">
              <c16:uniqueId val="{00000002-B9FB-4342-A806-F713706C5EF0}"/>
            </c:ext>
          </c:extLst>
        </c:ser>
        <c:ser>
          <c:idx val="3"/>
          <c:order val="3"/>
          <c:tx>
            <c:strRef>
              <c:f>'Paper production &amp; consumption '!$F$95</c:f>
              <c:strCache>
                <c:ptCount val="1"/>
                <c:pt idx="0">
                  <c:v>Other wrapping paper</c:v>
                </c:pt>
              </c:strCache>
            </c:strRef>
          </c:tx>
          <c:spPr>
            <a:solidFill>
              <a:schemeClr val="accent4"/>
            </a:solidFill>
            <a:ln>
              <a:noFill/>
            </a:ln>
            <a:effectLst/>
          </c:spPr>
          <c:invertIfNegative val="0"/>
          <c:cat>
            <c:numRef>
              <c:f>'Paper production &amp; consumption '!$B$96:$B$101</c:f>
              <c:numCache>
                <c:formatCode>General</c:formatCode>
                <c:ptCount val="6"/>
                <c:pt idx="0">
                  <c:v>2017</c:v>
                </c:pt>
                <c:pt idx="1">
                  <c:v>2018</c:v>
                </c:pt>
                <c:pt idx="2">
                  <c:v>2019</c:v>
                </c:pt>
                <c:pt idx="3">
                  <c:v>2020</c:v>
                </c:pt>
                <c:pt idx="4">
                  <c:v>2021</c:v>
                </c:pt>
                <c:pt idx="5">
                  <c:v>2022</c:v>
                </c:pt>
              </c:numCache>
            </c:numRef>
          </c:cat>
          <c:val>
            <c:numRef>
              <c:f>'Paper production &amp; consumption '!$F$96:$F$101</c:f>
              <c:numCache>
                <c:formatCode>General</c:formatCode>
                <c:ptCount val="6"/>
              </c:numCache>
            </c:numRef>
          </c:val>
          <c:extLst>
            <c:ext xmlns:c16="http://schemas.microsoft.com/office/drawing/2014/chart" uri="{C3380CC4-5D6E-409C-BE32-E72D297353CC}">
              <c16:uniqueId val="{00000003-B9FB-4342-A806-F713706C5EF0}"/>
            </c:ext>
          </c:extLst>
        </c:ser>
        <c:ser>
          <c:idx val="4"/>
          <c:order val="4"/>
          <c:tx>
            <c:strRef>
              <c:f>'Paper production &amp; consumption '!$G$95</c:f>
              <c:strCache>
                <c:ptCount val="1"/>
                <c:pt idx="0">
                  <c:v>Other paper &amp; board paper</c:v>
                </c:pt>
              </c:strCache>
            </c:strRef>
          </c:tx>
          <c:spPr>
            <a:solidFill>
              <a:schemeClr val="accent5"/>
            </a:solidFill>
            <a:ln>
              <a:noFill/>
            </a:ln>
            <a:effectLst/>
          </c:spPr>
          <c:invertIfNegative val="0"/>
          <c:cat>
            <c:numRef>
              <c:f>'Paper production &amp; consumption '!$B$96:$B$101</c:f>
              <c:numCache>
                <c:formatCode>General</c:formatCode>
                <c:ptCount val="6"/>
                <c:pt idx="0">
                  <c:v>2017</c:v>
                </c:pt>
                <c:pt idx="1">
                  <c:v>2018</c:v>
                </c:pt>
                <c:pt idx="2">
                  <c:v>2019</c:v>
                </c:pt>
                <c:pt idx="3">
                  <c:v>2020</c:v>
                </c:pt>
                <c:pt idx="4">
                  <c:v>2021</c:v>
                </c:pt>
                <c:pt idx="5">
                  <c:v>2022</c:v>
                </c:pt>
              </c:numCache>
            </c:numRef>
          </c:cat>
          <c:val>
            <c:numRef>
              <c:f>'Paper production &amp; consumption '!$G$96:$G$101</c:f>
              <c:numCache>
                <c:formatCode>General</c:formatCode>
                <c:ptCount val="6"/>
                <c:pt idx="0">
                  <c:v>104005</c:v>
                </c:pt>
                <c:pt idx="1">
                  <c:v>106252</c:v>
                </c:pt>
                <c:pt idx="2">
                  <c:v>99423</c:v>
                </c:pt>
                <c:pt idx="3">
                  <c:v>10591</c:v>
                </c:pt>
                <c:pt idx="4">
                  <c:v>11795</c:v>
                </c:pt>
                <c:pt idx="5">
                  <c:v>37509</c:v>
                </c:pt>
              </c:numCache>
            </c:numRef>
          </c:val>
          <c:extLst>
            <c:ext xmlns:c16="http://schemas.microsoft.com/office/drawing/2014/chart" uri="{C3380CC4-5D6E-409C-BE32-E72D297353CC}">
              <c16:uniqueId val="{00000004-B9FB-4342-A806-F713706C5EF0}"/>
            </c:ext>
          </c:extLst>
        </c:ser>
        <c:ser>
          <c:idx val="5"/>
          <c:order val="5"/>
          <c:tx>
            <c:strRef>
              <c:f>'Paper production &amp; consumption '!$H$95</c:f>
              <c:strCache>
                <c:ptCount val="1"/>
                <c:pt idx="0">
                  <c:v>Tissue paper</c:v>
                </c:pt>
              </c:strCache>
            </c:strRef>
          </c:tx>
          <c:spPr>
            <a:solidFill>
              <a:schemeClr val="accent6"/>
            </a:solidFill>
            <a:ln>
              <a:noFill/>
            </a:ln>
            <a:effectLst/>
          </c:spPr>
          <c:invertIfNegative val="0"/>
          <c:cat>
            <c:numRef>
              <c:f>'Paper production &amp; consumption '!$B$96:$B$101</c:f>
              <c:numCache>
                <c:formatCode>General</c:formatCode>
                <c:ptCount val="6"/>
                <c:pt idx="0">
                  <c:v>2017</c:v>
                </c:pt>
                <c:pt idx="1">
                  <c:v>2018</c:v>
                </c:pt>
                <c:pt idx="2">
                  <c:v>2019</c:v>
                </c:pt>
                <c:pt idx="3">
                  <c:v>2020</c:v>
                </c:pt>
                <c:pt idx="4">
                  <c:v>2021</c:v>
                </c:pt>
                <c:pt idx="5">
                  <c:v>2022</c:v>
                </c:pt>
              </c:numCache>
            </c:numRef>
          </c:cat>
          <c:val>
            <c:numRef>
              <c:f>'Paper production &amp; consumption '!$H$96:$H$101</c:f>
              <c:numCache>
                <c:formatCode>General</c:formatCode>
                <c:ptCount val="6"/>
                <c:pt idx="0">
                  <c:v>36282</c:v>
                </c:pt>
                <c:pt idx="1">
                  <c:v>37084</c:v>
                </c:pt>
                <c:pt idx="2">
                  <c:v>35019</c:v>
                </c:pt>
                <c:pt idx="3">
                  <c:v>42449</c:v>
                </c:pt>
                <c:pt idx="4">
                  <c:v>42064</c:v>
                </c:pt>
                <c:pt idx="5">
                  <c:v>42508</c:v>
                </c:pt>
              </c:numCache>
            </c:numRef>
          </c:val>
          <c:extLst>
            <c:ext xmlns:c16="http://schemas.microsoft.com/office/drawing/2014/chart" uri="{C3380CC4-5D6E-409C-BE32-E72D297353CC}">
              <c16:uniqueId val="{00000005-B9FB-4342-A806-F713706C5EF0}"/>
            </c:ext>
          </c:extLst>
        </c:ser>
        <c:dLbls>
          <c:showLegendKey val="0"/>
          <c:showVal val="0"/>
          <c:showCatName val="0"/>
          <c:showSerName val="0"/>
          <c:showPercent val="0"/>
          <c:showBubbleSize val="0"/>
        </c:dLbls>
        <c:gapWidth val="219"/>
        <c:axId val="1807915792"/>
        <c:axId val="1564040368"/>
        <c:extLst>
          <c:ext xmlns:c15="http://schemas.microsoft.com/office/drawing/2012/chart" uri="{02D57815-91ED-43cb-92C2-25804820EDAC}">
            <c15:filteredBarSeries>
              <c15:ser>
                <c:idx val="6"/>
                <c:order val="6"/>
                <c:tx>
                  <c:strRef>
                    <c:extLst>
                      <c:ext uri="{02D57815-91ED-43cb-92C2-25804820EDAC}">
                        <c15:formulaRef>
                          <c15:sqref>'Paper production &amp; consumption '!$I$95</c15:sqref>
                        </c15:formulaRef>
                      </c:ext>
                    </c:extLst>
                    <c:strCache>
                      <c:ptCount val="1"/>
                    </c:strCache>
                  </c:strRef>
                </c:tx>
                <c:spPr>
                  <a:solidFill>
                    <a:schemeClr val="accent1">
                      <a:lumMod val="60000"/>
                    </a:schemeClr>
                  </a:solidFill>
                  <a:ln>
                    <a:noFill/>
                  </a:ln>
                  <a:effectLst/>
                </c:spPr>
                <c:invertIfNegative val="0"/>
                <c:cat>
                  <c:numRef>
                    <c:extLst>
                      <c:ext uri="{02D57815-91ED-43cb-92C2-25804820EDAC}">
                        <c15:formulaRef>
                          <c15:sqref>'Paper production &amp; consumption '!$B$96:$B$101</c15:sqref>
                        </c15:formulaRef>
                      </c:ext>
                    </c:extLst>
                    <c:numCache>
                      <c:formatCode>General</c:formatCode>
                      <c:ptCount val="6"/>
                      <c:pt idx="0">
                        <c:v>2017</c:v>
                      </c:pt>
                      <c:pt idx="1">
                        <c:v>2018</c:v>
                      </c:pt>
                      <c:pt idx="2">
                        <c:v>2019</c:v>
                      </c:pt>
                      <c:pt idx="3">
                        <c:v>2020</c:v>
                      </c:pt>
                      <c:pt idx="4">
                        <c:v>2021</c:v>
                      </c:pt>
                      <c:pt idx="5">
                        <c:v>2022</c:v>
                      </c:pt>
                    </c:numCache>
                  </c:numRef>
                </c:cat>
                <c:val>
                  <c:numRef>
                    <c:extLst>
                      <c:ext uri="{02D57815-91ED-43cb-92C2-25804820EDAC}">
                        <c15:formulaRef>
                          <c15:sqref>'Paper production &amp; consumption '!$I$96:$I$101</c15:sqref>
                        </c15:formulaRef>
                      </c:ext>
                    </c:extLst>
                    <c:numCache>
                      <c:formatCode>General</c:formatCode>
                      <c:ptCount val="6"/>
                    </c:numCache>
                  </c:numRef>
                </c:val>
                <c:extLst>
                  <c:ext xmlns:c16="http://schemas.microsoft.com/office/drawing/2014/chart" uri="{C3380CC4-5D6E-409C-BE32-E72D297353CC}">
                    <c16:uniqueId val="{00000006-B9FB-4342-A806-F713706C5EF0}"/>
                  </c:ext>
                </c:extLst>
              </c15:ser>
            </c15:filteredBarSeries>
          </c:ext>
        </c:extLst>
      </c:barChart>
      <c:lineChart>
        <c:grouping val="standard"/>
        <c:varyColors val="0"/>
        <c:ser>
          <c:idx val="7"/>
          <c:order val="7"/>
          <c:tx>
            <c:strRef>
              <c:f>'Paper production &amp; consumption '!$J$95</c:f>
              <c:strCache>
                <c:ptCount val="1"/>
                <c:pt idx="0">
                  <c:v>Total (exp.)</c:v>
                </c:pt>
              </c:strCache>
            </c:strRef>
          </c:tx>
          <c:spPr>
            <a:ln w="28575" cap="rnd">
              <a:solidFill>
                <a:schemeClr val="accent2">
                  <a:lumMod val="60000"/>
                </a:schemeClr>
              </a:solidFill>
              <a:round/>
            </a:ln>
            <a:effectLst/>
          </c:spPr>
          <c:marker>
            <c:symbol val="none"/>
          </c:marker>
          <c:cat>
            <c:numRef>
              <c:f>'Paper production &amp; consumption '!$B$96:$B$101</c:f>
              <c:numCache>
                <c:formatCode>General</c:formatCode>
                <c:ptCount val="6"/>
                <c:pt idx="0">
                  <c:v>2017</c:v>
                </c:pt>
                <c:pt idx="1">
                  <c:v>2018</c:v>
                </c:pt>
                <c:pt idx="2">
                  <c:v>2019</c:v>
                </c:pt>
                <c:pt idx="3">
                  <c:v>2020</c:v>
                </c:pt>
                <c:pt idx="4">
                  <c:v>2021</c:v>
                </c:pt>
                <c:pt idx="5">
                  <c:v>2022</c:v>
                </c:pt>
              </c:numCache>
            </c:numRef>
          </c:cat>
          <c:val>
            <c:numRef>
              <c:f>'Paper production &amp; consumption '!$J$96:$J$101</c:f>
              <c:numCache>
                <c:formatCode>General</c:formatCode>
                <c:ptCount val="6"/>
                <c:pt idx="0">
                  <c:v>640457</c:v>
                </c:pt>
                <c:pt idx="1">
                  <c:v>664257</c:v>
                </c:pt>
                <c:pt idx="2">
                  <c:v>558055</c:v>
                </c:pt>
                <c:pt idx="3">
                  <c:v>598901</c:v>
                </c:pt>
                <c:pt idx="4">
                  <c:v>544599</c:v>
                </c:pt>
                <c:pt idx="5">
                  <c:v>540208</c:v>
                </c:pt>
              </c:numCache>
            </c:numRef>
          </c:val>
          <c:smooth val="0"/>
          <c:extLst>
            <c:ext xmlns:c16="http://schemas.microsoft.com/office/drawing/2014/chart" uri="{C3380CC4-5D6E-409C-BE32-E72D297353CC}">
              <c16:uniqueId val="{00000007-B9FB-4342-A806-F713706C5EF0}"/>
            </c:ext>
          </c:extLst>
        </c:ser>
        <c:dLbls>
          <c:showLegendKey val="0"/>
          <c:showVal val="0"/>
          <c:showCatName val="0"/>
          <c:showSerName val="0"/>
          <c:showPercent val="0"/>
          <c:showBubbleSize val="0"/>
        </c:dLbls>
        <c:marker val="1"/>
        <c:smooth val="0"/>
        <c:axId val="1807915792"/>
        <c:axId val="1564040368"/>
      </c:lineChart>
      <c:catAx>
        <c:axId val="180791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40368"/>
        <c:crosses val="autoZero"/>
        <c:auto val="1"/>
        <c:lblAlgn val="ctr"/>
        <c:lblOffset val="100"/>
        <c:noMultiLvlLbl val="0"/>
      </c:catAx>
      <c:valAx>
        <c:axId val="156404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Quantitiy (mt)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imported by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'!$C$107</c:f>
              <c:strCache>
                <c:ptCount val="1"/>
                <c:pt idx="0">
                  <c:v>Newsprint</c:v>
                </c:pt>
              </c:strCache>
            </c:strRef>
          </c:tx>
          <c:spPr>
            <a:solidFill>
              <a:schemeClr val="accent1"/>
            </a:solidFill>
            <a:ln>
              <a:noFill/>
            </a:ln>
            <a:effectLst/>
          </c:spPr>
          <c:invertIfNegative val="0"/>
          <c:cat>
            <c:numRef>
              <c:f>'Paper production &amp; consumption '!$B$108:$B$113</c:f>
              <c:numCache>
                <c:formatCode>General</c:formatCode>
                <c:ptCount val="6"/>
                <c:pt idx="0">
                  <c:v>2017</c:v>
                </c:pt>
                <c:pt idx="1">
                  <c:v>2018</c:v>
                </c:pt>
                <c:pt idx="2">
                  <c:v>2019</c:v>
                </c:pt>
                <c:pt idx="3">
                  <c:v>2020</c:v>
                </c:pt>
                <c:pt idx="4">
                  <c:v>2021</c:v>
                </c:pt>
                <c:pt idx="5">
                  <c:v>2022</c:v>
                </c:pt>
              </c:numCache>
            </c:numRef>
          </c:cat>
          <c:val>
            <c:numRef>
              <c:f>'Paper production &amp; consumption '!$C$108:$C$113</c:f>
              <c:numCache>
                <c:formatCode>General</c:formatCode>
                <c:ptCount val="6"/>
                <c:pt idx="0">
                  <c:v>3746</c:v>
                </c:pt>
                <c:pt idx="1">
                  <c:v>53479</c:v>
                </c:pt>
                <c:pt idx="2">
                  <c:v>43678</c:v>
                </c:pt>
                <c:pt idx="3">
                  <c:v>26359</c:v>
                </c:pt>
                <c:pt idx="4">
                  <c:v>14164</c:v>
                </c:pt>
                <c:pt idx="5">
                  <c:v>33380</c:v>
                </c:pt>
              </c:numCache>
            </c:numRef>
          </c:val>
          <c:extLst>
            <c:ext xmlns:c16="http://schemas.microsoft.com/office/drawing/2014/chart" uri="{C3380CC4-5D6E-409C-BE32-E72D297353CC}">
              <c16:uniqueId val="{00000000-0B5C-42C3-B96A-839E27F5ADB5}"/>
            </c:ext>
          </c:extLst>
        </c:ser>
        <c:ser>
          <c:idx val="1"/>
          <c:order val="1"/>
          <c:tx>
            <c:strRef>
              <c:f>'Paper production &amp; consumption '!$D$107</c:f>
              <c:strCache>
                <c:ptCount val="1"/>
                <c:pt idx="0">
                  <c:v>Printing/writing</c:v>
                </c:pt>
              </c:strCache>
            </c:strRef>
          </c:tx>
          <c:spPr>
            <a:solidFill>
              <a:schemeClr val="accent2"/>
            </a:solidFill>
            <a:ln>
              <a:noFill/>
            </a:ln>
            <a:effectLst/>
          </c:spPr>
          <c:invertIfNegative val="0"/>
          <c:cat>
            <c:numRef>
              <c:f>'Paper production &amp; consumption '!$B$108:$B$113</c:f>
              <c:numCache>
                <c:formatCode>General</c:formatCode>
                <c:ptCount val="6"/>
                <c:pt idx="0">
                  <c:v>2017</c:v>
                </c:pt>
                <c:pt idx="1">
                  <c:v>2018</c:v>
                </c:pt>
                <c:pt idx="2">
                  <c:v>2019</c:v>
                </c:pt>
                <c:pt idx="3">
                  <c:v>2020</c:v>
                </c:pt>
                <c:pt idx="4">
                  <c:v>2021</c:v>
                </c:pt>
                <c:pt idx="5">
                  <c:v>2022</c:v>
                </c:pt>
              </c:numCache>
            </c:numRef>
          </c:cat>
          <c:val>
            <c:numRef>
              <c:f>'Paper production &amp; consumption '!$D$108:$D$113</c:f>
              <c:numCache>
                <c:formatCode>General</c:formatCode>
                <c:ptCount val="6"/>
                <c:pt idx="0">
                  <c:v>487581</c:v>
                </c:pt>
                <c:pt idx="1">
                  <c:v>500654</c:v>
                </c:pt>
                <c:pt idx="2">
                  <c:v>132569</c:v>
                </c:pt>
                <c:pt idx="3">
                  <c:v>406622</c:v>
                </c:pt>
                <c:pt idx="4">
                  <c:v>137993</c:v>
                </c:pt>
                <c:pt idx="5">
                  <c:v>563693</c:v>
                </c:pt>
              </c:numCache>
            </c:numRef>
          </c:val>
          <c:extLst>
            <c:ext xmlns:c16="http://schemas.microsoft.com/office/drawing/2014/chart" uri="{C3380CC4-5D6E-409C-BE32-E72D297353CC}">
              <c16:uniqueId val="{00000001-0B5C-42C3-B96A-839E27F5ADB5}"/>
            </c:ext>
          </c:extLst>
        </c:ser>
        <c:ser>
          <c:idx val="2"/>
          <c:order val="2"/>
          <c:tx>
            <c:strRef>
              <c:f>'Paper production &amp; consumption '!$E$107</c:f>
              <c:strCache>
                <c:ptCount val="1"/>
                <c:pt idx="0">
                  <c:v>Corrugating material/container board</c:v>
                </c:pt>
              </c:strCache>
            </c:strRef>
          </c:tx>
          <c:spPr>
            <a:solidFill>
              <a:schemeClr val="accent3"/>
            </a:solidFill>
            <a:ln>
              <a:noFill/>
            </a:ln>
            <a:effectLst/>
          </c:spPr>
          <c:invertIfNegative val="0"/>
          <c:cat>
            <c:numRef>
              <c:f>'Paper production &amp; consumption '!$B$108:$B$113</c:f>
              <c:numCache>
                <c:formatCode>General</c:formatCode>
                <c:ptCount val="6"/>
                <c:pt idx="0">
                  <c:v>2017</c:v>
                </c:pt>
                <c:pt idx="1">
                  <c:v>2018</c:v>
                </c:pt>
                <c:pt idx="2">
                  <c:v>2019</c:v>
                </c:pt>
                <c:pt idx="3">
                  <c:v>2020</c:v>
                </c:pt>
                <c:pt idx="4">
                  <c:v>2021</c:v>
                </c:pt>
                <c:pt idx="5">
                  <c:v>2022</c:v>
                </c:pt>
              </c:numCache>
            </c:numRef>
          </c:cat>
          <c:val>
            <c:numRef>
              <c:f>'Paper production &amp; consumption '!$E$108:$E$113</c:f>
              <c:numCache>
                <c:formatCode>General</c:formatCode>
                <c:ptCount val="6"/>
                <c:pt idx="0">
                  <c:v>141038</c:v>
                </c:pt>
                <c:pt idx="1">
                  <c:v>144720</c:v>
                </c:pt>
                <c:pt idx="2">
                  <c:v>274131</c:v>
                </c:pt>
                <c:pt idx="3">
                  <c:v>232564</c:v>
                </c:pt>
                <c:pt idx="4">
                  <c:v>338583</c:v>
                </c:pt>
                <c:pt idx="5">
                  <c:v>381802</c:v>
                </c:pt>
              </c:numCache>
            </c:numRef>
          </c:val>
          <c:extLst>
            <c:ext xmlns:c16="http://schemas.microsoft.com/office/drawing/2014/chart" uri="{C3380CC4-5D6E-409C-BE32-E72D297353CC}">
              <c16:uniqueId val="{00000002-0B5C-42C3-B96A-839E27F5ADB5}"/>
            </c:ext>
          </c:extLst>
        </c:ser>
        <c:ser>
          <c:idx val="3"/>
          <c:order val="3"/>
          <c:tx>
            <c:strRef>
              <c:f>'Paper production &amp; consumption '!$F$107</c:f>
              <c:strCache>
                <c:ptCount val="1"/>
                <c:pt idx="0">
                  <c:v>Other wrapping paper</c:v>
                </c:pt>
              </c:strCache>
            </c:strRef>
          </c:tx>
          <c:spPr>
            <a:solidFill>
              <a:schemeClr val="accent4"/>
            </a:solidFill>
            <a:ln>
              <a:noFill/>
            </a:ln>
            <a:effectLst/>
          </c:spPr>
          <c:invertIfNegative val="0"/>
          <c:cat>
            <c:numRef>
              <c:f>'Paper production &amp; consumption '!$B$108:$B$113</c:f>
              <c:numCache>
                <c:formatCode>General</c:formatCode>
                <c:ptCount val="6"/>
                <c:pt idx="0">
                  <c:v>2017</c:v>
                </c:pt>
                <c:pt idx="1">
                  <c:v>2018</c:v>
                </c:pt>
                <c:pt idx="2">
                  <c:v>2019</c:v>
                </c:pt>
                <c:pt idx="3">
                  <c:v>2020</c:v>
                </c:pt>
                <c:pt idx="4">
                  <c:v>2021</c:v>
                </c:pt>
                <c:pt idx="5">
                  <c:v>2022</c:v>
                </c:pt>
              </c:numCache>
            </c:numRef>
          </c:cat>
          <c:val>
            <c:numRef>
              <c:f>'Paper production &amp; consumption '!$F$108:$F$113</c:f>
              <c:numCache>
                <c:formatCode>General</c:formatCode>
                <c:ptCount val="6"/>
              </c:numCache>
            </c:numRef>
          </c:val>
          <c:extLst>
            <c:ext xmlns:c16="http://schemas.microsoft.com/office/drawing/2014/chart" uri="{C3380CC4-5D6E-409C-BE32-E72D297353CC}">
              <c16:uniqueId val="{00000003-0B5C-42C3-B96A-839E27F5ADB5}"/>
            </c:ext>
          </c:extLst>
        </c:ser>
        <c:ser>
          <c:idx val="4"/>
          <c:order val="4"/>
          <c:tx>
            <c:strRef>
              <c:f>'Paper production &amp; consumption '!$G$107</c:f>
              <c:strCache>
                <c:ptCount val="1"/>
                <c:pt idx="0">
                  <c:v>Other paper &amp; board paper</c:v>
                </c:pt>
              </c:strCache>
            </c:strRef>
          </c:tx>
          <c:spPr>
            <a:solidFill>
              <a:schemeClr val="accent5"/>
            </a:solidFill>
            <a:ln>
              <a:noFill/>
            </a:ln>
            <a:effectLst/>
          </c:spPr>
          <c:invertIfNegative val="0"/>
          <c:cat>
            <c:numRef>
              <c:f>'Paper production &amp; consumption '!$B$108:$B$113</c:f>
              <c:numCache>
                <c:formatCode>General</c:formatCode>
                <c:ptCount val="6"/>
                <c:pt idx="0">
                  <c:v>2017</c:v>
                </c:pt>
                <c:pt idx="1">
                  <c:v>2018</c:v>
                </c:pt>
                <c:pt idx="2">
                  <c:v>2019</c:v>
                </c:pt>
                <c:pt idx="3">
                  <c:v>2020</c:v>
                </c:pt>
                <c:pt idx="4">
                  <c:v>2021</c:v>
                </c:pt>
                <c:pt idx="5">
                  <c:v>2022</c:v>
                </c:pt>
              </c:numCache>
            </c:numRef>
          </c:cat>
          <c:val>
            <c:numRef>
              <c:f>'Paper production &amp; consumption '!$G$108:$G$113</c:f>
              <c:numCache>
                <c:formatCode>General</c:formatCode>
                <c:ptCount val="6"/>
                <c:pt idx="0">
                  <c:v>47277</c:v>
                </c:pt>
                <c:pt idx="1">
                  <c:v>57259</c:v>
                </c:pt>
                <c:pt idx="2">
                  <c:v>68968</c:v>
                </c:pt>
                <c:pt idx="3">
                  <c:v>13469</c:v>
                </c:pt>
                <c:pt idx="4">
                  <c:v>15192</c:v>
                </c:pt>
                <c:pt idx="5">
                  <c:v>27770</c:v>
                </c:pt>
              </c:numCache>
            </c:numRef>
          </c:val>
          <c:extLst>
            <c:ext xmlns:c16="http://schemas.microsoft.com/office/drawing/2014/chart" uri="{C3380CC4-5D6E-409C-BE32-E72D297353CC}">
              <c16:uniqueId val="{00000004-0B5C-42C3-B96A-839E27F5ADB5}"/>
            </c:ext>
          </c:extLst>
        </c:ser>
        <c:ser>
          <c:idx val="5"/>
          <c:order val="5"/>
          <c:tx>
            <c:strRef>
              <c:f>'Paper production &amp; consumption '!$H$107</c:f>
              <c:strCache>
                <c:ptCount val="1"/>
                <c:pt idx="0">
                  <c:v>Tissue paper</c:v>
                </c:pt>
              </c:strCache>
            </c:strRef>
          </c:tx>
          <c:spPr>
            <a:solidFill>
              <a:schemeClr val="accent6"/>
            </a:solidFill>
            <a:ln>
              <a:noFill/>
            </a:ln>
            <a:effectLst/>
          </c:spPr>
          <c:invertIfNegative val="0"/>
          <c:cat>
            <c:numRef>
              <c:f>'Paper production &amp; consumption '!$B$108:$B$113</c:f>
              <c:numCache>
                <c:formatCode>General</c:formatCode>
                <c:ptCount val="6"/>
                <c:pt idx="0">
                  <c:v>2017</c:v>
                </c:pt>
                <c:pt idx="1">
                  <c:v>2018</c:v>
                </c:pt>
                <c:pt idx="2">
                  <c:v>2019</c:v>
                </c:pt>
                <c:pt idx="3">
                  <c:v>2020</c:v>
                </c:pt>
                <c:pt idx="4">
                  <c:v>2021</c:v>
                </c:pt>
                <c:pt idx="5">
                  <c:v>2022</c:v>
                </c:pt>
              </c:numCache>
            </c:numRef>
          </c:cat>
          <c:val>
            <c:numRef>
              <c:f>'Paper production &amp; consumption '!$H$108:$H$113</c:f>
              <c:numCache>
                <c:formatCode>General</c:formatCode>
                <c:ptCount val="6"/>
                <c:pt idx="0">
                  <c:v>35879</c:v>
                </c:pt>
                <c:pt idx="1">
                  <c:v>29607</c:v>
                </c:pt>
                <c:pt idx="2">
                  <c:v>30142</c:v>
                </c:pt>
                <c:pt idx="3">
                  <c:v>21071</c:v>
                </c:pt>
                <c:pt idx="4">
                  <c:v>17785</c:v>
                </c:pt>
                <c:pt idx="5">
                  <c:v>24237</c:v>
                </c:pt>
              </c:numCache>
            </c:numRef>
          </c:val>
          <c:extLst>
            <c:ext xmlns:c16="http://schemas.microsoft.com/office/drawing/2014/chart" uri="{C3380CC4-5D6E-409C-BE32-E72D297353CC}">
              <c16:uniqueId val="{00000005-0B5C-42C3-B96A-839E27F5ADB5}"/>
            </c:ext>
          </c:extLst>
        </c:ser>
        <c:dLbls>
          <c:showLegendKey val="0"/>
          <c:showVal val="0"/>
          <c:showCatName val="0"/>
          <c:showSerName val="0"/>
          <c:showPercent val="0"/>
          <c:showBubbleSize val="0"/>
        </c:dLbls>
        <c:gapWidth val="219"/>
        <c:axId val="1855634784"/>
        <c:axId val="1928614096"/>
        <c:extLst>
          <c:ext xmlns:c15="http://schemas.microsoft.com/office/drawing/2012/chart" uri="{02D57815-91ED-43cb-92C2-25804820EDAC}">
            <c15:filteredBarSeries>
              <c15:ser>
                <c:idx val="6"/>
                <c:order val="6"/>
                <c:tx>
                  <c:strRef>
                    <c:extLst>
                      <c:ext uri="{02D57815-91ED-43cb-92C2-25804820EDAC}">
                        <c15:formulaRef>
                          <c15:sqref>'Paper production &amp; consumption '!$I$107</c15:sqref>
                        </c15:formulaRef>
                      </c:ext>
                    </c:extLst>
                    <c:strCache>
                      <c:ptCount val="1"/>
                    </c:strCache>
                  </c:strRef>
                </c:tx>
                <c:spPr>
                  <a:solidFill>
                    <a:schemeClr val="accent1">
                      <a:lumMod val="60000"/>
                    </a:schemeClr>
                  </a:solidFill>
                  <a:ln>
                    <a:noFill/>
                  </a:ln>
                  <a:effectLst/>
                </c:spPr>
                <c:invertIfNegative val="0"/>
                <c:cat>
                  <c:numRef>
                    <c:extLst>
                      <c:ext uri="{02D57815-91ED-43cb-92C2-25804820EDAC}">
                        <c15:formulaRef>
                          <c15:sqref>'Paper production &amp; consumption '!$B$108:$B$113</c15:sqref>
                        </c15:formulaRef>
                      </c:ext>
                    </c:extLst>
                    <c:numCache>
                      <c:formatCode>General</c:formatCode>
                      <c:ptCount val="6"/>
                      <c:pt idx="0">
                        <c:v>2017</c:v>
                      </c:pt>
                      <c:pt idx="1">
                        <c:v>2018</c:v>
                      </c:pt>
                      <c:pt idx="2">
                        <c:v>2019</c:v>
                      </c:pt>
                      <c:pt idx="3">
                        <c:v>2020</c:v>
                      </c:pt>
                      <c:pt idx="4">
                        <c:v>2021</c:v>
                      </c:pt>
                      <c:pt idx="5">
                        <c:v>2022</c:v>
                      </c:pt>
                    </c:numCache>
                  </c:numRef>
                </c:cat>
                <c:val>
                  <c:numRef>
                    <c:extLst>
                      <c:ext uri="{02D57815-91ED-43cb-92C2-25804820EDAC}">
                        <c15:formulaRef>
                          <c15:sqref>'Paper production &amp; consumption '!$I$108:$I$113</c15:sqref>
                        </c15:formulaRef>
                      </c:ext>
                    </c:extLst>
                    <c:numCache>
                      <c:formatCode>General</c:formatCode>
                      <c:ptCount val="6"/>
                    </c:numCache>
                  </c:numRef>
                </c:val>
                <c:extLst>
                  <c:ext xmlns:c16="http://schemas.microsoft.com/office/drawing/2014/chart" uri="{C3380CC4-5D6E-409C-BE32-E72D297353CC}">
                    <c16:uniqueId val="{00000006-0B5C-42C3-B96A-839E27F5ADB5}"/>
                  </c:ext>
                </c:extLst>
              </c15:ser>
            </c15:filteredBarSeries>
          </c:ext>
        </c:extLst>
      </c:barChart>
      <c:lineChart>
        <c:grouping val="standard"/>
        <c:varyColors val="0"/>
        <c:ser>
          <c:idx val="7"/>
          <c:order val="7"/>
          <c:tx>
            <c:strRef>
              <c:f>'Paper production &amp; consumption '!$J$107</c:f>
              <c:strCache>
                <c:ptCount val="1"/>
                <c:pt idx="0">
                  <c:v>Total (imp.)</c:v>
                </c:pt>
              </c:strCache>
            </c:strRef>
          </c:tx>
          <c:spPr>
            <a:ln w="28575" cap="rnd">
              <a:solidFill>
                <a:schemeClr val="accent2">
                  <a:lumMod val="60000"/>
                </a:schemeClr>
              </a:solidFill>
              <a:round/>
            </a:ln>
            <a:effectLst/>
          </c:spPr>
          <c:marker>
            <c:symbol val="none"/>
          </c:marker>
          <c:cat>
            <c:numRef>
              <c:f>'Paper production &amp; consumption '!$B$108:$B$113</c:f>
              <c:numCache>
                <c:formatCode>General</c:formatCode>
                <c:ptCount val="6"/>
                <c:pt idx="0">
                  <c:v>2017</c:v>
                </c:pt>
                <c:pt idx="1">
                  <c:v>2018</c:v>
                </c:pt>
                <c:pt idx="2">
                  <c:v>2019</c:v>
                </c:pt>
                <c:pt idx="3">
                  <c:v>2020</c:v>
                </c:pt>
                <c:pt idx="4">
                  <c:v>2021</c:v>
                </c:pt>
                <c:pt idx="5">
                  <c:v>2022</c:v>
                </c:pt>
              </c:numCache>
            </c:numRef>
          </c:cat>
          <c:val>
            <c:numRef>
              <c:f>'Paper production &amp; consumption '!$J$108:$J$113</c:f>
              <c:numCache>
                <c:formatCode>General</c:formatCode>
                <c:ptCount val="6"/>
                <c:pt idx="0">
                  <c:v>715521</c:v>
                </c:pt>
                <c:pt idx="1">
                  <c:v>785719</c:v>
                </c:pt>
                <c:pt idx="2">
                  <c:v>549488</c:v>
                </c:pt>
                <c:pt idx="3">
                  <c:v>700085</c:v>
                </c:pt>
                <c:pt idx="4">
                  <c:v>523717</c:v>
                </c:pt>
                <c:pt idx="5">
                  <c:v>1030882</c:v>
                </c:pt>
              </c:numCache>
            </c:numRef>
          </c:val>
          <c:smooth val="0"/>
          <c:extLst>
            <c:ext xmlns:c16="http://schemas.microsoft.com/office/drawing/2014/chart" uri="{C3380CC4-5D6E-409C-BE32-E72D297353CC}">
              <c16:uniqueId val="{00000007-0B5C-42C3-B96A-839E27F5ADB5}"/>
            </c:ext>
          </c:extLst>
        </c:ser>
        <c:dLbls>
          <c:showLegendKey val="0"/>
          <c:showVal val="0"/>
          <c:showCatName val="0"/>
          <c:showSerName val="0"/>
          <c:showPercent val="0"/>
          <c:showBubbleSize val="0"/>
        </c:dLbls>
        <c:marker val="1"/>
        <c:smooth val="0"/>
        <c:axId val="1855634784"/>
        <c:axId val="1928614096"/>
      </c:lineChart>
      <c:catAx>
        <c:axId val="185563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14096"/>
        <c:crosses val="autoZero"/>
        <c:auto val="1"/>
        <c:lblAlgn val="ctr"/>
        <c:lblOffset val="100"/>
        <c:noMultiLvlLbl val="0"/>
      </c:catAx>
      <c:valAx>
        <c:axId val="192861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4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 recycling in 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'Paper production &amp; consumption '!$D$119</c:f>
              <c:strCache>
                <c:ptCount val="1"/>
                <c:pt idx="0">
                  <c:v>% recycled paper fibre for tissues/packaging paper/tissue</c:v>
                </c:pt>
              </c:strCache>
            </c:strRef>
          </c:tx>
          <c:spPr>
            <a:solidFill>
              <a:schemeClr val="accent2"/>
            </a:solidFill>
            <a:ln>
              <a:noFill/>
            </a:ln>
            <a:effectLst/>
          </c:spPr>
          <c:invertIfNegative val="0"/>
          <c:cat>
            <c:numRef>
              <c:f>'Paper production &amp; consumption '!$B$120:$B$129</c:f>
              <c:numCache>
                <c:formatCode>General</c:formatCode>
                <c:ptCount val="6"/>
                <c:pt idx="0">
                  <c:v>2017</c:v>
                </c:pt>
                <c:pt idx="1">
                  <c:v>2018</c:v>
                </c:pt>
                <c:pt idx="2">
                  <c:v>2019</c:v>
                </c:pt>
                <c:pt idx="3">
                  <c:v>2020</c:v>
                </c:pt>
                <c:pt idx="4">
                  <c:v>2021</c:v>
                </c:pt>
                <c:pt idx="5">
                  <c:v>2022</c:v>
                </c:pt>
              </c:numCache>
            </c:numRef>
          </c:cat>
          <c:val>
            <c:numRef>
              <c:f>'Paper production &amp; consumption '!$D$120:$D$129</c:f>
              <c:numCache>
                <c:formatCode>General</c:formatCode>
                <c:ptCount val="6"/>
                <c:pt idx="0">
                  <c:v>55.9</c:v>
                </c:pt>
                <c:pt idx="1">
                  <c:v>52.9</c:v>
                </c:pt>
                <c:pt idx="2">
                  <c:v>55.1</c:v>
                </c:pt>
                <c:pt idx="3">
                  <c:v>55</c:v>
                </c:pt>
                <c:pt idx="4">
                  <c:v>53</c:v>
                </c:pt>
                <c:pt idx="5">
                  <c:v>58.4</c:v>
                </c:pt>
              </c:numCache>
            </c:numRef>
          </c:val>
          <c:extLst>
            <c:ext xmlns:c16="http://schemas.microsoft.com/office/drawing/2014/chart" uri="{C3380CC4-5D6E-409C-BE32-E72D297353CC}">
              <c16:uniqueId val="{00000001-9D37-4C15-8FC8-DD23B07B1888}"/>
            </c:ext>
          </c:extLst>
        </c:ser>
        <c:ser>
          <c:idx val="2"/>
          <c:order val="2"/>
          <c:tx>
            <c:strRef>
              <c:f>'Paper production &amp; consumption '!$E$119</c:f>
              <c:strCache>
                <c:ptCount val="1"/>
                <c:pt idx="0">
                  <c:v>Paper recycling rate (diverted from landfill as % of available paper)</c:v>
                </c:pt>
              </c:strCache>
            </c:strRef>
          </c:tx>
          <c:spPr>
            <a:solidFill>
              <a:schemeClr val="accent3"/>
            </a:solidFill>
            <a:ln>
              <a:noFill/>
            </a:ln>
            <a:effectLst/>
          </c:spPr>
          <c:invertIfNegative val="0"/>
          <c:cat>
            <c:numRef>
              <c:f>'Paper production &amp; consumption '!$B$120:$B$129</c:f>
              <c:numCache>
                <c:formatCode>General</c:formatCode>
                <c:ptCount val="6"/>
                <c:pt idx="0">
                  <c:v>2017</c:v>
                </c:pt>
                <c:pt idx="1">
                  <c:v>2018</c:v>
                </c:pt>
                <c:pt idx="2">
                  <c:v>2019</c:v>
                </c:pt>
                <c:pt idx="3">
                  <c:v>2020</c:v>
                </c:pt>
                <c:pt idx="4">
                  <c:v>2021</c:v>
                </c:pt>
                <c:pt idx="5">
                  <c:v>2022</c:v>
                </c:pt>
              </c:numCache>
            </c:numRef>
          </c:cat>
          <c:val>
            <c:numRef>
              <c:f>'Paper production &amp; consumption '!$E$120:$E$129</c:f>
              <c:numCache>
                <c:formatCode>General</c:formatCode>
                <c:ptCount val="6"/>
                <c:pt idx="0">
                  <c:v>70.7</c:v>
                </c:pt>
                <c:pt idx="1">
                  <c:v>71.7</c:v>
                </c:pt>
                <c:pt idx="2">
                  <c:v>68.5</c:v>
                </c:pt>
                <c:pt idx="3">
                  <c:v>69.8</c:v>
                </c:pt>
                <c:pt idx="4">
                  <c:v>63.8</c:v>
                </c:pt>
                <c:pt idx="5">
                  <c:v>60.7</c:v>
                </c:pt>
              </c:numCache>
            </c:numRef>
          </c:val>
          <c:extLst>
            <c:ext xmlns:c16="http://schemas.microsoft.com/office/drawing/2014/chart" uri="{C3380CC4-5D6E-409C-BE32-E72D297353CC}">
              <c16:uniqueId val="{00000002-9D37-4C15-8FC8-DD23B07B1888}"/>
            </c:ext>
          </c:extLst>
        </c:ser>
        <c:dLbls>
          <c:showLegendKey val="0"/>
          <c:showVal val="0"/>
          <c:showCatName val="0"/>
          <c:showSerName val="0"/>
          <c:showPercent val="0"/>
          <c:showBubbleSize val="0"/>
        </c:dLbls>
        <c:gapWidth val="219"/>
        <c:axId val="1810029712"/>
        <c:axId val="1928627488"/>
      </c:barChart>
      <c:lineChart>
        <c:grouping val="standard"/>
        <c:varyColors val="0"/>
        <c:ser>
          <c:idx val="0"/>
          <c:order val="0"/>
          <c:tx>
            <c:strRef>
              <c:f>'Paper production &amp; consumption '!$C$119</c:f>
              <c:strCache>
                <c:ptCount val="1"/>
                <c:pt idx="0">
                  <c:v>Total received by recycling mills</c:v>
                </c:pt>
              </c:strCache>
            </c:strRef>
          </c:tx>
          <c:spPr>
            <a:ln w="28575" cap="rnd">
              <a:solidFill>
                <a:schemeClr val="accent1"/>
              </a:solidFill>
              <a:round/>
            </a:ln>
            <a:effectLst/>
          </c:spPr>
          <c:marker>
            <c:symbol val="none"/>
          </c:marker>
          <c:cat>
            <c:numRef>
              <c:f>'Paper production &amp; consumption '!$B$120:$B$129</c:f>
              <c:numCache>
                <c:formatCode>General</c:formatCode>
                <c:ptCount val="6"/>
                <c:pt idx="0">
                  <c:v>2017</c:v>
                </c:pt>
                <c:pt idx="1">
                  <c:v>2018</c:v>
                </c:pt>
                <c:pt idx="2">
                  <c:v>2019</c:v>
                </c:pt>
                <c:pt idx="3">
                  <c:v>2020</c:v>
                </c:pt>
                <c:pt idx="4">
                  <c:v>2021</c:v>
                </c:pt>
                <c:pt idx="5">
                  <c:v>2022</c:v>
                </c:pt>
              </c:numCache>
            </c:numRef>
          </c:cat>
          <c:val>
            <c:numRef>
              <c:f>'Paper production &amp; consumption '!$C$120:$C$129</c:f>
              <c:numCache>
                <c:formatCode>General</c:formatCode>
                <c:ptCount val="6"/>
                <c:pt idx="0">
                  <c:v>1282120</c:v>
                </c:pt>
                <c:pt idx="1">
                  <c:v>1285250</c:v>
                </c:pt>
                <c:pt idx="2">
                  <c:v>1201909</c:v>
                </c:pt>
                <c:pt idx="3">
                  <c:v>1101356</c:v>
                </c:pt>
                <c:pt idx="4">
                  <c:v>1149346</c:v>
                </c:pt>
                <c:pt idx="5">
                  <c:v>1251319</c:v>
                </c:pt>
              </c:numCache>
            </c:numRef>
          </c:val>
          <c:smooth val="0"/>
          <c:extLst>
            <c:ext xmlns:c16="http://schemas.microsoft.com/office/drawing/2014/chart" uri="{C3380CC4-5D6E-409C-BE32-E72D297353CC}">
              <c16:uniqueId val="{00000000-9D37-4C15-8FC8-DD23B07B1888}"/>
            </c:ext>
          </c:extLst>
        </c:ser>
        <c:dLbls>
          <c:showLegendKey val="0"/>
          <c:showVal val="0"/>
          <c:showCatName val="0"/>
          <c:showSerName val="0"/>
          <c:showPercent val="0"/>
          <c:showBubbleSize val="0"/>
        </c:dLbls>
        <c:marker val="1"/>
        <c:smooth val="0"/>
        <c:axId val="1855635264"/>
        <c:axId val="1928605168"/>
      </c:lineChart>
      <c:catAx>
        <c:axId val="18100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7488"/>
        <c:crosses val="autoZero"/>
        <c:auto val="1"/>
        <c:lblAlgn val="ctr"/>
        <c:lblOffset val="100"/>
        <c:noMultiLvlLbl val="0"/>
      </c:catAx>
      <c:valAx>
        <c:axId val="192862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29712"/>
        <c:crosses val="autoZero"/>
        <c:crossBetween val="between"/>
      </c:valAx>
      <c:valAx>
        <c:axId val="19286051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635264"/>
        <c:crosses val="max"/>
        <c:crossBetween val="between"/>
      </c:valAx>
      <c:catAx>
        <c:axId val="1855635264"/>
        <c:scaling>
          <c:orientation val="minMax"/>
        </c:scaling>
        <c:delete val="1"/>
        <c:axPos val="b"/>
        <c:numFmt formatCode="General" sourceLinked="1"/>
        <c:majorTickMark val="out"/>
        <c:minorTickMark val="none"/>
        <c:tickLblPos val="nextTo"/>
        <c:crossAx val="1928605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Overview of Pulping in SA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'!$C$134</c:f>
              <c:strCache>
                <c:ptCount val="1"/>
                <c:pt idx="0">
                  <c:v>Mechanical Pulp</c:v>
                </c:pt>
              </c:strCache>
            </c:strRef>
          </c:tx>
          <c:spPr>
            <a:solidFill>
              <a:schemeClr val="accent1"/>
            </a:solidFill>
            <a:ln>
              <a:noFill/>
            </a:ln>
            <a:effectLst/>
          </c:spPr>
          <c:invertIfNegative val="0"/>
          <c:cat>
            <c:numRef>
              <c:extLst>
                <c:ext xmlns:c15="http://schemas.microsoft.com/office/drawing/2012/chart" uri="{02D57815-91ED-43cb-92C2-25804820EDAC}">
                  <c15:fullRef>
                    <c15:sqref>'Paper production &amp; consumption '!$B$135:$B$144</c15:sqref>
                  </c15:fullRef>
                </c:ext>
              </c:extLst>
              <c:f>('Paper production &amp; consumption '!$B$135:$B$138,'Paper production &amp; consumption '!$B$141:$B$144)</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'!$C$135:$C$144</c15:sqref>
                  </c15:fullRef>
                </c:ext>
              </c:extLst>
              <c:f>('Paper production &amp; consumption '!$C$135:$C$138,'Paper production &amp; consumption '!$C$141:$C$144)</c:f>
              <c:numCache>
                <c:formatCode>General</c:formatCode>
                <c:ptCount val="4"/>
                <c:pt idx="0">
                  <c:v>86000</c:v>
                </c:pt>
                <c:pt idx="1">
                  <c:v>49000</c:v>
                </c:pt>
                <c:pt idx="2">
                  <c:v>72000</c:v>
                </c:pt>
                <c:pt idx="3">
                  <c:v>65000</c:v>
                </c:pt>
              </c:numCache>
            </c:numRef>
          </c:val>
          <c:extLst>
            <c:ext xmlns:c16="http://schemas.microsoft.com/office/drawing/2014/chart" uri="{C3380CC4-5D6E-409C-BE32-E72D297353CC}">
              <c16:uniqueId val="{00000000-F379-4968-BFD2-87684D799E6C}"/>
            </c:ext>
          </c:extLst>
        </c:ser>
        <c:ser>
          <c:idx val="1"/>
          <c:order val="1"/>
          <c:tx>
            <c:strRef>
              <c:f>'Paper production &amp; consumption '!$D$134</c:f>
              <c:strCache>
                <c:ptCount val="1"/>
                <c:pt idx="0">
                  <c:v>Chemical Pulp </c:v>
                </c:pt>
              </c:strCache>
            </c:strRef>
          </c:tx>
          <c:spPr>
            <a:solidFill>
              <a:schemeClr val="accent2"/>
            </a:solidFill>
            <a:ln>
              <a:noFill/>
            </a:ln>
            <a:effectLst/>
          </c:spPr>
          <c:invertIfNegative val="0"/>
          <c:cat>
            <c:numRef>
              <c:extLst>
                <c:ext xmlns:c15="http://schemas.microsoft.com/office/drawing/2012/chart" uri="{02D57815-91ED-43cb-92C2-25804820EDAC}">
                  <c15:fullRef>
                    <c15:sqref>'Paper production &amp; consumption '!$B$135:$B$144</c15:sqref>
                  </c15:fullRef>
                </c:ext>
              </c:extLst>
              <c:f>('Paper production &amp; consumption '!$B$135:$B$138,'Paper production &amp; consumption '!$B$141:$B$144)</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'!$D$135:$D$144</c15:sqref>
                  </c15:fullRef>
                </c:ext>
              </c:extLst>
              <c:f>('Paper production &amp; consumption '!$D$135:$D$138,'Paper production &amp; consumption '!$D$141:$D$144)</c:f>
              <c:numCache>
                <c:formatCode>General</c:formatCode>
                <c:ptCount val="4"/>
                <c:pt idx="0">
                  <c:v>667000</c:v>
                </c:pt>
                <c:pt idx="1">
                  <c:v>653000</c:v>
                </c:pt>
                <c:pt idx="2">
                  <c:v>566000</c:v>
                </c:pt>
                <c:pt idx="3">
                  <c:v>653000</c:v>
                </c:pt>
              </c:numCache>
            </c:numRef>
          </c:val>
          <c:extLst>
            <c:ext xmlns:c16="http://schemas.microsoft.com/office/drawing/2014/chart" uri="{C3380CC4-5D6E-409C-BE32-E72D297353CC}">
              <c16:uniqueId val="{00000001-F379-4968-BFD2-87684D799E6C}"/>
            </c:ext>
          </c:extLst>
        </c:ser>
        <c:ser>
          <c:idx val="2"/>
          <c:order val="2"/>
          <c:tx>
            <c:strRef>
              <c:f>'Paper production &amp; consumption '!$E$134</c:f>
              <c:strCache>
                <c:ptCount val="1"/>
                <c:pt idx="0">
                  <c:v>Semi-chemical Pulp</c:v>
                </c:pt>
              </c:strCache>
            </c:strRef>
          </c:tx>
          <c:spPr>
            <a:solidFill>
              <a:schemeClr val="accent3"/>
            </a:solidFill>
            <a:ln>
              <a:noFill/>
            </a:ln>
            <a:effectLst/>
          </c:spPr>
          <c:invertIfNegative val="0"/>
          <c:cat>
            <c:numRef>
              <c:extLst>
                <c:ext xmlns:c15="http://schemas.microsoft.com/office/drawing/2012/chart" uri="{02D57815-91ED-43cb-92C2-25804820EDAC}">
                  <c15:fullRef>
                    <c15:sqref>'Paper production &amp; consumption '!$B$135:$B$144</c15:sqref>
                  </c15:fullRef>
                </c:ext>
              </c:extLst>
              <c:f>('Paper production &amp; consumption '!$B$135:$B$138,'Paper production &amp; consumption '!$B$141:$B$144)</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'!$E$135:$E$144</c15:sqref>
                  </c15:fullRef>
                </c:ext>
              </c:extLst>
              <c:f>('Paper production &amp; consumption '!$E$135:$E$138,'Paper production &amp; consumption '!$E$141:$E$144)</c:f>
              <c:numCache>
                <c:formatCode>General</c:formatCode>
                <c:ptCount val="4"/>
                <c:pt idx="0">
                  <c:v>189000</c:v>
                </c:pt>
                <c:pt idx="1">
                  <c:v>201000</c:v>
                </c:pt>
                <c:pt idx="2">
                  <c:v>188000</c:v>
                </c:pt>
                <c:pt idx="3">
                  <c:v>70000</c:v>
                </c:pt>
              </c:numCache>
            </c:numRef>
          </c:val>
          <c:extLst>
            <c:ext xmlns:c16="http://schemas.microsoft.com/office/drawing/2014/chart" uri="{C3380CC4-5D6E-409C-BE32-E72D297353CC}">
              <c16:uniqueId val="{00000002-F379-4968-BFD2-87684D799E6C}"/>
            </c:ext>
          </c:extLst>
        </c:ser>
        <c:ser>
          <c:idx val="3"/>
          <c:order val="3"/>
          <c:tx>
            <c:strRef>
              <c:f>'Paper production &amp; consumption '!$F$134</c:f>
              <c:strCache>
                <c:ptCount val="1"/>
                <c:pt idx="0">
                  <c:v>Dissolving wood Pulp</c:v>
                </c:pt>
              </c:strCache>
            </c:strRef>
          </c:tx>
          <c:spPr>
            <a:solidFill>
              <a:schemeClr val="accent4"/>
            </a:solidFill>
            <a:ln>
              <a:noFill/>
            </a:ln>
            <a:effectLst/>
          </c:spPr>
          <c:invertIfNegative val="0"/>
          <c:cat>
            <c:numRef>
              <c:extLst>
                <c:ext xmlns:c15="http://schemas.microsoft.com/office/drawing/2012/chart" uri="{02D57815-91ED-43cb-92C2-25804820EDAC}">
                  <c15:fullRef>
                    <c15:sqref>'Paper production &amp; consumption '!$B$135:$B$144</c15:sqref>
                  </c15:fullRef>
                </c:ext>
              </c:extLst>
              <c:f>('Paper production &amp; consumption '!$B$135:$B$138,'Paper production &amp; consumption '!$B$141:$B$144)</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'!$F$135:$F$144</c15:sqref>
                  </c15:fullRef>
                </c:ext>
              </c:extLst>
              <c:f>('Paper production &amp; consumption '!$F$135:$F$138,'Paper production &amp; consumption '!$F$141:$F$144)</c:f>
              <c:numCache>
                <c:formatCode>General</c:formatCode>
                <c:ptCount val="4"/>
                <c:pt idx="0">
                  <c:v>996000</c:v>
                </c:pt>
                <c:pt idx="1">
                  <c:v>818000</c:v>
                </c:pt>
                <c:pt idx="2">
                  <c:v>765000</c:v>
                </c:pt>
                <c:pt idx="3">
                  <c:v>894000</c:v>
                </c:pt>
              </c:numCache>
            </c:numRef>
          </c:val>
          <c:extLst>
            <c:ext xmlns:c16="http://schemas.microsoft.com/office/drawing/2014/chart" uri="{C3380CC4-5D6E-409C-BE32-E72D297353CC}">
              <c16:uniqueId val="{00000003-F379-4968-BFD2-87684D799E6C}"/>
            </c:ext>
          </c:extLst>
        </c:ser>
        <c:dLbls>
          <c:showLegendKey val="0"/>
          <c:showVal val="0"/>
          <c:showCatName val="0"/>
          <c:showSerName val="0"/>
          <c:showPercent val="0"/>
          <c:showBubbleSize val="0"/>
        </c:dLbls>
        <c:gapWidth val="219"/>
        <c:overlap val="-27"/>
        <c:axId val="1807911952"/>
        <c:axId val="1928623520"/>
      </c:barChart>
      <c:lineChart>
        <c:grouping val="standard"/>
        <c:varyColors val="0"/>
        <c:ser>
          <c:idx val="4"/>
          <c:order val="4"/>
          <c:tx>
            <c:strRef>
              <c:f>'Paper production &amp; consumption '!$G$134</c:f>
              <c:strCache>
                <c:ptCount val="1"/>
                <c:pt idx="0">
                  <c:v>Total Pulp</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'Paper production &amp; consumption '!$B$135:$B$144</c15:sqref>
                  </c15:fullRef>
                </c:ext>
              </c:extLst>
              <c:f>('Paper production &amp; consumption '!$B$135:$B$138,'Paper production &amp; consumption '!$B$141:$B$144)</c:f>
              <c:numCache>
                <c:formatCode>General</c:formatCode>
                <c:ptCount val="4"/>
                <c:pt idx="0">
                  <c:v>2019</c:v>
                </c:pt>
                <c:pt idx="1">
                  <c:v>2020</c:v>
                </c:pt>
                <c:pt idx="2">
                  <c:v>2021</c:v>
                </c:pt>
                <c:pt idx="3">
                  <c:v>2022</c:v>
                </c:pt>
              </c:numCache>
            </c:numRef>
          </c:cat>
          <c:val>
            <c:numRef>
              <c:extLst>
                <c:ext xmlns:c15="http://schemas.microsoft.com/office/drawing/2012/chart" uri="{02D57815-91ED-43cb-92C2-25804820EDAC}">
                  <c15:fullRef>
                    <c15:sqref>'Paper production &amp; consumption '!$G$135:$G$144</c15:sqref>
                  </c15:fullRef>
                </c:ext>
              </c:extLst>
              <c:f>('Paper production &amp; consumption '!$G$135:$G$138,'Paper production &amp; consumption '!$G$141:$G$144)</c:f>
              <c:numCache>
                <c:formatCode>General</c:formatCode>
                <c:ptCount val="4"/>
                <c:pt idx="0">
                  <c:v>1938000</c:v>
                </c:pt>
                <c:pt idx="1">
                  <c:v>1721000</c:v>
                </c:pt>
                <c:pt idx="2">
                  <c:v>1591000</c:v>
                </c:pt>
                <c:pt idx="3">
                  <c:v>1682000</c:v>
                </c:pt>
              </c:numCache>
            </c:numRef>
          </c:val>
          <c:smooth val="0"/>
          <c:extLst>
            <c:ext xmlns:c16="http://schemas.microsoft.com/office/drawing/2014/chart" uri="{C3380CC4-5D6E-409C-BE32-E72D297353CC}">
              <c16:uniqueId val="{00000004-F379-4968-BFD2-87684D799E6C}"/>
            </c:ext>
          </c:extLst>
        </c:ser>
        <c:dLbls>
          <c:showLegendKey val="0"/>
          <c:showVal val="0"/>
          <c:showCatName val="0"/>
          <c:showSerName val="0"/>
          <c:showPercent val="0"/>
          <c:showBubbleSize val="0"/>
        </c:dLbls>
        <c:marker val="1"/>
        <c:smooth val="0"/>
        <c:axId val="1807911952"/>
        <c:axId val="1928623520"/>
      </c:lineChart>
      <c:catAx>
        <c:axId val="180791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623520"/>
        <c:crosses val="autoZero"/>
        <c:auto val="1"/>
        <c:lblAlgn val="ctr"/>
        <c:lblOffset val="100"/>
        <c:noMultiLvlLbl val="0"/>
      </c:catAx>
      <c:valAx>
        <c:axId val="192862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1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Wood utilisation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'Paper production &amp; consumption '!$C$25</c:f>
              <c:strCache>
                <c:ptCount val="1"/>
                <c:pt idx="0">
                  <c:v>Softwood (Ton)</c:v>
                </c:pt>
              </c:strCache>
            </c:strRef>
          </c:tx>
          <c:spPr>
            <a:solidFill>
              <a:schemeClr val="accent1"/>
            </a:solidFill>
            <a:ln>
              <a:noFill/>
            </a:ln>
            <a:effectLst/>
          </c:spPr>
          <c:invertIfNegative val="0"/>
          <c:cat>
            <c:numRef>
              <c:f>'Paper production &amp; consumption '!$B$26:$B$37</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'!$C$26:$C$37</c:f>
              <c:numCache>
                <c:formatCode>#,##0</c:formatCode>
                <c:ptCount val="12"/>
                <c:pt idx="0">
                  <c:v>6182970</c:v>
                </c:pt>
                <c:pt idx="1">
                  <c:v>5384794</c:v>
                </c:pt>
                <c:pt idx="2">
                  <c:v>4885267</c:v>
                </c:pt>
                <c:pt idx="3">
                  <c:v>5283871</c:v>
                </c:pt>
                <c:pt idx="4">
                  <c:v>5467996</c:v>
                </c:pt>
                <c:pt idx="5">
                  <c:v>5275130</c:v>
                </c:pt>
                <c:pt idx="6">
                  <c:v>4665126</c:v>
                </c:pt>
                <c:pt idx="7">
                  <c:v>4721070</c:v>
                </c:pt>
                <c:pt idx="8">
                  <c:v>4329241</c:v>
                </c:pt>
                <c:pt idx="9">
                  <c:v>3940269</c:v>
                </c:pt>
                <c:pt idx="10">
                  <c:v>4721617</c:v>
                </c:pt>
                <c:pt idx="11">
                  <c:v>4721617</c:v>
                </c:pt>
              </c:numCache>
            </c:numRef>
          </c:val>
          <c:extLst>
            <c:ext xmlns:c16="http://schemas.microsoft.com/office/drawing/2014/chart" uri="{C3380CC4-5D6E-409C-BE32-E72D297353CC}">
              <c16:uniqueId val="{00000000-0A2D-4710-B0DC-20605C7DF49C}"/>
            </c:ext>
          </c:extLst>
        </c:ser>
        <c:ser>
          <c:idx val="1"/>
          <c:order val="1"/>
          <c:tx>
            <c:strRef>
              <c:f>'Paper production &amp; consumption '!$D$25</c:f>
              <c:strCache>
                <c:ptCount val="1"/>
                <c:pt idx="0">
                  <c:v>Hardwood (ton)</c:v>
                </c:pt>
              </c:strCache>
            </c:strRef>
          </c:tx>
          <c:spPr>
            <a:solidFill>
              <a:schemeClr val="accent2"/>
            </a:solidFill>
            <a:ln>
              <a:noFill/>
            </a:ln>
            <a:effectLst/>
          </c:spPr>
          <c:invertIfNegative val="0"/>
          <c:cat>
            <c:numRef>
              <c:f>'Paper production &amp; consumption '!$B$26:$B$37</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'!$D$26:$D$37</c:f>
              <c:numCache>
                <c:formatCode>#,##0</c:formatCode>
                <c:ptCount val="12"/>
                <c:pt idx="0">
                  <c:v>8820514</c:v>
                </c:pt>
                <c:pt idx="1">
                  <c:v>8949859</c:v>
                </c:pt>
                <c:pt idx="2">
                  <c:v>8002110</c:v>
                </c:pt>
                <c:pt idx="3">
                  <c:v>6680362</c:v>
                </c:pt>
                <c:pt idx="4">
                  <c:v>8069700</c:v>
                </c:pt>
                <c:pt idx="5">
                  <c:v>6459362</c:v>
                </c:pt>
                <c:pt idx="6">
                  <c:v>6450170</c:v>
                </c:pt>
                <c:pt idx="7">
                  <c:v>6826259</c:v>
                </c:pt>
                <c:pt idx="8">
                  <c:v>6239724</c:v>
                </c:pt>
                <c:pt idx="9">
                  <c:v>5841774</c:v>
                </c:pt>
                <c:pt idx="10">
                  <c:v>7203843</c:v>
                </c:pt>
                <c:pt idx="11">
                  <c:v>7203843</c:v>
                </c:pt>
              </c:numCache>
            </c:numRef>
          </c:val>
          <c:extLst>
            <c:ext xmlns:c16="http://schemas.microsoft.com/office/drawing/2014/chart" uri="{C3380CC4-5D6E-409C-BE32-E72D297353CC}">
              <c16:uniqueId val="{00000001-0A2D-4710-B0DC-20605C7DF49C}"/>
            </c:ext>
          </c:extLst>
        </c:ser>
        <c:dLbls>
          <c:showLegendKey val="0"/>
          <c:showVal val="0"/>
          <c:showCatName val="0"/>
          <c:showSerName val="0"/>
          <c:showPercent val="0"/>
          <c:showBubbleSize val="0"/>
        </c:dLbls>
        <c:gapWidth val="219"/>
        <c:axId val="1855949712"/>
        <c:axId val="1865729152"/>
      </c:barChart>
      <c:lineChart>
        <c:grouping val="standard"/>
        <c:varyColors val="0"/>
        <c:ser>
          <c:idx val="2"/>
          <c:order val="2"/>
          <c:tx>
            <c:strRef>
              <c:f>'Paper production &amp; consumption '!$E$25</c:f>
              <c:strCache>
                <c:ptCount val="1"/>
                <c:pt idx="0">
                  <c:v>TOTALS</c:v>
                </c:pt>
              </c:strCache>
            </c:strRef>
          </c:tx>
          <c:spPr>
            <a:ln w="28575" cap="rnd">
              <a:solidFill>
                <a:srgbClr val="FF0000"/>
              </a:solidFill>
              <a:round/>
            </a:ln>
            <a:effectLst/>
          </c:spPr>
          <c:marker>
            <c:symbol val="none"/>
          </c:marker>
          <c:cat>
            <c:numRef>
              <c:f>'Paper production &amp; consumption '!$B$26:$B$37</c:f>
              <c:numCache>
                <c:formatCode>General</c:formatCode>
                <c:ptCount val="12"/>
                <c:pt idx="0">
                  <c:v>2008</c:v>
                </c:pt>
                <c:pt idx="1">
                  <c:v>2009</c:v>
                </c:pt>
                <c:pt idx="2">
                  <c:v>2010</c:v>
                </c:pt>
                <c:pt idx="3">
                  <c:v>2011</c:v>
                </c:pt>
                <c:pt idx="4">
                  <c:v>2012</c:v>
                </c:pt>
                <c:pt idx="5">
                  <c:v>2013</c:v>
                </c:pt>
                <c:pt idx="6">
                  <c:v>2014</c:v>
                </c:pt>
                <c:pt idx="7">
                  <c:v>2015</c:v>
                </c:pt>
                <c:pt idx="8">
                  <c:v>2016</c:v>
                </c:pt>
                <c:pt idx="9">
                  <c:v>2017</c:v>
                </c:pt>
                <c:pt idx="10">
                  <c:v>2018</c:v>
                </c:pt>
                <c:pt idx="11">
                  <c:v>2019</c:v>
                </c:pt>
              </c:numCache>
            </c:numRef>
          </c:cat>
          <c:val>
            <c:numRef>
              <c:f>'Paper production &amp; consumption '!$E$26:$E$37</c:f>
              <c:numCache>
                <c:formatCode>#,##0</c:formatCode>
                <c:ptCount val="12"/>
                <c:pt idx="0">
                  <c:v>15003484</c:v>
                </c:pt>
                <c:pt idx="1">
                  <c:v>14334654</c:v>
                </c:pt>
                <c:pt idx="2">
                  <c:v>12887377</c:v>
                </c:pt>
                <c:pt idx="3">
                  <c:v>11964232</c:v>
                </c:pt>
                <c:pt idx="4">
                  <c:v>13537696</c:v>
                </c:pt>
                <c:pt idx="5">
                  <c:v>11734492</c:v>
                </c:pt>
                <c:pt idx="6">
                  <c:v>11115296</c:v>
                </c:pt>
                <c:pt idx="7">
                  <c:v>11547329</c:v>
                </c:pt>
                <c:pt idx="8">
                  <c:v>10568965</c:v>
                </c:pt>
                <c:pt idx="9">
                  <c:v>9782043</c:v>
                </c:pt>
                <c:pt idx="10">
                  <c:v>11925461</c:v>
                </c:pt>
                <c:pt idx="11">
                  <c:v>11925461</c:v>
                </c:pt>
              </c:numCache>
            </c:numRef>
          </c:val>
          <c:smooth val="0"/>
          <c:extLst>
            <c:ext xmlns:c16="http://schemas.microsoft.com/office/drawing/2014/chart" uri="{C3380CC4-5D6E-409C-BE32-E72D297353CC}">
              <c16:uniqueId val="{00000002-0A2D-4710-B0DC-20605C7DF49C}"/>
            </c:ext>
          </c:extLst>
        </c:ser>
        <c:dLbls>
          <c:showLegendKey val="0"/>
          <c:showVal val="0"/>
          <c:showCatName val="0"/>
          <c:showSerName val="0"/>
          <c:showPercent val="0"/>
          <c:showBubbleSize val="0"/>
        </c:dLbls>
        <c:marker val="1"/>
        <c:smooth val="0"/>
        <c:axId val="1855949712"/>
        <c:axId val="1865729152"/>
      </c:lineChart>
      <c:catAx>
        <c:axId val="185594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29152"/>
        <c:crosses val="autoZero"/>
        <c:auto val="1"/>
        <c:lblAlgn val="ctr"/>
        <c:lblOffset val="100"/>
        <c:noMultiLvlLbl val="0"/>
      </c:catAx>
      <c:valAx>
        <c:axId val="1865729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4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Biomass</a:t>
            </a:r>
            <a:r>
              <a:rPr lang="en-US" baseline="0"/>
              <a:t> usage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56387647883448"/>
          <c:y val="0.21130733147107594"/>
          <c:w val="0.83979718841301243"/>
          <c:h val="0.61795108124356579"/>
        </c:manualLayout>
      </c:layout>
      <c:barChart>
        <c:barDir val="col"/>
        <c:grouping val="clustered"/>
        <c:varyColors val="0"/>
        <c:ser>
          <c:idx val="0"/>
          <c:order val="0"/>
          <c:tx>
            <c:strRef>
              <c:f>'Paper production &amp; consumption '!$C$39:$C$40</c:f>
              <c:strCache>
                <c:ptCount val="2"/>
                <c:pt idx="0">
                  <c:v>Pulpwood</c:v>
                </c:pt>
                <c:pt idx="1">
                  <c:v>mt</c:v>
                </c:pt>
              </c:strCache>
            </c:strRef>
          </c:tx>
          <c:spPr>
            <a:solidFill>
              <a:schemeClr val="accent1"/>
            </a:solidFill>
            <a:ln>
              <a:noFill/>
            </a:ln>
            <a:effectLst/>
          </c:spPr>
          <c:invertIfNegative val="0"/>
          <c:cat>
            <c:numRef>
              <c:f>'Paper production &amp; consumption '!$B$41:$B$47</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'!$C$41:$C$47</c:f>
              <c:numCache>
                <c:formatCode>General</c:formatCode>
                <c:ptCount val="7"/>
                <c:pt idx="0">
                  <c:v>1874749</c:v>
                </c:pt>
                <c:pt idx="1">
                  <c:v>1914813</c:v>
                </c:pt>
                <c:pt idx="2">
                  <c:v>1646320</c:v>
                </c:pt>
                <c:pt idx="3">
                  <c:v>1466302</c:v>
                </c:pt>
                <c:pt idx="4">
                  <c:v>1465783</c:v>
                </c:pt>
                <c:pt idx="5">
                  <c:v>1619695</c:v>
                </c:pt>
                <c:pt idx="6">
                  <c:v>2975453</c:v>
                </c:pt>
              </c:numCache>
            </c:numRef>
          </c:val>
          <c:extLst>
            <c:ext xmlns:c16="http://schemas.microsoft.com/office/drawing/2014/chart" uri="{C3380CC4-5D6E-409C-BE32-E72D297353CC}">
              <c16:uniqueId val="{00000000-1BD1-4C2C-A0F0-E9FBD1AA1085}"/>
            </c:ext>
          </c:extLst>
        </c:ser>
        <c:ser>
          <c:idx val="1"/>
          <c:order val="1"/>
          <c:tx>
            <c:strRef>
              <c:f>'Paper production &amp; consumption '!$D$39:$D$40</c:f>
              <c:strCache>
                <c:ptCount val="2"/>
                <c:pt idx="0">
                  <c:v>Waste biomass</c:v>
                </c:pt>
                <c:pt idx="1">
                  <c:v>mt</c:v>
                </c:pt>
              </c:strCache>
            </c:strRef>
          </c:tx>
          <c:spPr>
            <a:solidFill>
              <a:schemeClr val="accent2"/>
            </a:solidFill>
            <a:ln>
              <a:noFill/>
            </a:ln>
            <a:effectLst/>
          </c:spPr>
          <c:invertIfNegative val="0"/>
          <c:cat>
            <c:numRef>
              <c:f>'Paper production &amp; consumption '!$B$41:$B$47</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'!$D$41:$D$47</c:f>
              <c:numCache>
                <c:formatCode>General</c:formatCode>
                <c:ptCount val="7"/>
                <c:pt idx="0">
                  <c:v>668785</c:v>
                </c:pt>
                <c:pt idx="1">
                  <c:v>699671</c:v>
                </c:pt>
                <c:pt idx="2">
                  <c:v>512081</c:v>
                </c:pt>
                <c:pt idx="3">
                  <c:v>501530</c:v>
                </c:pt>
                <c:pt idx="4">
                  <c:v>503699</c:v>
                </c:pt>
                <c:pt idx="5">
                  <c:v>572852</c:v>
                </c:pt>
                <c:pt idx="6">
                  <c:v>1883659</c:v>
                </c:pt>
              </c:numCache>
            </c:numRef>
          </c:val>
          <c:extLst>
            <c:ext xmlns:c16="http://schemas.microsoft.com/office/drawing/2014/chart" uri="{C3380CC4-5D6E-409C-BE32-E72D297353CC}">
              <c16:uniqueId val="{00000001-1BD1-4C2C-A0F0-E9FBD1AA1085}"/>
            </c:ext>
          </c:extLst>
        </c:ser>
        <c:dLbls>
          <c:showLegendKey val="0"/>
          <c:showVal val="0"/>
          <c:showCatName val="0"/>
          <c:showSerName val="0"/>
          <c:showPercent val="0"/>
          <c:showBubbleSize val="0"/>
        </c:dLbls>
        <c:gapWidth val="219"/>
        <c:axId val="1855960272"/>
        <c:axId val="1928342256"/>
      </c:barChart>
      <c:lineChart>
        <c:grouping val="standard"/>
        <c:varyColors val="0"/>
        <c:ser>
          <c:idx val="2"/>
          <c:order val="2"/>
          <c:tx>
            <c:strRef>
              <c:f>'Paper production &amp; consumption '!$E$39:$E$40</c:f>
              <c:strCache>
                <c:ptCount val="2"/>
                <c:pt idx="0">
                  <c:v>Paper production</c:v>
                </c:pt>
                <c:pt idx="1">
                  <c:v>mt</c:v>
                </c:pt>
              </c:strCache>
            </c:strRef>
          </c:tx>
          <c:spPr>
            <a:ln w="28575" cap="rnd">
              <a:solidFill>
                <a:srgbClr val="FF0000"/>
              </a:solidFill>
              <a:round/>
            </a:ln>
            <a:effectLst/>
          </c:spPr>
          <c:marker>
            <c:symbol val="none"/>
          </c:marker>
          <c:cat>
            <c:numRef>
              <c:f>'Paper production &amp; consumption '!$B$41:$B$47</c:f>
              <c:numCache>
                <c:formatCode>General</c:formatCode>
                <c:ptCount val="7"/>
                <c:pt idx="0">
                  <c:v>2013</c:v>
                </c:pt>
                <c:pt idx="1">
                  <c:v>2014</c:v>
                </c:pt>
                <c:pt idx="2">
                  <c:v>2015</c:v>
                </c:pt>
                <c:pt idx="3">
                  <c:v>2016</c:v>
                </c:pt>
                <c:pt idx="4">
                  <c:v>2017</c:v>
                </c:pt>
                <c:pt idx="5">
                  <c:v>2018</c:v>
                </c:pt>
                <c:pt idx="6">
                  <c:v>2019</c:v>
                </c:pt>
              </c:numCache>
            </c:numRef>
          </c:cat>
          <c:val>
            <c:numRef>
              <c:f>'Paper production &amp; consumption '!$E$41:$E$47</c:f>
              <c:numCache>
                <c:formatCode>General</c:formatCode>
                <c:ptCount val="7"/>
                <c:pt idx="0" formatCode="#,##0">
                  <c:v>2318183</c:v>
                </c:pt>
                <c:pt idx="1">
                  <c:v>2261790</c:v>
                </c:pt>
                <c:pt idx="2">
                  <c:v>2289109</c:v>
                </c:pt>
                <c:pt idx="3">
                  <c:v>2353000</c:v>
                </c:pt>
                <c:pt idx="4">
                  <c:v>2180000</c:v>
                </c:pt>
                <c:pt idx="5">
                  <c:v>2223000</c:v>
                </c:pt>
                <c:pt idx="6">
                  <c:v>2159000</c:v>
                </c:pt>
              </c:numCache>
            </c:numRef>
          </c:val>
          <c:smooth val="0"/>
          <c:extLst>
            <c:ext xmlns:c16="http://schemas.microsoft.com/office/drawing/2014/chart" uri="{C3380CC4-5D6E-409C-BE32-E72D297353CC}">
              <c16:uniqueId val="{00000002-1BD1-4C2C-A0F0-E9FBD1AA1085}"/>
            </c:ext>
          </c:extLst>
        </c:ser>
        <c:dLbls>
          <c:showLegendKey val="0"/>
          <c:showVal val="0"/>
          <c:showCatName val="0"/>
          <c:showSerName val="0"/>
          <c:showPercent val="0"/>
          <c:showBubbleSize val="0"/>
        </c:dLbls>
        <c:marker val="1"/>
        <c:smooth val="0"/>
        <c:axId val="1855960272"/>
        <c:axId val="1928342256"/>
      </c:lineChart>
      <c:catAx>
        <c:axId val="18559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342256"/>
        <c:crosses val="autoZero"/>
        <c:auto val="1"/>
        <c:lblAlgn val="ctr"/>
        <c:lblOffset val="100"/>
        <c:noMultiLvlLbl val="0"/>
      </c:catAx>
      <c:valAx>
        <c:axId val="192834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96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emf"/><Relationship Id="rId7" Type="http://schemas.openxmlformats.org/officeDocument/2006/relationships/image" Target="../media/image10.png"/><Relationship Id="rId2" Type="http://schemas.openxmlformats.org/officeDocument/2006/relationships/image" Target="../media/image5.emf"/><Relationship Id="rId1" Type="http://schemas.openxmlformats.org/officeDocument/2006/relationships/image" Target="../media/image4.emf"/><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44</xdr:col>
      <xdr:colOff>555835</xdr:colOff>
      <xdr:row>293</xdr:row>
      <xdr:rowOff>57800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43</xdr:col>
      <xdr:colOff>512934</xdr:colOff>
      <xdr:row>235</xdr:row>
      <xdr:rowOff>136242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402402</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97790</xdr:colOff>
      <xdr:row>5</xdr:row>
      <xdr:rowOff>95250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817880</xdr:colOff>
      <xdr:row>3</xdr:row>
      <xdr:rowOff>97790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55880</xdr:colOff>
      <xdr:row>5</xdr:row>
      <xdr:rowOff>95250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892810</xdr:colOff>
      <xdr:row>2</xdr:row>
      <xdr:rowOff>172085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626534</xdr:colOff>
      <xdr:row>2</xdr:row>
      <xdr:rowOff>172085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629920</xdr:colOff>
      <xdr:row>2</xdr:row>
      <xdr:rowOff>172085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248336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248336</xdr:colOff>
      <xdr:row>4</xdr:row>
      <xdr:rowOff>133985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248336</xdr:colOff>
      <xdr:row>2</xdr:row>
      <xdr:rowOff>172085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248336</xdr:colOff>
      <xdr:row>6</xdr:row>
      <xdr:rowOff>55245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212090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225137</xdr:colOff>
      <xdr:row>42</xdr:row>
      <xdr:rowOff>95249</xdr:rowOff>
    </xdr:from>
    <xdr:to>
      <xdr:col>30</xdr:col>
      <xdr:colOff>155865</xdr:colOff>
      <xdr:row>76</xdr:row>
      <xdr:rowOff>173181</xdr:rowOff>
    </xdr:to>
    <xdr:graphicFrame macro="">
      <xdr:nvGraphicFramePr>
        <xdr:cNvPr id="2" name="Chart 1">
          <a:extLst>
            <a:ext uri="{FF2B5EF4-FFF2-40B4-BE49-F238E27FC236}">
              <a16:creationId xmlns:a16="http://schemas.microsoft.com/office/drawing/2014/main" id="{5CC55FE3-1FC4-8BC6-BB3B-95E73108B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403167</xdr:colOff>
      <xdr:row>77</xdr:row>
      <xdr:rowOff>85032</xdr:rowOff>
    </xdr:from>
    <xdr:to>
      <xdr:col>30</xdr:col>
      <xdr:colOff>259772</xdr:colOff>
      <xdr:row>96</xdr:row>
      <xdr:rowOff>98714</xdr:rowOff>
    </xdr:to>
    <xdr:graphicFrame macro="">
      <xdr:nvGraphicFramePr>
        <xdr:cNvPr id="3" name="Chart 2">
          <a:extLst>
            <a:ext uri="{FF2B5EF4-FFF2-40B4-BE49-F238E27FC236}">
              <a16:creationId xmlns:a16="http://schemas.microsoft.com/office/drawing/2014/main" id="{FAC15FDD-31B3-1DAF-4FEF-86E626A40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85071</xdr:colOff>
      <xdr:row>96</xdr:row>
      <xdr:rowOff>41682</xdr:rowOff>
    </xdr:from>
    <xdr:to>
      <xdr:col>28</xdr:col>
      <xdr:colOff>427625</xdr:colOff>
      <xdr:row>114</xdr:row>
      <xdr:rowOff>13799</xdr:rowOff>
    </xdr:to>
    <xdr:graphicFrame macro="">
      <xdr:nvGraphicFramePr>
        <xdr:cNvPr id="4" name="Chart 3">
          <a:extLst>
            <a:ext uri="{FF2B5EF4-FFF2-40B4-BE49-F238E27FC236}">
              <a16:creationId xmlns:a16="http://schemas.microsoft.com/office/drawing/2014/main" id="{D189FF16-CE18-00D1-3C6D-B62F1BC92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433141</xdr:colOff>
      <xdr:row>114</xdr:row>
      <xdr:rowOff>54297</xdr:rowOff>
    </xdr:from>
    <xdr:to>
      <xdr:col>29</xdr:col>
      <xdr:colOff>157862</xdr:colOff>
      <xdr:row>132</xdr:row>
      <xdr:rowOff>66075</xdr:rowOff>
    </xdr:to>
    <xdr:graphicFrame macro="">
      <xdr:nvGraphicFramePr>
        <xdr:cNvPr id="5" name="Chart 4">
          <a:extLst>
            <a:ext uri="{FF2B5EF4-FFF2-40B4-BE49-F238E27FC236}">
              <a16:creationId xmlns:a16="http://schemas.microsoft.com/office/drawing/2014/main" id="{742851E0-EDD9-3E3D-5947-82268FFE5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211908</xdr:colOff>
      <xdr:row>138</xdr:row>
      <xdr:rowOff>142888</xdr:rowOff>
    </xdr:from>
    <xdr:to>
      <xdr:col>21</xdr:col>
      <xdr:colOff>542951</xdr:colOff>
      <xdr:row>162</xdr:row>
      <xdr:rowOff>147043</xdr:rowOff>
    </xdr:to>
    <xdr:graphicFrame macro="">
      <xdr:nvGraphicFramePr>
        <xdr:cNvPr id="7" name="Chart 6">
          <a:extLst>
            <a:ext uri="{FF2B5EF4-FFF2-40B4-BE49-F238E27FC236}">
              <a16:creationId xmlns:a16="http://schemas.microsoft.com/office/drawing/2014/main" id="{AD1BA545-06A3-9989-B49B-6882C2F0F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243974</xdr:colOff>
      <xdr:row>115</xdr:row>
      <xdr:rowOff>32318</xdr:rowOff>
    </xdr:from>
    <xdr:to>
      <xdr:col>20</xdr:col>
      <xdr:colOff>581397</xdr:colOff>
      <xdr:row>133</xdr:row>
      <xdr:rowOff>36473</xdr:rowOff>
    </xdr:to>
    <xdr:graphicFrame macro="">
      <xdr:nvGraphicFramePr>
        <xdr:cNvPr id="8" name="Chart 7">
          <a:extLst>
            <a:ext uri="{FF2B5EF4-FFF2-40B4-BE49-F238E27FC236}">
              <a16:creationId xmlns:a16="http://schemas.microsoft.com/office/drawing/2014/main" id="{24659792-FF51-042D-0D29-979498AA1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195349</xdr:colOff>
      <xdr:row>21</xdr:row>
      <xdr:rowOff>63905</xdr:rowOff>
    </xdr:from>
    <xdr:to>
      <xdr:col>9</xdr:col>
      <xdr:colOff>642678</xdr:colOff>
      <xdr:row>35</xdr:row>
      <xdr:rowOff>108412</xdr:rowOff>
    </xdr:to>
    <xdr:graphicFrame macro="">
      <xdr:nvGraphicFramePr>
        <xdr:cNvPr id="9" name="Chart 8">
          <a:extLst>
            <a:ext uri="{FF2B5EF4-FFF2-40B4-BE49-F238E27FC236}">
              <a16:creationId xmlns:a16="http://schemas.microsoft.com/office/drawing/2014/main" id="{65715454-FAD2-9DFD-B8C4-493A4D49F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153959</xdr:colOff>
      <xdr:row>37</xdr:row>
      <xdr:rowOff>80183</xdr:rowOff>
    </xdr:from>
    <xdr:to>
      <xdr:col>9</xdr:col>
      <xdr:colOff>603193</xdr:colOff>
      <xdr:row>52</xdr:row>
      <xdr:rowOff>117071</xdr:rowOff>
    </xdr:to>
    <xdr:graphicFrame macro="">
      <xdr:nvGraphicFramePr>
        <xdr:cNvPr id="10" name="Chart 9">
          <a:extLst>
            <a:ext uri="{FF2B5EF4-FFF2-40B4-BE49-F238E27FC236}">
              <a16:creationId xmlns:a16="http://schemas.microsoft.com/office/drawing/2014/main" id="{31DFA0A4-A198-7FB3-4CC9-2C588C84F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10</xdr:col>
      <xdr:colOff>30826</xdr:colOff>
      <xdr:row>3</xdr:row>
      <xdr:rowOff>26617</xdr:rowOff>
    </xdr:from>
    <xdr:ext cx="8589857" cy="3122440"/>
    <xdr:pic>
      <xdr:nvPicPr>
        <xdr:cNvPr id="14" name="Picture 13">
          <a:extLst>
            <a:ext uri="{FF2B5EF4-FFF2-40B4-BE49-F238E27FC236}">
              <a16:creationId xmlns:a16="http://schemas.microsoft.com/office/drawing/2014/main" id="{03C093D1-6AB3-49F5-A5FC-E780FA64BEF6}"/>
            </a:ext>
          </a:extLst>
        </xdr:cNvPr>
        <xdr:cNvPicPr>
          <a:picLocks noChangeAspect="1"/>
        </xdr:cNvPicPr>
      </xdr:nvPicPr>
      <xdr:blipFill>
        <a:blip xmlns:r="http://schemas.openxmlformats.org/officeDocument/2006/relationships" r:embed="rId9"/>
        <a:stretch>
          <a:fillRect/>
        </a:stretch>
      </xdr:blipFill>
      <xdr:spPr>
        <a:xfrm>
          <a:off x="16846781" y="572140"/>
          <a:ext cx="8589857" cy="3122440"/>
        </a:xfrm>
        <a:prstGeom prst="rect">
          <a:avLst/>
        </a:prstGeom>
      </xdr:spPr>
    </xdr:pic>
    <xdr:clientData/>
  </xdr:oneCellAnchor>
  <xdr:oneCellAnchor>
    <xdr:from>
      <xdr:col>10</xdr:col>
      <xdr:colOff>26016</xdr:colOff>
      <xdr:row>20</xdr:row>
      <xdr:rowOff>100042</xdr:rowOff>
    </xdr:from>
    <xdr:ext cx="8615175" cy="3507023"/>
    <xdr:pic>
      <xdr:nvPicPr>
        <xdr:cNvPr id="15" name="Picture 14">
          <a:extLst>
            <a:ext uri="{FF2B5EF4-FFF2-40B4-BE49-F238E27FC236}">
              <a16:creationId xmlns:a16="http://schemas.microsoft.com/office/drawing/2014/main" id="{001E6001-AF75-44BE-8BD7-C018B716F785}"/>
            </a:ext>
          </a:extLst>
        </xdr:cNvPr>
        <xdr:cNvPicPr>
          <a:picLocks noChangeAspect="1"/>
        </xdr:cNvPicPr>
      </xdr:nvPicPr>
      <xdr:blipFill>
        <a:blip xmlns:r="http://schemas.openxmlformats.org/officeDocument/2006/relationships" r:embed="rId10"/>
        <a:stretch>
          <a:fillRect/>
        </a:stretch>
      </xdr:blipFill>
      <xdr:spPr>
        <a:xfrm>
          <a:off x="16841971" y="3736860"/>
          <a:ext cx="8615175" cy="3507023"/>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6</xdr:col>
      <xdr:colOff>79375</xdr:colOff>
      <xdr:row>45</xdr:row>
      <xdr:rowOff>96912</xdr:rowOff>
    </xdr:from>
    <xdr:ext cx="7232118" cy="4822362"/>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870156" y="8252693"/>
          <a:ext cx="7232118" cy="4822362"/>
        </a:xfrm>
        <a:prstGeom prst="rect">
          <a:avLst/>
        </a:prstGeom>
      </xdr:spPr>
    </xdr:pic>
    <xdr:clientData/>
  </xdr:oneCellAnchor>
  <xdr:twoCellAnchor editAs="oneCell">
    <xdr:from>
      <xdr:col>0</xdr:col>
      <xdr:colOff>355700</xdr:colOff>
      <xdr:row>68</xdr:row>
      <xdr:rowOff>69451</xdr:rowOff>
    </xdr:from>
    <xdr:to>
      <xdr:col>5</xdr:col>
      <xdr:colOff>547938</xdr:colOff>
      <xdr:row>104</xdr:row>
      <xdr:rowOff>140877</xdr:rowOff>
    </xdr:to>
    <xdr:pic>
      <xdr:nvPicPr>
        <xdr:cNvPr id="4" name="Picture 3">
          <a:extLst>
            <a:ext uri="{FF2B5EF4-FFF2-40B4-BE49-F238E27FC236}">
              <a16:creationId xmlns:a16="http://schemas.microsoft.com/office/drawing/2014/main" id="{54BBDEDF-265F-466E-93B0-85423C81D1D6}"/>
            </a:ext>
          </a:extLst>
        </xdr:cNvPr>
        <xdr:cNvPicPr>
          <a:picLocks noChangeAspect="1"/>
        </xdr:cNvPicPr>
      </xdr:nvPicPr>
      <xdr:blipFill>
        <a:blip xmlns:r="http://schemas.openxmlformats.org/officeDocument/2006/relationships" r:embed="rId2"/>
        <a:stretch>
          <a:fillRect/>
        </a:stretch>
      </xdr:blipFill>
      <xdr:spPr>
        <a:xfrm>
          <a:off x="355700" y="12332889"/>
          <a:ext cx="8377785" cy="65008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6</xdr:col>
      <xdr:colOff>288290</xdr:colOff>
      <xdr:row>62</xdr:row>
      <xdr:rowOff>134303</xdr:rowOff>
    </xdr:to>
    <xdr:pic>
      <xdr:nvPicPr>
        <xdr:cNvPr id="2" name="Picture 1">
          <a:extLst>
            <a:ext uri="{FF2B5EF4-FFF2-40B4-BE49-F238E27FC236}">
              <a16:creationId xmlns:a16="http://schemas.microsoft.com/office/drawing/2014/main" id="{1893AD2F-786C-A0D5-C6FD-1BF33589E0D9}"/>
            </a:ext>
          </a:extLst>
        </xdr:cNvPr>
        <xdr:cNvPicPr>
          <a:picLocks noChangeAspect="1"/>
        </xdr:cNvPicPr>
      </xdr:nvPicPr>
      <xdr:blipFill rotWithShape="1">
        <a:blip xmlns:r="http://schemas.openxmlformats.org/officeDocument/2006/relationships" r:embed="rId1"/>
        <a:srcRect r="-1292" b="51096"/>
        <a:stretch/>
      </xdr:blipFill>
      <xdr:spPr>
        <a:xfrm>
          <a:off x="609600" y="6334125"/>
          <a:ext cx="4219575" cy="5448300"/>
        </a:xfrm>
        <a:prstGeom prst="rect">
          <a:avLst/>
        </a:prstGeom>
      </xdr:spPr>
    </xdr:pic>
    <xdr:clientData/>
  </xdr:twoCellAnchor>
  <xdr:twoCellAnchor editAs="oneCell">
    <xdr:from>
      <xdr:col>8</xdr:col>
      <xdr:colOff>257175</xdr:colOff>
      <xdr:row>35</xdr:row>
      <xdr:rowOff>5715</xdr:rowOff>
    </xdr:from>
    <xdr:to>
      <xdr:col>13</xdr:col>
      <xdr:colOff>58111</xdr:colOff>
      <xdr:row>63</xdr:row>
      <xdr:rowOff>91476</xdr:rowOff>
    </xdr:to>
    <xdr:pic>
      <xdr:nvPicPr>
        <xdr:cNvPr id="3" name="Picture 2">
          <a:extLst>
            <a:ext uri="{FF2B5EF4-FFF2-40B4-BE49-F238E27FC236}">
              <a16:creationId xmlns:a16="http://schemas.microsoft.com/office/drawing/2014/main" id="{0726ECC7-D5C7-EF7A-F167-9CBA05AE3706}"/>
            </a:ext>
          </a:extLst>
        </xdr:cNvPr>
        <xdr:cNvPicPr>
          <a:picLocks noChangeAspect="1"/>
        </xdr:cNvPicPr>
      </xdr:nvPicPr>
      <xdr:blipFill rotWithShape="1">
        <a:blip xmlns:r="http://schemas.openxmlformats.org/officeDocument/2006/relationships" r:embed="rId1"/>
        <a:srcRect t="49929"/>
        <a:stretch/>
      </xdr:blipFill>
      <xdr:spPr>
        <a:xfrm>
          <a:off x="5048250" y="6339840"/>
          <a:ext cx="4165715" cy="5578352"/>
        </a:xfrm>
        <a:prstGeom prst="rect">
          <a:avLst/>
        </a:prstGeom>
      </xdr:spPr>
    </xdr:pic>
    <xdr:clientData/>
  </xdr:twoCellAnchor>
  <xdr:twoCellAnchor editAs="oneCell">
    <xdr:from>
      <xdr:col>15</xdr:col>
      <xdr:colOff>62865</xdr:colOff>
      <xdr:row>35</xdr:row>
      <xdr:rowOff>43815</xdr:rowOff>
    </xdr:from>
    <xdr:to>
      <xdr:col>23</xdr:col>
      <xdr:colOff>854315</xdr:colOff>
      <xdr:row>50</xdr:row>
      <xdr:rowOff>113933</xdr:rowOff>
    </xdr:to>
    <xdr:pic>
      <xdr:nvPicPr>
        <xdr:cNvPr id="5" name="Picture 4">
          <a:extLst>
            <a:ext uri="{FF2B5EF4-FFF2-40B4-BE49-F238E27FC236}">
              <a16:creationId xmlns:a16="http://schemas.microsoft.com/office/drawing/2014/main" id="{5FD6C616-21F4-B7CD-7CCC-E02C15329FB2}"/>
            </a:ext>
          </a:extLst>
        </xdr:cNvPr>
        <xdr:cNvPicPr>
          <a:picLocks noChangeAspect="1"/>
        </xdr:cNvPicPr>
      </xdr:nvPicPr>
      <xdr:blipFill>
        <a:blip xmlns:r="http://schemas.openxmlformats.org/officeDocument/2006/relationships" r:embed="rId2"/>
        <a:stretch>
          <a:fillRect/>
        </a:stretch>
      </xdr:blipFill>
      <xdr:spPr>
        <a:xfrm>
          <a:off x="9873615" y="6558915"/>
          <a:ext cx="8259051" cy="2784743"/>
        </a:xfrm>
        <a:prstGeom prst="rect">
          <a:avLst/>
        </a:prstGeom>
      </xdr:spPr>
    </xdr:pic>
    <xdr:clientData/>
  </xdr:twoCellAnchor>
  <xdr:twoCellAnchor editAs="oneCell">
    <xdr:from>
      <xdr:col>1</xdr:col>
      <xdr:colOff>228601</xdr:colOff>
      <xdr:row>68</xdr:row>
      <xdr:rowOff>152400</xdr:rowOff>
    </xdr:from>
    <xdr:to>
      <xdr:col>10</xdr:col>
      <xdr:colOff>358776</xdr:colOff>
      <xdr:row>120</xdr:row>
      <xdr:rowOff>505</xdr:rowOff>
    </xdr:to>
    <xdr:pic>
      <xdr:nvPicPr>
        <xdr:cNvPr id="9" name="Picture 8">
          <a:extLst>
            <a:ext uri="{FF2B5EF4-FFF2-40B4-BE49-F238E27FC236}">
              <a16:creationId xmlns:a16="http://schemas.microsoft.com/office/drawing/2014/main" id="{287F48E6-9042-855A-6729-C68804D6149F}"/>
            </a:ext>
          </a:extLst>
        </xdr:cNvPr>
        <xdr:cNvPicPr>
          <a:picLocks noChangeAspect="1"/>
        </xdr:cNvPicPr>
      </xdr:nvPicPr>
      <xdr:blipFill>
        <a:blip xmlns:r="http://schemas.openxmlformats.org/officeDocument/2006/relationships" r:embed="rId3"/>
        <a:stretch>
          <a:fillRect/>
        </a:stretch>
      </xdr:blipFill>
      <xdr:spPr>
        <a:xfrm>
          <a:off x="838201" y="13106400"/>
          <a:ext cx="7258050" cy="9742040"/>
        </a:xfrm>
        <a:prstGeom prst="rect">
          <a:avLst/>
        </a:prstGeom>
      </xdr:spPr>
    </xdr:pic>
    <xdr:clientData/>
  </xdr:twoCellAnchor>
  <xdr:twoCellAnchor editAs="oneCell">
    <xdr:from>
      <xdr:col>1</xdr:col>
      <xdr:colOff>0</xdr:colOff>
      <xdr:row>123</xdr:row>
      <xdr:rowOff>95250</xdr:rowOff>
    </xdr:from>
    <xdr:to>
      <xdr:col>12</xdr:col>
      <xdr:colOff>625617</xdr:colOff>
      <xdr:row>175</xdr:row>
      <xdr:rowOff>73761</xdr:rowOff>
    </xdr:to>
    <xdr:pic>
      <xdr:nvPicPr>
        <xdr:cNvPr id="10" name="Picture 9">
          <a:extLst>
            <a:ext uri="{FF2B5EF4-FFF2-40B4-BE49-F238E27FC236}">
              <a16:creationId xmlns:a16="http://schemas.microsoft.com/office/drawing/2014/main" id="{320A46B2-C5C7-30BF-5169-6F47C93F49AF}"/>
            </a:ext>
          </a:extLst>
        </xdr:cNvPr>
        <xdr:cNvPicPr>
          <a:picLocks noChangeAspect="1"/>
        </xdr:cNvPicPr>
      </xdr:nvPicPr>
      <xdr:blipFill>
        <a:blip xmlns:r="http://schemas.openxmlformats.org/officeDocument/2006/relationships" r:embed="rId4"/>
        <a:stretch>
          <a:fillRect/>
        </a:stretch>
      </xdr:blipFill>
      <xdr:spPr>
        <a:xfrm>
          <a:off x="609600" y="23526750"/>
          <a:ext cx="8971211" cy="9884511"/>
        </a:xfrm>
        <a:prstGeom prst="rect">
          <a:avLst/>
        </a:prstGeom>
      </xdr:spPr>
    </xdr:pic>
    <xdr:clientData/>
  </xdr:twoCellAnchor>
  <xdr:twoCellAnchor editAs="oneCell">
    <xdr:from>
      <xdr:col>17</xdr:col>
      <xdr:colOff>10583</xdr:colOff>
      <xdr:row>69</xdr:row>
      <xdr:rowOff>95251</xdr:rowOff>
    </xdr:from>
    <xdr:to>
      <xdr:col>23</xdr:col>
      <xdr:colOff>837100</xdr:colOff>
      <xdr:row>117</xdr:row>
      <xdr:rowOff>133538</xdr:rowOff>
    </xdr:to>
    <xdr:pic>
      <xdr:nvPicPr>
        <xdr:cNvPr id="11" name="Picture 10">
          <a:extLst>
            <a:ext uri="{FF2B5EF4-FFF2-40B4-BE49-F238E27FC236}">
              <a16:creationId xmlns:a16="http://schemas.microsoft.com/office/drawing/2014/main" id="{24A68800-6EFC-CD34-A5B8-2D2E0F7CD0EC}"/>
            </a:ext>
          </a:extLst>
        </xdr:cNvPr>
        <xdr:cNvPicPr>
          <a:picLocks noChangeAspect="1"/>
        </xdr:cNvPicPr>
      </xdr:nvPicPr>
      <xdr:blipFill>
        <a:blip xmlns:r="http://schemas.openxmlformats.org/officeDocument/2006/relationships" r:embed="rId5"/>
        <a:stretch>
          <a:fillRect/>
        </a:stretch>
      </xdr:blipFill>
      <xdr:spPr>
        <a:xfrm>
          <a:off x="10350500" y="12509501"/>
          <a:ext cx="7106667" cy="866476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BCFD711B-0E49-49D2-92B8-1F00F715F2FD}"/>
            </a:ext>
          </a:extLst>
        </xdr:cNvPr>
        <xdr:cNvCxnSpPr/>
      </xdr:nvCxnSpPr>
      <xdr:spPr>
        <a:xfrm>
          <a:off x="5158964" y="4369285"/>
          <a:ext cx="0" cy="69756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497205</xdr:colOff>
      <xdr:row>9</xdr:row>
      <xdr:rowOff>74295</xdr:rowOff>
    </xdr:from>
    <xdr:to>
      <xdr:col>22</xdr:col>
      <xdr:colOff>453390</xdr:colOff>
      <xdr:row>31</xdr:row>
      <xdr:rowOff>148590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703070"/>
          <a:ext cx="6052185" cy="4055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140858</xdr:colOff>
      <xdr:row>34</xdr:row>
      <xdr:rowOff>11989</xdr:rowOff>
    </xdr:from>
    <xdr:to>
      <xdr:col>23</xdr:col>
      <xdr:colOff>371363</xdr:colOff>
      <xdr:row>55</xdr:row>
      <xdr:rowOff>153364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23458" y="6165139"/>
          <a:ext cx="6326505" cy="394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bea.saeon.ac.za/biomass-in-context/"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ceicdata.com/en/south-africa/foreign-exchange-rates-annual" TargetMode="External"/><Relationship Id="rId2" Type="http://schemas.openxmlformats.org/officeDocument/2006/relationships/hyperlink" Target="https://theconiferous.com/blog/how-much-pulp-constitutes-to-the-pricing-of-tissue-amongst-other-products/" TargetMode="External"/><Relationship Id="rId1" Type="http://schemas.openxmlformats.org/officeDocument/2006/relationships/hyperlink" Target="https://www.sciencedirect.com/science/article/pii/S1876610217351512?ref=pdf_download&amp;fr=RR-2&amp;rr=82e2097e4b7e4925"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9.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9.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10.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4.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34.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thepaperstory.co.za/"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3" Type="http://schemas.openxmlformats.org/officeDocument/2006/relationships/hyperlink" Target="https://thepaperstory.co.za/wp-content/uploads/2023/05/PAMSA-Recycling-Summary-2021.pdf" TargetMode="External"/><Relationship Id="rId18" Type="http://schemas.openxmlformats.org/officeDocument/2006/relationships/hyperlink" Target="https://thepaperstory.co.za/wp-content/uploads/2022/09/SA-Recycling-Statistics-2019.pdf" TargetMode="External"/><Relationship Id="rId26" Type="http://schemas.openxmlformats.org/officeDocument/2006/relationships/hyperlink" Target="https://thepaperstory.co.za/wp-content/uploads/2021/01/PAMSA-stats-report-2017-final.pdf" TargetMode="External"/><Relationship Id="rId39" Type="http://schemas.openxmlformats.org/officeDocument/2006/relationships/hyperlink" Target="https://www.statssa.gov.za/publications/12-00-00/12-00-002020.pdf" TargetMode="External"/><Relationship Id="rId21" Type="http://schemas.openxmlformats.org/officeDocument/2006/relationships/hyperlink" Target="https://thepaperstory.co.za/wp-content/uploads/2021/08/SA-Recycling-Statistics-2018.pdf" TargetMode="External"/><Relationship Id="rId34" Type="http://schemas.openxmlformats.org/officeDocument/2006/relationships/hyperlink" Target="https://thepaperstory.co.za/wp-content/uploads/2023/04/Screenshot-2023-04-25-at-09.54.26.png" TargetMode="External"/><Relationship Id="rId7" Type="http://schemas.openxmlformats.org/officeDocument/2006/relationships/hyperlink" Target="https://thepaperstory.co.za/wp-content/uploads/2023/05/PAMSA-Recycling-Summary-2021.pdf" TargetMode="External"/><Relationship Id="rId12" Type="http://schemas.openxmlformats.org/officeDocument/2006/relationships/hyperlink" Target="https://thepaperstory.co.za/wp-content/uploads/2021/12/2020-Paper-Recycling-stats-August-2021.pdf" TargetMode="External"/><Relationship Id="rId17" Type="http://schemas.openxmlformats.org/officeDocument/2006/relationships/hyperlink" Target="https://thepaperstory.co.za/wp-content/uploads/2022/09/SA-Recycling-Statistics-2019.pdf" TargetMode="External"/><Relationship Id="rId25" Type="http://schemas.openxmlformats.org/officeDocument/2006/relationships/hyperlink" Target="https://thepaperstory.co.za/wp-content/uploads/2021/08/SA-Recycling-Statistics-2018.pdf" TargetMode="External"/><Relationship Id="rId33" Type="http://schemas.openxmlformats.org/officeDocument/2006/relationships/hyperlink" Target="https://thepaperstory.co.za/wp-content/uploads/2023/10/2020-pamsa-report-cover.webp" TargetMode="External"/><Relationship Id="rId38" Type="http://schemas.openxmlformats.org/officeDocument/2006/relationships/hyperlink" Target="https://www.nbi.org.za/wp-content/uploads/2023/09/NBI-Chapter-5-Decarbonising-the-AFOLU-Sector.pdf" TargetMode="External"/><Relationship Id="rId2" Type="http://schemas.openxmlformats.org/officeDocument/2006/relationships/hyperlink" Target="https://thepaperstory.co.za/wp-content/uploads/2023/07/PAMSA-Recycling-Stats-2022.pdf" TargetMode="External"/><Relationship Id="rId16" Type="http://schemas.openxmlformats.org/officeDocument/2006/relationships/hyperlink" Target="https://thepaperstory.co.za/wp-content/uploads/2022/09/SA-Recycling-Statistics-2019.pdf" TargetMode="External"/><Relationship Id="rId20" Type="http://schemas.openxmlformats.org/officeDocument/2006/relationships/hyperlink" Target="https://thepaperstory.co.za/wp-content/uploads/2022/09/SA-Recycling-Statistics-2019.pdf" TargetMode="External"/><Relationship Id="rId29" Type="http://schemas.openxmlformats.org/officeDocument/2006/relationships/hyperlink" Target="https://thepaperstory.co.za/wp-content/uploads/2021/01/PAMSA-stats-report-2017-final.pdf" TargetMode="External"/><Relationship Id="rId1" Type="http://schemas.openxmlformats.org/officeDocument/2006/relationships/hyperlink" Target="https://thepaperstory.co.za/wp-content/uploads/2023/05/PAMSA-Recycling-Summary-2021.pdf" TargetMode="External"/><Relationship Id="rId6" Type="http://schemas.openxmlformats.org/officeDocument/2006/relationships/hyperlink" Target="https://thepaperstory.co.za/wp-content/uploads/2023/07/PAMSA-Recycling-Stats-2022.pdf" TargetMode="External"/><Relationship Id="rId11" Type="http://schemas.openxmlformats.org/officeDocument/2006/relationships/hyperlink" Target="https://thepaperstory.co.za/wp-content/uploads/2021/12/2020-Paper-Recycling-stats-August-2021.pdf" TargetMode="External"/><Relationship Id="rId24" Type="http://schemas.openxmlformats.org/officeDocument/2006/relationships/hyperlink" Target="https://thepaperstory.co.za/wp-content/uploads/2021/08/SA-Recycling-Statistics-2018.pdf" TargetMode="External"/><Relationship Id="rId32" Type="http://schemas.openxmlformats.org/officeDocument/2006/relationships/hyperlink" Target="https://thepaperstory.co.za/wp-content/uploads/2023/04/PAMSA-Report-2021-scaled.jpg" TargetMode="External"/><Relationship Id="rId37" Type="http://schemas.openxmlformats.org/officeDocument/2006/relationships/hyperlink" Target="https://thepaperstory.co.za/wp-content/uploads/2021/01/2019-PAMSA-Annual-report-FINAL.pdf" TargetMode="External"/><Relationship Id="rId40" Type="http://schemas.openxmlformats.org/officeDocument/2006/relationships/drawing" Target="../drawings/drawing2.xml"/><Relationship Id="rId5" Type="http://schemas.openxmlformats.org/officeDocument/2006/relationships/hyperlink" Target="https://thepaperstory.co.za/wp-content/uploads/2023/05/PAMSA-Recycling-Summary-2021.pdf" TargetMode="External"/><Relationship Id="rId15" Type="http://schemas.openxmlformats.org/officeDocument/2006/relationships/hyperlink" Target="https://thepaperstory.co.za/wp-content/uploads/2021/12/2020-Paper-Recycling-stats-August-2021.pdf" TargetMode="External"/><Relationship Id="rId23" Type="http://schemas.openxmlformats.org/officeDocument/2006/relationships/hyperlink" Target="https://thepaperstory.co.za/wp-content/uploads/2021/08/SA-Recycling-Statistics-2018.pdf" TargetMode="External"/><Relationship Id="rId28" Type="http://schemas.openxmlformats.org/officeDocument/2006/relationships/hyperlink" Target="https://thepaperstory.co.za/wp-content/uploads/2021/01/PAMSA-stats-report-2017-final.pdf" TargetMode="External"/><Relationship Id="rId36" Type="http://schemas.openxmlformats.org/officeDocument/2006/relationships/hyperlink" Target="https://thepaperstory.co.za/wp-content/uploads/2021/01/PAMSA-stats-report-2017-final.pdf" TargetMode="External"/><Relationship Id="rId10" Type="http://schemas.openxmlformats.org/officeDocument/2006/relationships/hyperlink" Target="https://thepaperstory.co.za/wp-content/uploads/2021/12/2020-Paper-Recycling-stats-August-2021.pdf" TargetMode="External"/><Relationship Id="rId19" Type="http://schemas.openxmlformats.org/officeDocument/2006/relationships/hyperlink" Target="https://thepaperstory.co.za/wp-content/uploads/2022/09/SA-Recycling-Statistics-2019.pdf" TargetMode="External"/><Relationship Id="rId31" Type="http://schemas.openxmlformats.org/officeDocument/2006/relationships/hyperlink" Target="https://thepaperstory.co.za/wp-content/uploads/2023/07/PAMSA-production-report-2022.pdf" TargetMode="External"/><Relationship Id="rId4" Type="http://schemas.openxmlformats.org/officeDocument/2006/relationships/hyperlink" Target="https://thepaperstory.co.za/wp-content/uploads/2023/07/PAMSA-Recycling-Stats-2022.pdf" TargetMode="External"/><Relationship Id="rId9" Type="http://schemas.openxmlformats.org/officeDocument/2006/relationships/hyperlink" Target="https://thepaperstory.co.za/wp-content/uploads/2021/12/2020-Paper-Recycling-stats-August-2021.pdf" TargetMode="External"/><Relationship Id="rId14" Type="http://schemas.openxmlformats.org/officeDocument/2006/relationships/hyperlink" Target="https://thepaperstory.co.za/wp-content/uploads/2023/07/PAMSA-Recycling-Stats-2022.pdf" TargetMode="External"/><Relationship Id="rId22" Type="http://schemas.openxmlformats.org/officeDocument/2006/relationships/hyperlink" Target="https://thepaperstory.co.za/wp-content/uploads/2021/08/SA-Recycling-Statistics-2018.pdf" TargetMode="External"/><Relationship Id="rId27" Type="http://schemas.openxmlformats.org/officeDocument/2006/relationships/hyperlink" Target="https://thepaperstory.co.za/wp-content/uploads/2021/01/PAMSA-stats-report-2017-final.pdf" TargetMode="External"/><Relationship Id="rId30" Type="http://schemas.openxmlformats.org/officeDocument/2006/relationships/hyperlink" Target="https://thepaperstory.co.za/wp-content/uploads/2021/01/PAMSA-stats-report-2017-final.pdf" TargetMode="External"/><Relationship Id="rId35" Type="http://schemas.openxmlformats.org/officeDocument/2006/relationships/hyperlink" Target="https://thepaperstory.co.za/wp-content/uploads/2021/01/PAMSA-2018-Industry-Statistics-Summary-edited.pdf" TargetMode="External"/><Relationship Id="rId8" Type="http://schemas.openxmlformats.org/officeDocument/2006/relationships/hyperlink" Target="https://thepaperstory.co.za/wp-content/uploads/2023/07/PAMSA-Recycling-Stats-2022.pdf" TargetMode="External"/><Relationship Id="rId3" Type="http://schemas.openxmlformats.org/officeDocument/2006/relationships/hyperlink" Target="https://thepaperstory.co.za/wp-content/uploads/2023/05/PAMSA-Recycling-Summary-2021.pdf"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test.thepaperstory.co.za/the-economic-story/production-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20"/>
  <sheetViews>
    <sheetView workbookViewId="0">
      <selection activeCell="A21" sqref="A21"/>
    </sheetView>
  </sheetViews>
  <sheetFormatPr defaultRowHeight="14.4" x14ac:dyDescent="0.3"/>
  <cols>
    <col min="1" max="1" width="85.44140625" customWidth="1"/>
    <col min="2" max="2" width="15.5546875" customWidth="1"/>
  </cols>
  <sheetData>
    <row r="1" spans="1:3" x14ac:dyDescent="0.3">
      <c r="A1" s="154"/>
    </row>
    <row r="2" spans="1:3" ht="28.95" customHeight="1" x14ac:dyDescent="0.3">
      <c r="A2" s="155" t="s">
        <v>218</v>
      </c>
    </row>
    <row r="3" spans="1:3" x14ac:dyDescent="0.3">
      <c r="A3" s="154"/>
    </row>
    <row r="4" spans="1:3" x14ac:dyDescent="0.3">
      <c r="A4" s="154"/>
    </row>
    <row r="5" spans="1:3" x14ac:dyDescent="0.3">
      <c r="A5" s="154"/>
    </row>
    <row r="6" spans="1:3" ht="27.6" customHeight="1" x14ac:dyDescent="0.3">
      <c r="A6" s="154" t="s">
        <v>219</v>
      </c>
    </row>
    <row r="7" spans="1:3" x14ac:dyDescent="0.3">
      <c r="A7" s="154"/>
    </row>
    <row r="8" spans="1:3" ht="42.6" customHeight="1" x14ac:dyDescent="0.3">
      <c r="A8" s="154" t="s">
        <v>220</v>
      </c>
      <c r="B8" s="4" t="s">
        <v>221</v>
      </c>
      <c r="C8" s="4" t="s">
        <v>222</v>
      </c>
    </row>
    <row r="9" spans="1:3" ht="34.950000000000003" customHeight="1" x14ac:dyDescent="0.3">
      <c r="A9" s="154" t="s">
        <v>223</v>
      </c>
    </row>
    <row r="10" spans="1:3" x14ac:dyDescent="0.3">
      <c r="A10" s="154"/>
    </row>
    <row r="11" spans="1:3" ht="63" customHeight="1" x14ac:dyDescent="0.3">
      <c r="A11" s="156" t="s">
        <v>224</v>
      </c>
    </row>
    <row r="12" spans="1:3" x14ac:dyDescent="0.3">
      <c r="A12" s="154"/>
    </row>
    <row r="13" spans="1:3" x14ac:dyDescent="0.3">
      <c r="A13" s="154"/>
    </row>
    <row r="14" spans="1:3" x14ac:dyDescent="0.3">
      <c r="A14" s="154"/>
    </row>
    <row r="15" spans="1:3" ht="11.4" customHeight="1" x14ac:dyDescent="0.3">
      <c r="A15" s="154" t="s">
        <v>225</v>
      </c>
      <c r="B15" s="157">
        <v>44603</v>
      </c>
      <c r="C15" t="s">
        <v>222</v>
      </c>
    </row>
    <row r="16" spans="1:3" x14ac:dyDescent="0.3">
      <c r="A16" s="154"/>
    </row>
    <row r="17" spans="1:3" ht="48" customHeight="1" x14ac:dyDescent="0.3">
      <c r="A17" s="154" t="s">
        <v>226</v>
      </c>
      <c r="B17" s="4" t="s">
        <v>227</v>
      </c>
      <c r="C17" s="4" t="s">
        <v>228</v>
      </c>
    </row>
    <row r="18" spans="1:3" x14ac:dyDescent="0.3">
      <c r="A18" s="154" t="s">
        <v>1366</v>
      </c>
      <c r="B18" t="s">
        <v>1365</v>
      </c>
      <c r="C18" t="s">
        <v>228</v>
      </c>
    </row>
    <row r="19" spans="1:3" x14ac:dyDescent="0.3">
      <c r="A19" s="154" t="s">
        <v>1368</v>
      </c>
      <c r="B19" t="s">
        <v>1367</v>
      </c>
      <c r="C19" t="s">
        <v>228</v>
      </c>
    </row>
    <row r="20" spans="1:3" x14ac:dyDescent="0.3">
      <c r="A20" s="154" t="s">
        <v>1407</v>
      </c>
      <c r="B20" t="s">
        <v>1406</v>
      </c>
      <c r="C20" t="s">
        <v>228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49" zoomScale="90" zoomScaleNormal="90" workbookViewId="0">
      <selection activeCell="S29" sqref="S28:S29"/>
    </sheetView>
  </sheetViews>
  <sheetFormatPr defaultColWidth="8.88671875" defaultRowHeight="13.2" x14ac:dyDescent="0.25"/>
  <cols>
    <col min="1" max="3" width="8.88671875" style="168"/>
    <col min="4" max="5" width="13.6640625" style="168" customWidth="1"/>
    <col min="6" max="6" width="16.5546875" style="168" customWidth="1"/>
    <col min="7" max="7" width="11.88671875" style="168" customWidth="1"/>
    <col min="8" max="9" width="12.6640625" style="168" customWidth="1"/>
    <col min="10" max="10" width="12.33203125" style="168" customWidth="1"/>
    <col min="11" max="11" width="14.44140625" style="168" customWidth="1"/>
    <col min="12" max="12" width="13.6640625" style="168" customWidth="1"/>
    <col min="13" max="16" width="8.88671875" style="168"/>
    <col min="17" max="17" width="42.6640625" style="168" customWidth="1"/>
    <col min="18" max="18" width="17.88671875" style="168" customWidth="1"/>
    <col min="19" max="19" width="15.33203125" style="168" customWidth="1"/>
    <col min="20" max="20" width="26.5546875" style="168" customWidth="1"/>
    <col min="21" max="21" width="20.6640625" style="168" customWidth="1"/>
    <col min="22" max="22" width="14.33203125" style="168" customWidth="1"/>
    <col min="23" max="16384" width="8.88671875" style="168"/>
  </cols>
  <sheetData>
    <row r="2" spans="2:18" x14ac:dyDescent="0.25">
      <c r="B2" s="183" t="s">
        <v>360</v>
      </c>
      <c r="Q2" s="185" t="s">
        <v>359</v>
      </c>
    </row>
    <row r="4" spans="2:18" x14ac:dyDescent="0.25">
      <c r="Q4" s="183" t="s">
        <v>358</v>
      </c>
    </row>
    <row r="5" spans="2:18" x14ac:dyDescent="0.25">
      <c r="C5" s="168" t="s">
        <v>357</v>
      </c>
      <c r="Q5" s="168" t="s">
        <v>356</v>
      </c>
    </row>
    <row r="6" spans="2:18" x14ac:dyDescent="0.25">
      <c r="C6" s="210" t="s">
        <v>355</v>
      </c>
      <c r="D6" s="209"/>
      <c r="E6" s="209"/>
      <c r="F6" s="209"/>
      <c r="G6" s="209"/>
      <c r="H6" s="209"/>
      <c r="I6" s="209"/>
      <c r="J6" s="209"/>
      <c r="K6" s="209"/>
      <c r="L6" s="209"/>
      <c r="M6" s="209"/>
      <c r="N6" s="208"/>
    </row>
    <row r="7" spans="2:18" x14ac:dyDescent="0.25">
      <c r="C7" s="173"/>
      <c r="E7" s="168" t="s">
        <v>354</v>
      </c>
      <c r="N7" s="172"/>
      <c r="Q7" s="207" t="s">
        <v>353</v>
      </c>
      <c r="R7" s="206" t="s">
        <v>315</v>
      </c>
    </row>
    <row r="8" spans="2:18" x14ac:dyDescent="0.25">
      <c r="C8" s="173"/>
      <c r="N8" s="172"/>
      <c r="Q8" s="202" t="s">
        <v>352</v>
      </c>
      <c r="R8" s="172">
        <v>40</v>
      </c>
    </row>
    <row r="9" spans="2:18" x14ac:dyDescent="0.25">
      <c r="C9" s="173"/>
      <c r="N9" s="172"/>
      <c r="Q9" s="202" t="s">
        <v>351</v>
      </c>
      <c r="R9" s="172">
        <v>12</v>
      </c>
    </row>
    <row r="10" spans="2:18" x14ac:dyDescent="0.25">
      <c r="C10" s="173"/>
      <c r="N10" s="172"/>
      <c r="Q10" s="202" t="s">
        <v>350</v>
      </c>
      <c r="R10" s="172">
        <v>22</v>
      </c>
    </row>
    <row r="11" spans="2:18" ht="12.75" customHeight="1" x14ac:dyDescent="0.25">
      <c r="C11" s="173"/>
      <c r="D11" s="205"/>
      <c r="N11" s="172"/>
      <c r="Q11" s="202" t="s">
        <v>292</v>
      </c>
      <c r="R11" s="172">
        <v>7</v>
      </c>
    </row>
    <row r="12" spans="2:18" ht="12.75" customHeight="1" x14ac:dyDescent="0.25">
      <c r="C12" s="173"/>
      <c r="D12" s="204"/>
      <c r="N12" s="172"/>
      <c r="Q12" s="202" t="s">
        <v>349</v>
      </c>
      <c r="R12" s="172">
        <v>11</v>
      </c>
    </row>
    <row r="13" spans="2:18" ht="12.75" customHeight="1" x14ac:dyDescent="0.25">
      <c r="C13" s="173"/>
      <c r="D13" s="203"/>
      <c r="N13" s="172"/>
      <c r="Q13" s="202" t="s">
        <v>348</v>
      </c>
      <c r="R13" s="172">
        <v>8</v>
      </c>
    </row>
    <row r="14" spans="2:18" ht="12.75" customHeight="1" x14ac:dyDescent="0.25">
      <c r="C14" s="173"/>
      <c r="D14" s="201"/>
      <c r="N14" s="172"/>
      <c r="Q14" s="200"/>
      <c r="R14" s="199">
        <f>SUM(R8:R13)</f>
        <v>100</v>
      </c>
    </row>
    <row r="15" spans="2:18" x14ac:dyDescent="0.25">
      <c r="C15" s="173"/>
      <c r="N15" s="172"/>
    </row>
    <row r="16" spans="2:18" x14ac:dyDescent="0.25">
      <c r="C16" s="173"/>
      <c r="N16" s="172"/>
      <c r="Q16" s="198" t="s">
        <v>347</v>
      </c>
    </row>
    <row r="17" spans="3:18" x14ac:dyDescent="0.25">
      <c r="C17" s="173"/>
      <c r="N17" s="172"/>
    </row>
    <row r="18" spans="3:18" x14ac:dyDescent="0.25">
      <c r="C18" s="173"/>
      <c r="N18" s="172"/>
      <c r="Q18" s="196" t="s">
        <v>346</v>
      </c>
      <c r="R18" s="195" t="s">
        <v>338</v>
      </c>
    </row>
    <row r="19" spans="3:18" x14ac:dyDescent="0.25">
      <c r="C19" s="173"/>
      <c r="N19" s="172"/>
      <c r="Q19" s="173" t="s">
        <v>345</v>
      </c>
      <c r="R19" s="172">
        <v>2370</v>
      </c>
    </row>
    <row r="20" spans="3:18" x14ac:dyDescent="0.25">
      <c r="C20" s="173"/>
      <c r="N20" s="172"/>
      <c r="Q20" s="173" t="s">
        <v>344</v>
      </c>
      <c r="R20" s="172">
        <v>2660</v>
      </c>
    </row>
    <row r="21" spans="3:18" x14ac:dyDescent="0.25">
      <c r="C21" s="173"/>
      <c r="N21" s="172"/>
      <c r="Q21" s="193" t="s">
        <v>343</v>
      </c>
      <c r="R21" s="192">
        <v>2180</v>
      </c>
    </row>
    <row r="22" spans="3:18" x14ac:dyDescent="0.25">
      <c r="C22" s="173"/>
      <c r="N22" s="172"/>
    </row>
    <row r="23" spans="3:18" x14ac:dyDescent="0.25">
      <c r="C23" s="173"/>
      <c r="N23" s="172"/>
      <c r="Q23" s="168" t="s">
        <v>342</v>
      </c>
    </row>
    <row r="24" spans="3:18" x14ac:dyDescent="0.25">
      <c r="C24" s="173"/>
      <c r="D24" s="197" t="s">
        <v>341</v>
      </c>
      <c r="E24" s="168">
        <v>1119000</v>
      </c>
      <c r="F24" s="168">
        <v>1053000</v>
      </c>
      <c r="G24" s="168">
        <v>1183000</v>
      </c>
      <c r="H24" s="168">
        <v>1398000</v>
      </c>
      <c r="I24" s="168">
        <v>1283000</v>
      </c>
      <c r="J24" s="168">
        <v>1285000</v>
      </c>
      <c r="K24" s="168">
        <v>1166000</v>
      </c>
      <c r="N24" s="172"/>
    </row>
    <row r="25" spans="3:18" x14ac:dyDescent="0.25">
      <c r="C25" s="173"/>
      <c r="D25" s="197" t="s">
        <v>340</v>
      </c>
      <c r="E25" s="168">
        <v>1112000</v>
      </c>
      <c r="F25" s="168">
        <v>1047000</v>
      </c>
      <c r="G25" s="168">
        <v>1155000</v>
      </c>
      <c r="H25" s="168">
        <v>1388000</v>
      </c>
      <c r="I25" s="168">
        <v>1218000</v>
      </c>
      <c r="J25" s="168">
        <v>1176000</v>
      </c>
      <c r="K25" s="168">
        <v>1067000</v>
      </c>
      <c r="N25" s="172"/>
      <c r="Q25" s="196" t="s">
        <v>339</v>
      </c>
      <c r="R25" s="195" t="s">
        <v>338</v>
      </c>
    </row>
    <row r="26" spans="3:18" ht="14.4" x14ac:dyDescent="0.3">
      <c r="C26" s="173"/>
      <c r="E26" s="194">
        <f t="shared" ref="E26:K26" si="0">E25/E24</f>
        <v>0.99374441465594276</v>
      </c>
      <c r="F26" s="194">
        <f t="shared" si="0"/>
        <v>0.99430199430199429</v>
      </c>
      <c r="G26" s="194">
        <f t="shared" si="0"/>
        <v>0.97633136094674555</v>
      </c>
      <c r="H26" s="194">
        <f t="shared" si="0"/>
        <v>0.99284692417739628</v>
      </c>
      <c r="I26" s="194">
        <f t="shared" si="0"/>
        <v>0.9493374902572097</v>
      </c>
      <c r="J26" s="194">
        <f t="shared" si="0"/>
        <v>0.91517509727626456</v>
      </c>
      <c r="K26" s="194">
        <f t="shared" si="0"/>
        <v>0.91509433962264153</v>
      </c>
      <c r="N26" s="172"/>
      <c r="Q26" s="173" t="s">
        <v>337</v>
      </c>
      <c r="R26" s="172">
        <v>1740</v>
      </c>
    </row>
    <row r="27" spans="3:18" x14ac:dyDescent="0.25">
      <c r="C27" s="173"/>
      <c r="N27" s="172"/>
      <c r="Q27" s="193" t="s">
        <v>336</v>
      </c>
      <c r="R27" s="192">
        <v>1640</v>
      </c>
    </row>
    <row r="28" spans="3:18" x14ac:dyDescent="0.25">
      <c r="C28" s="173"/>
      <c r="N28" s="172"/>
    </row>
    <row r="29" spans="3:18" x14ac:dyDescent="0.25">
      <c r="C29" s="191"/>
      <c r="N29" s="172"/>
      <c r="Q29" s="168" t="s">
        <v>335</v>
      </c>
    </row>
    <row r="30" spans="3:18" x14ac:dyDescent="0.25">
      <c r="C30" s="173"/>
      <c r="N30" s="172"/>
      <c r="Q30" s="168" t="s">
        <v>334</v>
      </c>
    </row>
    <row r="31" spans="3:18" x14ac:dyDescent="0.25">
      <c r="C31" s="173"/>
      <c r="N31" s="172"/>
      <c r="Q31" s="168" t="s">
        <v>333</v>
      </c>
    </row>
    <row r="32" spans="3:18" x14ac:dyDescent="0.25">
      <c r="C32" s="173"/>
      <c r="N32" s="172"/>
      <c r="Q32" s="190" t="s">
        <v>332</v>
      </c>
    </row>
    <row r="33" spans="3:23" x14ac:dyDescent="0.25">
      <c r="C33" s="173"/>
      <c r="N33" s="172"/>
    </row>
    <row r="34" spans="3:23" x14ac:dyDescent="0.25">
      <c r="C34" s="173"/>
      <c r="N34" s="172"/>
      <c r="Q34" s="168" t="s">
        <v>331</v>
      </c>
    </row>
    <row r="35" spans="3:23" x14ac:dyDescent="0.25">
      <c r="C35" s="173"/>
      <c r="N35" s="172"/>
      <c r="Q35" s="168" t="s">
        <v>330</v>
      </c>
    </row>
    <row r="36" spans="3:23" x14ac:dyDescent="0.25">
      <c r="C36" s="173"/>
      <c r="N36" s="172"/>
      <c r="Q36" s="168" t="s">
        <v>329</v>
      </c>
    </row>
    <row r="37" spans="3:23" x14ac:dyDescent="0.25">
      <c r="C37" s="173"/>
      <c r="N37" s="172"/>
      <c r="Q37" s="168" t="s">
        <v>328</v>
      </c>
    </row>
    <row r="38" spans="3:23" x14ac:dyDescent="0.25">
      <c r="C38" s="173"/>
      <c r="N38" s="172"/>
    </row>
    <row r="39" spans="3:23" x14ac:dyDescent="0.25">
      <c r="C39" s="173"/>
      <c r="N39" s="172"/>
    </row>
    <row r="40" spans="3:23" x14ac:dyDescent="0.25">
      <c r="C40" s="173"/>
      <c r="N40" s="172"/>
      <c r="Q40" s="187" t="s">
        <v>327</v>
      </c>
      <c r="R40" s="185"/>
    </row>
    <row r="41" spans="3:23" x14ac:dyDescent="0.25">
      <c r="C41" s="173"/>
      <c r="N41" s="172"/>
      <c r="R41" s="185"/>
      <c r="S41" s="186" t="s">
        <v>80</v>
      </c>
      <c r="T41" s="186" t="s">
        <v>326</v>
      </c>
      <c r="U41" s="186" t="s">
        <v>325</v>
      </c>
    </row>
    <row r="42" spans="3:23" x14ac:dyDescent="0.25">
      <c r="C42" s="173"/>
      <c r="N42" s="172"/>
      <c r="P42" s="189"/>
      <c r="Q42" s="185" t="s">
        <v>324</v>
      </c>
      <c r="R42" s="185"/>
      <c r="S42" s="185" t="s">
        <v>315</v>
      </c>
      <c r="T42" s="185">
        <v>80</v>
      </c>
      <c r="U42" s="185">
        <v>20</v>
      </c>
    </row>
    <row r="43" spans="3:23" x14ac:dyDescent="0.25">
      <c r="C43" s="173"/>
      <c r="N43" s="172"/>
      <c r="P43" s="188"/>
      <c r="Q43" s="185" t="s">
        <v>318</v>
      </c>
      <c r="S43" s="185" t="s">
        <v>323</v>
      </c>
      <c r="T43" s="185" t="s">
        <v>322</v>
      </c>
      <c r="U43" s="185" t="s">
        <v>321</v>
      </c>
    </row>
    <row r="44" spans="3:23" x14ac:dyDescent="0.25">
      <c r="C44" s="173"/>
      <c r="N44" s="172"/>
    </row>
    <row r="45" spans="3:23" x14ac:dyDescent="0.25">
      <c r="C45" s="173"/>
      <c r="N45" s="172"/>
      <c r="Q45" s="187" t="s">
        <v>320</v>
      </c>
    </row>
    <row r="46" spans="3:23" x14ac:dyDescent="0.25">
      <c r="C46" s="173"/>
      <c r="N46" s="172"/>
      <c r="S46" s="186" t="s">
        <v>80</v>
      </c>
      <c r="T46" s="186" t="s">
        <v>38</v>
      </c>
      <c r="U46" s="186" t="s">
        <v>43</v>
      </c>
      <c r="V46" s="186" t="s">
        <v>36</v>
      </c>
      <c r="W46" s="186" t="s">
        <v>319</v>
      </c>
    </row>
    <row r="47" spans="3:23" x14ac:dyDescent="0.25">
      <c r="C47" s="173"/>
      <c r="N47" s="172"/>
      <c r="Q47" s="185" t="s">
        <v>318</v>
      </c>
      <c r="S47" s="185" t="s">
        <v>317</v>
      </c>
      <c r="T47" s="168" t="s">
        <v>313</v>
      </c>
      <c r="U47" s="185">
        <v>122</v>
      </c>
      <c r="V47" s="185">
        <v>311</v>
      </c>
      <c r="W47" s="185">
        <v>87.5</v>
      </c>
    </row>
    <row r="48" spans="3:23" x14ac:dyDescent="0.25">
      <c r="C48" s="173"/>
      <c r="N48" s="172"/>
      <c r="Q48" s="185" t="s">
        <v>316</v>
      </c>
      <c r="S48" s="185" t="s">
        <v>315</v>
      </c>
      <c r="T48" s="168" t="s">
        <v>313</v>
      </c>
      <c r="U48" s="185">
        <v>90</v>
      </c>
      <c r="V48" s="185">
        <v>42</v>
      </c>
      <c r="W48" s="168" t="s">
        <v>313</v>
      </c>
    </row>
    <row r="49" spans="3:23" x14ac:dyDescent="0.25">
      <c r="C49" s="173"/>
      <c r="N49" s="172"/>
      <c r="Q49" s="185" t="s">
        <v>314</v>
      </c>
      <c r="T49" s="185">
        <v>18</v>
      </c>
      <c r="U49" s="168" t="s">
        <v>313</v>
      </c>
      <c r="V49" s="168" t="s">
        <v>313</v>
      </c>
      <c r="W49" s="168" t="s">
        <v>313</v>
      </c>
    </row>
    <row r="50" spans="3:23" x14ac:dyDescent="0.25">
      <c r="C50" s="173"/>
      <c r="N50" s="172"/>
    </row>
    <row r="51" spans="3:23" x14ac:dyDescent="0.25">
      <c r="C51" s="173"/>
      <c r="N51" s="172"/>
      <c r="Q51" s="184" t="s">
        <v>312</v>
      </c>
    </row>
    <row r="52" spans="3:23" x14ac:dyDescent="0.25">
      <c r="C52" s="173"/>
      <c r="N52" s="172"/>
    </row>
    <row r="53" spans="3:23" x14ac:dyDescent="0.25">
      <c r="C53" s="173"/>
      <c r="N53" s="172"/>
      <c r="Q53" s="183" t="s">
        <v>311</v>
      </c>
    </row>
    <row r="54" spans="3:23" x14ac:dyDescent="0.25">
      <c r="C54" s="173"/>
      <c r="N54" s="172"/>
      <c r="Q54" s="168" t="s">
        <v>310</v>
      </c>
    </row>
    <row r="55" spans="3:23" x14ac:dyDescent="0.25">
      <c r="C55" s="173"/>
      <c r="N55" s="172"/>
      <c r="Q55" s="168" t="s">
        <v>309</v>
      </c>
    </row>
    <row r="56" spans="3:23" x14ac:dyDescent="0.25">
      <c r="C56" s="173"/>
      <c r="N56" s="172"/>
    </row>
    <row r="57" spans="3:23" x14ac:dyDescent="0.25">
      <c r="C57" s="173"/>
      <c r="N57" s="172"/>
      <c r="Q57" s="168" t="s">
        <v>308</v>
      </c>
    </row>
    <row r="58" spans="3:23" x14ac:dyDescent="0.25">
      <c r="C58" s="173"/>
      <c r="N58" s="172"/>
      <c r="Q58" s="168" t="s">
        <v>307</v>
      </c>
    </row>
    <row r="59" spans="3:23" x14ac:dyDescent="0.25">
      <c r="C59" s="173"/>
      <c r="N59" s="172"/>
      <c r="Q59" s="168" t="s">
        <v>306</v>
      </c>
    </row>
    <row r="60" spans="3:23" x14ac:dyDescent="0.25">
      <c r="C60" s="173"/>
      <c r="N60" s="172"/>
      <c r="Q60" s="168" t="s">
        <v>305</v>
      </c>
    </row>
    <row r="61" spans="3:23" x14ac:dyDescent="0.25">
      <c r="C61" s="173"/>
      <c r="N61" s="172"/>
    </row>
    <row r="62" spans="3:23" x14ac:dyDescent="0.25">
      <c r="C62" s="173"/>
      <c r="N62" s="172"/>
    </row>
    <row r="63" spans="3:23" x14ac:dyDescent="0.25">
      <c r="C63" s="173"/>
      <c r="N63" s="172"/>
      <c r="Q63" s="182" t="s">
        <v>304</v>
      </c>
      <c r="R63" s="181" t="s">
        <v>303</v>
      </c>
    </row>
    <row r="64" spans="3:23" x14ac:dyDescent="0.25">
      <c r="C64" s="173"/>
      <c r="N64" s="172"/>
      <c r="Q64" s="179" t="s">
        <v>302</v>
      </c>
      <c r="R64" s="178">
        <v>-30</v>
      </c>
      <c r="S64" s="180" t="s">
        <v>301</v>
      </c>
    </row>
    <row r="65" spans="3:19" x14ac:dyDescent="0.25">
      <c r="C65" s="173"/>
      <c r="N65" s="172"/>
      <c r="Q65" s="179" t="s">
        <v>300</v>
      </c>
      <c r="R65" s="178" t="s">
        <v>299</v>
      </c>
      <c r="S65" s="180" t="s">
        <v>298</v>
      </c>
    </row>
    <row r="66" spans="3:19" x14ac:dyDescent="0.25">
      <c r="C66" s="173"/>
      <c r="N66" s="172"/>
      <c r="Q66" s="179" t="s">
        <v>297</v>
      </c>
      <c r="R66" s="178" t="s">
        <v>296</v>
      </c>
    </row>
    <row r="67" spans="3:19" x14ac:dyDescent="0.25">
      <c r="C67" s="173"/>
      <c r="N67" s="172"/>
      <c r="Q67" s="179" t="s">
        <v>295</v>
      </c>
      <c r="R67" s="178" t="s">
        <v>294</v>
      </c>
    </row>
    <row r="68" spans="3:19" x14ac:dyDescent="0.25">
      <c r="C68" s="173"/>
      <c r="N68" s="172"/>
    </row>
    <row r="69" spans="3:19" x14ac:dyDescent="0.25">
      <c r="C69" s="173"/>
      <c r="N69" s="172"/>
    </row>
    <row r="70" spans="3:19" x14ac:dyDescent="0.25">
      <c r="C70" s="173"/>
      <c r="N70" s="172"/>
    </row>
    <row r="71" spans="3:19" x14ac:dyDescent="0.25">
      <c r="C71" s="173"/>
      <c r="N71" s="172"/>
    </row>
    <row r="72" spans="3:19" x14ac:dyDescent="0.25">
      <c r="C72" s="173"/>
      <c r="N72" s="172"/>
    </row>
    <row r="73" spans="3:19" x14ac:dyDescent="0.25">
      <c r="C73" s="173"/>
      <c r="N73" s="172"/>
    </row>
    <row r="74" spans="3:19" x14ac:dyDescent="0.25">
      <c r="C74" s="173"/>
      <c r="N74" s="172"/>
    </row>
    <row r="75" spans="3:19" x14ac:dyDescent="0.25">
      <c r="C75" s="173"/>
      <c r="N75" s="172"/>
    </row>
    <row r="76" spans="3:19" x14ac:dyDescent="0.25">
      <c r="C76" s="173"/>
      <c r="N76" s="172"/>
    </row>
    <row r="77" spans="3:19" x14ac:dyDescent="0.25">
      <c r="C77" s="173"/>
      <c r="N77" s="172"/>
    </row>
    <row r="78" spans="3:19" x14ac:dyDescent="0.25">
      <c r="C78" s="173"/>
      <c r="N78" s="172"/>
    </row>
    <row r="79" spans="3:19" x14ac:dyDescent="0.25">
      <c r="C79" s="173"/>
      <c r="N79" s="172"/>
    </row>
    <row r="80" spans="3:19" ht="27.6" x14ac:dyDescent="0.25">
      <c r="C80" s="173"/>
      <c r="D80" s="367" t="s">
        <v>286</v>
      </c>
      <c r="E80" s="368" t="s">
        <v>278</v>
      </c>
      <c r="F80" s="368" t="s">
        <v>293</v>
      </c>
      <c r="G80" s="368" t="s">
        <v>292</v>
      </c>
      <c r="H80" s="368" t="s">
        <v>291</v>
      </c>
      <c r="I80" s="368" t="s">
        <v>290</v>
      </c>
      <c r="J80" s="368" t="s">
        <v>289</v>
      </c>
      <c r="K80" s="368" t="s">
        <v>288</v>
      </c>
      <c r="L80" s="369" t="s">
        <v>287</v>
      </c>
      <c r="N80" s="172"/>
    </row>
    <row r="81" spans="3:14" ht="13.8" x14ac:dyDescent="0.25">
      <c r="C81" s="173"/>
      <c r="D81" s="356" t="s">
        <v>279</v>
      </c>
      <c r="E81" s="177">
        <v>1</v>
      </c>
      <c r="F81" s="177">
        <v>2</v>
      </c>
      <c r="G81" s="177">
        <v>3</v>
      </c>
      <c r="H81" s="177">
        <v>4</v>
      </c>
      <c r="I81" s="177">
        <v>5</v>
      </c>
      <c r="J81" s="177">
        <v>6</v>
      </c>
      <c r="K81" s="177">
        <v>7</v>
      </c>
      <c r="L81" s="357">
        <v>8</v>
      </c>
      <c r="N81" s="172"/>
    </row>
    <row r="82" spans="3:14" ht="13.8" hidden="1" x14ac:dyDescent="0.25">
      <c r="C82" s="173"/>
      <c r="D82" s="365">
        <v>2013</v>
      </c>
      <c r="E82" s="364">
        <v>1875000</v>
      </c>
      <c r="F82" s="364">
        <v>668800</v>
      </c>
      <c r="G82" s="364">
        <v>2318000</v>
      </c>
      <c r="H82" s="364">
        <v>824600</v>
      </c>
      <c r="I82" s="364">
        <v>610600</v>
      </c>
      <c r="J82" s="364">
        <v>2532000</v>
      </c>
      <c r="K82" s="364">
        <v>649800</v>
      </c>
      <c r="L82" s="366">
        <v>649800</v>
      </c>
      <c r="N82" s="172"/>
    </row>
    <row r="83" spans="3:14" ht="13.8" hidden="1" x14ac:dyDescent="0.25">
      <c r="C83" s="173"/>
      <c r="D83" s="365">
        <v>2014</v>
      </c>
      <c r="E83" s="364">
        <v>1915000</v>
      </c>
      <c r="F83" s="364">
        <v>699700</v>
      </c>
      <c r="G83" s="364">
        <v>2262000</v>
      </c>
      <c r="H83" s="364">
        <v>761100</v>
      </c>
      <c r="I83" s="364">
        <v>732500</v>
      </c>
      <c r="J83" s="364">
        <v>2290000</v>
      </c>
      <c r="K83" s="364">
        <v>619400</v>
      </c>
      <c r="L83" s="366">
        <v>619400</v>
      </c>
      <c r="N83" s="172"/>
    </row>
    <row r="84" spans="3:14" ht="13.8" hidden="1" x14ac:dyDescent="0.25">
      <c r="C84" s="173"/>
      <c r="D84" s="365">
        <v>2015</v>
      </c>
      <c r="E84" s="364">
        <v>1646000</v>
      </c>
      <c r="F84" s="364">
        <v>512100</v>
      </c>
      <c r="G84" s="364">
        <v>2289000</v>
      </c>
      <c r="H84" s="364">
        <v>791600</v>
      </c>
      <c r="I84" s="364">
        <v>665800</v>
      </c>
      <c r="J84" s="364">
        <v>2415000</v>
      </c>
      <c r="K84" s="364">
        <v>621900</v>
      </c>
      <c r="L84" s="366">
        <v>621900</v>
      </c>
      <c r="N84" s="172"/>
    </row>
    <row r="85" spans="3:14" ht="13.8" hidden="1" x14ac:dyDescent="0.25">
      <c r="C85" s="173"/>
      <c r="D85" s="365">
        <v>2016</v>
      </c>
      <c r="E85" s="364">
        <v>1466000</v>
      </c>
      <c r="F85" s="364">
        <v>501500</v>
      </c>
      <c r="G85" s="364">
        <v>2353000</v>
      </c>
      <c r="H85" s="364">
        <v>748000</v>
      </c>
      <c r="I85" s="364">
        <v>720000</v>
      </c>
      <c r="J85" s="364">
        <v>2381000</v>
      </c>
      <c r="K85" s="364">
        <v>335600</v>
      </c>
      <c r="L85" s="366">
        <v>335600</v>
      </c>
      <c r="N85" s="172"/>
    </row>
    <row r="86" spans="3:14" ht="13.8" x14ac:dyDescent="0.25">
      <c r="C86" s="173"/>
      <c r="D86" s="358">
        <v>2017</v>
      </c>
      <c r="E86" s="174">
        <v>1466000</v>
      </c>
      <c r="F86" s="174">
        <v>503700</v>
      </c>
      <c r="G86" s="174">
        <v>2180000</v>
      </c>
      <c r="H86" s="174">
        <v>715000</v>
      </c>
      <c r="I86" s="174">
        <v>640000</v>
      </c>
      <c r="J86" s="174">
        <v>2255000</v>
      </c>
      <c r="K86" s="174">
        <v>441300</v>
      </c>
      <c r="L86" s="359">
        <v>441300</v>
      </c>
      <c r="N86" s="172"/>
    </row>
    <row r="87" spans="3:14" ht="13.8" x14ac:dyDescent="0.25">
      <c r="C87" s="173"/>
      <c r="D87" s="358">
        <v>2018</v>
      </c>
      <c r="E87" s="174">
        <v>1620000</v>
      </c>
      <c r="F87" s="174">
        <v>572900</v>
      </c>
      <c r="G87" s="174">
        <v>2223000</v>
      </c>
      <c r="H87" s="174">
        <v>786000</v>
      </c>
      <c r="I87" s="174">
        <v>664000</v>
      </c>
      <c r="J87" s="174">
        <v>2345000</v>
      </c>
      <c r="K87" s="174">
        <v>552000</v>
      </c>
      <c r="L87" s="359">
        <v>552000</v>
      </c>
      <c r="N87" s="172"/>
    </row>
    <row r="88" spans="3:14" ht="13.8" x14ac:dyDescent="0.25">
      <c r="C88" s="173"/>
      <c r="D88" s="360">
        <v>2019</v>
      </c>
      <c r="E88" s="361">
        <v>2975000</v>
      </c>
      <c r="F88" s="361">
        <v>1884000</v>
      </c>
      <c r="G88" s="361">
        <v>2159000</v>
      </c>
      <c r="H88" s="361">
        <v>707000</v>
      </c>
      <c r="I88" s="361">
        <v>687000</v>
      </c>
      <c r="J88" s="361">
        <v>2179000</v>
      </c>
      <c r="K88" s="361">
        <v>425700</v>
      </c>
      <c r="L88" s="362">
        <v>425700</v>
      </c>
      <c r="N88" s="172"/>
    </row>
    <row r="89" spans="3:14" x14ac:dyDescent="0.25">
      <c r="C89" s="173"/>
      <c r="N89" s="172"/>
    </row>
    <row r="90" spans="3:14" ht="45" x14ac:dyDescent="0.25">
      <c r="C90" s="173"/>
      <c r="D90" s="370" t="s">
        <v>286</v>
      </c>
      <c r="E90" s="371" t="s">
        <v>285</v>
      </c>
      <c r="F90" s="371" t="s">
        <v>284</v>
      </c>
      <c r="G90" s="371" t="s">
        <v>111</v>
      </c>
      <c r="H90" s="371" t="s">
        <v>283</v>
      </c>
      <c r="I90" s="371" t="s">
        <v>282</v>
      </c>
      <c r="J90" s="371" t="s">
        <v>42</v>
      </c>
      <c r="K90" s="371" t="s">
        <v>281</v>
      </c>
      <c r="L90" s="371" t="s">
        <v>280</v>
      </c>
      <c r="N90" s="172"/>
    </row>
    <row r="91" spans="3:14" ht="15.6" x14ac:dyDescent="0.25">
      <c r="C91" s="173"/>
      <c r="D91" s="176" t="s">
        <v>279</v>
      </c>
      <c r="E91" s="175">
        <v>9</v>
      </c>
      <c r="F91" s="175">
        <v>10</v>
      </c>
      <c r="G91" s="175">
        <v>11</v>
      </c>
      <c r="H91" s="175">
        <v>12</v>
      </c>
      <c r="I91" s="175">
        <v>13</v>
      </c>
      <c r="J91" s="175">
        <v>14</v>
      </c>
      <c r="K91" s="175">
        <v>15</v>
      </c>
      <c r="L91" s="175">
        <v>16</v>
      </c>
      <c r="N91" s="172"/>
    </row>
    <row r="92" spans="3:14" ht="15.6" hidden="1" x14ac:dyDescent="0.25">
      <c r="C92" s="173"/>
      <c r="D92" s="363">
        <v>2013</v>
      </c>
      <c r="E92" s="364">
        <v>1882000</v>
      </c>
      <c r="F92" s="364">
        <v>715300</v>
      </c>
      <c r="G92" s="364">
        <v>1167000</v>
      </c>
      <c r="H92" s="364">
        <v>47740</v>
      </c>
      <c r="I92" s="364">
        <v>1119000</v>
      </c>
      <c r="J92" s="364">
        <v>1112000</v>
      </c>
      <c r="K92" s="364">
        <v>7175</v>
      </c>
      <c r="L92" s="364">
        <v>770300</v>
      </c>
      <c r="N92" s="172"/>
    </row>
    <row r="93" spans="3:14" ht="15.6" hidden="1" x14ac:dyDescent="0.25">
      <c r="C93" s="173"/>
      <c r="D93" s="363">
        <v>2014</v>
      </c>
      <c r="E93" s="364">
        <v>1671000</v>
      </c>
      <c r="F93" s="364">
        <v>601600</v>
      </c>
      <c r="G93" s="364">
        <v>1069000</v>
      </c>
      <c r="H93" s="364">
        <v>16080</v>
      </c>
      <c r="I93" s="364">
        <v>1053000</v>
      </c>
      <c r="J93" s="364">
        <v>1047000</v>
      </c>
      <c r="K93" s="364">
        <v>6752</v>
      </c>
      <c r="L93" s="364">
        <v>624400</v>
      </c>
      <c r="N93" s="172"/>
    </row>
    <row r="94" spans="3:14" ht="15.6" hidden="1" x14ac:dyDescent="0.25">
      <c r="C94" s="173"/>
      <c r="D94" s="363">
        <v>2015</v>
      </c>
      <c r="E94" s="364">
        <v>1793000</v>
      </c>
      <c r="F94" s="364">
        <v>597100</v>
      </c>
      <c r="G94" s="364">
        <v>1196000</v>
      </c>
      <c r="H94" s="364">
        <v>12680</v>
      </c>
      <c r="I94" s="364">
        <v>1183000</v>
      </c>
      <c r="J94" s="364">
        <v>1155000</v>
      </c>
      <c r="K94" s="364">
        <v>28480</v>
      </c>
      <c r="L94" s="364">
        <v>638200</v>
      </c>
      <c r="N94" s="172"/>
    </row>
    <row r="95" spans="3:14" ht="15.6" hidden="1" x14ac:dyDescent="0.25">
      <c r="C95" s="173"/>
      <c r="D95" s="363">
        <v>2016</v>
      </c>
      <c r="E95" s="364">
        <v>2045000</v>
      </c>
      <c r="F95" s="364">
        <v>646300</v>
      </c>
      <c r="G95" s="364">
        <v>1399000</v>
      </c>
      <c r="H95" s="364">
        <v>1133</v>
      </c>
      <c r="I95" s="364">
        <v>1398000</v>
      </c>
      <c r="J95" s="364">
        <v>1388000</v>
      </c>
      <c r="K95" s="364">
        <v>9678</v>
      </c>
      <c r="L95" s="364">
        <v>657200</v>
      </c>
      <c r="N95" s="172"/>
    </row>
    <row r="96" spans="3:14" ht="15.6" x14ac:dyDescent="0.25">
      <c r="C96" s="173"/>
      <c r="D96" s="175">
        <v>2017</v>
      </c>
      <c r="E96" s="174">
        <v>1814000</v>
      </c>
      <c r="F96" s="174">
        <v>526000</v>
      </c>
      <c r="G96" s="174">
        <v>1288000</v>
      </c>
      <c r="H96" s="174">
        <v>4576</v>
      </c>
      <c r="I96" s="174">
        <v>1283000</v>
      </c>
      <c r="J96" s="174">
        <v>1218000</v>
      </c>
      <c r="K96" s="174">
        <v>65220</v>
      </c>
      <c r="L96" s="174">
        <v>595800</v>
      </c>
      <c r="N96" s="172"/>
    </row>
    <row r="97" spans="3:14" ht="15.6" x14ac:dyDescent="0.25">
      <c r="C97" s="173"/>
      <c r="D97" s="175">
        <v>2018</v>
      </c>
      <c r="E97" s="174">
        <v>1793000</v>
      </c>
      <c r="F97" s="174">
        <v>507400</v>
      </c>
      <c r="G97" s="174">
        <v>1286000</v>
      </c>
      <c r="H97" s="174">
        <v>717.7</v>
      </c>
      <c r="I97" s="174">
        <v>1285000</v>
      </c>
      <c r="J97" s="174">
        <v>1176000</v>
      </c>
      <c r="K97" s="174">
        <v>108700</v>
      </c>
      <c r="L97" s="174">
        <v>616900</v>
      </c>
      <c r="N97" s="172"/>
    </row>
    <row r="98" spans="3:14" ht="15.6" x14ac:dyDescent="0.25">
      <c r="C98" s="173"/>
      <c r="D98" s="175">
        <v>2019</v>
      </c>
      <c r="E98" s="174">
        <v>1753000</v>
      </c>
      <c r="F98" s="174">
        <v>552300</v>
      </c>
      <c r="G98" s="174">
        <v>1201000</v>
      </c>
      <c r="H98" s="174">
        <v>35140</v>
      </c>
      <c r="I98" s="174">
        <v>1166000</v>
      </c>
      <c r="J98" s="174">
        <v>1067000</v>
      </c>
      <c r="K98" s="174">
        <v>98650</v>
      </c>
      <c r="L98" s="174">
        <v>686100</v>
      </c>
      <c r="N98" s="172"/>
    </row>
    <row r="99" spans="3:14" x14ac:dyDescent="0.25">
      <c r="C99" s="173"/>
      <c r="N99" s="172"/>
    </row>
    <row r="101" spans="3:14" ht="13.8" x14ac:dyDescent="0.25">
      <c r="I101" s="170">
        <v>1</v>
      </c>
      <c r="J101" s="168" t="s">
        <v>278</v>
      </c>
      <c r="K101" s="171">
        <f>E86</f>
        <v>1466000</v>
      </c>
    </row>
    <row r="102" spans="3:14" ht="13.8" x14ac:dyDescent="0.25">
      <c r="I102" s="170">
        <v>2</v>
      </c>
      <c r="J102" s="168" t="s">
        <v>277</v>
      </c>
      <c r="K102" s="171">
        <f>F86</f>
        <v>503700</v>
      </c>
    </row>
    <row r="103" spans="3:14" x14ac:dyDescent="0.25">
      <c r="K103" s="171">
        <f>K101-K102</f>
        <v>962300</v>
      </c>
      <c r="L103" s="168" t="s">
        <v>276</v>
      </c>
    </row>
    <row r="104" spans="3:14" ht="13.8" x14ac:dyDescent="0.25">
      <c r="I104" s="170">
        <v>9</v>
      </c>
      <c r="J104" s="168" t="s">
        <v>275</v>
      </c>
      <c r="K104" s="171">
        <f>E96</f>
        <v>1814000</v>
      </c>
    </row>
    <row r="105" spans="3:14" ht="13.8" x14ac:dyDescent="0.25">
      <c r="I105" s="170">
        <v>14</v>
      </c>
      <c r="J105" s="168" t="s">
        <v>274</v>
      </c>
      <c r="K105" s="171">
        <f>J96</f>
        <v>1218000</v>
      </c>
    </row>
    <row r="106" spans="3:14" x14ac:dyDescent="0.25">
      <c r="K106" s="169">
        <f>K105+K103</f>
        <v>2180300</v>
      </c>
      <c r="L106" s="168" t="s">
        <v>273</v>
      </c>
    </row>
    <row r="107" spans="3:14" ht="13.8" x14ac:dyDescent="0.25">
      <c r="I107" s="170">
        <v>3</v>
      </c>
      <c r="J107" s="168" t="s">
        <v>272</v>
      </c>
      <c r="K107" s="169">
        <f>G88</f>
        <v>2159000</v>
      </c>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8"/>
  <sheetViews>
    <sheetView topLeftCell="A88" zoomScale="96" zoomScaleNormal="96" workbookViewId="0">
      <selection activeCell="C56" sqref="C56"/>
    </sheetView>
  </sheetViews>
  <sheetFormatPr defaultColWidth="8.88671875" defaultRowHeight="14.4" x14ac:dyDescent="0.3"/>
  <cols>
    <col min="1" max="1" width="8.88671875" style="211"/>
    <col min="2" max="2" width="41.33203125" style="211" bestFit="1" customWidth="1"/>
    <col min="3" max="3" width="28.33203125" style="211" customWidth="1"/>
    <col min="4" max="4" width="24.44140625" style="211" bestFit="1" customWidth="1"/>
    <col min="5" max="5" width="16.33203125" style="211" bestFit="1" customWidth="1"/>
    <col min="6" max="6" width="8.88671875" style="211"/>
    <col min="7" max="7" width="17.5546875" style="211" bestFit="1" customWidth="1"/>
    <col min="8" max="8" width="12.88671875" style="211" bestFit="1" customWidth="1"/>
    <col min="9" max="9" width="1.44140625" style="211" hidden="1" customWidth="1"/>
    <col min="10" max="15" width="16.6640625" style="211" hidden="1" customWidth="1"/>
    <col min="16" max="16" width="1" style="211" hidden="1" customWidth="1"/>
    <col min="17" max="22" width="16.6640625" style="211" hidden="1" customWidth="1"/>
    <col min="23" max="23" width="2" style="211" hidden="1" customWidth="1"/>
    <col min="24" max="29" width="16.6640625" style="211" hidden="1" customWidth="1"/>
    <col min="30" max="30" width="1.109375" style="211" hidden="1" customWidth="1"/>
    <col min="31" max="36" width="16.6640625" style="211" hidden="1" customWidth="1"/>
    <col min="37" max="37" width="3.33203125" style="211" customWidth="1"/>
    <col min="38" max="43" width="16.6640625" style="211" customWidth="1"/>
    <col min="44" max="44" width="2.109375" style="211" customWidth="1"/>
    <col min="45" max="50" width="14" style="211" customWidth="1"/>
    <col min="51" max="51" width="0.88671875" style="211" customWidth="1"/>
    <col min="52" max="57" width="14" style="211" customWidth="1"/>
    <col min="58" max="16384" width="8.88671875" style="211"/>
  </cols>
  <sheetData>
    <row r="2" spans="2:57" ht="23.4" x14ac:dyDescent="0.45">
      <c r="B2" s="760" t="s">
        <v>409</v>
      </c>
      <c r="C2" s="760"/>
      <c r="D2" s="760"/>
    </row>
    <row r="3" spans="2:57" x14ac:dyDescent="0.3">
      <c r="J3" s="248">
        <v>2013</v>
      </c>
      <c r="K3" s="248"/>
      <c r="L3" s="248"/>
      <c r="M3" s="248"/>
      <c r="N3" s="248"/>
      <c r="O3" s="248"/>
      <c r="P3" s="235"/>
      <c r="Q3" s="248">
        <v>2014</v>
      </c>
      <c r="R3" s="248"/>
      <c r="S3" s="248"/>
      <c r="T3" s="248"/>
      <c r="U3" s="248"/>
      <c r="V3" s="248"/>
      <c r="W3" s="235"/>
      <c r="X3" s="248">
        <v>2015</v>
      </c>
      <c r="Y3" s="248"/>
      <c r="Z3" s="248"/>
      <c r="AA3" s="248"/>
      <c r="AB3" s="248"/>
      <c r="AC3" s="248"/>
      <c r="AD3" s="235"/>
      <c r="AE3" s="248">
        <v>2016</v>
      </c>
      <c r="AF3" s="248"/>
      <c r="AG3" s="248"/>
      <c r="AH3" s="248"/>
      <c r="AI3" s="248"/>
      <c r="AJ3" s="248"/>
      <c r="AK3" s="235"/>
      <c r="AL3" s="248">
        <v>2017</v>
      </c>
      <c r="AM3" s="248"/>
      <c r="AN3" s="248"/>
      <c r="AO3" s="248"/>
      <c r="AP3" s="248"/>
      <c r="AQ3" s="248"/>
      <c r="AR3" s="235"/>
      <c r="AS3" s="248">
        <v>2018</v>
      </c>
      <c r="AT3" s="248"/>
      <c r="AU3" s="248"/>
      <c r="AV3" s="248"/>
      <c r="AW3" s="248"/>
      <c r="AX3" s="248"/>
      <c r="AY3" s="233"/>
      <c r="AZ3" s="248">
        <v>2019</v>
      </c>
      <c r="BA3" s="248"/>
      <c r="BB3" s="248"/>
      <c r="BC3" s="248"/>
      <c r="BD3" s="248"/>
      <c r="BE3" s="248"/>
    </row>
    <row r="4" spans="2:57" x14ac:dyDescent="0.3">
      <c r="B4" s="229" t="s">
        <v>408</v>
      </c>
      <c r="J4" s="248"/>
      <c r="K4" s="248"/>
      <c r="L4" s="248"/>
      <c r="M4" s="248"/>
      <c r="N4" s="248"/>
      <c r="O4" s="248"/>
      <c r="P4" s="235"/>
      <c r="Q4" s="248"/>
      <c r="R4" s="248"/>
      <c r="S4" s="248"/>
      <c r="T4" s="248"/>
      <c r="U4" s="248"/>
      <c r="V4" s="248"/>
      <c r="W4" s="235"/>
      <c r="X4" s="248"/>
      <c r="Y4" s="248"/>
      <c r="Z4" s="248"/>
      <c r="AA4" s="248"/>
      <c r="AB4" s="248"/>
      <c r="AC4" s="248"/>
      <c r="AD4" s="235"/>
      <c r="AE4" s="248"/>
      <c r="AF4" s="248"/>
      <c r="AG4" s="248"/>
      <c r="AH4" s="248"/>
      <c r="AI4" s="248"/>
      <c r="AJ4" s="248"/>
      <c r="AK4" s="235"/>
      <c r="AL4" s="248"/>
      <c r="AM4" s="248"/>
      <c r="AN4" s="248"/>
      <c r="AO4" s="248"/>
      <c r="AP4" s="248"/>
      <c r="AQ4" s="248"/>
      <c r="AR4" s="235"/>
      <c r="AS4" s="248"/>
      <c r="AT4" s="248"/>
      <c r="AU4" s="248"/>
      <c r="AV4" s="248"/>
      <c r="AW4" s="248"/>
      <c r="AX4" s="248"/>
      <c r="AY4" s="233"/>
      <c r="AZ4" s="248"/>
      <c r="BA4" s="248"/>
      <c r="BB4" s="248"/>
      <c r="BC4" s="248"/>
      <c r="BD4" s="248"/>
      <c r="BE4" s="248"/>
    </row>
    <row r="5" spans="2:57" x14ac:dyDescent="0.3">
      <c r="B5" s="227"/>
      <c r="C5" s="761" t="s">
        <v>407</v>
      </c>
      <c r="D5" s="762"/>
      <c r="E5" s="227"/>
      <c r="F5" s="227"/>
      <c r="G5" s="761" t="s">
        <v>406</v>
      </c>
      <c r="H5" s="762"/>
      <c r="I5" s="235"/>
      <c r="J5" s="246" t="s">
        <v>407</v>
      </c>
      <c r="K5" s="246"/>
      <c r="L5" s="246"/>
      <c r="M5" s="227"/>
      <c r="N5" s="245" t="s">
        <v>406</v>
      </c>
      <c r="O5" s="244"/>
      <c r="P5" s="235"/>
      <c r="Q5" s="246" t="s">
        <v>407</v>
      </c>
      <c r="R5" s="246"/>
      <c r="S5" s="246"/>
      <c r="T5" s="227"/>
      <c r="U5" s="245" t="s">
        <v>406</v>
      </c>
      <c r="V5" s="244"/>
      <c r="W5" s="235"/>
      <c r="X5" s="246" t="s">
        <v>407</v>
      </c>
      <c r="Y5" s="246"/>
      <c r="Z5" s="246"/>
      <c r="AA5" s="227"/>
      <c r="AB5" s="245" t="s">
        <v>406</v>
      </c>
      <c r="AC5" s="244"/>
      <c r="AD5" s="235"/>
      <c r="AE5" s="246" t="s">
        <v>407</v>
      </c>
      <c r="AF5" s="246"/>
      <c r="AG5" s="246"/>
      <c r="AH5" s="227"/>
      <c r="AI5" s="245" t="s">
        <v>406</v>
      </c>
      <c r="AJ5" s="244"/>
      <c r="AK5" s="235"/>
      <c r="AL5" s="246" t="s">
        <v>407</v>
      </c>
      <c r="AM5" s="246"/>
      <c r="AN5" s="246"/>
      <c r="AO5" s="227"/>
      <c r="AP5" s="245" t="s">
        <v>406</v>
      </c>
      <c r="AQ5" s="244"/>
      <c r="AR5" s="235"/>
      <c r="AS5" s="247" t="s">
        <v>407</v>
      </c>
      <c r="AT5" s="247"/>
      <c r="AU5" s="247"/>
      <c r="AV5" s="227"/>
      <c r="AW5" s="227" t="s">
        <v>406</v>
      </c>
      <c r="AX5" s="227"/>
      <c r="AY5" s="233"/>
      <c r="AZ5" s="246" t="s">
        <v>407</v>
      </c>
      <c r="BA5" s="246"/>
      <c r="BB5" s="246"/>
      <c r="BC5" s="227"/>
      <c r="BD5" s="245" t="s">
        <v>406</v>
      </c>
      <c r="BE5" s="244"/>
    </row>
    <row r="6" spans="2:57" x14ac:dyDescent="0.3">
      <c r="B6" s="227"/>
      <c r="C6" s="227" t="s">
        <v>405</v>
      </c>
      <c r="D6" s="227" t="s">
        <v>404</v>
      </c>
      <c r="E6" s="227" t="s">
        <v>403</v>
      </c>
      <c r="F6" s="227"/>
      <c r="G6" s="227" t="s">
        <v>402</v>
      </c>
      <c r="H6" s="227" t="s">
        <v>401</v>
      </c>
      <c r="I6" s="235"/>
      <c r="J6" s="227" t="s">
        <v>400</v>
      </c>
      <c r="K6" s="227" t="s">
        <v>397</v>
      </c>
      <c r="L6" s="227" t="s">
        <v>399</v>
      </c>
      <c r="M6" s="227"/>
      <c r="N6" s="227" t="s">
        <v>398</v>
      </c>
      <c r="O6" s="227" t="s">
        <v>397</v>
      </c>
      <c r="P6" s="235"/>
      <c r="Q6" s="227" t="s">
        <v>400</v>
      </c>
      <c r="R6" s="227" t="s">
        <v>397</v>
      </c>
      <c r="S6" s="227" t="s">
        <v>399</v>
      </c>
      <c r="T6" s="227"/>
      <c r="U6" s="227" t="s">
        <v>398</v>
      </c>
      <c r="V6" s="227" t="s">
        <v>397</v>
      </c>
      <c r="W6" s="235"/>
      <c r="X6" s="227" t="s">
        <v>400</v>
      </c>
      <c r="Y6" s="227" t="s">
        <v>397</v>
      </c>
      <c r="Z6" s="227" t="s">
        <v>399</v>
      </c>
      <c r="AA6" s="227"/>
      <c r="AB6" s="227" t="s">
        <v>398</v>
      </c>
      <c r="AC6" s="227" t="s">
        <v>397</v>
      </c>
      <c r="AD6" s="235"/>
      <c r="AE6" s="227" t="s">
        <v>400</v>
      </c>
      <c r="AF6" s="227" t="s">
        <v>397</v>
      </c>
      <c r="AG6" s="227" t="s">
        <v>399</v>
      </c>
      <c r="AH6" s="227"/>
      <c r="AI6" s="227" t="s">
        <v>398</v>
      </c>
      <c r="AJ6" s="227" t="s">
        <v>397</v>
      </c>
      <c r="AK6" s="235"/>
      <c r="AL6" s="227" t="s">
        <v>400</v>
      </c>
      <c r="AM6" s="227" t="s">
        <v>397</v>
      </c>
      <c r="AN6" s="227" t="s">
        <v>399</v>
      </c>
      <c r="AO6" s="227"/>
      <c r="AP6" s="227" t="s">
        <v>398</v>
      </c>
      <c r="AQ6" s="227" t="s">
        <v>397</v>
      </c>
      <c r="AR6" s="235"/>
      <c r="AS6" s="227" t="s">
        <v>400</v>
      </c>
      <c r="AT6" s="227" t="s">
        <v>397</v>
      </c>
      <c r="AU6" s="227" t="s">
        <v>399</v>
      </c>
      <c r="AV6" s="227"/>
      <c r="AW6" s="227" t="s">
        <v>398</v>
      </c>
      <c r="AX6" s="227" t="s">
        <v>397</v>
      </c>
      <c r="AY6" s="233"/>
      <c r="AZ6" s="227" t="s">
        <v>400</v>
      </c>
      <c r="BA6" s="227" t="s">
        <v>397</v>
      </c>
      <c r="BB6" s="227" t="s">
        <v>399</v>
      </c>
      <c r="BC6" s="227"/>
      <c r="BD6" s="227" t="s">
        <v>398</v>
      </c>
      <c r="BE6" s="227" t="s">
        <v>397</v>
      </c>
    </row>
    <row r="7" spans="2:57" x14ac:dyDescent="0.3">
      <c r="B7" s="228" t="s">
        <v>396</v>
      </c>
      <c r="C7" s="227"/>
      <c r="D7" s="227"/>
      <c r="E7" s="227"/>
      <c r="F7" s="227"/>
      <c r="G7" s="227"/>
      <c r="H7" s="227"/>
      <c r="I7" s="235"/>
      <c r="J7" s="227"/>
      <c r="K7" s="227"/>
      <c r="L7" s="227"/>
      <c r="M7" s="227"/>
      <c r="N7" s="227"/>
      <c r="O7" s="227"/>
      <c r="P7" s="235"/>
      <c r="Q7" s="227"/>
      <c r="R7" s="227"/>
      <c r="S7" s="227"/>
      <c r="T7" s="227"/>
      <c r="U7" s="227"/>
      <c r="V7" s="227"/>
      <c r="W7" s="235"/>
      <c r="X7" s="227"/>
      <c r="Y7" s="227"/>
      <c r="Z7" s="227"/>
      <c r="AA7" s="227"/>
      <c r="AB7" s="227"/>
      <c r="AC7" s="227"/>
      <c r="AD7" s="235"/>
      <c r="AE7" s="227"/>
      <c r="AF7" s="227"/>
      <c r="AG7" s="227"/>
      <c r="AH7" s="227"/>
      <c r="AI7" s="227"/>
      <c r="AJ7" s="227"/>
      <c r="AK7" s="235"/>
      <c r="AL7" s="227"/>
      <c r="AM7" s="227"/>
      <c r="AN7" s="227"/>
      <c r="AO7" s="227"/>
      <c r="AP7" s="227"/>
      <c r="AQ7" s="227"/>
      <c r="AR7" s="235"/>
      <c r="AS7" s="227"/>
      <c r="AT7" s="227"/>
      <c r="AU7" s="227"/>
      <c r="AV7" s="227"/>
      <c r="AW7" s="227"/>
      <c r="AX7" s="227"/>
      <c r="AY7" s="233"/>
      <c r="AZ7" s="232"/>
      <c r="BA7" s="232"/>
      <c r="BB7" s="232"/>
      <c r="BC7" s="232"/>
      <c r="BD7" s="232"/>
      <c r="BE7" s="232"/>
    </row>
    <row r="8" spans="2:57" x14ac:dyDescent="0.3">
      <c r="B8" s="227" t="s">
        <v>395</v>
      </c>
      <c r="C8" s="236"/>
      <c r="D8" s="236"/>
      <c r="E8" s="227">
        <v>0.71299999999999997</v>
      </c>
      <c r="F8" s="227"/>
      <c r="G8" s="227"/>
      <c r="H8" s="227"/>
      <c r="I8" s="235"/>
      <c r="J8" s="227"/>
      <c r="K8" s="227"/>
      <c r="L8" s="227">
        <v>8366692.5606601397</v>
      </c>
      <c r="M8" s="227"/>
      <c r="N8" s="227"/>
      <c r="O8" s="227"/>
      <c r="P8" s="235"/>
      <c r="Q8" s="227"/>
      <c r="R8" s="227"/>
      <c r="S8" s="227">
        <v>7925206.243451748</v>
      </c>
      <c r="T8" s="227"/>
      <c r="U8" s="227"/>
      <c r="V8" s="227"/>
      <c r="W8" s="235"/>
      <c r="X8" s="227"/>
      <c r="Y8" s="227"/>
      <c r="Z8" s="243">
        <v>8233245.6697398601</v>
      </c>
      <c r="AA8" s="227"/>
      <c r="AB8" s="227"/>
      <c r="AC8" s="227"/>
      <c r="AD8" s="235"/>
      <c r="AE8" s="227"/>
      <c r="AF8" s="227"/>
      <c r="AG8" s="227">
        <v>7535671.7308811191</v>
      </c>
      <c r="AH8" s="227"/>
      <c r="AI8" s="227"/>
      <c r="AJ8" s="227"/>
      <c r="AK8" s="235"/>
      <c r="AL8" s="227"/>
      <c r="AM8" s="227"/>
      <c r="AN8" s="227">
        <v>6974596.53833846</v>
      </c>
      <c r="AO8" s="227"/>
      <c r="AP8" s="227"/>
      <c r="AQ8" s="227"/>
      <c r="AR8" s="235"/>
      <c r="AS8" s="232"/>
      <c r="AT8" s="232"/>
      <c r="AU8" s="232">
        <v>8502853.4666349664</v>
      </c>
      <c r="AV8" s="232"/>
      <c r="AW8" s="232"/>
      <c r="AX8" s="232"/>
      <c r="AY8" s="233"/>
      <c r="AZ8" s="232"/>
      <c r="BA8" s="232"/>
      <c r="BB8" s="232">
        <v>8502853.4666349664</v>
      </c>
      <c r="BC8" s="232"/>
      <c r="BD8" s="232"/>
      <c r="BE8" s="232"/>
    </row>
    <row r="9" spans="2:57" x14ac:dyDescent="0.3">
      <c r="B9" s="227" t="s">
        <v>394</v>
      </c>
      <c r="C9" s="236">
        <v>40</v>
      </c>
      <c r="D9" s="236"/>
      <c r="E9" s="227"/>
      <c r="F9" s="227"/>
      <c r="G9" s="227"/>
      <c r="H9" s="227"/>
      <c r="I9" s="235"/>
      <c r="J9" s="227">
        <v>469379666.79720283</v>
      </c>
      <c r="K9" s="227"/>
      <c r="L9" s="227"/>
      <c r="M9" s="227"/>
      <c r="N9" s="227"/>
      <c r="O9" s="227"/>
      <c r="P9" s="235"/>
      <c r="Q9" s="227">
        <v>444611850.96503496</v>
      </c>
      <c r="R9" s="227"/>
      <c r="S9" s="227"/>
      <c r="T9" s="227"/>
      <c r="U9" s="227"/>
      <c r="V9" s="227"/>
      <c r="W9" s="235"/>
      <c r="X9" s="227">
        <v>461893165.20279717</v>
      </c>
      <c r="Y9" s="227"/>
      <c r="Z9" s="227"/>
      <c r="AA9" s="227"/>
      <c r="AB9" s="227"/>
      <c r="AC9" s="227"/>
      <c r="AD9" s="235"/>
      <c r="AE9" s="227">
        <v>422758582.37762243</v>
      </c>
      <c r="AF9" s="227"/>
      <c r="AG9" s="227"/>
      <c r="AH9" s="227"/>
      <c r="AI9" s="227"/>
      <c r="AJ9" s="227"/>
      <c r="AK9" s="235"/>
      <c r="AL9" s="227">
        <v>391281713.23076916</v>
      </c>
      <c r="AM9" s="227"/>
      <c r="AN9" s="227"/>
      <c r="AO9" s="227"/>
      <c r="AP9" s="227"/>
      <c r="AQ9" s="227"/>
      <c r="AR9" s="235"/>
      <c r="AS9" s="232">
        <v>477018427.30069935</v>
      </c>
      <c r="AT9" s="232"/>
      <c r="AU9" s="232"/>
      <c r="AV9" s="232"/>
      <c r="AW9" s="232"/>
      <c r="AX9" s="232"/>
      <c r="AY9" s="233"/>
      <c r="AZ9" s="232">
        <v>477018427.30069935</v>
      </c>
      <c r="BA9" s="232"/>
      <c r="BB9" s="232"/>
      <c r="BC9" s="232"/>
      <c r="BD9" s="232"/>
      <c r="BE9" s="232"/>
    </row>
    <row r="10" spans="2:57" x14ac:dyDescent="0.3">
      <c r="B10" s="227"/>
      <c r="C10" s="236"/>
      <c r="D10" s="236"/>
      <c r="E10" s="227"/>
      <c r="F10" s="227"/>
      <c r="G10" s="227"/>
      <c r="H10" s="227"/>
      <c r="I10" s="235"/>
      <c r="J10" s="227"/>
      <c r="K10" s="227"/>
      <c r="L10" s="227"/>
      <c r="M10" s="227"/>
      <c r="N10" s="227"/>
      <c r="O10" s="227"/>
      <c r="P10" s="235"/>
      <c r="Q10" s="227"/>
      <c r="R10" s="227"/>
      <c r="S10" s="227"/>
      <c r="T10" s="227"/>
      <c r="U10" s="227"/>
      <c r="V10" s="227"/>
      <c r="W10" s="235"/>
      <c r="X10" s="227"/>
      <c r="Y10" s="227"/>
      <c r="Z10" s="227"/>
      <c r="AA10" s="227"/>
      <c r="AB10" s="227"/>
      <c r="AC10" s="227"/>
      <c r="AD10" s="235"/>
      <c r="AE10" s="227"/>
      <c r="AF10" s="227"/>
      <c r="AG10" s="227"/>
      <c r="AH10" s="227"/>
      <c r="AI10" s="227"/>
      <c r="AJ10" s="227"/>
      <c r="AK10" s="235"/>
      <c r="AL10" s="227"/>
      <c r="AM10" s="227"/>
      <c r="AN10" s="227"/>
      <c r="AO10" s="227"/>
      <c r="AP10" s="227"/>
      <c r="AQ10" s="227"/>
      <c r="AR10" s="235"/>
      <c r="AS10" s="232"/>
      <c r="AT10" s="232"/>
      <c r="AU10" s="232"/>
      <c r="AV10" s="232"/>
      <c r="AW10" s="232"/>
      <c r="AX10" s="232"/>
      <c r="AY10" s="233"/>
      <c r="AZ10" s="232"/>
      <c r="BA10" s="232"/>
      <c r="BB10" s="232"/>
      <c r="BC10" s="232"/>
      <c r="BD10" s="232"/>
      <c r="BE10" s="232"/>
    </row>
    <row r="11" spans="2:57" x14ac:dyDescent="0.3">
      <c r="B11" s="228" t="s">
        <v>393</v>
      </c>
      <c r="C11" s="236"/>
      <c r="D11" s="236"/>
      <c r="E11" s="227"/>
      <c r="F11" s="227"/>
      <c r="G11" s="227"/>
      <c r="H11" s="227"/>
      <c r="I11" s="235"/>
      <c r="J11" s="227"/>
      <c r="K11" s="227"/>
      <c r="L11" s="227"/>
      <c r="M11" s="227"/>
      <c r="N11" s="227"/>
      <c r="O11" s="227"/>
      <c r="P11" s="235"/>
      <c r="Q11" s="227"/>
      <c r="R11" s="227"/>
      <c r="S11" s="227"/>
      <c r="T11" s="227"/>
      <c r="U11" s="227"/>
      <c r="V11" s="227"/>
      <c r="W11" s="235"/>
      <c r="X11" s="227"/>
      <c r="Y11" s="227"/>
      <c r="Z11" s="227"/>
      <c r="AA11" s="227"/>
      <c r="AB11" s="227"/>
      <c r="AC11" s="227"/>
      <c r="AD11" s="235"/>
      <c r="AE11" s="227"/>
      <c r="AF11" s="227"/>
      <c r="AG11" s="227"/>
      <c r="AH11" s="227"/>
      <c r="AI11" s="227"/>
      <c r="AJ11" s="227"/>
      <c r="AK11" s="235"/>
      <c r="AL11" s="227"/>
      <c r="AM11" s="227"/>
      <c r="AN11" s="227"/>
      <c r="AO11" s="227"/>
      <c r="AP11" s="227"/>
      <c r="AQ11" s="227"/>
      <c r="AR11" s="235"/>
      <c r="AS11" s="232"/>
      <c r="AT11" s="232"/>
      <c r="AU11" s="232"/>
      <c r="AV11" s="232"/>
      <c r="AW11" s="232"/>
      <c r="AX11" s="232"/>
      <c r="AY11" s="233"/>
      <c r="AZ11" s="232"/>
      <c r="BA11" s="232"/>
      <c r="BB11" s="232"/>
      <c r="BC11" s="232"/>
      <c r="BD11" s="232"/>
      <c r="BE11" s="232"/>
    </row>
    <row r="12" spans="2:57" x14ac:dyDescent="0.3">
      <c r="B12" s="227" t="s">
        <v>392</v>
      </c>
      <c r="C12" s="236">
        <v>2000</v>
      </c>
      <c r="D12" s="236">
        <v>0.9</v>
      </c>
      <c r="E12" s="227"/>
      <c r="F12" s="227"/>
      <c r="G12" s="227"/>
      <c r="H12" s="227">
        <v>5.4</v>
      </c>
      <c r="I12" s="235"/>
      <c r="J12" s="227">
        <v>499874000</v>
      </c>
      <c r="K12" s="227">
        <v>224943.30000000002</v>
      </c>
      <c r="L12" s="227"/>
      <c r="M12" s="227"/>
      <c r="N12" s="227"/>
      <c r="O12" s="227">
        <v>5.4</v>
      </c>
      <c r="P12" s="235"/>
      <c r="Q12" s="227">
        <v>397838000</v>
      </c>
      <c r="R12" s="227">
        <v>179027.1</v>
      </c>
      <c r="S12" s="227"/>
      <c r="T12" s="227"/>
      <c r="U12" s="227"/>
      <c r="V12" s="227">
        <v>5.4</v>
      </c>
      <c r="W12" s="235"/>
      <c r="X12" s="227">
        <v>422058000</v>
      </c>
      <c r="Y12" s="227">
        <v>189926.1</v>
      </c>
      <c r="Z12" s="227"/>
      <c r="AA12" s="227"/>
      <c r="AB12" s="227"/>
      <c r="AC12" s="227">
        <v>5.4</v>
      </c>
      <c r="AD12" s="235"/>
      <c r="AE12" s="227">
        <v>428214000</v>
      </c>
      <c r="AF12" s="227">
        <v>192696.30000000002</v>
      </c>
      <c r="AG12" s="227"/>
      <c r="AH12" s="227"/>
      <c r="AI12" s="227"/>
      <c r="AJ12" s="227">
        <v>5.4</v>
      </c>
      <c r="AK12" s="235"/>
      <c r="AL12" s="227">
        <v>428214000</v>
      </c>
      <c r="AM12" s="227">
        <v>192696.30000000002</v>
      </c>
      <c r="AN12" s="227"/>
      <c r="AO12" s="227"/>
      <c r="AP12" s="227"/>
      <c r="AQ12" s="227">
        <v>5.4</v>
      </c>
      <c r="AR12" s="235"/>
      <c r="AS12" s="232">
        <v>630000000</v>
      </c>
      <c r="AT12" s="232">
        <v>283500</v>
      </c>
      <c r="AU12" s="232"/>
      <c r="AV12" s="232"/>
      <c r="AW12" s="232"/>
      <c r="AX12" s="232">
        <v>5.4</v>
      </c>
      <c r="AY12" s="233"/>
      <c r="AZ12" s="232">
        <v>630000000</v>
      </c>
      <c r="BA12" s="232">
        <v>283500</v>
      </c>
      <c r="BB12" s="232"/>
      <c r="BC12" s="232"/>
      <c r="BD12" s="232"/>
      <c r="BE12" s="232">
        <v>5.4</v>
      </c>
    </row>
    <row r="13" spans="2:57" x14ac:dyDescent="0.3">
      <c r="B13" s="227" t="s">
        <v>391</v>
      </c>
      <c r="C13" s="236">
        <v>700</v>
      </c>
      <c r="D13" s="236">
        <v>22.2</v>
      </c>
      <c r="E13" s="227"/>
      <c r="F13" s="227"/>
      <c r="G13" s="227">
        <v>700</v>
      </c>
      <c r="H13" s="227">
        <v>22.2</v>
      </c>
      <c r="I13" s="235"/>
      <c r="J13" s="227">
        <v>666960000</v>
      </c>
      <c r="K13" s="227">
        <v>21152160</v>
      </c>
      <c r="L13" s="227"/>
      <c r="M13" s="227"/>
      <c r="N13" s="227">
        <v>366828000.00000006</v>
      </c>
      <c r="O13" s="243">
        <v>11633688</v>
      </c>
      <c r="P13" s="235"/>
      <c r="Q13" s="227">
        <v>740600000</v>
      </c>
      <c r="R13" s="227">
        <v>23487600</v>
      </c>
      <c r="S13" s="227"/>
      <c r="T13" s="227"/>
      <c r="U13" s="243">
        <v>407330000.00000006</v>
      </c>
      <c r="V13" s="243">
        <v>12918180</v>
      </c>
      <c r="W13" s="235"/>
      <c r="X13" s="227">
        <v>673400000</v>
      </c>
      <c r="Y13" s="227">
        <v>21356400</v>
      </c>
      <c r="Z13" s="227"/>
      <c r="AA13" s="227"/>
      <c r="AB13" s="227">
        <v>370370000.00000006</v>
      </c>
      <c r="AC13" s="243">
        <v>11746020</v>
      </c>
      <c r="AD13" s="235"/>
      <c r="AE13" s="227">
        <v>632450000</v>
      </c>
      <c r="AF13" s="227">
        <v>20057700</v>
      </c>
      <c r="AG13" s="227"/>
      <c r="AH13" s="227"/>
      <c r="AI13" s="227">
        <v>347847500.00000006</v>
      </c>
      <c r="AJ13" s="243">
        <v>11031735</v>
      </c>
      <c r="AK13" s="235"/>
      <c r="AL13" s="227">
        <v>632450000</v>
      </c>
      <c r="AM13" s="227">
        <v>20057700</v>
      </c>
      <c r="AN13" s="227"/>
      <c r="AO13" s="227"/>
      <c r="AP13" s="227">
        <v>347847500.00000006</v>
      </c>
      <c r="AQ13" s="227">
        <v>11031735</v>
      </c>
      <c r="AR13" s="235"/>
      <c r="AS13" s="232">
        <v>611800000</v>
      </c>
      <c r="AT13" s="232">
        <v>19402800</v>
      </c>
      <c r="AU13" s="232"/>
      <c r="AV13" s="232"/>
      <c r="AW13" s="232">
        <v>336490000.00000006</v>
      </c>
      <c r="AX13" s="232">
        <v>10671540</v>
      </c>
      <c r="AY13" s="233"/>
      <c r="AZ13" s="232">
        <v>611800000</v>
      </c>
      <c r="BA13" s="232">
        <v>19402800</v>
      </c>
      <c r="BB13" s="232"/>
      <c r="BC13" s="232"/>
      <c r="BD13" s="232">
        <v>336490000.00000006</v>
      </c>
      <c r="BE13" s="232">
        <v>10671540</v>
      </c>
    </row>
    <row r="14" spans="2:57" x14ac:dyDescent="0.3">
      <c r="B14" s="227" t="s">
        <v>390</v>
      </c>
      <c r="C14" s="236">
        <v>484</v>
      </c>
      <c r="D14" s="236">
        <v>9.17</v>
      </c>
      <c r="E14" s="227"/>
      <c r="F14" s="227"/>
      <c r="G14" s="227"/>
      <c r="H14" s="227"/>
      <c r="I14" s="235"/>
      <c r="J14" s="227">
        <v>120969508</v>
      </c>
      <c r="K14" s="227">
        <v>2291922.29</v>
      </c>
      <c r="L14" s="227"/>
      <c r="M14" s="227"/>
      <c r="N14" s="227"/>
      <c r="O14" s="227"/>
      <c r="P14" s="235"/>
      <c r="Q14" s="227">
        <v>96276796</v>
      </c>
      <c r="R14" s="227">
        <v>1824087.23</v>
      </c>
      <c r="S14" s="227"/>
      <c r="T14" s="227"/>
      <c r="U14" s="227"/>
      <c r="V14" s="227"/>
      <c r="W14" s="235"/>
      <c r="X14" s="227">
        <v>102138036</v>
      </c>
      <c r="Y14" s="227">
        <v>1935135.93</v>
      </c>
      <c r="Z14" s="227"/>
      <c r="AA14" s="227"/>
      <c r="AB14" s="227"/>
      <c r="AC14" s="227"/>
      <c r="AD14" s="235"/>
      <c r="AE14" s="227">
        <v>103627788</v>
      </c>
      <c r="AF14" s="227">
        <v>1963361.19</v>
      </c>
      <c r="AG14" s="227"/>
      <c r="AH14" s="227"/>
      <c r="AI14" s="227"/>
      <c r="AJ14" s="227"/>
      <c r="AK14" s="235"/>
      <c r="AL14" s="227">
        <v>103627788</v>
      </c>
      <c r="AM14" s="227">
        <v>1963361.19</v>
      </c>
      <c r="AN14" s="227"/>
      <c r="AO14" s="227"/>
      <c r="AP14" s="227"/>
      <c r="AQ14" s="227"/>
      <c r="AR14" s="235"/>
      <c r="AS14" s="232">
        <v>152460000</v>
      </c>
      <c r="AT14" s="232">
        <v>2888550</v>
      </c>
      <c r="AU14" s="232"/>
      <c r="AV14" s="232"/>
      <c r="AW14" s="232"/>
      <c r="AX14" s="232"/>
      <c r="AY14" s="233"/>
      <c r="AZ14" s="232">
        <v>152460000</v>
      </c>
      <c r="BA14" s="232">
        <v>2888550</v>
      </c>
      <c r="BB14" s="232"/>
      <c r="BC14" s="232"/>
      <c r="BD14" s="232"/>
      <c r="BE14" s="232"/>
    </row>
    <row r="15" spans="2:57" x14ac:dyDescent="0.3">
      <c r="B15" s="227" t="s">
        <v>389</v>
      </c>
      <c r="C15" s="236">
        <v>434</v>
      </c>
      <c r="D15" s="236">
        <v>8.9700000000000006</v>
      </c>
      <c r="E15" s="227"/>
      <c r="F15" s="227"/>
      <c r="G15" s="227"/>
      <c r="H15" s="227"/>
      <c r="I15" s="235"/>
      <c r="J15" s="227">
        <v>413515200</v>
      </c>
      <c r="K15" s="227">
        <v>8546616</v>
      </c>
      <c r="L15" s="227"/>
      <c r="M15" s="227"/>
      <c r="N15" s="227"/>
      <c r="O15" s="227"/>
      <c r="P15" s="235"/>
      <c r="Q15" s="227">
        <v>459172000</v>
      </c>
      <c r="R15" s="227">
        <v>9490260</v>
      </c>
      <c r="S15" s="227"/>
      <c r="T15" s="227"/>
      <c r="U15" s="227"/>
      <c r="V15" s="227"/>
      <c r="W15" s="235"/>
      <c r="X15" s="227">
        <v>417508000</v>
      </c>
      <c r="Y15" s="227">
        <v>8629140</v>
      </c>
      <c r="Z15" s="227"/>
      <c r="AA15" s="227"/>
      <c r="AB15" s="227"/>
      <c r="AC15" s="227"/>
      <c r="AD15" s="235"/>
      <c r="AE15" s="227">
        <v>392119000</v>
      </c>
      <c r="AF15" s="227">
        <v>8104395.0000000009</v>
      </c>
      <c r="AG15" s="227"/>
      <c r="AH15" s="227"/>
      <c r="AI15" s="227"/>
      <c r="AJ15" s="227"/>
      <c r="AK15" s="235"/>
      <c r="AL15" s="227">
        <v>392119000</v>
      </c>
      <c r="AM15" s="227">
        <v>8104395.0000000009</v>
      </c>
      <c r="AN15" s="227"/>
      <c r="AO15" s="227"/>
      <c r="AP15" s="227"/>
      <c r="AQ15" s="227"/>
      <c r="AR15" s="235"/>
      <c r="AS15" s="232">
        <v>379316000</v>
      </c>
      <c r="AT15" s="232">
        <v>7839780.0000000009</v>
      </c>
      <c r="AU15" s="232"/>
      <c r="AV15" s="232"/>
      <c r="AW15" s="232"/>
      <c r="AX15" s="232"/>
      <c r="AY15" s="233"/>
      <c r="AZ15" s="232">
        <v>379316000</v>
      </c>
      <c r="BA15" s="232">
        <v>7839780.0000000009</v>
      </c>
      <c r="BB15" s="232"/>
      <c r="BC15" s="232"/>
      <c r="BD15" s="232"/>
      <c r="BE15" s="232"/>
    </row>
    <row r="16" spans="2:57" x14ac:dyDescent="0.3">
      <c r="B16" s="227" t="s">
        <v>388</v>
      </c>
      <c r="C16" s="236">
        <v>330</v>
      </c>
      <c r="D16" s="242">
        <v>3.2666666666666671</v>
      </c>
      <c r="E16" s="227"/>
      <c r="F16" s="227"/>
      <c r="G16" s="227"/>
      <c r="H16" s="227"/>
      <c r="I16" s="235"/>
      <c r="J16" s="227"/>
      <c r="K16" s="227"/>
      <c r="L16" s="227"/>
      <c r="M16" s="227"/>
      <c r="N16" s="227"/>
      <c r="O16" s="227"/>
      <c r="P16" s="235"/>
      <c r="Q16" s="227"/>
      <c r="R16" s="227"/>
      <c r="S16" s="227"/>
      <c r="T16" s="227"/>
      <c r="U16" s="227"/>
      <c r="V16" s="227"/>
      <c r="W16" s="235"/>
      <c r="X16" s="227"/>
      <c r="Y16" s="227"/>
      <c r="Z16" s="227"/>
      <c r="AA16" s="227"/>
      <c r="AB16" s="227"/>
      <c r="AC16" s="227"/>
      <c r="AD16" s="235"/>
      <c r="AE16" s="227"/>
      <c r="AF16" s="227"/>
      <c r="AG16" s="227"/>
      <c r="AH16" s="227"/>
      <c r="AI16" s="227"/>
      <c r="AJ16" s="227"/>
      <c r="AK16" s="235"/>
      <c r="AL16" s="227"/>
      <c r="AM16" s="227"/>
      <c r="AN16" s="227"/>
      <c r="AO16" s="227"/>
      <c r="AP16" s="227"/>
      <c r="AQ16" s="227"/>
      <c r="AR16" s="235"/>
      <c r="AS16" s="232"/>
      <c r="AT16" s="232"/>
      <c r="AU16" s="232"/>
      <c r="AV16" s="232"/>
      <c r="AW16" s="232"/>
      <c r="AX16" s="232"/>
      <c r="AY16" s="233"/>
      <c r="AZ16" s="232"/>
      <c r="BA16" s="232"/>
      <c r="BB16" s="232"/>
      <c r="BC16" s="232"/>
      <c r="BD16" s="232"/>
      <c r="BE16" s="232"/>
    </row>
    <row r="17" spans="2:57" x14ac:dyDescent="0.3">
      <c r="B17" s="237" t="s">
        <v>387</v>
      </c>
      <c r="C17" s="236">
        <v>330</v>
      </c>
      <c r="D17" s="236">
        <v>3.2</v>
      </c>
      <c r="E17" s="227"/>
      <c r="F17" s="227"/>
      <c r="G17" s="227"/>
      <c r="H17" s="227"/>
      <c r="I17" s="235"/>
      <c r="J17" s="239">
        <v>36623893.73306071</v>
      </c>
      <c r="K17" s="239">
        <v>355140.78771452815</v>
      </c>
      <c r="L17" s="227"/>
      <c r="M17" s="227"/>
      <c r="N17" s="227"/>
      <c r="O17" s="227"/>
      <c r="P17" s="235"/>
      <c r="Q17" s="239">
        <v>35745366.09976805</v>
      </c>
      <c r="R17" s="239">
        <v>346621.73187653872</v>
      </c>
      <c r="S17" s="227"/>
      <c r="T17" s="227"/>
      <c r="U17" s="227"/>
      <c r="V17" s="227"/>
      <c r="W17" s="235"/>
      <c r="X17" s="239">
        <v>36238514.417746775</v>
      </c>
      <c r="Y17" s="239">
        <v>351403.77617208997</v>
      </c>
      <c r="Z17" s="227"/>
      <c r="AA17" s="227"/>
      <c r="AB17" s="227"/>
      <c r="AC17" s="227"/>
      <c r="AD17" s="235"/>
      <c r="AE17" s="239">
        <v>43686288.191547118</v>
      </c>
      <c r="AF17" s="239">
        <v>423624.61276651756</v>
      </c>
      <c r="AG17" s="227"/>
      <c r="AH17" s="227"/>
      <c r="AI17" s="227"/>
      <c r="AJ17" s="227"/>
      <c r="AK17" s="235"/>
      <c r="AL17" s="239">
        <v>48176172.751233667</v>
      </c>
      <c r="AM17" s="239">
        <v>543265.90232693125</v>
      </c>
      <c r="AN17" s="227"/>
      <c r="AO17" s="227"/>
      <c r="AP17" s="227"/>
      <c r="AQ17" s="227"/>
      <c r="AR17" s="235"/>
      <c r="AS17" s="232">
        <v>40620256.386600003</v>
      </c>
      <c r="AT17" s="232">
        <v>393893.39526400005</v>
      </c>
      <c r="AU17" s="232"/>
      <c r="AV17" s="232"/>
      <c r="AW17" s="232"/>
      <c r="AX17" s="232"/>
      <c r="AY17" s="233"/>
      <c r="AZ17" s="232">
        <v>30778704</v>
      </c>
      <c r="BA17" s="232">
        <v>298460.16000000003</v>
      </c>
      <c r="BB17" s="232"/>
      <c r="BC17" s="232"/>
      <c r="BD17" s="232"/>
      <c r="BE17" s="232"/>
    </row>
    <row r="18" spans="2:57" x14ac:dyDescent="0.3">
      <c r="B18" s="237" t="s">
        <v>386</v>
      </c>
      <c r="C18" s="236">
        <v>330</v>
      </c>
      <c r="D18" s="236">
        <v>3.4000000000000004</v>
      </c>
      <c r="E18" s="227"/>
      <c r="F18" s="227"/>
      <c r="G18" s="227"/>
      <c r="H18" s="227"/>
      <c r="I18" s="235"/>
      <c r="J18" s="227">
        <v>42983977.944838405</v>
      </c>
      <c r="K18" s="227">
        <v>442865.22731045634</v>
      </c>
      <c r="L18" s="227"/>
      <c r="M18" s="227"/>
      <c r="N18" s="227"/>
      <c r="O18" s="227"/>
      <c r="P18" s="235"/>
      <c r="Q18" s="227">
        <v>37043891.533907093</v>
      </c>
      <c r="R18" s="227">
        <v>381664.33701601258</v>
      </c>
      <c r="S18" s="227"/>
      <c r="T18" s="227"/>
      <c r="U18" s="227"/>
      <c r="V18" s="227"/>
      <c r="W18" s="235"/>
      <c r="X18" s="227">
        <v>62613714.284221239</v>
      </c>
      <c r="Y18" s="227">
        <v>645110.9956556129</v>
      </c>
      <c r="Z18" s="227"/>
      <c r="AA18" s="227"/>
      <c r="AB18" s="227"/>
      <c r="AC18" s="227"/>
      <c r="AD18" s="235"/>
      <c r="AE18" s="227">
        <v>70651170.641002491</v>
      </c>
      <c r="AF18" s="227">
        <v>727921.15205881349</v>
      </c>
      <c r="AG18" s="227"/>
      <c r="AH18" s="227"/>
      <c r="AI18" s="227"/>
      <c r="AJ18" s="227"/>
      <c r="AK18" s="235"/>
      <c r="AL18" s="227">
        <v>56024296.177464783</v>
      </c>
      <c r="AM18" s="227">
        <v>577220.02122236451</v>
      </c>
      <c r="AN18" s="227"/>
      <c r="AO18" s="227"/>
      <c r="AP18" s="227"/>
      <c r="AQ18" s="227"/>
      <c r="AR18" s="235"/>
      <c r="AS18" s="232">
        <v>67855756.683891013</v>
      </c>
      <c r="AT18" s="232">
        <v>699119.91734918021</v>
      </c>
      <c r="AU18" s="232"/>
      <c r="AV18" s="232"/>
      <c r="AW18" s="232"/>
      <c r="AX18" s="232"/>
      <c r="AY18" s="233"/>
      <c r="AZ18" s="232">
        <v>61557408.000000007</v>
      </c>
      <c r="BA18" s="232">
        <v>634227.84000000008</v>
      </c>
      <c r="BB18" s="232"/>
      <c r="BC18" s="232"/>
      <c r="BD18" s="232"/>
      <c r="BE18" s="232"/>
    </row>
    <row r="19" spans="2:57" x14ac:dyDescent="0.3">
      <c r="B19" s="237" t="s">
        <v>385</v>
      </c>
      <c r="C19" s="236">
        <v>330</v>
      </c>
      <c r="D19" s="236">
        <v>3.2</v>
      </c>
      <c r="E19" s="227"/>
      <c r="F19" s="227"/>
      <c r="G19" s="227"/>
      <c r="H19" s="227"/>
      <c r="I19" s="235"/>
      <c r="J19" s="227">
        <v>32454311.777053788</v>
      </c>
      <c r="K19" s="227">
        <v>314708.47783809731</v>
      </c>
      <c r="L19" s="227"/>
      <c r="M19" s="227"/>
      <c r="N19" s="227"/>
      <c r="O19" s="227"/>
      <c r="P19" s="235"/>
      <c r="Q19" s="227">
        <v>33929055.680251405</v>
      </c>
      <c r="R19" s="227">
        <v>329009.02477819548</v>
      </c>
      <c r="S19" s="227"/>
      <c r="T19" s="227"/>
      <c r="U19" s="227"/>
      <c r="V19" s="227"/>
      <c r="W19" s="235"/>
      <c r="X19" s="227">
        <v>25769864.199022427</v>
      </c>
      <c r="Y19" s="227">
        <v>249889.59223294476</v>
      </c>
      <c r="Z19" s="227"/>
      <c r="AA19" s="227"/>
      <c r="AB19" s="227"/>
      <c r="AC19" s="227"/>
      <c r="AD19" s="235"/>
      <c r="AE19" s="227">
        <v>39870291.412614562</v>
      </c>
      <c r="AF19" s="227">
        <v>386621.00763747451</v>
      </c>
      <c r="AG19" s="227"/>
      <c r="AH19" s="227"/>
      <c r="AI19" s="227"/>
      <c r="AJ19" s="227"/>
      <c r="AK19" s="235"/>
      <c r="AL19" s="227">
        <v>37565899.210604385</v>
      </c>
      <c r="AM19" s="227">
        <v>364275.38628464862</v>
      </c>
      <c r="AN19" s="227"/>
      <c r="AO19" s="227"/>
      <c r="AP19" s="227"/>
      <c r="AQ19" s="227"/>
      <c r="AR19" s="235"/>
      <c r="AS19" s="232">
        <v>19377303.933900002</v>
      </c>
      <c r="AT19" s="232">
        <v>187901.12905600003</v>
      </c>
      <c r="AU19" s="232"/>
      <c r="AV19" s="232"/>
      <c r="AW19" s="232"/>
      <c r="AX19" s="232"/>
      <c r="AY19" s="233"/>
      <c r="AZ19" s="232">
        <v>19236690</v>
      </c>
      <c r="BA19" s="232">
        <v>186537.60000000003</v>
      </c>
      <c r="BB19" s="232"/>
      <c r="BC19" s="232"/>
      <c r="BD19" s="232"/>
      <c r="BE19" s="232"/>
    </row>
    <row r="20" spans="2:57" x14ac:dyDescent="0.3">
      <c r="B20" s="237"/>
      <c r="C20" s="236"/>
      <c r="D20" s="236"/>
      <c r="E20" s="227"/>
      <c r="F20" s="227"/>
      <c r="G20" s="227"/>
      <c r="H20" s="227"/>
      <c r="I20" s="235"/>
      <c r="J20" s="227"/>
      <c r="K20" s="227"/>
      <c r="L20" s="227"/>
      <c r="M20" s="227"/>
      <c r="N20" s="227"/>
      <c r="O20" s="227"/>
      <c r="P20" s="235"/>
      <c r="Q20" s="227"/>
      <c r="R20" s="227"/>
      <c r="S20" s="227"/>
      <c r="T20" s="227"/>
      <c r="U20" s="227"/>
      <c r="V20" s="227"/>
      <c r="W20" s="235"/>
      <c r="X20" s="227"/>
      <c r="Y20" s="227"/>
      <c r="Z20" s="227"/>
      <c r="AA20" s="227"/>
      <c r="AB20" s="227"/>
      <c r="AC20" s="227"/>
      <c r="AD20" s="235"/>
      <c r="AE20" s="227"/>
      <c r="AF20" s="227"/>
      <c r="AG20" s="227"/>
      <c r="AH20" s="227"/>
      <c r="AI20" s="227"/>
      <c r="AJ20" s="227"/>
      <c r="AK20" s="235"/>
      <c r="AL20" s="227"/>
      <c r="AM20" s="227"/>
      <c r="AN20" s="227"/>
      <c r="AO20" s="227"/>
      <c r="AP20" s="227"/>
      <c r="AQ20" s="227"/>
      <c r="AR20" s="235"/>
      <c r="AS20" s="232"/>
      <c r="AT20" s="232"/>
      <c r="AU20" s="232"/>
      <c r="AV20" s="232"/>
      <c r="AW20" s="232"/>
      <c r="AX20" s="232"/>
      <c r="AY20" s="233"/>
      <c r="AZ20" s="232"/>
      <c r="BA20" s="232"/>
      <c r="BB20" s="232"/>
      <c r="BC20" s="232"/>
      <c r="BD20" s="232"/>
      <c r="BE20" s="232"/>
    </row>
    <row r="21" spans="2:57" x14ac:dyDescent="0.3">
      <c r="B21" s="227" t="s">
        <v>384</v>
      </c>
      <c r="C21" s="238">
        <v>186.66666666666666</v>
      </c>
      <c r="D21" s="238">
        <v>0.14333333333333334</v>
      </c>
      <c r="E21" s="227"/>
      <c r="F21" s="227"/>
      <c r="G21" s="227"/>
      <c r="H21" s="227"/>
      <c r="I21" s="235"/>
      <c r="J21" s="227">
        <v>145951078.41061297</v>
      </c>
      <c r="K21" s="227">
        <v>112069.57806529211</v>
      </c>
      <c r="L21" s="227"/>
      <c r="M21" s="227"/>
      <c r="N21" s="227"/>
      <c r="O21" s="227"/>
      <c r="P21" s="235"/>
      <c r="Q21" s="227">
        <v>135100831.22589609</v>
      </c>
      <c r="R21" s="227">
        <v>103738.13826274168</v>
      </c>
      <c r="S21" s="227"/>
      <c r="T21" s="227"/>
      <c r="U21" s="227"/>
      <c r="V21" s="227"/>
      <c r="W21" s="235"/>
      <c r="X21" s="227">
        <v>150398694.92469227</v>
      </c>
      <c r="Y21" s="227">
        <v>115484.71217431728</v>
      </c>
      <c r="Z21" s="227"/>
      <c r="AA21" s="227"/>
      <c r="AB21" s="227"/>
      <c r="AC21" s="227"/>
      <c r="AD21" s="235"/>
      <c r="AE21" s="227">
        <v>173713802.10536164</v>
      </c>
      <c r="AF21" s="227">
        <v>133387.38375947415</v>
      </c>
      <c r="AG21" s="227"/>
      <c r="AH21" s="227"/>
      <c r="AI21" s="227"/>
      <c r="AJ21" s="227"/>
      <c r="AK21" s="235"/>
      <c r="AL21" s="227">
        <v>158287383.84861517</v>
      </c>
      <c r="AM21" s="227">
        <v>121542.09831232952</v>
      </c>
      <c r="AN21" s="227"/>
      <c r="AO21" s="227"/>
      <c r="AP21" s="227"/>
      <c r="AQ21" s="227"/>
      <c r="AR21" s="235"/>
      <c r="AS21" s="232">
        <v>167651390.31200001</v>
      </c>
      <c r="AT21" s="232">
        <v>128732.317561</v>
      </c>
      <c r="AU21" s="232"/>
      <c r="AV21" s="232"/>
      <c r="AW21" s="232"/>
      <c r="AX21" s="232"/>
      <c r="AY21" s="233"/>
      <c r="AZ21" s="232">
        <v>154515312</v>
      </c>
      <c r="BA21" s="232">
        <v>118645.686</v>
      </c>
      <c r="BB21" s="232"/>
      <c r="BC21" s="232"/>
      <c r="BD21" s="232"/>
      <c r="BE21" s="232"/>
    </row>
    <row r="22" spans="2:57" x14ac:dyDescent="0.3">
      <c r="B22" s="237" t="s">
        <v>383</v>
      </c>
      <c r="C22" s="236">
        <v>180</v>
      </c>
      <c r="D22" s="236">
        <v>0.06</v>
      </c>
      <c r="E22" s="227"/>
      <c r="F22" s="227"/>
      <c r="G22" s="227"/>
      <c r="H22" s="227"/>
      <c r="I22" s="235"/>
      <c r="J22" s="227"/>
      <c r="K22" s="227"/>
      <c r="L22" s="227"/>
      <c r="M22" s="227"/>
      <c r="N22" s="227"/>
      <c r="O22" s="227"/>
      <c r="P22" s="235"/>
      <c r="Q22" s="227"/>
      <c r="R22" s="227"/>
      <c r="S22" s="227"/>
      <c r="T22" s="227"/>
      <c r="U22" s="227"/>
      <c r="V22" s="227"/>
      <c r="W22" s="235"/>
      <c r="X22" s="227"/>
      <c r="Y22" s="227"/>
      <c r="Z22" s="227"/>
      <c r="AA22" s="227"/>
      <c r="AB22" s="227"/>
      <c r="AC22" s="227"/>
      <c r="AD22" s="235"/>
      <c r="AE22" s="227"/>
      <c r="AF22" s="227"/>
      <c r="AG22" s="227"/>
      <c r="AH22" s="227"/>
      <c r="AI22" s="227"/>
      <c r="AJ22" s="227"/>
      <c r="AK22" s="235"/>
      <c r="AL22" s="227"/>
      <c r="AM22" s="227"/>
      <c r="AN22" s="227"/>
      <c r="AO22" s="227"/>
      <c r="AP22" s="227"/>
      <c r="AQ22" s="227"/>
      <c r="AR22" s="235"/>
      <c r="AS22" s="232"/>
      <c r="AT22" s="232"/>
      <c r="AU22" s="232"/>
      <c r="AV22" s="232"/>
      <c r="AW22" s="232"/>
      <c r="AX22" s="232"/>
      <c r="AY22" s="233"/>
      <c r="AZ22" s="232"/>
      <c r="BA22" s="232"/>
      <c r="BB22" s="232"/>
      <c r="BC22" s="232"/>
      <c r="BD22" s="232"/>
      <c r="BE22" s="232"/>
    </row>
    <row r="23" spans="2:57" x14ac:dyDescent="0.3">
      <c r="B23" s="237" t="s">
        <v>382</v>
      </c>
      <c r="C23" s="236">
        <v>200</v>
      </c>
      <c r="D23" s="236">
        <v>0.02</v>
      </c>
      <c r="E23" s="227"/>
      <c r="F23" s="227"/>
      <c r="G23" s="227"/>
      <c r="H23" s="227"/>
      <c r="I23" s="235"/>
      <c r="J23" s="227"/>
      <c r="K23" s="227"/>
      <c r="L23" s="227"/>
      <c r="M23" s="227"/>
      <c r="N23" s="227"/>
      <c r="O23" s="227"/>
      <c r="P23" s="235"/>
      <c r="Q23" s="227"/>
      <c r="R23" s="227"/>
      <c r="S23" s="227"/>
      <c r="T23" s="227"/>
      <c r="U23" s="227"/>
      <c r="V23" s="227"/>
      <c r="W23" s="235"/>
      <c r="X23" s="227"/>
      <c r="Y23" s="227"/>
      <c r="Z23" s="227"/>
      <c r="AA23" s="227"/>
      <c r="AB23" s="227"/>
      <c r="AC23" s="227"/>
      <c r="AD23" s="235"/>
      <c r="AE23" s="227"/>
      <c r="AF23" s="227"/>
      <c r="AG23" s="227"/>
      <c r="AH23" s="227"/>
      <c r="AI23" s="227"/>
      <c r="AJ23" s="227"/>
      <c r="AK23" s="235"/>
      <c r="AL23" s="227"/>
      <c r="AM23" s="227"/>
      <c r="AN23" s="227"/>
      <c r="AO23" s="227"/>
      <c r="AP23" s="227"/>
      <c r="AQ23" s="227"/>
      <c r="AR23" s="235"/>
      <c r="AS23" s="232"/>
      <c r="AT23" s="232"/>
      <c r="AU23" s="232"/>
      <c r="AV23" s="232"/>
      <c r="AW23" s="232"/>
      <c r="AX23" s="232"/>
      <c r="AY23" s="233"/>
      <c r="AZ23" s="232"/>
      <c r="BA23" s="232"/>
      <c r="BB23" s="232"/>
      <c r="BC23" s="232"/>
      <c r="BD23" s="232"/>
      <c r="BE23" s="232"/>
    </row>
    <row r="24" spans="2:57" x14ac:dyDescent="0.3">
      <c r="B24" s="237" t="s">
        <v>381</v>
      </c>
      <c r="C24" s="236">
        <v>180</v>
      </c>
      <c r="D24" s="241">
        <v>0.35</v>
      </c>
      <c r="E24" s="227"/>
      <c r="F24" s="227"/>
      <c r="G24" s="239"/>
      <c r="H24" s="227"/>
      <c r="I24" s="235"/>
      <c r="J24" s="227"/>
      <c r="K24" s="227"/>
      <c r="L24" s="227"/>
      <c r="M24" s="227"/>
      <c r="N24" s="227"/>
      <c r="O24" s="227"/>
      <c r="P24" s="235"/>
      <c r="Q24" s="227"/>
      <c r="R24" s="227"/>
      <c r="S24" s="227"/>
      <c r="T24" s="227"/>
      <c r="U24" s="227"/>
      <c r="V24" s="227"/>
      <c r="W24" s="235"/>
      <c r="X24" s="227"/>
      <c r="Y24" s="227"/>
      <c r="Z24" s="227"/>
      <c r="AA24" s="227"/>
      <c r="AB24" s="227"/>
      <c r="AC24" s="227"/>
      <c r="AD24" s="235"/>
      <c r="AE24" s="227"/>
      <c r="AF24" s="227"/>
      <c r="AG24" s="227"/>
      <c r="AH24" s="227"/>
      <c r="AI24" s="227"/>
      <c r="AJ24" s="227"/>
      <c r="AK24" s="235"/>
      <c r="AL24" s="227"/>
      <c r="AM24" s="227"/>
      <c r="AN24" s="227"/>
      <c r="AO24" s="227"/>
      <c r="AP24" s="227"/>
      <c r="AQ24" s="227"/>
      <c r="AR24" s="235"/>
      <c r="AS24" s="232"/>
      <c r="AT24" s="232"/>
      <c r="AU24" s="232"/>
      <c r="AV24" s="232"/>
      <c r="AW24" s="232"/>
      <c r="AX24" s="232"/>
      <c r="AY24" s="233"/>
      <c r="AZ24" s="232"/>
      <c r="BA24" s="232"/>
      <c r="BB24" s="232"/>
      <c r="BC24" s="232"/>
      <c r="BD24" s="232"/>
      <c r="BE24" s="232"/>
    </row>
    <row r="25" spans="2:57" x14ac:dyDescent="0.3">
      <c r="B25" s="237"/>
      <c r="C25" s="236"/>
      <c r="D25" s="241"/>
      <c r="E25" s="227"/>
      <c r="F25" s="227"/>
      <c r="G25" s="227"/>
      <c r="H25" s="227"/>
      <c r="I25" s="235"/>
      <c r="J25" s="227"/>
      <c r="K25" s="227"/>
      <c r="L25" s="227"/>
      <c r="M25" s="227"/>
      <c r="N25" s="227"/>
      <c r="O25" s="227"/>
      <c r="P25" s="235"/>
      <c r="Q25" s="227"/>
      <c r="R25" s="227"/>
      <c r="S25" s="227"/>
      <c r="T25" s="227"/>
      <c r="U25" s="227"/>
      <c r="V25" s="227"/>
      <c r="W25" s="235"/>
      <c r="X25" s="227"/>
      <c r="Y25" s="227"/>
      <c r="Z25" s="227"/>
      <c r="AA25" s="227"/>
      <c r="AB25" s="227"/>
      <c r="AC25" s="227"/>
      <c r="AD25" s="235"/>
      <c r="AE25" s="227"/>
      <c r="AF25" s="227"/>
      <c r="AG25" s="227"/>
      <c r="AH25" s="227"/>
      <c r="AI25" s="227"/>
      <c r="AJ25" s="227"/>
      <c r="AK25" s="235"/>
      <c r="AL25" s="227"/>
      <c r="AM25" s="227"/>
      <c r="AN25" s="227"/>
      <c r="AO25" s="227"/>
      <c r="AP25" s="227"/>
      <c r="AQ25" s="227"/>
      <c r="AR25" s="235"/>
      <c r="AS25" s="232"/>
      <c r="AT25" s="232"/>
      <c r="AU25" s="232"/>
      <c r="AV25" s="232"/>
      <c r="AW25" s="232"/>
      <c r="AX25" s="232"/>
      <c r="AY25" s="233"/>
      <c r="AZ25" s="232"/>
      <c r="BA25" s="232"/>
      <c r="BB25" s="232"/>
      <c r="BC25" s="232"/>
      <c r="BD25" s="232"/>
      <c r="BE25" s="232"/>
    </row>
    <row r="26" spans="2:57" x14ac:dyDescent="0.3">
      <c r="B26" s="227" t="s">
        <v>380</v>
      </c>
      <c r="C26" s="236">
        <v>375</v>
      </c>
      <c r="D26" s="236">
        <v>0.6</v>
      </c>
      <c r="E26" s="227"/>
      <c r="F26" s="227"/>
      <c r="G26" s="227"/>
      <c r="H26" s="227"/>
      <c r="I26" s="235"/>
      <c r="J26" s="227" t="s">
        <v>313</v>
      </c>
      <c r="K26" s="227"/>
      <c r="L26" s="227"/>
      <c r="M26" s="227"/>
      <c r="N26" s="227"/>
      <c r="O26" s="227"/>
      <c r="P26" s="235"/>
      <c r="Q26" s="227" t="s">
        <v>313</v>
      </c>
      <c r="R26" s="227"/>
      <c r="S26" s="227"/>
      <c r="T26" s="227"/>
      <c r="U26" s="227"/>
      <c r="V26" s="227"/>
      <c r="W26" s="235"/>
      <c r="X26" s="227" t="s">
        <v>313</v>
      </c>
      <c r="Y26" s="227"/>
      <c r="Z26" s="227"/>
      <c r="AA26" s="227"/>
      <c r="AB26" s="227"/>
      <c r="AC26" s="227"/>
      <c r="AD26" s="235"/>
      <c r="AE26" s="227" t="s">
        <v>313</v>
      </c>
      <c r="AF26" s="227"/>
      <c r="AG26" s="227"/>
      <c r="AH26" s="227"/>
      <c r="AI26" s="227"/>
      <c r="AJ26" s="227"/>
      <c r="AK26" s="235"/>
      <c r="AL26" s="227" t="s">
        <v>313</v>
      </c>
      <c r="AM26" s="227"/>
      <c r="AN26" s="227"/>
      <c r="AO26" s="227"/>
      <c r="AP26" s="227"/>
      <c r="AQ26" s="227"/>
      <c r="AR26" s="235"/>
      <c r="AS26" s="232" t="s">
        <v>313</v>
      </c>
      <c r="AT26" s="232"/>
      <c r="AU26" s="232"/>
      <c r="AV26" s="232"/>
      <c r="AW26" s="232"/>
      <c r="AX26" s="232"/>
      <c r="AY26" s="233"/>
      <c r="AZ26" s="232" t="s">
        <v>313</v>
      </c>
      <c r="BA26" s="232"/>
      <c r="BB26" s="232"/>
      <c r="BC26" s="232"/>
      <c r="BD26" s="232"/>
      <c r="BE26" s="232"/>
    </row>
    <row r="27" spans="2:57" x14ac:dyDescent="0.3">
      <c r="B27" s="227"/>
      <c r="C27" s="236"/>
      <c r="D27" s="236"/>
      <c r="E27" s="227"/>
      <c r="F27" s="227"/>
      <c r="G27" s="227"/>
      <c r="H27" s="227"/>
      <c r="I27" s="235"/>
      <c r="J27" s="227"/>
      <c r="K27" s="227"/>
      <c r="L27" s="227"/>
      <c r="M27" s="227"/>
      <c r="N27" s="227"/>
      <c r="O27" s="227"/>
      <c r="P27" s="235"/>
      <c r="Q27" s="227"/>
      <c r="R27" s="227"/>
      <c r="S27" s="227"/>
      <c r="T27" s="227"/>
      <c r="U27" s="227"/>
      <c r="V27" s="227"/>
      <c r="W27" s="235"/>
      <c r="X27" s="227"/>
      <c r="Y27" s="227"/>
      <c r="Z27" s="227"/>
      <c r="AA27" s="227"/>
      <c r="AB27" s="227"/>
      <c r="AC27" s="227"/>
      <c r="AD27" s="235"/>
      <c r="AE27" s="227"/>
      <c r="AF27" s="227"/>
      <c r="AG27" s="227"/>
      <c r="AH27" s="227"/>
      <c r="AI27" s="227"/>
      <c r="AJ27" s="227"/>
      <c r="AK27" s="235"/>
      <c r="AL27" s="227"/>
      <c r="AM27" s="227"/>
      <c r="AN27" s="227"/>
      <c r="AO27" s="227"/>
      <c r="AP27" s="227"/>
      <c r="AQ27" s="227"/>
      <c r="AR27" s="235"/>
      <c r="AS27" s="232"/>
      <c r="AT27" s="232"/>
      <c r="AU27" s="232"/>
      <c r="AV27" s="232"/>
      <c r="AW27" s="232"/>
      <c r="AX27" s="232"/>
      <c r="AY27" s="233"/>
      <c r="AZ27" s="232"/>
      <c r="BA27" s="232"/>
      <c r="BB27" s="232"/>
      <c r="BC27" s="232"/>
      <c r="BD27" s="232"/>
      <c r="BE27" s="232"/>
    </row>
    <row r="28" spans="2:57" x14ac:dyDescent="0.3">
      <c r="B28" s="228" t="s">
        <v>379</v>
      </c>
      <c r="C28" s="236"/>
      <c r="D28" s="236"/>
      <c r="E28" s="227"/>
      <c r="F28" s="227"/>
      <c r="G28" s="227"/>
      <c r="H28" s="227"/>
      <c r="I28" s="235"/>
      <c r="J28" s="227"/>
      <c r="K28" s="227"/>
      <c r="L28" s="227"/>
      <c r="M28" s="227"/>
      <c r="N28" s="227"/>
      <c r="O28" s="227"/>
      <c r="P28" s="235"/>
      <c r="Q28" s="227"/>
      <c r="R28" s="227"/>
      <c r="S28" s="227"/>
      <c r="T28" s="227"/>
      <c r="U28" s="227"/>
      <c r="V28" s="227"/>
      <c r="W28" s="235"/>
      <c r="X28" s="227"/>
      <c r="Y28" s="227"/>
      <c r="Z28" s="227"/>
      <c r="AA28" s="227"/>
      <c r="AB28" s="227"/>
      <c r="AC28" s="227"/>
      <c r="AD28" s="235"/>
      <c r="AE28" s="227"/>
      <c r="AF28" s="227"/>
      <c r="AG28" s="227"/>
      <c r="AH28" s="227"/>
      <c r="AI28" s="227"/>
      <c r="AJ28" s="227"/>
      <c r="AK28" s="235"/>
      <c r="AL28" s="227"/>
      <c r="AM28" s="227"/>
      <c r="AN28" s="227"/>
      <c r="AO28" s="227"/>
      <c r="AP28" s="227"/>
      <c r="AQ28" s="227"/>
      <c r="AR28" s="235"/>
      <c r="AS28" s="232"/>
      <c r="AT28" s="232"/>
      <c r="AU28" s="232"/>
      <c r="AV28" s="232"/>
      <c r="AW28" s="232"/>
      <c r="AX28" s="232"/>
      <c r="AY28" s="233"/>
      <c r="AZ28" s="232"/>
      <c r="BA28" s="232"/>
      <c r="BB28" s="232"/>
      <c r="BC28" s="232"/>
      <c r="BD28" s="232"/>
      <c r="BE28" s="232"/>
    </row>
    <row r="29" spans="2:57" x14ac:dyDescent="0.3">
      <c r="B29" s="227" t="s">
        <v>46</v>
      </c>
      <c r="C29" s="238">
        <v>558.4</v>
      </c>
      <c r="D29" s="240">
        <v>4.88</v>
      </c>
      <c r="E29" s="227"/>
      <c r="F29" s="227"/>
      <c r="G29" s="227"/>
      <c r="H29" s="227"/>
      <c r="I29" s="235"/>
      <c r="J29" s="227"/>
      <c r="K29" s="227"/>
      <c r="L29" s="227"/>
      <c r="M29" s="227"/>
      <c r="N29" s="227"/>
      <c r="O29" s="227"/>
      <c r="P29" s="235"/>
      <c r="Q29" s="227"/>
      <c r="R29" s="227"/>
      <c r="S29" s="227"/>
      <c r="T29" s="227"/>
      <c r="U29" s="227"/>
      <c r="V29" s="227"/>
      <c r="W29" s="235"/>
      <c r="X29" s="227"/>
      <c r="Y29" s="227"/>
      <c r="Z29" s="227"/>
      <c r="AA29" s="227"/>
      <c r="AB29" s="227"/>
      <c r="AC29" s="227"/>
      <c r="AD29" s="235"/>
      <c r="AE29" s="227"/>
      <c r="AF29" s="227"/>
      <c r="AG29" s="227"/>
      <c r="AH29" s="227"/>
      <c r="AI29" s="227"/>
      <c r="AJ29" s="227"/>
      <c r="AK29" s="235"/>
      <c r="AL29" s="227"/>
      <c r="AM29" s="227"/>
      <c r="AN29" s="227"/>
      <c r="AO29" s="227"/>
      <c r="AP29" s="227"/>
      <c r="AQ29" s="227"/>
      <c r="AR29" s="235"/>
      <c r="AS29" s="232"/>
      <c r="AT29" s="232"/>
      <c r="AU29" s="232"/>
      <c r="AV29" s="232"/>
      <c r="AW29" s="232"/>
      <c r="AX29" s="232"/>
      <c r="AY29" s="233"/>
      <c r="AZ29" s="232">
        <v>250163200</v>
      </c>
      <c r="BA29" s="232">
        <v>2186240</v>
      </c>
      <c r="BB29" s="232"/>
      <c r="BC29" s="232"/>
      <c r="BD29" s="232"/>
      <c r="BE29" s="232"/>
    </row>
    <row r="30" spans="2:57" x14ac:dyDescent="0.3">
      <c r="B30" s="237" t="s">
        <v>344</v>
      </c>
      <c r="C30" s="236">
        <v>558.4</v>
      </c>
      <c r="D30" s="236">
        <v>4.88</v>
      </c>
      <c r="E30" s="227"/>
      <c r="F30" s="227"/>
      <c r="G30" s="227"/>
      <c r="H30" s="227"/>
      <c r="I30" s="235"/>
      <c r="J30" s="227">
        <v>134977564.79999998</v>
      </c>
      <c r="K30" s="239">
        <v>1179603.3599999999</v>
      </c>
      <c r="L30" s="227"/>
      <c r="M30" s="227"/>
      <c r="N30" s="227"/>
      <c r="O30" s="227"/>
      <c r="P30" s="235"/>
      <c r="Q30" s="227">
        <v>124751585.59999999</v>
      </c>
      <c r="R30" s="239">
        <v>1090235.92</v>
      </c>
      <c r="S30" s="227"/>
      <c r="T30" s="227"/>
      <c r="U30" s="227"/>
      <c r="V30" s="227"/>
      <c r="W30" s="235"/>
      <c r="X30" s="227">
        <v>121653024</v>
      </c>
      <c r="Y30" s="239">
        <v>1063156.8</v>
      </c>
      <c r="Z30" s="227"/>
      <c r="AA30" s="227"/>
      <c r="AB30" s="227"/>
      <c r="AC30" s="227"/>
      <c r="AD30" s="235"/>
      <c r="AE30" s="227">
        <v>116371676.8</v>
      </c>
      <c r="AF30" s="239">
        <v>1017001.76</v>
      </c>
      <c r="AG30" s="227"/>
      <c r="AH30" s="227"/>
      <c r="AI30" s="227"/>
      <c r="AJ30" s="227"/>
      <c r="AK30" s="235"/>
      <c r="AL30" s="227">
        <v>100917956.8</v>
      </c>
      <c r="AM30" s="239">
        <v>881947.76</v>
      </c>
      <c r="AN30" s="227"/>
      <c r="AO30" s="227"/>
      <c r="AP30" s="227"/>
      <c r="AQ30" s="227"/>
      <c r="AR30" s="235"/>
      <c r="AS30" s="232">
        <v>63608460.799999997</v>
      </c>
      <c r="AT30" s="232">
        <v>555890.55999999994</v>
      </c>
      <c r="AU30" s="232"/>
      <c r="AV30" s="232"/>
      <c r="AW30" s="232"/>
      <c r="AX30" s="232"/>
      <c r="AY30" s="233"/>
      <c r="AZ30" s="232"/>
      <c r="BA30" s="232"/>
      <c r="BB30" s="232"/>
      <c r="BC30" s="232"/>
      <c r="BD30" s="232"/>
      <c r="BE30" s="232"/>
    </row>
    <row r="31" spans="2:57" x14ac:dyDescent="0.3">
      <c r="B31" s="237" t="s">
        <v>378</v>
      </c>
      <c r="C31" s="236">
        <v>558.4</v>
      </c>
      <c r="D31" s="236">
        <v>4.88</v>
      </c>
      <c r="E31" s="227"/>
      <c r="F31" s="227"/>
      <c r="G31" s="227"/>
      <c r="H31" s="227"/>
      <c r="I31" s="235"/>
      <c r="J31" s="227">
        <v>278402046.39999998</v>
      </c>
      <c r="K31" s="227">
        <v>2433026.48</v>
      </c>
      <c r="L31" s="227"/>
      <c r="M31" s="227"/>
      <c r="N31" s="227"/>
      <c r="O31" s="227"/>
      <c r="P31" s="235"/>
      <c r="Q31" s="227">
        <v>276448204.80000001</v>
      </c>
      <c r="R31" s="227">
        <v>2415951.36</v>
      </c>
      <c r="S31" s="227"/>
      <c r="T31" s="227"/>
      <c r="U31" s="227"/>
      <c r="V31" s="227"/>
      <c r="W31" s="235"/>
      <c r="X31" s="227">
        <v>108530624</v>
      </c>
      <c r="Y31" s="227">
        <v>948476.79999999993</v>
      </c>
      <c r="Z31" s="227"/>
      <c r="AA31" s="227"/>
      <c r="AB31" s="227"/>
      <c r="AC31" s="227"/>
      <c r="AD31" s="235"/>
      <c r="AE31" s="227">
        <v>210598326.40000001</v>
      </c>
      <c r="AF31" s="227">
        <v>1840472.48</v>
      </c>
      <c r="AG31" s="227"/>
      <c r="AH31" s="227"/>
      <c r="AI31" s="227"/>
      <c r="AJ31" s="227"/>
      <c r="AK31" s="235"/>
      <c r="AL31" s="227">
        <v>191227988.79999998</v>
      </c>
      <c r="AM31" s="227">
        <v>1671190.16</v>
      </c>
      <c r="AN31" s="227"/>
      <c r="AO31" s="227"/>
      <c r="AP31" s="227"/>
      <c r="AQ31" s="227"/>
      <c r="AR31" s="235"/>
      <c r="AS31" s="232">
        <v>201715299.19999999</v>
      </c>
      <c r="AT31" s="232">
        <v>1762841.44</v>
      </c>
      <c r="AU31" s="232"/>
      <c r="AV31" s="232"/>
      <c r="AW31" s="232"/>
      <c r="AX31" s="232"/>
      <c r="AY31" s="233"/>
      <c r="AZ31" s="232"/>
      <c r="BA31" s="232"/>
      <c r="BB31" s="232"/>
      <c r="BC31" s="232"/>
      <c r="BD31" s="232"/>
      <c r="BE31" s="232"/>
    </row>
    <row r="32" spans="2:57" x14ac:dyDescent="0.3">
      <c r="B32" s="237" t="s">
        <v>377</v>
      </c>
      <c r="C32" s="236">
        <v>558.4</v>
      </c>
      <c r="D32" s="236">
        <v>4.88</v>
      </c>
      <c r="E32" s="227"/>
      <c r="F32" s="227"/>
      <c r="G32" s="227"/>
      <c r="H32" s="227"/>
      <c r="I32" s="235"/>
      <c r="J32" s="227">
        <v>62538008</v>
      </c>
      <c r="K32" s="227">
        <v>546535.6</v>
      </c>
      <c r="L32" s="227"/>
      <c r="M32" s="227"/>
      <c r="N32" s="227"/>
      <c r="O32" s="227"/>
      <c r="P32" s="235"/>
      <c r="Q32" s="227">
        <v>59777836.799999997</v>
      </c>
      <c r="R32" s="227">
        <v>522413.76</v>
      </c>
      <c r="S32" s="227"/>
      <c r="T32" s="227"/>
      <c r="U32" s="227"/>
      <c r="V32" s="227"/>
      <c r="W32" s="235"/>
      <c r="X32" s="227">
        <v>57173459.199999996</v>
      </c>
      <c r="Y32" s="227">
        <v>499653.44</v>
      </c>
      <c r="Z32" s="227"/>
      <c r="AA32" s="227"/>
      <c r="AB32" s="227"/>
      <c r="AC32" s="227"/>
      <c r="AD32" s="235"/>
      <c r="AE32" s="227">
        <v>78392100.799999997</v>
      </c>
      <c r="AF32" s="227">
        <v>685088.55999999994</v>
      </c>
      <c r="AG32" s="227"/>
      <c r="AH32" s="227"/>
      <c r="AI32" s="227"/>
      <c r="AJ32" s="227"/>
      <c r="AK32" s="235"/>
      <c r="AL32" s="227">
        <v>78392100.799999997</v>
      </c>
      <c r="AM32" s="227">
        <v>685088.55999999994</v>
      </c>
      <c r="AN32" s="227"/>
      <c r="AO32" s="227"/>
      <c r="AP32" s="227"/>
      <c r="AQ32" s="227"/>
      <c r="AR32" s="235"/>
      <c r="AS32" s="232">
        <v>75474460.799999997</v>
      </c>
      <c r="AT32" s="232">
        <v>659590.55999999994</v>
      </c>
      <c r="AU32" s="232"/>
      <c r="AV32" s="232"/>
      <c r="AW32" s="232"/>
      <c r="AX32" s="232"/>
      <c r="AY32" s="233"/>
      <c r="AZ32" s="232"/>
      <c r="BA32" s="232"/>
      <c r="BB32" s="232"/>
      <c r="BC32" s="232"/>
      <c r="BD32" s="232"/>
      <c r="BE32" s="232"/>
    </row>
    <row r="33" spans="2:57" x14ac:dyDescent="0.3">
      <c r="B33" s="237"/>
      <c r="C33" s="236"/>
      <c r="D33" s="236"/>
      <c r="E33" s="227"/>
      <c r="F33" s="227"/>
      <c r="G33" s="227"/>
      <c r="H33" s="227"/>
      <c r="I33" s="235"/>
      <c r="J33" s="227"/>
      <c r="K33" s="227"/>
      <c r="L33" s="227"/>
      <c r="M33" s="227"/>
      <c r="N33" s="227"/>
      <c r="O33" s="227"/>
      <c r="P33" s="235"/>
      <c r="Q33" s="239"/>
      <c r="R33" s="227"/>
      <c r="S33" s="227"/>
      <c r="T33" s="227"/>
      <c r="U33" s="227"/>
      <c r="V33" s="227"/>
      <c r="W33" s="235"/>
      <c r="X33" s="227"/>
      <c r="Y33" s="227"/>
      <c r="Z33" s="227"/>
      <c r="AA33" s="227"/>
      <c r="AB33" s="227"/>
      <c r="AC33" s="227"/>
      <c r="AD33" s="235"/>
      <c r="AE33" s="227"/>
      <c r="AF33" s="227"/>
      <c r="AG33" s="227"/>
      <c r="AH33" s="227"/>
      <c r="AI33" s="227"/>
      <c r="AJ33" s="227"/>
      <c r="AK33" s="235"/>
      <c r="AL33" s="227"/>
      <c r="AM33" s="227"/>
      <c r="AN33" s="227"/>
      <c r="AO33" s="227"/>
      <c r="AP33" s="227"/>
      <c r="AQ33" s="227"/>
      <c r="AR33" s="235"/>
      <c r="AS33" s="232"/>
      <c r="AT33" s="232"/>
      <c r="AU33" s="232"/>
      <c r="AV33" s="232"/>
      <c r="AW33" s="232"/>
      <c r="AX33" s="232"/>
      <c r="AY33" s="233"/>
      <c r="AZ33" s="232"/>
      <c r="BA33" s="232"/>
      <c r="BB33" s="232"/>
      <c r="BC33" s="232"/>
      <c r="BD33" s="232"/>
      <c r="BE33" s="232"/>
    </row>
    <row r="34" spans="2:57" x14ac:dyDescent="0.3">
      <c r="B34" s="227" t="s">
        <v>376</v>
      </c>
      <c r="C34" s="238">
        <v>364.55333333333328</v>
      </c>
      <c r="D34" s="238">
        <v>5.3133333333333335</v>
      </c>
      <c r="E34" s="227"/>
      <c r="F34" s="227"/>
      <c r="G34" s="227"/>
      <c r="H34" s="227"/>
      <c r="I34" s="235"/>
      <c r="J34" s="227">
        <v>453591474.9133333</v>
      </c>
      <c r="K34" s="227">
        <v>6611056.5533333337</v>
      </c>
      <c r="L34" s="227"/>
      <c r="M34" s="227"/>
      <c r="N34" s="227"/>
      <c r="O34" s="227"/>
      <c r="P34" s="235"/>
      <c r="Q34" s="227">
        <v>435951103.66666663</v>
      </c>
      <c r="R34" s="227">
        <v>6353949.666666667</v>
      </c>
      <c r="S34" s="227"/>
      <c r="T34" s="227"/>
      <c r="U34" s="227"/>
      <c r="V34" s="227"/>
      <c r="W34" s="235"/>
      <c r="X34" s="227">
        <v>471165862.0066666</v>
      </c>
      <c r="Y34" s="227">
        <v>6867201.7266666666</v>
      </c>
      <c r="Z34" s="227"/>
      <c r="AA34" s="227"/>
      <c r="AB34" s="227"/>
      <c r="AC34" s="227"/>
      <c r="AD34" s="235"/>
      <c r="AE34" s="227">
        <v>508217604.59333324</v>
      </c>
      <c r="AF34" s="227">
        <v>7407227.6733333338</v>
      </c>
      <c r="AG34" s="227"/>
      <c r="AH34" s="227"/>
      <c r="AI34" s="227"/>
      <c r="AJ34" s="227"/>
      <c r="AK34" s="235"/>
      <c r="AL34" s="227">
        <v>470164069.4466666</v>
      </c>
      <c r="AM34" s="227">
        <v>6852600.6866666665</v>
      </c>
      <c r="AN34" s="227"/>
      <c r="AO34" s="227"/>
      <c r="AP34" s="227"/>
      <c r="AQ34" s="227"/>
      <c r="AR34" s="235"/>
      <c r="AS34" s="232">
        <v>500783997.57333326</v>
      </c>
      <c r="AT34" s="232">
        <v>7298883.4933333332</v>
      </c>
      <c r="AU34" s="232"/>
      <c r="AV34" s="232"/>
      <c r="AW34" s="232"/>
      <c r="AX34" s="232"/>
      <c r="AY34" s="233"/>
      <c r="AZ34" s="232">
        <v>533341526.66666657</v>
      </c>
      <c r="BA34" s="232">
        <v>7773406.666666667</v>
      </c>
      <c r="BB34" s="232"/>
      <c r="BC34" s="232"/>
      <c r="BD34" s="232"/>
      <c r="BE34" s="232"/>
    </row>
    <row r="35" spans="2:57" x14ac:dyDescent="0.3">
      <c r="B35" s="237" t="s">
        <v>375</v>
      </c>
      <c r="C35" s="236">
        <v>427</v>
      </c>
      <c r="D35" s="236">
        <v>4.7</v>
      </c>
      <c r="E35" s="227"/>
      <c r="F35" s="227"/>
      <c r="G35" s="227"/>
      <c r="H35" s="227"/>
      <c r="I35" s="235"/>
      <c r="J35" s="227"/>
      <c r="K35" s="227"/>
      <c r="L35" s="227"/>
      <c r="M35" s="227"/>
      <c r="N35" s="227"/>
      <c r="O35" s="227"/>
      <c r="P35" s="235"/>
      <c r="Q35" s="227"/>
      <c r="R35" s="227"/>
      <c r="S35" s="227"/>
      <c r="T35" s="227"/>
      <c r="U35" s="227"/>
      <c r="V35" s="227"/>
      <c r="W35" s="235"/>
      <c r="X35" s="227"/>
      <c r="Y35" s="227"/>
      <c r="Z35" s="227"/>
      <c r="AA35" s="227"/>
      <c r="AB35" s="227"/>
      <c r="AC35" s="227"/>
      <c r="AD35" s="235"/>
      <c r="AE35" s="227"/>
      <c r="AF35" s="227"/>
      <c r="AG35" s="227"/>
      <c r="AH35" s="227"/>
      <c r="AI35" s="227"/>
      <c r="AJ35" s="227"/>
      <c r="AK35" s="235"/>
      <c r="AL35" s="227"/>
      <c r="AM35" s="227"/>
      <c r="AN35" s="227"/>
      <c r="AO35" s="227"/>
      <c r="AP35" s="227"/>
      <c r="AQ35" s="227"/>
      <c r="AR35" s="235"/>
      <c r="AS35" s="232"/>
      <c r="AT35" s="232"/>
      <c r="AU35" s="232"/>
      <c r="AV35" s="232"/>
      <c r="AW35" s="232"/>
      <c r="AX35" s="232"/>
      <c r="AY35" s="233"/>
      <c r="AZ35" s="232"/>
      <c r="BA35" s="232"/>
      <c r="BB35" s="232"/>
      <c r="BC35" s="232"/>
      <c r="BD35" s="232"/>
      <c r="BE35" s="232"/>
    </row>
    <row r="36" spans="2:57" x14ac:dyDescent="0.3">
      <c r="B36" s="237" t="s">
        <v>374</v>
      </c>
      <c r="C36" s="236">
        <v>333.33</v>
      </c>
      <c r="D36" s="236">
        <v>4.8</v>
      </c>
      <c r="E36" s="227"/>
      <c r="F36" s="227"/>
      <c r="G36" s="227"/>
      <c r="H36" s="227"/>
      <c r="I36" s="235"/>
      <c r="J36" s="227"/>
      <c r="K36" s="227"/>
      <c r="L36" s="227"/>
      <c r="M36" s="227"/>
      <c r="N36" s="227"/>
      <c r="O36" s="227"/>
      <c r="P36" s="235"/>
      <c r="Q36" s="227"/>
      <c r="R36" s="227"/>
      <c r="S36" s="227"/>
      <c r="T36" s="227"/>
      <c r="U36" s="227"/>
      <c r="V36" s="227"/>
      <c r="W36" s="235"/>
      <c r="X36" s="227"/>
      <c r="Y36" s="227"/>
      <c r="Z36" s="227"/>
      <c r="AA36" s="227"/>
      <c r="AB36" s="227"/>
      <c r="AC36" s="227"/>
      <c r="AD36" s="235"/>
      <c r="AE36" s="227"/>
      <c r="AF36" s="227"/>
      <c r="AG36" s="227"/>
      <c r="AH36" s="227"/>
      <c r="AI36" s="227"/>
      <c r="AJ36" s="227"/>
      <c r="AK36" s="235"/>
      <c r="AL36" s="227"/>
      <c r="AM36" s="227"/>
      <c r="AN36" s="227"/>
      <c r="AO36" s="227"/>
      <c r="AP36" s="227"/>
      <c r="AQ36" s="227"/>
      <c r="AR36" s="235"/>
      <c r="AS36" s="232"/>
      <c r="AT36" s="232"/>
      <c r="AU36" s="232"/>
      <c r="AV36" s="232"/>
      <c r="AW36" s="232"/>
      <c r="AX36" s="232"/>
      <c r="AY36" s="233"/>
      <c r="AZ36" s="232"/>
      <c r="BA36" s="232"/>
      <c r="BB36" s="232"/>
      <c r="BC36" s="232"/>
      <c r="BD36" s="232"/>
      <c r="BE36" s="232"/>
    </row>
    <row r="37" spans="2:57" x14ac:dyDescent="0.3">
      <c r="B37" s="237" t="s">
        <v>373</v>
      </c>
      <c r="C37" s="236">
        <v>333.33</v>
      </c>
      <c r="D37" s="236">
        <v>6.44</v>
      </c>
      <c r="E37" s="227"/>
      <c r="F37" s="227"/>
      <c r="G37" s="227"/>
      <c r="H37" s="227"/>
      <c r="I37" s="235"/>
      <c r="J37" s="227"/>
      <c r="K37" s="227"/>
      <c r="L37" s="227"/>
      <c r="M37" s="227"/>
      <c r="N37" s="227"/>
      <c r="O37" s="227"/>
      <c r="P37" s="235"/>
      <c r="Q37" s="227"/>
      <c r="R37" s="227"/>
      <c r="S37" s="227"/>
      <c r="T37" s="227"/>
      <c r="U37" s="227"/>
      <c r="V37" s="227"/>
      <c r="W37" s="235"/>
      <c r="X37" s="227"/>
      <c r="Y37" s="227"/>
      <c r="Z37" s="227"/>
      <c r="AA37" s="227"/>
      <c r="AB37" s="227"/>
      <c r="AC37" s="227"/>
      <c r="AD37" s="235"/>
      <c r="AE37" s="227"/>
      <c r="AF37" s="227"/>
      <c r="AG37" s="227"/>
      <c r="AH37" s="227"/>
      <c r="AI37" s="227"/>
      <c r="AJ37" s="227"/>
      <c r="AK37" s="235"/>
      <c r="AL37" s="227"/>
      <c r="AM37" s="227"/>
      <c r="AN37" s="227"/>
      <c r="AO37" s="227"/>
      <c r="AP37" s="227"/>
      <c r="AQ37" s="227"/>
      <c r="AR37" s="235"/>
      <c r="AS37" s="232"/>
      <c r="AT37" s="232"/>
      <c r="AU37" s="232"/>
      <c r="AV37" s="232"/>
      <c r="AW37" s="232"/>
      <c r="AX37" s="232"/>
      <c r="AY37" s="233"/>
      <c r="AZ37" s="232"/>
      <c r="BA37" s="232"/>
      <c r="BB37" s="232"/>
      <c r="BC37" s="232"/>
      <c r="BD37" s="232"/>
      <c r="BE37" s="232"/>
    </row>
    <row r="38" spans="2:57" x14ac:dyDescent="0.3">
      <c r="B38" s="237"/>
      <c r="C38" s="236"/>
      <c r="D38" s="236"/>
      <c r="E38" s="227"/>
      <c r="F38" s="227"/>
      <c r="G38" s="227"/>
      <c r="H38" s="227"/>
      <c r="I38" s="235"/>
      <c r="J38" s="227"/>
      <c r="K38" s="227"/>
      <c r="L38" s="227"/>
      <c r="M38" s="227"/>
      <c r="N38" s="227"/>
      <c r="O38" s="227"/>
      <c r="P38" s="235"/>
      <c r="Q38" s="227"/>
      <c r="R38" s="227"/>
      <c r="S38" s="227"/>
      <c r="T38" s="227"/>
      <c r="U38" s="227"/>
      <c r="V38" s="227"/>
      <c r="W38" s="235"/>
      <c r="X38" s="227"/>
      <c r="Y38" s="227"/>
      <c r="Z38" s="227"/>
      <c r="AA38" s="227"/>
      <c r="AB38" s="227"/>
      <c r="AC38" s="227"/>
      <c r="AD38" s="235"/>
      <c r="AE38" s="227"/>
      <c r="AF38" s="227"/>
      <c r="AG38" s="227"/>
      <c r="AH38" s="227"/>
      <c r="AI38" s="227"/>
      <c r="AJ38" s="227"/>
      <c r="AK38" s="235"/>
      <c r="AL38" s="227"/>
      <c r="AM38" s="227"/>
      <c r="AN38" s="227"/>
      <c r="AO38" s="227"/>
      <c r="AP38" s="227"/>
      <c r="AQ38" s="227"/>
      <c r="AR38" s="235"/>
      <c r="AS38" s="232"/>
      <c r="AT38" s="232"/>
      <c r="AU38" s="232"/>
      <c r="AV38" s="232"/>
      <c r="AW38" s="232"/>
      <c r="AX38" s="232"/>
      <c r="AY38" s="233"/>
      <c r="AZ38" s="232"/>
      <c r="BA38" s="232"/>
      <c r="BB38" s="232"/>
      <c r="BC38" s="232"/>
      <c r="BD38" s="232"/>
      <c r="BE38" s="232"/>
    </row>
    <row r="39" spans="2:57" x14ac:dyDescent="0.3">
      <c r="B39" s="227" t="s">
        <v>372</v>
      </c>
      <c r="C39" s="236">
        <v>744.6</v>
      </c>
      <c r="D39" s="236">
        <v>4.4400000000000004</v>
      </c>
      <c r="E39" s="227"/>
      <c r="F39" s="227"/>
      <c r="G39" s="227"/>
      <c r="H39" s="227"/>
      <c r="I39" s="235"/>
      <c r="J39" s="227">
        <v>165045057.59999999</v>
      </c>
      <c r="K39" s="227">
        <v>984152.64000000013</v>
      </c>
      <c r="L39" s="227"/>
      <c r="M39" s="227"/>
      <c r="N39" s="227"/>
      <c r="O39" s="227"/>
      <c r="P39" s="235"/>
      <c r="Q39" s="227">
        <v>179006307.59999999</v>
      </c>
      <c r="R39" s="227">
        <v>1067402.6400000001</v>
      </c>
      <c r="S39" s="227"/>
      <c r="T39" s="227"/>
      <c r="U39" s="227"/>
      <c r="V39" s="227"/>
      <c r="W39" s="235"/>
      <c r="X39" s="227">
        <v>159123998.40000001</v>
      </c>
      <c r="Y39" s="227">
        <v>948845.76000000013</v>
      </c>
      <c r="Z39" s="227"/>
      <c r="AA39" s="227"/>
      <c r="AB39" s="227"/>
      <c r="AC39" s="227"/>
      <c r="AD39" s="235"/>
      <c r="AE39" s="227">
        <v>173470951.20000002</v>
      </c>
      <c r="AF39" s="227">
        <v>1034395.68</v>
      </c>
      <c r="AG39" s="227"/>
      <c r="AH39" s="227"/>
      <c r="AI39" s="227"/>
      <c r="AJ39" s="227"/>
      <c r="AK39" s="235"/>
      <c r="AL39" s="227">
        <v>170506698.59999999</v>
      </c>
      <c r="AM39" s="227">
        <v>1016720.04</v>
      </c>
      <c r="AN39" s="227"/>
      <c r="AO39" s="227"/>
      <c r="AP39" s="227"/>
      <c r="AQ39" s="227"/>
      <c r="AR39" s="235"/>
      <c r="AS39" s="232">
        <v>184660800</v>
      </c>
      <c r="AT39" s="232">
        <v>1101120</v>
      </c>
      <c r="AU39" s="232"/>
      <c r="AV39" s="232"/>
      <c r="AW39" s="232"/>
      <c r="AX39" s="232"/>
      <c r="AY39" s="233"/>
      <c r="AZ39" s="232">
        <v>184660800</v>
      </c>
      <c r="BA39" s="232">
        <v>1101120</v>
      </c>
      <c r="BB39" s="232"/>
      <c r="BC39" s="232"/>
      <c r="BD39" s="232"/>
      <c r="BE39" s="232"/>
    </row>
    <row r="40" spans="2:57" x14ac:dyDescent="0.3">
      <c r="B40" s="228" t="s">
        <v>371</v>
      </c>
      <c r="C40" s="236"/>
      <c r="D40" s="236"/>
      <c r="E40" s="227"/>
      <c r="F40" s="227"/>
      <c r="G40" s="227"/>
      <c r="H40" s="227"/>
      <c r="I40" s="235"/>
      <c r="J40" s="227"/>
      <c r="K40" s="227"/>
      <c r="L40" s="227"/>
      <c r="M40" s="227"/>
      <c r="N40" s="227"/>
      <c r="O40" s="227"/>
      <c r="P40" s="235"/>
      <c r="Q40" s="227"/>
      <c r="R40" s="227"/>
      <c r="S40" s="227"/>
      <c r="T40" s="227"/>
      <c r="U40" s="227"/>
      <c r="V40" s="227"/>
      <c r="W40" s="235"/>
      <c r="X40" s="227"/>
      <c r="Y40" s="227"/>
      <c r="Z40" s="227"/>
      <c r="AA40" s="227"/>
      <c r="AB40" s="227"/>
      <c r="AC40" s="227"/>
      <c r="AD40" s="235"/>
      <c r="AE40" s="227"/>
      <c r="AF40" s="227"/>
      <c r="AG40" s="227"/>
      <c r="AH40" s="227"/>
      <c r="AI40" s="227"/>
      <c r="AJ40" s="227"/>
      <c r="AK40" s="235"/>
      <c r="AL40" s="227"/>
      <c r="AM40" s="227"/>
      <c r="AN40" s="227"/>
      <c r="AO40" s="227"/>
      <c r="AP40" s="227"/>
      <c r="AQ40" s="227"/>
      <c r="AR40" s="235"/>
      <c r="AS40" s="232"/>
      <c r="AT40" s="232"/>
      <c r="AU40" s="232"/>
      <c r="AV40" s="232"/>
      <c r="AW40" s="232"/>
      <c r="AX40" s="232"/>
      <c r="AY40" s="233"/>
      <c r="AZ40" s="232"/>
      <c r="BA40" s="232"/>
      <c r="BB40" s="232"/>
      <c r="BC40" s="232"/>
      <c r="BD40" s="232"/>
      <c r="BE40" s="232"/>
    </row>
    <row r="41" spans="2:57" x14ac:dyDescent="0.3">
      <c r="B41" s="227" t="s">
        <v>370</v>
      </c>
      <c r="C41" s="236">
        <v>192</v>
      </c>
      <c r="D41" s="236">
        <v>1.5</v>
      </c>
      <c r="E41" s="227"/>
      <c r="F41" s="227"/>
      <c r="G41" s="227"/>
      <c r="H41" s="227"/>
      <c r="I41" s="235"/>
      <c r="J41" s="227">
        <v>163639296</v>
      </c>
      <c r="K41" s="227">
        <v>1278432</v>
      </c>
      <c r="L41" s="227"/>
      <c r="M41" s="227"/>
      <c r="N41" s="227"/>
      <c r="O41" s="227"/>
      <c r="P41" s="235"/>
      <c r="AR41" s="235"/>
      <c r="AS41" s="234">
        <v>117179904</v>
      </c>
      <c r="AT41" s="232">
        <v>915468</v>
      </c>
      <c r="AU41" s="232"/>
      <c r="AV41" s="232"/>
      <c r="AW41" s="232"/>
      <c r="AX41" s="232"/>
      <c r="AY41" s="233"/>
      <c r="AZ41" s="232">
        <v>86016000</v>
      </c>
      <c r="BA41" s="232">
        <v>672000</v>
      </c>
      <c r="BB41" s="232"/>
      <c r="BC41" s="232"/>
      <c r="BD41" s="232"/>
      <c r="BE41" s="232"/>
    </row>
    <row r="42" spans="2:57" x14ac:dyDescent="0.3">
      <c r="C42" s="231"/>
      <c r="D42" s="231"/>
    </row>
    <row r="43" spans="2:57" x14ac:dyDescent="0.3">
      <c r="C43" s="230" t="s">
        <v>369</v>
      </c>
      <c r="D43" s="230">
        <v>3.5999999999999999E-3</v>
      </c>
    </row>
    <row r="44" spans="2:57" x14ac:dyDescent="0.3">
      <c r="B44" s="229" t="s">
        <v>368</v>
      </c>
    </row>
    <row r="46" spans="2:57" x14ac:dyDescent="0.3">
      <c r="B46" s="228" t="s">
        <v>279</v>
      </c>
      <c r="C46" s="228" t="s">
        <v>367</v>
      </c>
      <c r="D46" s="228" t="s">
        <v>366</v>
      </c>
      <c r="E46" s="228" t="s">
        <v>365</v>
      </c>
      <c r="F46" s="230" t="s">
        <v>1410</v>
      </c>
    </row>
    <row r="47" spans="2:57" x14ac:dyDescent="0.3">
      <c r="B47" s="227">
        <v>2013</v>
      </c>
      <c r="C47" s="226">
        <v>2318183</v>
      </c>
      <c r="D47" s="225">
        <v>10817895.625891872</v>
      </c>
      <c r="E47" s="226">
        <v>46033204.85641221</v>
      </c>
    </row>
    <row r="48" spans="2:57" x14ac:dyDescent="0.3">
      <c r="B48" s="227">
        <v>2014</v>
      </c>
      <c r="C48" s="226">
        <v>2261790</v>
      </c>
      <c r="D48" s="227">
        <v>10981122.39677711</v>
      </c>
      <c r="E48" s="225">
        <v>47823721.458689086</v>
      </c>
    </row>
    <row r="49" spans="2:6" x14ac:dyDescent="0.3">
      <c r="B49" s="227">
        <v>2015</v>
      </c>
      <c r="C49" s="226">
        <v>2289109</v>
      </c>
      <c r="D49" s="227">
        <v>10304054.469024476</v>
      </c>
      <c r="E49" s="225">
        <v>44230167.782971799</v>
      </c>
    </row>
    <row r="50" spans="2:6" x14ac:dyDescent="0.3">
      <c r="B50" s="227">
        <v>2016</v>
      </c>
      <c r="C50" s="226">
        <v>2353000</v>
      </c>
      <c r="D50" s="227">
        <v>10389503.835476955</v>
      </c>
      <c r="E50" s="225">
        <v>44582034.196612537</v>
      </c>
    </row>
    <row r="51" spans="2:6" x14ac:dyDescent="0.3">
      <c r="B51" s="227">
        <v>2017</v>
      </c>
      <c r="C51" s="226">
        <v>2180000</v>
      </c>
      <c r="D51" s="227">
        <v>10037093.617334949</v>
      </c>
      <c r="E51" s="225">
        <v>43572428.933121659</v>
      </c>
    </row>
    <row r="52" spans="2:6" x14ac:dyDescent="0.3">
      <c r="B52" s="227">
        <v>2018</v>
      </c>
      <c r="C52" s="226">
        <v>2223000</v>
      </c>
      <c r="D52" s="226">
        <v>10545089.151145626</v>
      </c>
      <c r="E52" s="226">
        <v>44107757.341476679</v>
      </c>
    </row>
    <row r="53" spans="2:6" x14ac:dyDescent="0.3">
      <c r="B53" s="695">
        <v>2019</v>
      </c>
      <c r="C53" s="696">
        <v>2159000</v>
      </c>
      <c r="D53" s="697">
        <v>10313729.688726479</v>
      </c>
      <c r="E53" s="697">
        <v>43268823.888166651</v>
      </c>
    </row>
    <row r="54" spans="2:6" x14ac:dyDescent="0.3">
      <c r="B54" s="698">
        <f>B53+1</f>
        <v>2020</v>
      </c>
      <c r="C54" s="699">
        <f>'Paper production &amp; consumption '!J71</f>
        <v>1992424</v>
      </c>
      <c r="D54" s="700">
        <f>C54*'CHP &amp; Boiler summary'!S315</f>
        <v>11516768.598720001</v>
      </c>
      <c r="E54" s="700">
        <f>C54*'CHP &amp; Boiler summary'!$P$238</f>
        <v>33153935.359999999</v>
      </c>
      <c r="F54" s="2" t="s">
        <v>1409</v>
      </c>
    </row>
    <row r="55" spans="2:6" x14ac:dyDescent="0.3">
      <c r="B55" s="698">
        <f t="shared" ref="B55:B56" si="0">B54+1</f>
        <v>2021</v>
      </c>
      <c r="C55" s="699">
        <f>'Paper production &amp; consumption '!J72</f>
        <v>2211476</v>
      </c>
      <c r="D55" s="700">
        <f>C55*'CHP &amp; Boiler summary'!S316</f>
        <v>11695833.121199999</v>
      </c>
      <c r="E55" s="700">
        <f>C55*'CHP &amp; Boiler summary'!$P$238</f>
        <v>36798960.640000001</v>
      </c>
    </row>
    <row r="56" spans="2:6" x14ac:dyDescent="0.3">
      <c r="B56" s="698">
        <f t="shared" si="0"/>
        <v>2022</v>
      </c>
      <c r="C56" s="699">
        <f>'Paper production &amp; consumption '!J73</f>
        <v>2453646</v>
      </c>
      <c r="D56" s="700">
        <f>C56*'CHP &amp; Boiler summary'!S316</f>
        <v>12976597.600199999</v>
      </c>
      <c r="E56" s="700">
        <f>C56*'CHP &amp; Boiler summary'!$P$238</f>
        <v>40828669.440000005</v>
      </c>
    </row>
    <row r="58" spans="2:6" x14ac:dyDescent="0.3">
      <c r="B58" s="211" t="s">
        <v>364</v>
      </c>
    </row>
    <row r="60" spans="2:6" x14ac:dyDescent="0.3">
      <c r="B60" s="224" t="s">
        <v>353</v>
      </c>
      <c r="C60" s="223" t="s">
        <v>363</v>
      </c>
      <c r="D60" s="222" t="s">
        <v>362</v>
      </c>
    </row>
    <row r="61" spans="2:6" x14ac:dyDescent="0.3">
      <c r="B61" s="217" t="str">
        <f>B7</f>
        <v>Resource extraction</v>
      </c>
      <c r="C61" s="221">
        <f>C9*$D$43</f>
        <v>0.14399999999999999</v>
      </c>
      <c r="D61" s="220"/>
    </row>
    <row r="62" spans="2:6" x14ac:dyDescent="0.3">
      <c r="B62" s="217" t="str">
        <f>B11</f>
        <v>Pulping</v>
      </c>
      <c r="C62" s="219">
        <f>SUM(C12:C26)*D43</f>
        <v>21.814800000000002</v>
      </c>
      <c r="D62" s="218">
        <f>SUM(D12:D26)</f>
        <v>55.480000000000004</v>
      </c>
    </row>
    <row r="63" spans="2:6" x14ac:dyDescent="0.3">
      <c r="B63" s="217" t="str">
        <f>B28</f>
        <v>Papermaking</v>
      </c>
      <c r="C63" s="216">
        <f>SUM(C29:C39)*D43</f>
        <v>15.971087999999998</v>
      </c>
      <c r="D63" s="215">
        <f>SUM(D29:D39)</f>
        <v>45.213333333333324</v>
      </c>
    </row>
    <row r="64" spans="2:6" x14ac:dyDescent="0.3">
      <c r="B64" s="214" t="s">
        <v>361</v>
      </c>
      <c r="C64" s="213">
        <f>C41*D43</f>
        <v>0.69120000000000004</v>
      </c>
      <c r="D64" s="212">
        <f>D41</f>
        <v>1.5</v>
      </c>
    </row>
    <row r="67" spans="2:4" x14ac:dyDescent="0.3">
      <c r="B67"/>
      <c r="C67" s="264" t="s">
        <v>1428</v>
      </c>
      <c r="D67"/>
    </row>
    <row r="68" spans="2:4" x14ac:dyDescent="0.3">
      <c r="B68"/>
      <c r="C68" s="718" t="s">
        <v>1429</v>
      </c>
      <c r="D68"/>
    </row>
  </sheetData>
  <mergeCells count="3">
    <mergeCell ref="B2:D2"/>
    <mergeCell ref="C5:D5"/>
    <mergeCell ref="G5:H5"/>
  </mergeCells>
  <hyperlinks>
    <hyperlink ref="C67" r:id="rId1" xr:uid="{2F8BCF2B-D1F2-42FF-8140-34602CB8540E}"/>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I10" sqref="I10"/>
    </sheetView>
  </sheetViews>
  <sheetFormatPr defaultRowHeight="14.4" x14ac:dyDescent="0.3"/>
  <cols>
    <col min="2" max="2" width="10.6640625" bestFit="1" customWidth="1"/>
    <col min="3" max="3" width="10.109375" bestFit="1" customWidth="1"/>
    <col min="4" max="4" width="15.88671875" bestFit="1" customWidth="1"/>
    <col min="5" max="5" width="29.109375" customWidth="1"/>
    <col min="6" max="6" width="14.6640625" customWidth="1"/>
    <col min="7" max="7" width="22.33203125" customWidth="1"/>
    <col min="8" max="8" width="19.44140625" bestFit="1" customWidth="1"/>
    <col min="9" max="9" width="20.5546875" bestFit="1" customWidth="1"/>
    <col min="10" max="10" width="13.6640625" bestFit="1" customWidth="1"/>
    <col min="11" max="11" width="23.33203125" bestFit="1" customWidth="1"/>
    <col min="12" max="12" width="25.33203125" bestFit="1" customWidth="1"/>
    <col min="13" max="13" width="17.33203125" bestFit="1" customWidth="1"/>
    <col min="14" max="14" width="25" bestFit="1" customWidth="1"/>
    <col min="15" max="15" width="17.44140625" bestFit="1" customWidth="1"/>
    <col min="16" max="16" width="15.6640625" bestFit="1" customWidth="1"/>
    <col min="17" max="17" width="19.5546875" bestFit="1" customWidth="1"/>
    <col min="18" max="18" width="13.109375" bestFit="1" customWidth="1"/>
  </cols>
  <sheetData>
    <row r="2" spans="2:9" ht="21" x14ac:dyDescent="0.4">
      <c r="B2" s="759" t="s">
        <v>664</v>
      </c>
      <c r="C2" s="759"/>
      <c r="D2" s="759"/>
      <c r="H2" s="494" t="s">
        <v>1473</v>
      </c>
      <c r="I2" s="733" t="s">
        <v>1474</v>
      </c>
    </row>
    <row r="3" spans="2:9" x14ac:dyDescent="0.3">
      <c r="H3" t="s">
        <v>393</v>
      </c>
      <c r="I3" t="s">
        <v>293</v>
      </c>
    </row>
    <row r="4" spans="2:9" x14ac:dyDescent="0.3">
      <c r="H4" t="s">
        <v>292</v>
      </c>
      <c r="I4" t="s">
        <v>1475</v>
      </c>
    </row>
    <row r="5" spans="2:9" x14ac:dyDescent="0.3">
      <c r="H5" t="s">
        <v>291</v>
      </c>
      <c r="I5" t="s">
        <v>42</v>
      </c>
    </row>
    <row r="6" spans="2:9" x14ac:dyDescent="0.3">
      <c r="H6" t="s">
        <v>290</v>
      </c>
      <c r="I6" t="s">
        <v>642</v>
      </c>
    </row>
    <row r="7" spans="2:9" x14ac:dyDescent="0.3">
      <c r="H7" t="s">
        <v>1472</v>
      </c>
      <c r="I7" t="s">
        <v>289</v>
      </c>
    </row>
    <row r="8" spans="2:9" x14ac:dyDescent="0.3">
      <c r="I8" t="s">
        <v>1476</v>
      </c>
    </row>
    <row r="9" spans="2:9" x14ac:dyDescent="0.3">
      <c r="I9" t="s">
        <v>642</v>
      </c>
    </row>
    <row r="20" spans="2:18" x14ac:dyDescent="0.3">
      <c r="B20" s="342" t="s">
        <v>286</v>
      </c>
      <c r="C20" s="342" t="s">
        <v>278</v>
      </c>
      <c r="D20" s="342" t="s">
        <v>293</v>
      </c>
      <c r="E20" s="342" t="s">
        <v>292</v>
      </c>
      <c r="F20" s="342" t="s">
        <v>291</v>
      </c>
      <c r="G20" s="342" t="s">
        <v>290</v>
      </c>
      <c r="H20" s="342" t="s">
        <v>289</v>
      </c>
      <c r="I20" s="342" t="s">
        <v>288</v>
      </c>
      <c r="J20" s="342" t="s">
        <v>287</v>
      </c>
      <c r="K20" s="342" t="s">
        <v>285</v>
      </c>
      <c r="L20" s="342" t="s">
        <v>640</v>
      </c>
      <c r="M20" s="342" t="s">
        <v>111</v>
      </c>
      <c r="N20" s="342" t="s">
        <v>663</v>
      </c>
      <c r="O20" s="342" t="s">
        <v>282</v>
      </c>
      <c r="P20" s="342" t="s">
        <v>42</v>
      </c>
      <c r="Q20" s="342" t="s">
        <v>635</v>
      </c>
      <c r="R20" s="342" t="s">
        <v>662</v>
      </c>
    </row>
    <row r="21" spans="2:18" x14ac:dyDescent="0.3">
      <c r="B21" s="341" t="s">
        <v>279</v>
      </c>
      <c r="C21" s="341">
        <v>1</v>
      </c>
      <c r="D21" s="341">
        <v>2</v>
      </c>
      <c r="E21" s="341">
        <v>3</v>
      </c>
      <c r="F21" s="341">
        <v>4</v>
      </c>
      <c r="G21" s="341">
        <v>5</v>
      </c>
      <c r="H21" s="341">
        <v>6</v>
      </c>
      <c r="I21" s="341">
        <v>7</v>
      </c>
      <c r="J21" s="341">
        <v>8</v>
      </c>
      <c r="K21" s="341">
        <v>9</v>
      </c>
      <c r="L21" s="341">
        <v>10</v>
      </c>
      <c r="M21" s="341">
        <v>11</v>
      </c>
      <c r="N21" s="341">
        <v>12</v>
      </c>
      <c r="O21" s="341">
        <v>13</v>
      </c>
      <c r="P21" s="341">
        <v>14</v>
      </c>
      <c r="Q21" s="341">
        <v>15</v>
      </c>
      <c r="R21" s="341">
        <v>16</v>
      </c>
    </row>
    <row r="22" spans="2:18" s="2" customFormat="1" hidden="1" x14ac:dyDescent="0.3">
      <c r="B22" s="352">
        <v>2013</v>
      </c>
      <c r="C22" s="353">
        <v>1874748.8130000001</v>
      </c>
      <c r="D22" s="353">
        <v>668784.81300000008</v>
      </c>
      <c r="E22" s="350">
        <v>2318183</v>
      </c>
      <c r="F22" s="352">
        <v>824629</v>
      </c>
      <c r="G22" s="352">
        <v>610568</v>
      </c>
      <c r="H22" s="352">
        <v>2532244</v>
      </c>
      <c r="I22" s="352">
        <v>649764</v>
      </c>
      <c r="J22" s="352">
        <v>649764</v>
      </c>
      <c r="K22" s="352">
        <v>1882480</v>
      </c>
      <c r="L22" s="353">
        <v>715342.39999999991</v>
      </c>
      <c r="M22" s="351">
        <v>1167137.6000000001</v>
      </c>
      <c r="N22" s="351">
        <v>47743.596858542878</v>
      </c>
      <c r="O22" s="348">
        <v>1119394.0031414572</v>
      </c>
      <c r="P22" s="351">
        <v>1112219</v>
      </c>
      <c r="Q22" s="351">
        <v>7175.003141457215</v>
      </c>
      <c r="R22" s="353">
        <v>770261</v>
      </c>
    </row>
    <row r="23" spans="2:18" s="2" customFormat="1" hidden="1" x14ac:dyDescent="0.3">
      <c r="B23" s="352">
        <v>2014</v>
      </c>
      <c r="C23" s="353">
        <v>1914813.0749999997</v>
      </c>
      <c r="D23" s="353">
        <v>699671.07499999972</v>
      </c>
      <c r="E23" s="352">
        <v>2261790</v>
      </c>
      <c r="F23" s="352">
        <v>761128</v>
      </c>
      <c r="G23" s="352">
        <v>732474</v>
      </c>
      <c r="H23" s="352">
        <v>2290444</v>
      </c>
      <c r="I23" s="352">
        <v>619378</v>
      </c>
      <c r="J23" s="352">
        <v>619378</v>
      </c>
      <c r="K23" s="352">
        <v>1671066</v>
      </c>
      <c r="L23" s="353">
        <v>601583.76</v>
      </c>
      <c r="M23" s="351">
        <v>1069482.24</v>
      </c>
      <c r="N23" s="351">
        <v>16082.239999999991</v>
      </c>
      <c r="O23" s="348">
        <v>1053400</v>
      </c>
      <c r="P23" s="351">
        <v>1046648</v>
      </c>
      <c r="Q23" s="351">
        <v>6752</v>
      </c>
      <c r="R23" s="353">
        <v>624418</v>
      </c>
    </row>
    <row r="24" spans="2:18" s="2" customFormat="1" hidden="1" x14ac:dyDescent="0.3">
      <c r="B24" s="352">
        <v>2015</v>
      </c>
      <c r="C24" s="353">
        <v>1646319.605</v>
      </c>
      <c r="D24" s="353">
        <v>512080.60499999998</v>
      </c>
      <c r="E24" s="352">
        <v>2289109</v>
      </c>
      <c r="F24" s="352">
        <v>791601</v>
      </c>
      <c r="G24" s="352">
        <v>665753</v>
      </c>
      <c r="H24" s="352">
        <v>2414957</v>
      </c>
      <c r="I24" s="352">
        <v>621867</v>
      </c>
      <c r="J24" s="352">
        <v>621867</v>
      </c>
      <c r="K24" s="352">
        <v>1793090</v>
      </c>
      <c r="L24" s="352">
        <v>597064</v>
      </c>
      <c r="M24" s="351">
        <v>1196026</v>
      </c>
      <c r="N24" s="351">
        <v>12676</v>
      </c>
      <c r="O24" s="348">
        <v>1183350</v>
      </c>
      <c r="P24" s="351">
        <v>1154870</v>
      </c>
      <c r="Q24" s="351">
        <v>28480</v>
      </c>
      <c r="R24" s="353">
        <v>638220</v>
      </c>
    </row>
    <row r="25" spans="2:18" s="2" customFormat="1" hidden="1" x14ac:dyDescent="0.3">
      <c r="B25" s="352">
        <v>2016</v>
      </c>
      <c r="C25" s="353">
        <v>1466302.2930000001</v>
      </c>
      <c r="D25" s="353">
        <v>501530.29300000006</v>
      </c>
      <c r="E25" s="352">
        <v>2353000</v>
      </c>
      <c r="F25" s="352">
        <v>748000</v>
      </c>
      <c r="G25" s="352">
        <v>720000</v>
      </c>
      <c r="H25" s="352">
        <v>2381000</v>
      </c>
      <c r="I25" s="353">
        <v>335621.34502924001</v>
      </c>
      <c r="J25" s="353">
        <v>335621.34502924001</v>
      </c>
      <c r="K25" s="353">
        <v>2045378.65497076</v>
      </c>
      <c r="L25" s="353">
        <v>646339.65497075999</v>
      </c>
      <c r="M25" s="351">
        <v>1399039</v>
      </c>
      <c r="N25" s="351">
        <v>1133.1330000001471</v>
      </c>
      <c r="O25" s="351">
        <v>1397905.8669999999</v>
      </c>
      <c r="P25" s="351">
        <v>1388228</v>
      </c>
      <c r="Q25" s="351">
        <v>9677.8669999998529</v>
      </c>
      <c r="R25" s="353">
        <v>657150.65497075999</v>
      </c>
    </row>
    <row r="26" spans="2:18" x14ac:dyDescent="0.3">
      <c r="B26" s="341">
        <v>2017</v>
      </c>
      <c r="C26" s="340">
        <v>1465782.696</v>
      </c>
      <c r="D26" s="340">
        <v>503698.696</v>
      </c>
      <c r="E26" s="341">
        <v>2180000</v>
      </c>
      <c r="F26" s="341">
        <v>715000</v>
      </c>
      <c r="G26" s="341">
        <v>640000</v>
      </c>
      <c r="H26" s="341">
        <v>2255000</v>
      </c>
      <c r="I26" s="341">
        <v>441320</v>
      </c>
      <c r="J26" s="341">
        <v>441320</v>
      </c>
      <c r="K26" s="341">
        <v>1813680</v>
      </c>
      <c r="L26" s="340">
        <v>525967.19999999995</v>
      </c>
      <c r="M26" s="329">
        <v>1287712.8</v>
      </c>
      <c r="N26" s="329">
        <v>4575.6940000001341</v>
      </c>
      <c r="O26" s="329">
        <v>1283137.1059999999</v>
      </c>
      <c r="P26" s="329">
        <v>1217916</v>
      </c>
      <c r="Q26" s="329">
        <v>65221.105999999912</v>
      </c>
      <c r="R26" s="340">
        <v>595764</v>
      </c>
    </row>
    <row r="27" spans="2:18" x14ac:dyDescent="0.3">
      <c r="B27" s="341">
        <v>2018</v>
      </c>
      <c r="C27" s="340">
        <v>1619695.402</v>
      </c>
      <c r="D27" s="340">
        <v>572852.40199999977</v>
      </c>
      <c r="E27" s="341">
        <v>2223000</v>
      </c>
      <c r="F27" s="341">
        <v>786000</v>
      </c>
      <c r="G27" s="341">
        <v>664000</v>
      </c>
      <c r="H27" s="341">
        <v>2345000</v>
      </c>
      <c r="I27" s="341">
        <v>551974</v>
      </c>
      <c r="J27" s="341">
        <v>551974</v>
      </c>
      <c r="K27" s="341">
        <v>1793026</v>
      </c>
      <c r="L27" s="340">
        <v>507426.35800000001</v>
      </c>
      <c r="M27" s="329">
        <v>1285599.642</v>
      </c>
      <c r="N27" s="329">
        <v>717.74199999985285</v>
      </c>
      <c r="O27" s="329">
        <v>1284881.9000000001</v>
      </c>
      <c r="P27" s="329">
        <v>1176157</v>
      </c>
      <c r="Q27" s="329">
        <v>108724.90000000014</v>
      </c>
      <c r="R27" s="340">
        <v>616869</v>
      </c>
    </row>
    <row r="28" spans="2:18" x14ac:dyDescent="0.3">
      <c r="B28" s="341">
        <v>2019</v>
      </c>
      <c r="C28" s="340">
        <v>2975452.929622882</v>
      </c>
      <c r="D28" s="340">
        <v>1883659.4954714631</v>
      </c>
      <c r="E28" s="341">
        <v>2159000</v>
      </c>
      <c r="F28" s="341">
        <v>707000</v>
      </c>
      <c r="G28" s="341">
        <v>687000</v>
      </c>
      <c r="H28" s="341">
        <v>2179000</v>
      </c>
      <c r="I28" s="341">
        <v>425715.32846715348</v>
      </c>
      <c r="J28" s="341">
        <v>425715.32846715348</v>
      </c>
      <c r="K28" s="340">
        <v>1753284.6715328465</v>
      </c>
      <c r="L28" s="340">
        <v>552284.67153284652</v>
      </c>
      <c r="M28" s="329">
        <v>1201000</v>
      </c>
      <c r="N28" s="329">
        <v>35140</v>
      </c>
      <c r="O28" s="329">
        <v>1165860</v>
      </c>
      <c r="P28" s="329">
        <v>1067206.565848581</v>
      </c>
      <c r="Q28" s="329">
        <v>98653.434151418973</v>
      </c>
      <c r="R28" s="340">
        <v>686078.10568426549</v>
      </c>
    </row>
    <row r="30" spans="2:18" x14ac:dyDescent="0.3">
      <c r="B30" s="339" t="s">
        <v>661</v>
      </c>
      <c r="C30">
        <v>2013</v>
      </c>
      <c r="D30" s="52" t="s">
        <v>660</v>
      </c>
      <c r="E30" s="53" t="s">
        <v>659</v>
      </c>
      <c r="F30" s="55" t="s">
        <v>658</v>
      </c>
      <c r="K30" t="s">
        <v>657</v>
      </c>
    </row>
    <row r="31" spans="2:18" x14ac:dyDescent="0.3">
      <c r="D31" s="105">
        <f>C22+P22</f>
        <v>2986967.8130000001</v>
      </c>
      <c r="E31" s="336">
        <f>E22/D31</f>
        <v>0.7760990894882468</v>
      </c>
      <c r="F31" s="335">
        <f>D22/(D22+E22)</f>
        <v>0.22390091051175318</v>
      </c>
      <c r="K31" t="s">
        <v>293</v>
      </c>
      <c r="L31" s="139" t="s">
        <v>656</v>
      </c>
    </row>
    <row r="32" spans="2:18" x14ac:dyDescent="0.3">
      <c r="K32" t="s">
        <v>292</v>
      </c>
      <c r="L32" t="s">
        <v>655</v>
      </c>
    </row>
    <row r="33" spans="2:11" x14ac:dyDescent="0.3">
      <c r="B33" t="s">
        <v>654</v>
      </c>
      <c r="C33">
        <v>2013</v>
      </c>
      <c r="D33" s="52" t="s">
        <v>653</v>
      </c>
      <c r="E33" s="53" t="s">
        <v>652</v>
      </c>
      <c r="F33" s="53" t="s">
        <v>651</v>
      </c>
      <c r="G33" s="53" t="s">
        <v>650</v>
      </c>
      <c r="H33" s="55" t="s">
        <v>649</v>
      </c>
    </row>
    <row r="34" spans="2:11" x14ac:dyDescent="0.3">
      <c r="D34" s="105">
        <f>E22+F22</f>
        <v>3142812</v>
      </c>
      <c r="E34" s="59">
        <f>G22+H22</f>
        <v>3142812</v>
      </c>
      <c r="F34" s="336">
        <f>F22/D34</f>
        <v>0.26238572335857185</v>
      </c>
      <c r="G34" s="336">
        <f>G22/E34</f>
        <v>0.19427442685085841</v>
      </c>
      <c r="H34" s="338">
        <f>G34-F34</f>
        <v>-6.8111296507713442E-2</v>
      </c>
      <c r="K34" t="s">
        <v>648</v>
      </c>
    </row>
    <row r="35" spans="2:11" x14ac:dyDescent="0.3">
      <c r="K35" t="s">
        <v>647</v>
      </c>
    </row>
    <row r="36" spans="2:11" x14ac:dyDescent="0.3">
      <c r="C36">
        <v>2013</v>
      </c>
      <c r="D36" s="52" t="s">
        <v>646</v>
      </c>
      <c r="E36" s="53" t="s">
        <v>288</v>
      </c>
      <c r="F36" s="55" t="s">
        <v>642</v>
      </c>
      <c r="K36" t="s">
        <v>645</v>
      </c>
    </row>
    <row r="37" spans="2:11" x14ac:dyDescent="0.3">
      <c r="D37" s="80">
        <f>H22</f>
        <v>2532244</v>
      </c>
      <c r="E37" s="336">
        <f>I22/D37</f>
        <v>0.25659612580778157</v>
      </c>
      <c r="F37" s="335">
        <f>K22/D37</f>
        <v>0.74340387419221843</v>
      </c>
    </row>
    <row r="38" spans="2:11" x14ac:dyDescent="0.3">
      <c r="K38" t="s">
        <v>644</v>
      </c>
    </row>
    <row r="39" spans="2:11" ht="28.8" x14ac:dyDescent="0.3">
      <c r="B39" s="270" t="s">
        <v>643</v>
      </c>
      <c r="C39">
        <v>2013</v>
      </c>
      <c r="D39" s="52" t="s">
        <v>642</v>
      </c>
      <c r="E39" s="53" t="s">
        <v>641</v>
      </c>
      <c r="F39" s="55" t="s">
        <v>640</v>
      </c>
    </row>
    <row r="40" spans="2:11" x14ac:dyDescent="0.3">
      <c r="D40" s="80">
        <f>K22</f>
        <v>1882480</v>
      </c>
      <c r="E40" s="336">
        <f>M22/D40</f>
        <v>0.62</v>
      </c>
      <c r="F40" s="335">
        <f>L22/D40</f>
        <v>0.37999999999999995</v>
      </c>
      <c r="K40" t="s">
        <v>639</v>
      </c>
    </row>
    <row r="42" spans="2:11" ht="28.8" x14ac:dyDescent="0.3">
      <c r="B42" s="270" t="s">
        <v>638</v>
      </c>
      <c r="C42">
        <v>2013</v>
      </c>
      <c r="D42" s="52" t="s">
        <v>111</v>
      </c>
      <c r="E42" s="53" t="s">
        <v>283</v>
      </c>
      <c r="F42" s="55" t="s">
        <v>282</v>
      </c>
      <c r="K42" t="s">
        <v>637</v>
      </c>
    </row>
    <row r="43" spans="2:11" x14ac:dyDescent="0.3">
      <c r="D43" s="337">
        <f>M22</f>
        <v>1167137.6000000001</v>
      </c>
      <c r="E43" s="336">
        <f>N22/D43</f>
        <v>4.0906570792118145E-2</v>
      </c>
      <c r="F43" s="335">
        <f>O22/D43</f>
        <v>0.95909342920788188</v>
      </c>
    </row>
    <row r="45" spans="2:11" ht="28.8" x14ac:dyDescent="0.3">
      <c r="B45" s="270" t="s">
        <v>636</v>
      </c>
      <c r="C45">
        <v>2013</v>
      </c>
      <c r="D45" s="52" t="s">
        <v>282</v>
      </c>
      <c r="E45" s="53" t="s">
        <v>635</v>
      </c>
      <c r="F45" s="55" t="s">
        <v>42</v>
      </c>
    </row>
    <row r="46" spans="2:11" x14ac:dyDescent="0.3">
      <c r="D46" s="80">
        <f>O22</f>
        <v>1119394.0031414572</v>
      </c>
      <c r="E46" s="336">
        <f>Q22/D46</f>
        <v>6.4097209037401945E-3</v>
      </c>
      <c r="F46" s="335">
        <f>P22/D46</f>
        <v>0.99359027909625985</v>
      </c>
    </row>
  </sheetData>
  <mergeCells count="1">
    <mergeCell ref="B2:D2"/>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AL125"/>
  <sheetViews>
    <sheetView topLeftCell="E1" zoomScale="90" zoomScaleNormal="90" workbookViewId="0">
      <selection activeCell="F13" sqref="F13"/>
    </sheetView>
  </sheetViews>
  <sheetFormatPr defaultRowHeight="14.4" x14ac:dyDescent="0.3"/>
  <cols>
    <col min="2" max="2" width="15.109375" customWidth="1"/>
    <col min="3" max="3" width="12.109375" customWidth="1"/>
    <col min="5" max="5" width="12.5546875" customWidth="1"/>
    <col min="10" max="10" width="19.88671875" customWidth="1"/>
    <col min="13" max="13" width="17.33203125" customWidth="1"/>
    <col min="20" max="20" width="27.6640625" customWidth="1"/>
    <col min="21" max="21" width="17.21875" customWidth="1"/>
    <col min="22" max="22" width="16" customWidth="1"/>
    <col min="23" max="23" width="12.6640625" customWidth="1"/>
    <col min="24" max="25" width="17.77734375" customWidth="1"/>
    <col min="26" max="27" width="18.88671875" customWidth="1"/>
    <col min="28" max="28" width="17" customWidth="1"/>
    <col min="29" max="29" width="18.6640625" customWidth="1"/>
    <col min="30" max="31" width="24.77734375" customWidth="1"/>
    <col min="32" max="32" width="19.88671875" customWidth="1"/>
    <col min="33" max="33" width="19" customWidth="1"/>
    <col min="34" max="34" width="17" customWidth="1"/>
    <col min="35" max="35" width="17.109375" customWidth="1"/>
  </cols>
  <sheetData>
    <row r="1" spans="2:22" x14ac:dyDescent="0.3">
      <c r="C1" s="68" t="s">
        <v>165</v>
      </c>
      <c r="E1" s="326" t="s">
        <v>1504</v>
      </c>
      <c r="J1" s="723" t="s">
        <v>1453</v>
      </c>
    </row>
    <row r="2" spans="2:22" x14ac:dyDescent="0.3">
      <c r="C2" s="354" t="s">
        <v>1334</v>
      </c>
      <c r="G2">
        <v>2015</v>
      </c>
      <c r="H2">
        <v>2022</v>
      </c>
      <c r="M2" t="s">
        <v>1501</v>
      </c>
      <c r="N2" t="s">
        <v>1532</v>
      </c>
      <c r="P2" s="749">
        <v>2013</v>
      </c>
      <c r="Q2" s="749">
        <v>2022</v>
      </c>
      <c r="V2" s="264" t="s">
        <v>1479</v>
      </c>
    </row>
    <row r="3" spans="2:22" x14ac:dyDescent="0.3">
      <c r="B3" s="720" t="s">
        <v>190</v>
      </c>
      <c r="C3" s="721">
        <f t="shared" ref="C3:C26" si="0">D3*$H$4</f>
        <v>29.887274995374661</v>
      </c>
      <c r="D3" s="722">
        <v>23.503915030641519</v>
      </c>
      <c r="E3" s="722"/>
      <c r="G3">
        <v>1</v>
      </c>
      <c r="H3" s="62">
        <v>1.27158709331664</v>
      </c>
      <c r="M3">
        <v>13.334</v>
      </c>
      <c r="N3">
        <v>15.4245</v>
      </c>
      <c r="O3">
        <f>N3/M3</f>
        <v>1.1567796610169492</v>
      </c>
      <c r="P3" s="115">
        <v>13.5662</v>
      </c>
      <c r="Q3">
        <f>1/0.0547</f>
        <v>18.281535648994517</v>
      </c>
      <c r="T3" t="s">
        <v>1480</v>
      </c>
    </row>
    <row r="4" spans="2:22" x14ac:dyDescent="0.3">
      <c r="B4" s="720" t="s">
        <v>191</v>
      </c>
      <c r="C4" s="721">
        <f t="shared" si="0"/>
        <v>902.44585222802596</v>
      </c>
      <c r="D4" s="722">
        <v>709.70038699764359</v>
      </c>
      <c r="E4" s="722"/>
      <c r="H4" s="62">
        <v>1.2715870933166369</v>
      </c>
      <c r="T4" s="734" t="s">
        <v>80</v>
      </c>
      <c r="U4" t="s">
        <v>1481</v>
      </c>
      <c r="V4" t="s">
        <v>1482</v>
      </c>
    </row>
    <row r="5" spans="2:22" x14ac:dyDescent="0.3">
      <c r="B5" s="144" t="s">
        <v>192</v>
      </c>
      <c r="C5" s="650">
        <f t="shared" si="0"/>
        <v>16650.292476531846</v>
      </c>
      <c r="D5" s="145">
        <v>13094.103081137337</v>
      </c>
      <c r="E5" s="742">
        <f>AI54+AI55</f>
        <v>26139.486049354622</v>
      </c>
      <c r="F5" s="4" t="s">
        <v>193</v>
      </c>
      <c r="J5" s="326" t="s">
        <v>1454</v>
      </c>
      <c r="T5" t="s">
        <v>1466</v>
      </c>
      <c r="U5">
        <f>1500/1.4</f>
        <v>1071.4285714285716</v>
      </c>
      <c r="V5">
        <f>U5*H3*M3</f>
        <v>18166.438181018657</v>
      </c>
    </row>
    <row r="6" spans="2:22" ht="28.8" x14ac:dyDescent="0.3">
      <c r="B6" s="144" t="s">
        <v>74</v>
      </c>
      <c r="C6" s="650">
        <f t="shared" si="0"/>
        <v>499.50877429595533</v>
      </c>
      <c r="D6" s="145">
        <v>392.8230924341201</v>
      </c>
      <c r="E6" s="145"/>
      <c r="F6" s="144" t="s">
        <v>194</v>
      </c>
      <c r="J6" s="326" t="s">
        <v>73</v>
      </c>
      <c r="T6" s="270" t="s">
        <v>1483</v>
      </c>
      <c r="U6">
        <f>U5*0.3</f>
        <v>321.42857142857144</v>
      </c>
      <c r="V6">
        <f>V5*0.3</f>
        <v>5449.9314543055971</v>
      </c>
    </row>
    <row r="7" spans="2:22" x14ac:dyDescent="0.3">
      <c r="B7" s="144" t="s">
        <v>195</v>
      </c>
      <c r="C7" s="650">
        <f t="shared" si="0"/>
        <v>666.01169906127382</v>
      </c>
      <c r="D7" s="145">
        <v>523.76412324549347</v>
      </c>
      <c r="E7" s="145"/>
      <c r="J7" s="326" t="s">
        <v>1456</v>
      </c>
      <c r="T7" t="s">
        <v>1484</v>
      </c>
      <c r="U7" s="2">
        <f>1.3*1^0.6*0.0000036*24*365*1.4</f>
        <v>5.7395519999999998E-2</v>
      </c>
    </row>
    <row r="8" spans="2:22" x14ac:dyDescent="0.3">
      <c r="B8" s="144" t="s">
        <v>196</v>
      </c>
      <c r="C8" s="650">
        <f t="shared" si="0"/>
        <v>499.50877429595533</v>
      </c>
      <c r="D8" s="145">
        <v>392.8230924341201</v>
      </c>
      <c r="E8" s="145"/>
      <c r="I8" s="2"/>
      <c r="J8" s="326" t="s">
        <v>1455</v>
      </c>
      <c r="T8" t="s">
        <v>1485</v>
      </c>
    </row>
    <row r="9" spans="2:22" x14ac:dyDescent="0.3">
      <c r="B9" s="720" t="s">
        <v>197</v>
      </c>
      <c r="C9" s="721">
        <f t="shared" si="0"/>
        <v>29.887274995374661</v>
      </c>
      <c r="D9" s="722">
        <v>23.503915030641519</v>
      </c>
      <c r="E9" s="722"/>
      <c r="J9" s="326"/>
      <c r="T9" t="s">
        <v>1486</v>
      </c>
    </row>
    <row r="10" spans="2:22" x14ac:dyDescent="0.3">
      <c r="B10" s="720" t="s">
        <v>198</v>
      </c>
      <c r="C10" s="721">
        <f t="shared" si="0"/>
        <v>902.44585222802596</v>
      </c>
      <c r="D10" s="722">
        <v>709.70038699764359</v>
      </c>
      <c r="E10" s="722"/>
      <c r="J10" s="326"/>
      <c r="T10" t="s">
        <v>1487</v>
      </c>
    </row>
    <row r="11" spans="2:22" x14ac:dyDescent="0.3">
      <c r="B11" s="144" t="s">
        <v>199</v>
      </c>
      <c r="C11" s="650">
        <f t="shared" si="0"/>
        <v>16650.292476531846</v>
      </c>
      <c r="D11" s="145">
        <v>13094.103081137337</v>
      </c>
      <c r="E11" s="743">
        <f>AI55</f>
        <v>13069.743024677311</v>
      </c>
      <c r="J11" s="326" t="s">
        <v>1457</v>
      </c>
      <c r="T11" t="s">
        <v>1488</v>
      </c>
    </row>
    <row r="12" spans="2:22" x14ac:dyDescent="0.3">
      <c r="B12" s="144" t="s">
        <v>62</v>
      </c>
      <c r="C12" s="650">
        <f t="shared" si="0"/>
        <v>499.50877429595533</v>
      </c>
      <c r="D12" s="145">
        <v>392.8230924341201</v>
      </c>
      <c r="E12" s="742">
        <f>AL88*H3</f>
        <v>363.17045026347773</v>
      </c>
      <c r="F12" s="650">
        <f>E12*0.05</f>
        <v>18.158522513173889</v>
      </c>
      <c r="J12" s="326" t="s">
        <v>1458</v>
      </c>
      <c r="T12" t="s">
        <v>1489</v>
      </c>
    </row>
    <row r="13" spans="2:22" x14ac:dyDescent="0.3">
      <c r="B13" s="720" t="s">
        <v>200</v>
      </c>
      <c r="C13" s="721">
        <f t="shared" si="0"/>
        <v>63.271111410821007</v>
      </c>
      <c r="D13" s="722">
        <v>49.757591708321876</v>
      </c>
      <c r="E13" s="722"/>
      <c r="J13" s="326"/>
      <c r="T13" t="s">
        <v>1490</v>
      </c>
    </row>
    <row r="14" spans="2:22" x14ac:dyDescent="0.3">
      <c r="B14" s="720" t="s">
        <v>201</v>
      </c>
      <c r="C14" s="721">
        <f t="shared" si="0"/>
        <v>1465.2257379348023</v>
      </c>
      <c r="D14" s="722">
        <v>1152.2810711400855</v>
      </c>
      <c r="E14" s="722"/>
      <c r="J14" s="326"/>
      <c r="T14" t="s">
        <v>1491</v>
      </c>
    </row>
    <row r="15" spans="2:22" x14ac:dyDescent="0.3">
      <c r="B15" s="144" t="s">
        <v>202</v>
      </c>
      <c r="C15" s="650">
        <f t="shared" si="0"/>
        <v>24975.438714797765</v>
      </c>
      <c r="D15" s="145">
        <v>19641.154621706002</v>
      </c>
      <c r="E15" s="742">
        <f>AI56</f>
        <v>4309.4828351638689</v>
      </c>
      <c r="J15" s="326" t="s">
        <v>1459</v>
      </c>
    </row>
    <row r="16" spans="2:22" x14ac:dyDescent="0.3">
      <c r="B16" s="720" t="s">
        <v>203</v>
      </c>
      <c r="C16" s="721">
        <f t="shared" si="0"/>
        <v>94.906667116231503</v>
      </c>
      <c r="D16" s="722">
        <v>74.63638756248281</v>
      </c>
      <c r="E16" s="722"/>
      <c r="J16" s="326"/>
    </row>
    <row r="17" spans="2:10" x14ac:dyDescent="0.3">
      <c r="B17" s="720" t="s">
        <v>204</v>
      </c>
      <c r="C17" s="721">
        <f t="shared" si="0"/>
        <v>636.04117260351643</v>
      </c>
      <c r="D17" s="722">
        <v>500.19473769944625</v>
      </c>
      <c r="E17" s="722"/>
      <c r="J17" s="326"/>
    </row>
    <row r="18" spans="2:10" x14ac:dyDescent="0.3">
      <c r="B18" s="144" t="s">
        <v>205</v>
      </c>
      <c r="C18" s="650">
        <f t="shared" si="0"/>
        <v>34767.475720246148</v>
      </c>
      <c r="D18" s="145">
        <v>27341.796643722872</v>
      </c>
      <c r="E18" s="742">
        <f>AI58+AI59</f>
        <v>26139.486049354622</v>
      </c>
      <c r="J18" s="326" t="s">
        <v>1441</v>
      </c>
    </row>
    <row r="19" spans="2:10" x14ac:dyDescent="0.3">
      <c r="B19" s="720" t="s">
        <v>206</v>
      </c>
      <c r="C19" s="721">
        <f t="shared" si="0"/>
        <v>12.987228131694836</v>
      </c>
      <c r="D19" s="722">
        <v>10.213400403287121</v>
      </c>
      <c r="E19" s="722"/>
      <c r="J19" s="326"/>
    </row>
    <row r="20" spans="2:10" x14ac:dyDescent="0.3">
      <c r="B20" s="720" t="s">
        <v>207</v>
      </c>
      <c r="C20" s="721">
        <f t="shared" si="0"/>
        <v>494.51368655299575</v>
      </c>
      <c r="D20" s="722">
        <v>388.89486150977888</v>
      </c>
      <c r="E20" s="722"/>
      <c r="J20" s="326"/>
    </row>
    <row r="21" spans="2:10" x14ac:dyDescent="0.3">
      <c r="B21" s="144" t="s">
        <v>208</v>
      </c>
      <c r="C21" s="650">
        <f t="shared" si="0"/>
        <v>8325.1462382659229</v>
      </c>
      <c r="D21" s="145">
        <v>6547.0515405686683</v>
      </c>
      <c r="E21" s="742">
        <f>AI57</f>
        <v>4309.4828351638689</v>
      </c>
      <c r="J21" s="326" t="s">
        <v>1460</v>
      </c>
    </row>
    <row r="22" spans="2:10" x14ac:dyDescent="0.3">
      <c r="B22" s="144" t="s">
        <v>209</v>
      </c>
      <c r="C22" s="650">
        <f t="shared" si="0"/>
        <v>333.00584953063691</v>
      </c>
      <c r="D22" s="145">
        <v>261.88206162274673</v>
      </c>
      <c r="E22" s="742">
        <f>W63*$O$3*$H$3</f>
        <v>355.15681142780943</v>
      </c>
      <c r="J22" s="326" t="s">
        <v>1461</v>
      </c>
    </row>
    <row r="23" spans="2:10" x14ac:dyDescent="0.3">
      <c r="B23" s="144" t="s">
        <v>210</v>
      </c>
      <c r="C23" s="650">
        <f t="shared" si="0"/>
        <v>333.00584953063691</v>
      </c>
      <c r="D23" s="145">
        <v>261.88206162274673</v>
      </c>
      <c r="E23" s="742">
        <f>W64*$O$3*$H$3</f>
        <v>218.15587346318435</v>
      </c>
      <c r="J23" s="326" t="s">
        <v>1462</v>
      </c>
    </row>
    <row r="24" spans="2:10" x14ac:dyDescent="0.3">
      <c r="B24" s="144" t="s">
        <v>211</v>
      </c>
      <c r="C24" s="650">
        <f>D24*$H$4</f>
        <v>333.00584953063691</v>
      </c>
      <c r="D24" s="145">
        <v>261.88206162274673</v>
      </c>
      <c r="E24" s="742">
        <f>W61*$O$3*$H$3</f>
        <v>218.15587346318435</v>
      </c>
      <c r="J24" s="326" t="s">
        <v>1463</v>
      </c>
    </row>
    <row r="25" spans="2:10" x14ac:dyDescent="0.3">
      <c r="B25" s="144" t="s">
        <v>212</v>
      </c>
      <c r="C25" s="650">
        <f t="shared" si="0"/>
        <v>333.00584953063691</v>
      </c>
      <c r="D25" s="145">
        <v>261.88206162274673</v>
      </c>
      <c r="E25" s="742">
        <f>W62*$O$3*$H$3</f>
        <v>69.451039237054076</v>
      </c>
      <c r="J25" s="326" t="s">
        <v>1464</v>
      </c>
    </row>
    <row r="26" spans="2:10" x14ac:dyDescent="0.3">
      <c r="B26" s="144" t="s">
        <v>213</v>
      </c>
      <c r="C26" s="650">
        <f t="shared" si="0"/>
        <v>333.00584953063691</v>
      </c>
      <c r="D26" s="145">
        <v>261.88206162274673</v>
      </c>
      <c r="E26" s="742">
        <f>W65*$O$3*$H$3</f>
        <v>146.80369371664722</v>
      </c>
      <c r="J26" s="326" t="s">
        <v>1465</v>
      </c>
    </row>
    <row r="27" spans="2:10" x14ac:dyDescent="0.3">
      <c r="B27" s="720" t="s">
        <v>74</v>
      </c>
      <c r="C27" s="2"/>
      <c r="D27" s="2"/>
      <c r="E27" s="2"/>
      <c r="J27" s="326"/>
    </row>
    <row r="29" spans="2:10" x14ac:dyDescent="0.3">
      <c r="B29" s="264" t="s">
        <v>1422</v>
      </c>
    </row>
    <row r="30" spans="2:10" x14ac:dyDescent="0.3">
      <c r="B30" t="s">
        <v>1423</v>
      </c>
    </row>
    <row r="31" spans="2:10" x14ac:dyDescent="0.3">
      <c r="B31" t="s">
        <v>1424</v>
      </c>
    </row>
    <row r="32" spans="2:10" x14ac:dyDescent="0.3">
      <c r="B32" t="s">
        <v>1425</v>
      </c>
    </row>
    <row r="33" spans="2:2" x14ac:dyDescent="0.3">
      <c r="B33" t="s">
        <v>1426</v>
      </c>
    </row>
    <row r="34" spans="2:2" x14ac:dyDescent="0.3">
      <c r="B34" t="s">
        <v>1427</v>
      </c>
    </row>
    <row r="52" spans="20:36" x14ac:dyDescent="0.3">
      <c r="AH52" s="50"/>
    </row>
    <row r="53" spans="20:36" ht="46.2" customHeight="1" x14ac:dyDescent="0.3">
      <c r="T53" s="735" t="s">
        <v>1436</v>
      </c>
      <c r="U53" s="735" t="s">
        <v>1437</v>
      </c>
      <c r="V53" s="735" t="s">
        <v>80</v>
      </c>
      <c r="W53" s="735" t="s">
        <v>1443</v>
      </c>
      <c r="X53" s="709" t="s">
        <v>1500</v>
      </c>
      <c r="Y53" s="709" t="s">
        <v>1502</v>
      </c>
      <c r="Z53" s="735" t="s">
        <v>1477</v>
      </c>
      <c r="AA53" s="736" t="s">
        <v>1498</v>
      </c>
      <c r="AB53" s="736" t="s">
        <v>1492</v>
      </c>
      <c r="AC53" s="736" t="s">
        <v>1493</v>
      </c>
      <c r="AD53" s="737" t="s">
        <v>1494</v>
      </c>
      <c r="AE53" s="737" t="s">
        <v>1499</v>
      </c>
      <c r="AF53" s="736" t="s">
        <v>1495</v>
      </c>
      <c r="AG53" s="738" t="s">
        <v>1496</v>
      </c>
      <c r="AH53" s="739" t="s">
        <v>1497</v>
      </c>
      <c r="AI53" s="741" t="s">
        <v>1503</v>
      </c>
      <c r="AJ53" s="741"/>
    </row>
    <row r="54" spans="20:36" x14ac:dyDescent="0.3">
      <c r="T54" t="s">
        <v>393</v>
      </c>
      <c r="U54" t="s">
        <v>1438</v>
      </c>
      <c r="V54" t="s">
        <v>1444</v>
      </c>
      <c r="W54">
        <v>17.600000000000001</v>
      </c>
      <c r="X54">
        <f>1.85*1.5</f>
        <v>2.7750000000000004</v>
      </c>
      <c r="Y54">
        <f>(X54/1.5)*$H$3*$M$3</f>
        <v>31.367383259225544</v>
      </c>
      <c r="Z54" t="s">
        <v>1478</v>
      </c>
      <c r="AA54" t="s">
        <v>608</v>
      </c>
      <c r="AB54">
        <v>17.2</v>
      </c>
      <c r="AC54">
        <v>15.5</v>
      </c>
      <c r="AD54">
        <v>13.9</v>
      </c>
      <c r="AE54">
        <v>2.9</v>
      </c>
      <c r="AF54">
        <v>2.9</v>
      </c>
      <c r="AG54" s="50">
        <v>17.600000000000001</v>
      </c>
      <c r="AH54" s="740">
        <v>0.9</v>
      </c>
      <c r="AI54" s="326">
        <f>(X54*10^3*$H$3*$M$3)/3.6</f>
        <v>13069.743024677311</v>
      </c>
      <c r="AJ54" s="326"/>
    </row>
    <row r="55" spans="20:36" x14ac:dyDescent="0.3">
      <c r="T55" t="s">
        <v>393</v>
      </c>
      <c r="U55" t="s">
        <v>1439</v>
      </c>
      <c r="V55" t="s">
        <v>1444</v>
      </c>
      <c r="W55">
        <v>18.5</v>
      </c>
      <c r="X55">
        <f>1.85*1.5</f>
        <v>2.7750000000000004</v>
      </c>
      <c r="Y55">
        <f>(X55/1.5)*$H$3*$M$3</f>
        <v>31.367383259225544</v>
      </c>
      <c r="Z55" t="s">
        <v>1478</v>
      </c>
      <c r="AA55" t="s">
        <v>608</v>
      </c>
      <c r="AB55">
        <v>17.600000000000001</v>
      </c>
      <c r="AC55">
        <v>16.399999999999999</v>
      </c>
      <c r="AD55">
        <v>14.8</v>
      </c>
      <c r="AE55">
        <v>2.1</v>
      </c>
      <c r="AF55">
        <v>2.7</v>
      </c>
      <c r="AG55" s="50">
        <v>18.5</v>
      </c>
      <c r="AH55" s="740">
        <v>0.9</v>
      </c>
      <c r="AI55" s="326">
        <f t="shared" ref="AI55:AI59" si="1">(X55*10^3*$H$3*$M$3)/3.6</f>
        <v>13069.743024677311</v>
      </c>
    </row>
    <row r="56" spans="20:36" x14ac:dyDescent="0.3">
      <c r="T56" t="s">
        <v>393</v>
      </c>
      <c r="U56" t="s">
        <v>1440</v>
      </c>
      <c r="V56" t="s">
        <v>1444</v>
      </c>
      <c r="W56">
        <v>7.6</v>
      </c>
      <c r="X56">
        <f>0.61*1.5</f>
        <v>0.91500000000000004</v>
      </c>
      <c r="Y56">
        <f t="shared" ref="Y56:Y59" si="2">(X56/1.5)*$H$3*$M$3</f>
        <v>10.342758804393286</v>
      </c>
      <c r="Z56" t="s">
        <v>1478</v>
      </c>
      <c r="AA56" t="s">
        <v>608</v>
      </c>
      <c r="AB56">
        <v>3.4</v>
      </c>
      <c r="AC56">
        <v>3.4</v>
      </c>
      <c r="AD56">
        <v>3</v>
      </c>
      <c r="AE56">
        <v>0.5</v>
      </c>
      <c r="AF56">
        <v>4.7</v>
      </c>
      <c r="AG56" s="50">
        <v>7.6</v>
      </c>
      <c r="AH56" s="740">
        <v>0.9</v>
      </c>
      <c r="AI56" s="326">
        <f t="shared" si="1"/>
        <v>4309.4828351638689</v>
      </c>
    </row>
    <row r="57" spans="20:36" x14ac:dyDescent="0.3">
      <c r="T57" t="s">
        <v>393</v>
      </c>
      <c r="U57" t="s">
        <v>552</v>
      </c>
      <c r="V57" t="s">
        <v>1444</v>
      </c>
      <c r="W57">
        <v>1.6</v>
      </c>
      <c r="X57">
        <f>0.61*1.5</f>
        <v>0.91500000000000004</v>
      </c>
      <c r="Y57">
        <f t="shared" si="2"/>
        <v>10.342758804393286</v>
      </c>
      <c r="Z57" t="s">
        <v>1478</v>
      </c>
      <c r="AA57" t="s">
        <v>608</v>
      </c>
      <c r="AB57">
        <v>0.4</v>
      </c>
      <c r="AC57">
        <v>0.6</v>
      </c>
      <c r="AD57">
        <v>0.3</v>
      </c>
      <c r="AE57">
        <v>0.03</v>
      </c>
      <c r="AF57">
        <v>1.3</v>
      </c>
      <c r="AG57" s="50">
        <v>1.6</v>
      </c>
      <c r="AH57" s="740">
        <v>0.9</v>
      </c>
      <c r="AI57" s="326">
        <f t="shared" si="1"/>
        <v>4309.4828351638689</v>
      </c>
    </row>
    <row r="58" spans="20:36" x14ac:dyDescent="0.3">
      <c r="T58" t="s">
        <v>1441</v>
      </c>
      <c r="U58" t="s">
        <v>344</v>
      </c>
      <c r="V58" t="s">
        <v>1444</v>
      </c>
      <c r="W58">
        <v>6.7</v>
      </c>
      <c r="X58">
        <f>1.85*1.5</f>
        <v>2.7750000000000004</v>
      </c>
      <c r="Y58">
        <f t="shared" si="2"/>
        <v>31.367383259225544</v>
      </c>
      <c r="Z58" t="s">
        <v>1478</v>
      </c>
      <c r="AA58" t="s">
        <v>608</v>
      </c>
      <c r="AB58">
        <v>4.8</v>
      </c>
      <c r="AC58">
        <v>4.8</v>
      </c>
      <c r="AD58">
        <v>4.3</v>
      </c>
      <c r="AE58">
        <v>0.2</v>
      </c>
      <c r="AF58">
        <v>2.1</v>
      </c>
      <c r="AG58" s="50">
        <v>6.7</v>
      </c>
      <c r="AH58" s="740">
        <v>0.9</v>
      </c>
      <c r="AI58" s="326">
        <f t="shared" si="1"/>
        <v>13069.743024677311</v>
      </c>
    </row>
    <row r="59" spans="20:36" x14ac:dyDescent="0.3">
      <c r="T59" t="s">
        <v>1441</v>
      </c>
      <c r="U59" t="s">
        <v>1442</v>
      </c>
      <c r="V59" t="s">
        <v>1444</v>
      </c>
      <c r="W59">
        <v>7.6</v>
      </c>
      <c r="X59">
        <f>1.85*1.5</f>
        <v>2.7750000000000004</v>
      </c>
      <c r="Y59">
        <f t="shared" si="2"/>
        <v>31.367383259225544</v>
      </c>
      <c r="Z59" t="s">
        <v>1478</v>
      </c>
      <c r="AA59" t="s">
        <v>608</v>
      </c>
      <c r="AB59">
        <v>6.7</v>
      </c>
      <c r="AC59">
        <v>6.7</v>
      </c>
      <c r="AD59">
        <v>6</v>
      </c>
      <c r="AE59">
        <v>0.9</v>
      </c>
      <c r="AF59">
        <v>2.2999999999999998</v>
      </c>
      <c r="AG59" s="50">
        <v>7.6</v>
      </c>
      <c r="AH59" s="740">
        <v>0.9</v>
      </c>
      <c r="AI59" s="326">
        <f t="shared" si="1"/>
        <v>13069.743024677311</v>
      </c>
    </row>
    <row r="61" spans="20:36" x14ac:dyDescent="0.3">
      <c r="T61" t="s">
        <v>112</v>
      </c>
      <c r="U61" t="s">
        <v>1505</v>
      </c>
      <c r="V61" t="s">
        <v>1531</v>
      </c>
      <c r="W61">
        <f>AH81/(0.036*24*366)</f>
        <v>148.30990437158474</v>
      </c>
      <c r="AD61">
        <f>SUM(AD54:AD59)</f>
        <v>42.3</v>
      </c>
    </row>
    <row r="62" spans="20:36" x14ac:dyDescent="0.3">
      <c r="T62" t="s">
        <v>112</v>
      </c>
      <c r="U62" t="s">
        <v>1506</v>
      </c>
      <c r="V62" t="s">
        <v>1531</v>
      </c>
      <c r="W62">
        <f>AH83/(0.036*24*366)</f>
        <v>47.215217377555163</v>
      </c>
    </row>
    <row r="63" spans="20:36" x14ac:dyDescent="0.3">
      <c r="T63" t="s">
        <v>112</v>
      </c>
      <c r="U63" t="s">
        <v>1507</v>
      </c>
      <c r="V63" t="s">
        <v>1531</v>
      </c>
      <c r="W63">
        <f>AH82/(0.036*24*366)</f>
        <v>241.44787808641982</v>
      </c>
    </row>
    <row r="64" spans="20:36" x14ac:dyDescent="0.3">
      <c r="T64" t="s">
        <v>112</v>
      </c>
      <c r="U64" t="s">
        <v>1508</v>
      </c>
      <c r="V64" t="s">
        <v>1531</v>
      </c>
      <c r="W64">
        <f>AH81/(0.036*24*366)</f>
        <v>148.30990437158474</v>
      </c>
    </row>
    <row r="65" spans="20:38" x14ac:dyDescent="0.3">
      <c r="T65" t="s">
        <v>112</v>
      </c>
      <c r="U65" t="s">
        <v>1509</v>
      </c>
      <c r="V65" t="s">
        <v>1531</v>
      </c>
      <c r="W65">
        <f>AH84/(0.036*24*366)</f>
        <v>99.802225953754331</v>
      </c>
    </row>
    <row r="67" spans="20:38" x14ac:dyDescent="0.3">
      <c r="T67" t="s">
        <v>1534</v>
      </c>
      <c r="U67" t="s">
        <v>1535</v>
      </c>
      <c r="V67" t="s">
        <v>1536</v>
      </c>
    </row>
    <row r="69" spans="20:38" x14ac:dyDescent="0.3">
      <c r="T69" s="264" t="s">
        <v>1446</v>
      </c>
    </row>
    <row r="77" spans="20:38" x14ac:dyDescent="0.3">
      <c r="Y77" s="746"/>
      <c r="Z77" s="746"/>
      <c r="AA77" s="746"/>
      <c r="AB77" s="746"/>
      <c r="AC77" s="746"/>
      <c r="AD77" s="746"/>
      <c r="AE77" s="746"/>
      <c r="AF77" s="746"/>
      <c r="AG77" s="746"/>
      <c r="AH77" s="745" t="s">
        <v>1510</v>
      </c>
      <c r="AI77" s="746"/>
      <c r="AJ77" s="745" t="s">
        <v>1511</v>
      </c>
    </row>
    <row r="78" spans="20:38" x14ac:dyDescent="0.3">
      <c r="Y78" s="746"/>
      <c r="Z78" s="746"/>
      <c r="AA78" s="745" t="s">
        <v>1512</v>
      </c>
      <c r="AB78" s="746"/>
      <c r="AC78" s="745" t="s">
        <v>1513</v>
      </c>
      <c r="AD78" s="746"/>
      <c r="AE78" s="745" t="s">
        <v>1514</v>
      </c>
      <c r="AF78" s="746"/>
      <c r="AG78" s="746"/>
      <c r="AH78" s="744" t="s">
        <v>1512</v>
      </c>
      <c r="AI78" s="744" t="s">
        <v>1513</v>
      </c>
      <c r="AJ78" s="744" t="s">
        <v>1514</v>
      </c>
    </row>
    <row r="79" spans="20:38" x14ac:dyDescent="0.3">
      <c r="Y79" s="746"/>
      <c r="Z79" s="746"/>
      <c r="AA79" s="746"/>
      <c r="AB79" s="746"/>
      <c r="AC79" s="746"/>
      <c r="AD79" s="746"/>
      <c r="AE79" s="746"/>
      <c r="AF79" s="746"/>
      <c r="AG79" s="746"/>
      <c r="AH79" s="745" t="s">
        <v>1515</v>
      </c>
      <c r="AI79" s="745" t="s">
        <v>1516</v>
      </c>
      <c r="AJ79" s="745" t="s">
        <v>1517</v>
      </c>
      <c r="AL79" s="745" t="s">
        <v>1530</v>
      </c>
    </row>
    <row r="80" spans="20:38" x14ac:dyDescent="0.3">
      <c r="Y80" s="746"/>
      <c r="Z80" s="746"/>
      <c r="AA80" s="745" t="s">
        <v>1518</v>
      </c>
      <c r="AB80" s="745" t="s">
        <v>1519</v>
      </c>
      <c r="AC80" s="745" t="s">
        <v>1520</v>
      </c>
      <c r="AD80" s="745" t="s">
        <v>1519</v>
      </c>
      <c r="AE80" s="745" t="s">
        <v>1543</v>
      </c>
      <c r="AF80" s="745" t="s">
        <v>1519</v>
      </c>
      <c r="AG80" s="745" t="s">
        <v>1521</v>
      </c>
      <c r="AH80" s="746"/>
      <c r="AI80" s="746"/>
      <c r="AJ80" s="746"/>
    </row>
    <row r="81" spans="25:38" x14ac:dyDescent="0.3">
      <c r="Y81" s="745" t="s">
        <v>1522</v>
      </c>
      <c r="Z81" s="745" t="s">
        <v>1523</v>
      </c>
      <c r="AA81" s="745">
        <v>3672</v>
      </c>
      <c r="AB81" s="745" t="s">
        <v>1524</v>
      </c>
      <c r="AC81" s="745">
        <v>4.5199999999999996</v>
      </c>
      <c r="AD81" s="746"/>
      <c r="AE81" s="745">
        <v>40.79</v>
      </c>
      <c r="AF81" s="746"/>
      <c r="AG81" s="745">
        <v>12.7721</v>
      </c>
      <c r="AH81" s="745">
        <v>46899.1512</v>
      </c>
      <c r="AI81" s="745">
        <v>57.729891999999992</v>
      </c>
      <c r="AJ81" s="745">
        <v>520.97395900000004</v>
      </c>
      <c r="AL81" s="326">
        <f>AH81/(24*365*0.0036)</f>
        <v>1487.1623287671234</v>
      </c>
    </row>
    <row r="82" spans="25:38" x14ac:dyDescent="0.3">
      <c r="Y82" s="745" t="s">
        <v>1525</v>
      </c>
      <c r="Z82" s="745" t="s">
        <v>1523</v>
      </c>
      <c r="AA82" s="745">
        <v>5978</v>
      </c>
      <c r="AB82" s="745" t="s">
        <v>1524</v>
      </c>
      <c r="AC82" s="745">
        <v>11.03</v>
      </c>
      <c r="AD82" s="746"/>
      <c r="AE82" s="745">
        <v>59.85</v>
      </c>
      <c r="AF82" s="746"/>
      <c r="AG82" s="745">
        <v>12.7721</v>
      </c>
      <c r="AH82" s="745">
        <v>76351.613800000006</v>
      </c>
      <c r="AI82" s="745">
        <v>140.87626299999999</v>
      </c>
      <c r="AJ82" s="745">
        <v>764.41018500000007</v>
      </c>
      <c r="AL82" s="326">
        <f t="shared" ref="AL82:AL85" si="3">AH82/(24*365*0.0036)</f>
        <v>2421.09379122273</v>
      </c>
    </row>
    <row r="83" spans="25:38" x14ac:dyDescent="0.3">
      <c r="Y83" s="745" t="s">
        <v>1526</v>
      </c>
      <c r="Z83" s="745" t="s">
        <v>1523</v>
      </c>
      <c r="AA83" s="745">
        <v>1169</v>
      </c>
      <c r="AB83" s="745" t="s">
        <v>1524</v>
      </c>
      <c r="AC83" s="745">
        <v>4.72</v>
      </c>
      <c r="AD83" s="746"/>
      <c r="AE83" s="745">
        <v>35.340000000000003</v>
      </c>
      <c r="AF83" s="746"/>
      <c r="AG83" s="745">
        <v>12.7721</v>
      </c>
      <c r="AH83" s="745">
        <v>14930.5849</v>
      </c>
      <c r="AI83" s="745">
        <v>60.284312</v>
      </c>
      <c r="AJ83" s="745">
        <v>451.36601400000006</v>
      </c>
      <c r="AL83" s="326">
        <f t="shared" si="3"/>
        <v>473.44574137493663</v>
      </c>
    </row>
    <row r="84" spans="25:38" x14ac:dyDescent="0.3">
      <c r="Y84" s="745" t="s">
        <v>1527</v>
      </c>
      <c r="Z84" s="745" t="s">
        <v>1523</v>
      </c>
      <c r="AA84" s="745">
        <v>2471</v>
      </c>
      <c r="AB84" s="745" t="s">
        <v>1524</v>
      </c>
      <c r="AC84" s="745">
        <v>5.87</v>
      </c>
      <c r="AD84" s="746"/>
      <c r="AE84" s="745">
        <v>48.42</v>
      </c>
      <c r="AF84" s="746"/>
      <c r="AG84" s="745">
        <v>12.7721</v>
      </c>
      <c r="AH84" s="745">
        <v>31559.859100000001</v>
      </c>
      <c r="AI84" s="745">
        <v>74.972227000000004</v>
      </c>
      <c r="AJ84" s="745">
        <v>618.42508199999997</v>
      </c>
      <c r="AL84" s="326">
        <f t="shared" si="3"/>
        <v>1000.75656709792</v>
      </c>
    </row>
    <row r="85" spans="25:38" x14ac:dyDescent="0.3">
      <c r="Y85" s="745" t="s">
        <v>1528</v>
      </c>
      <c r="Z85" s="745" t="s">
        <v>1523</v>
      </c>
      <c r="AA85" s="745">
        <v>1248</v>
      </c>
      <c r="AB85" s="745" t="s">
        <v>1524</v>
      </c>
      <c r="AC85" s="745">
        <v>0</v>
      </c>
      <c r="AD85" s="746"/>
      <c r="AE85" s="745">
        <v>22.02</v>
      </c>
      <c r="AF85" s="746"/>
      <c r="AG85" s="745">
        <v>12.7721</v>
      </c>
      <c r="AH85" s="745">
        <v>15939.5808</v>
      </c>
      <c r="AI85" s="745">
        <v>0</v>
      </c>
      <c r="AJ85" s="745">
        <v>281.24164200000001</v>
      </c>
      <c r="AL85" s="326">
        <f t="shared" si="3"/>
        <v>505.44079147640792</v>
      </c>
    </row>
    <row r="86" spans="25:38" x14ac:dyDescent="0.3">
      <c r="Y86" s="745" t="s">
        <v>1529</v>
      </c>
      <c r="Z86" s="745" t="s">
        <v>1523</v>
      </c>
      <c r="AA86" s="745">
        <v>1846</v>
      </c>
      <c r="AB86" s="745" t="s">
        <v>1524</v>
      </c>
      <c r="AC86" s="745">
        <v>0</v>
      </c>
      <c r="AD86" s="746"/>
      <c r="AE86" s="745">
        <v>15.33</v>
      </c>
      <c r="AF86" s="746"/>
      <c r="AG86" s="745">
        <v>12.7721</v>
      </c>
      <c r="AH86" s="745">
        <v>23577.296600000001</v>
      </c>
      <c r="AI86" s="745">
        <v>0</v>
      </c>
      <c r="AJ86" s="745">
        <v>195.79629299999999</v>
      </c>
      <c r="AL86" s="326">
        <f>AH86/(24*365*0.0036)</f>
        <v>747.63117072552018</v>
      </c>
    </row>
    <row r="87" spans="25:38" x14ac:dyDescent="0.3">
      <c r="Y87" s="746"/>
      <c r="Z87" s="746"/>
      <c r="AA87" s="746"/>
      <c r="AB87" s="746"/>
      <c r="AC87" s="745"/>
      <c r="AD87" s="746"/>
      <c r="AE87" s="746"/>
      <c r="AF87" s="746"/>
      <c r="AG87" s="746"/>
      <c r="AH87" s="746"/>
      <c r="AI87" s="746"/>
      <c r="AJ87" s="746"/>
      <c r="AL87" s="326"/>
    </row>
    <row r="88" spans="25:38" x14ac:dyDescent="0.3">
      <c r="Y88" s="745" t="s">
        <v>1534</v>
      </c>
      <c r="Z88" s="745" t="s">
        <v>1523</v>
      </c>
      <c r="AA88" s="745">
        <v>9006.8099776293639</v>
      </c>
      <c r="AB88" s="185"/>
      <c r="AC88" s="185"/>
      <c r="AD88" s="185"/>
      <c r="AE88" s="745">
        <v>233.83466581683584</v>
      </c>
      <c r="AF88" s="185"/>
      <c r="AG88" s="745">
        <v>12.7721</v>
      </c>
      <c r="AH88" s="745">
        <v>9006.8099776293639</v>
      </c>
      <c r="AI88" s="185"/>
      <c r="AJ88" s="745">
        <v>2986.5597352792088</v>
      </c>
      <c r="AL88" s="326">
        <f>AH88/(24*365*0.0036)</f>
        <v>285.6040708279225</v>
      </c>
    </row>
    <row r="89" spans="25:38" x14ac:dyDescent="0.3">
      <c r="Y89" s="745" t="s">
        <v>1537</v>
      </c>
      <c r="Z89" s="745" t="s">
        <v>1538</v>
      </c>
      <c r="AA89" s="185"/>
      <c r="AB89" s="185"/>
      <c r="AC89" s="185"/>
      <c r="AD89" s="185"/>
      <c r="AE89" s="745">
        <v>98.951999999999998</v>
      </c>
      <c r="AF89" s="185"/>
      <c r="AG89" s="745">
        <v>12.7721</v>
      </c>
      <c r="AH89" s="750">
        <v>27056.765257629362</v>
      </c>
      <c r="AI89" s="185"/>
      <c r="AJ89" s="745">
        <v>1263.8248392</v>
      </c>
      <c r="AL89" s="326">
        <f t="shared" ref="AL89:AL91" si="4">AH89/(24*365*0.0036)</f>
        <v>857.96439807297577</v>
      </c>
    </row>
    <row r="90" spans="25:38" x14ac:dyDescent="0.3">
      <c r="Y90" s="745" t="s">
        <v>1539</v>
      </c>
      <c r="Z90" s="745" t="s">
        <v>1540</v>
      </c>
      <c r="AA90" s="185"/>
      <c r="AB90" s="185"/>
      <c r="AC90" s="185"/>
      <c r="AD90" s="185"/>
      <c r="AE90" s="745">
        <v>80.31</v>
      </c>
      <c r="AF90" s="185"/>
      <c r="AG90" s="745">
        <v>12.7721</v>
      </c>
      <c r="AH90" s="745">
        <v>28968.950300000004</v>
      </c>
      <c r="AI90" s="185"/>
      <c r="AJ90" s="745">
        <v>1532.4923231999999</v>
      </c>
      <c r="AL90" s="326">
        <f t="shared" si="4"/>
        <v>918.59938800101486</v>
      </c>
    </row>
    <row r="91" spans="25:38" x14ac:dyDescent="0.3">
      <c r="Y91" s="745" t="s">
        <v>1541</v>
      </c>
      <c r="Z91" s="745" t="s">
        <v>1542</v>
      </c>
      <c r="AA91" s="185"/>
      <c r="AB91" s="185"/>
      <c r="AC91" s="185"/>
      <c r="AD91" s="185"/>
      <c r="AE91" s="745">
        <v>128.77466468424117</v>
      </c>
      <c r="AF91" s="185"/>
      <c r="AG91" s="745">
        <v>12.7721</v>
      </c>
      <c r="AH91" s="745">
        <v>44840.916919204865</v>
      </c>
      <c r="AI91" s="185"/>
      <c r="AJ91" s="745">
        <v>1644.7228948135967</v>
      </c>
      <c r="AL91" s="326">
        <f t="shared" si="4"/>
        <v>1421.8961478692563</v>
      </c>
    </row>
    <row r="92" spans="25:38" x14ac:dyDescent="0.3">
      <c r="AA92" s="326"/>
    </row>
    <row r="120" spans="2:18" x14ac:dyDescent="0.3">
      <c r="R120" s="4" t="s">
        <v>1447</v>
      </c>
    </row>
    <row r="121" spans="2:18" x14ac:dyDescent="0.3">
      <c r="R121" s="719" t="s">
        <v>1448</v>
      </c>
    </row>
    <row r="122" spans="2:18" x14ac:dyDescent="0.3">
      <c r="R122" s="123" t="s">
        <v>1449</v>
      </c>
    </row>
    <row r="123" spans="2:18" x14ac:dyDescent="0.3">
      <c r="B123" s="264" t="s">
        <v>1445</v>
      </c>
      <c r="R123" s="719" t="s">
        <v>1450</v>
      </c>
    </row>
    <row r="124" spans="2:18" x14ac:dyDescent="0.3">
      <c r="R124" t="s">
        <v>1451</v>
      </c>
    </row>
    <row r="125" spans="2:18" x14ac:dyDescent="0.3">
      <c r="R125" t="s">
        <v>1452</v>
      </c>
    </row>
  </sheetData>
  <hyperlinks>
    <hyperlink ref="B123" r:id="rId1" xr:uid="{3F7DA33E-9DDE-4992-A5AC-D79F4CE2C6B7}"/>
    <hyperlink ref="T69" r:id="rId2" xr:uid="{B3875C2D-BB9F-4546-BF08-E83F4C9EAF33}"/>
    <hyperlink ref="V2" r:id="rId3" location=":~:text=International%20Monetary%20Fund-,ZA%3A%20Official%20Rate%3A%20Period%20Average%3A%20National%20Currency%20per%20USD,14.710%20ZAR%2FUSD%20for%202016." xr:uid="{C57FCA11-12AD-4E24-96AB-00BD66B0DBD9}"/>
  </hyperlinks>
  <pageMargins left="0.7" right="0.7" top="0.75" bottom="0.75" header="0.3" footer="0.3"/>
  <drawing r:id="rId4"/>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B10" sqref="B10"/>
    </sheetView>
  </sheetViews>
  <sheetFormatPr defaultRowHeight="14.4" x14ac:dyDescent="0.3"/>
  <cols>
    <col min="2" max="2" width="21.44140625" bestFit="1" customWidth="1"/>
    <col min="3" max="3" width="15.5546875" customWidth="1"/>
  </cols>
  <sheetData>
    <row r="2" spans="2:16" ht="23.4" x14ac:dyDescent="0.45">
      <c r="B2" s="347" t="s">
        <v>682</v>
      </c>
      <c r="C2" s="346"/>
      <c r="D2" s="346"/>
      <c r="E2" s="346"/>
    </row>
    <row r="3" spans="2:16" x14ac:dyDescent="0.3">
      <c r="B3" s="345" t="s">
        <v>681</v>
      </c>
      <c r="C3" s="345" t="s">
        <v>9</v>
      </c>
    </row>
    <row r="4" spans="2:16" x14ac:dyDescent="0.3">
      <c r="B4" s="344" t="s">
        <v>680</v>
      </c>
      <c r="C4" s="344" t="s">
        <v>679</v>
      </c>
    </row>
    <row r="5" spans="2:16" x14ac:dyDescent="0.3">
      <c r="B5" s="344" t="s">
        <v>678</v>
      </c>
      <c r="C5" s="344" t="s">
        <v>677</v>
      </c>
    </row>
    <row r="6" spans="2:16" x14ac:dyDescent="0.3">
      <c r="B6" s="344" t="s">
        <v>676</v>
      </c>
      <c r="C6" s="344" t="s">
        <v>675</v>
      </c>
    </row>
    <row r="7" spans="2:16" x14ac:dyDescent="0.3">
      <c r="B7" s="344" t="s">
        <v>674</v>
      </c>
      <c r="C7" s="344" t="s">
        <v>673</v>
      </c>
    </row>
    <row r="9" spans="2:16" x14ac:dyDescent="0.3">
      <c r="B9" s="344" t="s">
        <v>672</v>
      </c>
    </row>
    <row r="10" spans="2:16" x14ac:dyDescent="0.3">
      <c r="B10" s="343" t="s">
        <v>671</v>
      </c>
      <c r="C10" s="343" t="s">
        <v>279</v>
      </c>
      <c r="D10" s="343"/>
      <c r="E10" s="343"/>
      <c r="F10" s="343"/>
      <c r="G10" s="343"/>
      <c r="H10" s="343"/>
      <c r="I10" s="343"/>
      <c r="J10" s="343"/>
      <c r="K10" s="343"/>
      <c r="L10" s="343"/>
      <c r="M10" s="343"/>
      <c r="N10" s="343"/>
      <c r="O10" s="343"/>
      <c r="P10" s="343"/>
    </row>
    <row r="11" spans="2:16" x14ac:dyDescent="0.3">
      <c r="B11" s="343" t="s">
        <v>670</v>
      </c>
      <c r="C11" s="343">
        <v>2017</v>
      </c>
      <c r="D11" s="343">
        <v>2018</v>
      </c>
      <c r="E11" s="343">
        <v>2019</v>
      </c>
      <c r="F11" s="343">
        <v>2020</v>
      </c>
      <c r="G11" s="343">
        <v>2021</v>
      </c>
      <c r="H11" s="343">
        <v>2022</v>
      </c>
      <c r="I11" s="343">
        <v>2023</v>
      </c>
      <c r="J11" s="343">
        <v>2024</v>
      </c>
      <c r="K11" s="343">
        <v>2025</v>
      </c>
      <c r="L11" s="343">
        <v>2026</v>
      </c>
      <c r="M11" s="343">
        <v>2027</v>
      </c>
      <c r="N11" s="343">
        <v>2028</v>
      </c>
      <c r="O11" s="343">
        <v>2029</v>
      </c>
      <c r="P11" s="343">
        <v>2030</v>
      </c>
    </row>
    <row r="12" spans="2:16" x14ac:dyDescent="0.3">
      <c r="B12" s="328" t="s">
        <v>669</v>
      </c>
      <c r="C12" s="328">
        <v>0.93309975099999998</v>
      </c>
      <c r="D12" s="328">
        <v>0.947451355</v>
      </c>
      <c r="E12" s="328">
        <v>0.91547233400000005</v>
      </c>
      <c r="F12" s="328">
        <v>0.8898625</v>
      </c>
      <c r="G12" s="328">
        <v>0.87744582800000004</v>
      </c>
      <c r="H12" s="328">
        <v>0.86548320400000001</v>
      </c>
      <c r="I12" s="328">
        <v>0.83008370200000003</v>
      </c>
      <c r="J12" s="328">
        <v>0.80538257599999996</v>
      </c>
      <c r="K12" s="328">
        <v>0.78038487700000003</v>
      </c>
      <c r="L12" s="328">
        <v>0.708612943</v>
      </c>
      <c r="M12" s="328">
        <v>0.63474668099999998</v>
      </c>
      <c r="N12" s="328">
        <v>0.56335547600000002</v>
      </c>
      <c r="O12" s="328">
        <v>0.50272971799999999</v>
      </c>
      <c r="P12" s="328">
        <v>0.43589348700000002</v>
      </c>
    </row>
    <row r="13" spans="2:16" x14ac:dyDescent="0.3">
      <c r="B13" s="328" t="s">
        <v>668</v>
      </c>
      <c r="C13" s="328">
        <v>0.93348759699999995</v>
      </c>
      <c r="D13" s="328">
        <v>0.94987398000000001</v>
      </c>
      <c r="E13" s="328">
        <v>0.91547233400000005</v>
      </c>
      <c r="F13" s="328">
        <v>0.89037387800000001</v>
      </c>
      <c r="G13" s="328">
        <v>0.87820706599999998</v>
      </c>
      <c r="H13" s="328">
        <v>0.86647335199999997</v>
      </c>
      <c r="I13" s="328">
        <v>0.84989640399999999</v>
      </c>
      <c r="J13" s="328">
        <v>0.85454575200000005</v>
      </c>
      <c r="K13" s="328">
        <v>0.86158612999999995</v>
      </c>
      <c r="L13" s="328">
        <v>0.85160239699999996</v>
      </c>
      <c r="M13" s="328">
        <v>0.85017395799999995</v>
      </c>
      <c r="N13" s="328">
        <v>0.83908308499999995</v>
      </c>
      <c r="O13" s="328">
        <v>0.80594290000000002</v>
      </c>
      <c r="P13" s="328">
        <v>0.760274699</v>
      </c>
    </row>
    <row r="14" spans="2:16" x14ac:dyDescent="0.3">
      <c r="B14" s="328" t="s">
        <v>667</v>
      </c>
      <c r="C14" s="328">
        <v>0.93607395999999998</v>
      </c>
      <c r="D14" s="328">
        <v>0.94947816699999998</v>
      </c>
      <c r="E14" s="328">
        <v>0.91660094599999997</v>
      </c>
      <c r="F14" s="328">
        <v>0.89436196000000001</v>
      </c>
      <c r="G14" s="328">
        <v>0.88454854900000002</v>
      </c>
      <c r="H14" s="328">
        <v>0.86101362299999995</v>
      </c>
      <c r="I14" s="328">
        <v>0.82138217300000005</v>
      </c>
      <c r="J14" s="328">
        <v>0.801386072</v>
      </c>
      <c r="K14" s="328">
        <v>0.77214252500000002</v>
      </c>
      <c r="L14" s="328">
        <v>0.73607475</v>
      </c>
      <c r="M14" s="328">
        <v>0.70629315400000003</v>
      </c>
      <c r="N14" s="328">
        <v>0.67379028799999996</v>
      </c>
      <c r="O14" s="328">
        <v>0.64701583399999996</v>
      </c>
      <c r="P14" s="328">
        <v>0.55077526399999999</v>
      </c>
    </row>
    <row r="15" spans="2:16" x14ac:dyDescent="0.3">
      <c r="B15" s="328" t="s">
        <v>666</v>
      </c>
      <c r="C15" s="328">
        <v>0.93737119800000002</v>
      </c>
      <c r="D15" s="328">
        <v>0.95033969799999995</v>
      </c>
      <c r="E15" s="328">
        <v>0.91656858299999999</v>
      </c>
      <c r="F15" s="328">
        <v>0.89183826700000002</v>
      </c>
      <c r="G15" s="328">
        <v>0.87926288799999996</v>
      </c>
      <c r="H15" s="328">
        <v>0.85381668399999999</v>
      </c>
      <c r="I15" s="328">
        <v>0.81130610000000003</v>
      </c>
      <c r="J15" s="328">
        <v>0.78888591100000005</v>
      </c>
      <c r="K15" s="328">
        <v>0.75748796799999996</v>
      </c>
      <c r="L15" s="328">
        <v>0.71652890499999999</v>
      </c>
      <c r="M15" s="328">
        <v>0.68141705399999997</v>
      </c>
      <c r="N15" s="328">
        <v>0.64491457500000005</v>
      </c>
      <c r="O15" s="328">
        <v>0.61370186199999999</v>
      </c>
      <c r="P15" s="328">
        <v>0.56957768499999994</v>
      </c>
    </row>
    <row r="17" spans="2:2" x14ac:dyDescent="0.3">
      <c r="B17" t="s">
        <v>625</v>
      </c>
    </row>
    <row r="18" spans="2:2" x14ac:dyDescent="0.3">
      <c r="B18" s="2" t="s">
        <v>665</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A61" zoomScale="80" zoomScaleNormal="80" workbookViewId="0">
      <selection activeCell="H75" sqref="H75"/>
    </sheetView>
  </sheetViews>
  <sheetFormatPr defaultRowHeight="14.4" x14ac:dyDescent="0.3"/>
  <cols>
    <col min="2" max="2" width="18.6640625" customWidth="1"/>
    <col min="3" max="3" width="21" customWidth="1"/>
    <col min="4" max="4" width="15.88671875" customWidth="1"/>
    <col min="5" max="6" width="14" customWidth="1"/>
    <col min="7" max="7" width="13.88671875" customWidth="1"/>
    <col min="8" max="8" width="20.88671875" customWidth="1"/>
    <col min="9" max="9" width="14.44140625" bestFit="1" customWidth="1"/>
    <col min="10" max="10" width="12.88671875" customWidth="1"/>
    <col min="11" max="11" width="12" customWidth="1"/>
    <col min="12" max="12" width="10.88671875" customWidth="1"/>
    <col min="13" max="13" width="20.109375" customWidth="1"/>
    <col min="14" max="14" width="15.6640625" customWidth="1"/>
    <col min="15" max="15" width="19.44140625" customWidth="1"/>
    <col min="16" max="17" width="16.44140625" customWidth="1"/>
    <col min="18" max="18" width="14.33203125" customWidth="1"/>
    <col min="19" max="19" width="27.109375" customWidth="1"/>
    <col min="20" max="20" width="14.44140625" customWidth="1"/>
    <col min="26" max="26" width="14.5546875" bestFit="1" customWidth="1"/>
    <col min="28" max="30" width="13.5546875" bestFit="1" customWidth="1"/>
    <col min="31" max="31" width="14.5546875" bestFit="1" customWidth="1"/>
  </cols>
  <sheetData>
    <row r="1" spans="1:11" x14ac:dyDescent="0.3">
      <c r="A1" t="s">
        <v>616</v>
      </c>
    </row>
    <row r="2" spans="1:11" x14ac:dyDescent="0.3">
      <c r="A2" t="s">
        <v>615</v>
      </c>
    </row>
    <row r="3" spans="1:11" x14ac:dyDescent="0.3">
      <c r="A3" t="s">
        <v>614</v>
      </c>
    </row>
    <row r="6" spans="1:11" ht="21" x14ac:dyDescent="0.4">
      <c r="A6" s="303" t="s">
        <v>367</v>
      </c>
    </row>
    <row r="7" spans="1:11" x14ac:dyDescent="0.3">
      <c r="D7" s="265" t="s">
        <v>613</v>
      </c>
      <c r="G7" s="67" t="s">
        <v>612</v>
      </c>
    </row>
    <row r="8" spans="1:11" x14ac:dyDescent="0.3">
      <c r="B8" t="s">
        <v>54</v>
      </c>
      <c r="C8" t="s">
        <v>108</v>
      </c>
      <c r="D8" s="307">
        <f>SUMIFS('TNAPP Energy Intensity (OLD) '!$C$76:$C$113,'TNAPP Energy Intensity (OLD) '!$I$76:$I$113,Methodology!C8)</f>
        <v>1342799</v>
      </c>
      <c r="G8" s="307">
        <f>$G$12*(D8/$D$12)</f>
        <v>1149201.7831852953</v>
      </c>
      <c r="H8" t="s">
        <v>611</v>
      </c>
    </row>
    <row r="9" spans="1:11" x14ac:dyDescent="0.3">
      <c r="B9" t="s">
        <v>50</v>
      </c>
      <c r="C9" t="s">
        <v>109</v>
      </c>
      <c r="D9" s="307">
        <f>SUMIFS('TNAPP Energy Intensity (OLD) '!$C$76:$C$113,'TNAPP Energy Intensity (OLD) '!$I$76:$I$113,Methodology!C9)</f>
        <v>371165</v>
      </c>
      <c r="G9" s="307">
        <f>$G$12*(D9/$D$12)</f>
        <v>317652.51527292625</v>
      </c>
      <c r="H9" t="s">
        <v>611</v>
      </c>
      <c r="K9">
        <f>G9/SUM(G8:G9,G11)</f>
        <v>0.18038620479166878</v>
      </c>
    </row>
    <row r="10" spans="1:11" x14ac:dyDescent="0.3">
      <c r="B10" t="s">
        <v>56</v>
      </c>
      <c r="C10" t="s">
        <v>110</v>
      </c>
      <c r="D10" s="307">
        <f>SUMIFS('TNAPP Energy Intensity (OLD) '!$C$76:$C$113,'TNAPP Energy Intensity (OLD) '!$I$76:$I$113,Methodology!C10)</f>
        <v>895153</v>
      </c>
      <c r="G10" s="327">
        <f>'PP prod. and Capacity (OLD)'!H55*1000000</f>
        <v>659107.19806663936</v>
      </c>
    </row>
    <row r="11" spans="1:11" x14ac:dyDescent="0.3">
      <c r="B11" t="s">
        <v>59</v>
      </c>
      <c r="C11" t="s">
        <v>111</v>
      </c>
      <c r="D11" s="307">
        <f>SUMIFS('TNAPP Energy Intensity (OLD) '!$C$76:$C$113,'TNAPP Energy Intensity (OLD) '!$I$76:$I$113,Methodology!C11)</f>
        <v>343649</v>
      </c>
      <c r="G11" s="307">
        <f>$G$12*(D11/$D$12)</f>
        <v>294103.61758524063</v>
      </c>
      <c r="H11" t="s">
        <v>611</v>
      </c>
    </row>
    <row r="12" spans="1:11" x14ac:dyDescent="0.3">
      <c r="B12" t="s">
        <v>60</v>
      </c>
      <c r="C12" t="s">
        <v>46</v>
      </c>
      <c r="D12" s="327">
        <f>SUMIFS('TNAPP Energy Intensity (OLD) '!$C$76:$C$113,'TNAPP Energy Intensity (OLD) '!$I$76:$I$113,Methodology!C12)</f>
        <v>2547318</v>
      </c>
      <c r="G12" s="327">
        <f>'PP prod. and Capacity (OLD)'!H53*1000000</f>
        <v>2180060</v>
      </c>
    </row>
    <row r="14" spans="1:11" ht="21" x14ac:dyDescent="0.4">
      <c r="A14" s="303" t="s">
        <v>610</v>
      </c>
    </row>
    <row r="15" spans="1:11" ht="21" x14ac:dyDescent="0.4">
      <c r="A15" s="303"/>
      <c r="B15" s="326" t="s">
        <v>609</v>
      </c>
    </row>
    <row r="16" spans="1:11" x14ac:dyDescent="0.3">
      <c r="D16" s="325" t="s">
        <v>36</v>
      </c>
      <c r="E16" s="325" t="s">
        <v>43</v>
      </c>
      <c r="F16" s="325" t="s">
        <v>607</v>
      </c>
      <c r="G16" s="325" t="s">
        <v>606</v>
      </c>
    </row>
    <row r="17" spans="1:12" x14ac:dyDescent="0.3">
      <c r="D17" s="325" t="s">
        <v>608</v>
      </c>
      <c r="E17" s="325" t="s">
        <v>608</v>
      </c>
      <c r="F17" s="325" t="s">
        <v>608</v>
      </c>
      <c r="G17" s="325" t="s">
        <v>608</v>
      </c>
    </row>
    <row r="18" spans="1:12" x14ac:dyDescent="0.3">
      <c r="B18" t="s">
        <v>54</v>
      </c>
      <c r="C18" t="s">
        <v>108</v>
      </c>
      <c r="D18" s="324">
        <f>'TNAPP Energy Intensity (OLD) '!C66</f>
        <v>2.7046800000000002</v>
      </c>
      <c r="E18" s="324">
        <f>'TNAPP Energy Intensity (OLD) '!D66</f>
        <v>13.55</v>
      </c>
      <c r="F18" s="324">
        <f>'TNAPP Energy Intensity (OLD) '!E66</f>
        <v>16.25468</v>
      </c>
      <c r="G18" s="324">
        <f>'TNAPP Energy Intensity (OLD) '!F66</f>
        <v>3.4</v>
      </c>
    </row>
    <row r="19" spans="1:12" x14ac:dyDescent="0.3">
      <c r="B19" t="s">
        <v>50</v>
      </c>
      <c r="C19" t="s">
        <v>109</v>
      </c>
      <c r="D19" s="324">
        <f>'TNAPP Energy Intensity (OLD) '!C67</f>
        <v>7.9354800000000001</v>
      </c>
      <c r="E19" s="324">
        <f>'TNAPP Energy Intensity (OLD) '!D67</f>
        <v>4.75</v>
      </c>
      <c r="F19" s="324">
        <f>'TNAPP Energy Intensity (OLD) '!E67</f>
        <v>12.68548</v>
      </c>
      <c r="G19" s="324">
        <f>'TNAPP Energy Intensity (OLD) '!F67</f>
        <v>0</v>
      </c>
    </row>
    <row r="20" spans="1:12" x14ac:dyDescent="0.3">
      <c r="B20" t="s">
        <v>56</v>
      </c>
      <c r="C20" t="s">
        <v>110</v>
      </c>
      <c r="D20" s="324">
        <f>'TNAPP Energy Intensity (OLD) '!C68</f>
        <v>2.5120800000000001</v>
      </c>
      <c r="E20" s="324">
        <f>'TNAPP Energy Intensity (OLD) '!D68</f>
        <v>13.3</v>
      </c>
      <c r="F20" s="324">
        <f>'TNAPP Energy Intensity (OLD) '!E68</f>
        <v>15.812080000000002</v>
      </c>
      <c r="G20" s="324">
        <f>'TNAPP Energy Intensity (OLD) '!F68</f>
        <v>3.4499999999999997</v>
      </c>
    </row>
    <row r="21" spans="1:12" x14ac:dyDescent="0.3">
      <c r="B21" t="s">
        <v>59</v>
      </c>
      <c r="C21" t="s">
        <v>111</v>
      </c>
      <c r="D21" s="324">
        <f>'TNAPP Energy Intensity (OLD) '!C69</f>
        <v>1.9836</v>
      </c>
      <c r="E21" s="324">
        <f>'TNAPP Energy Intensity (OLD) '!D69</f>
        <v>4.3</v>
      </c>
      <c r="F21" s="324">
        <f>'TNAPP Energy Intensity (OLD) '!E69</f>
        <v>6.2835999999999999</v>
      </c>
      <c r="G21" s="324">
        <f>'TNAPP Energy Intensity (OLD) '!F69</f>
        <v>0</v>
      </c>
    </row>
    <row r="22" spans="1:12" x14ac:dyDescent="0.3">
      <c r="B22" t="s">
        <v>60</v>
      </c>
      <c r="C22" t="s">
        <v>46</v>
      </c>
      <c r="D22" s="324">
        <f>'TNAPP Energy Intensity (OLD) '!C70</f>
        <v>1.9188000000000001</v>
      </c>
      <c r="E22" s="324">
        <f>'TNAPP Energy Intensity (OLD) '!D70</f>
        <v>10.6</v>
      </c>
      <c r="F22" s="324">
        <f>'TNAPP Energy Intensity (OLD) '!E70</f>
        <v>12.518799999999999</v>
      </c>
      <c r="G22" s="324">
        <f>'TNAPP Energy Intensity (OLD) '!F70</f>
        <v>0.9</v>
      </c>
    </row>
    <row r="26" spans="1:12" ht="21" x14ac:dyDescent="0.4">
      <c r="A26" s="303" t="s">
        <v>578</v>
      </c>
    </row>
    <row r="28" spans="1:12" x14ac:dyDescent="0.3">
      <c r="D28" s="323" t="s">
        <v>36</v>
      </c>
      <c r="E28" s="323" t="s">
        <v>43</v>
      </c>
      <c r="F28" s="323" t="s">
        <v>607</v>
      </c>
      <c r="G28" s="323" t="s">
        <v>606</v>
      </c>
      <c r="I28" s="85" t="s">
        <v>605</v>
      </c>
      <c r="J28" s="85"/>
      <c r="K28" s="85"/>
      <c r="L28" s="85"/>
    </row>
    <row r="29" spans="1:12" x14ac:dyDescent="0.3">
      <c r="B29" t="s">
        <v>54</v>
      </c>
      <c r="C29" t="s">
        <v>108</v>
      </c>
      <c r="D29" s="307">
        <f t="shared" ref="D29:G33" si="0">D18*$G8</f>
        <v>3108223.0789456046</v>
      </c>
      <c r="E29" s="307">
        <f t="shared" si="0"/>
        <v>15571684.162160752</v>
      </c>
      <c r="F29" s="307">
        <f t="shared" si="0"/>
        <v>18679907.241106357</v>
      </c>
      <c r="G29" s="307">
        <f>G18*$G8</f>
        <v>3907286.0628300039</v>
      </c>
    </row>
    <row r="30" spans="1:12" x14ac:dyDescent="0.3">
      <c r="B30" t="s">
        <v>50</v>
      </c>
      <c r="C30" t="s">
        <v>109</v>
      </c>
      <c r="D30" s="307">
        <f t="shared" si="0"/>
        <v>2520725.1818980007</v>
      </c>
      <c r="E30" s="307">
        <f t="shared" si="0"/>
        <v>1508849.4475463997</v>
      </c>
      <c r="F30" s="307">
        <f t="shared" si="0"/>
        <v>4029574.6294444003</v>
      </c>
      <c r="G30" s="307">
        <f t="shared" si="0"/>
        <v>0</v>
      </c>
    </row>
    <row r="31" spans="1:12" x14ac:dyDescent="0.3">
      <c r="B31" t="s">
        <v>56</v>
      </c>
      <c r="C31" t="s">
        <v>110</v>
      </c>
      <c r="D31" s="307">
        <f t="shared" si="0"/>
        <v>1655730.0101192435</v>
      </c>
      <c r="E31" s="307">
        <f t="shared" si="0"/>
        <v>8766125.7342863046</v>
      </c>
      <c r="F31" s="307">
        <f t="shared" si="0"/>
        <v>10421855.744405547</v>
      </c>
      <c r="G31" s="307">
        <f t="shared" si="0"/>
        <v>2273919.8333299058</v>
      </c>
    </row>
    <row r="32" spans="1:12" x14ac:dyDescent="0.3">
      <c r="B32" t="s">
        <v>59</v>
      </c>
      <c r="C32" t="s">
        <v>111</v>
      </c>
      <c r="D32" s="307">
        <f t="shared" si="0"/>
        <v>583383.9358420833</v>
      </c>
      <c r="E32" s="307">
        <f t="shared" si="0"/>
        <v>1264645.5556165345</v>
      </c>
      <c r="F32" s="307">
        <f t="shared" si="0"/>
        <v>1848029.4914586181</v>
      </c>
      <c r="G32" s="307">
        <f t="shared" si="0"/>
        <v>0</v>
      </c>
    </row>
    <row r="33" spans="1:13" x14ac:dyDescent="0.3">
      <c r="B33" t="s">
        <v>60</v>
      </c>
      <c r="C33" t="s">
        <v>46</v>
      </c>
      <c r="D33" s="307">
        <f t="shared" si="0"/>
        <v>4183099.128</v>
      </c>
      <c r="E33" s="307">
        <f t="shared" si="0"/>
        <v>23108636</v>
      </c>
      <c r="F33" s="307">
        <f t="shared" si="0"/>
        <v>27291735.127999999</v>
      </c>
      <c r="G33" s="307">
        <f t="shared" si="0"/>
        <v>1962054</v>
      </c>
    </row>
    <row r="34" spans="1:13" x14ac:dyDescent="0.3">
      <c r="B34" s="67" t="s">
        <v>604</v>
      </c>
      <c r="C34" s="67"/>
      <c r="D34" s="322">
        <f>SUM(D29:D33)</f>
        <v>12051161.334804932</v>
      </c>
      <c r="E34" s="322">
        <f>SUM(E29:E33)</f>
        <v>50219940.89960999</v>
      </c>
      <c r="F34" s="322">
        <f>SUM(F29:F33)</f>
        <v>62271102.23441492</v>
      </c>
      <c r="G34" s="322">
        <f>SUM(G29:G33)</f>
        <v>8143259.8961599097</v>
      </c>
    </row>
    <row r="39" spans="1:13" ht="21" x14ac:dyDescent="0.4">
      <c r="A39" s="303" t="s">
        <v>603</v>
      </c>
    </row>
    <row r="41" spans="1:13" x14ac:dyDescent="0.3">
      <c r="B41" s="74" t="s">
        <v>602</v>
      </c>
      <c r="C41" s="59"/>
      <c r="D41" s="59"/>
      <c r="E41" s="59"/>
      <c r="F41" s="59"/>
      <c r="G41" s="59"/>
      <c r="H41" s="59"/>
      <c r="I41" s="59"/>
      <c r="J41" s="59"/>
    </row>
    <row r="42" spans="1:13" x14ac:dyDescent="0.3">
      <c r="B42" s="321" t="s">
        <v>601</v>
      </c>
    </row>
    <row r="44" spans="1:13" x14ac:dyDescent="0.3">
      <c r="D44" s="67" t="s">
        <v>37</v>
      </c>
      <c r="E44" s="67" t="s">
        <v>38</v>
      </c>
      <c r="F44" s="67" t="s">
        <v>39</v>
      </c>
      <c r="G44" s="67" t="s">
        <v>101</v>
      </c>
      <c r="H44" s="67" t="s">
        <v>40</v>
      </c>
      <c r="I44" s="67" t="s">
        <v>43</v>
      </c>
      <c r="J44" s="67" t="s">
        <v>36</v>
      </c>
      <c r="M44" s="144"/>
    </row>
    <row r="45" spans="1:13" x14ac:dyDescent="0.3">
      <c r="B45" s="766" t="s">
        <v>112</v>
      </c>
      <c r="C45" t="s">
        <v>38</v>
      </c>
      <c r="D45" s="307">
        <f>'CHP &amp; Boiler summary'!P27</f>
        <v>0</v>
      </c>
      <c r="E45" s="307">
        <f>'CHP &amp; Boiler summary'!Q27</f>
        <v>3357940.8295975383</v>
      </c>
      <c r="F45" s="307">
        <f>'CHP &amp; Boiler summary'!R27</f>
        <v>0</v>
      </c>
      <c r="G45" s="307">
        <f>'CHP &amp; Boiler summary'!S27</f>
        <v>0</v>
      </c>
      <c r="H45" s="307">
        <f>'CHP &amp; Boiler summary'!T27</f>
        <v>0</v>
      </c>
      <c r="I45" s="307">
        <f>'CHP &amp; Boiler summary'!U27</f>
        <v>2418679.3036871068</v>
      </c>
      <c r="J45" s="307">
        <f>'CHP &amp; Boiler summary'!V27</f>
        <v>0</v>
      </c>
      <c r="L45" t="s">
        <v>70</v>
      </c>
      <c r="M45" s="144"/>
    </row>
    <row r="46" spans="1:13" x14ac:dyDescent="0.3">
      <c r="B46" s="766"/>
      <c r="C46" t="s">
        <v>37</v>
      </c>
      <c r="D46" s="307">
        <f>'CHP &amp; Boiler summary'!P28</f>
        <v>39891867.939931601</v>
      </c>
      <c r="E46" s="307">
        <f>'CHP &amp; Boiler summary'!Q28</f>
        <v>0</v>
      </c>
      <c r="F46" s="307">
        <f>'CHP &amp; Boiler summary'!R28</f>
        <v>0</v>
      </c>
      <c r="G46" s="307">
        <f>'CHP &amp; Boiler summary'!S28</f>
        <v>0</v>
      </c>
      <c r="H46" s="307">
        <f>'CHP &amp; Boiler summary'!T28</f>
        <v>0</v>
      </c>
      <c r="I46" s="307">
        <f>'CHP &amp; Boiler summary'!U28</f>
        <v>28069429.163081087</v>
      </c>
      <c r="J46" s="307">
        <f>'CHP &amp; Boiler summary'!V28</f>
        <v>0</v>
      </c>
      <c r="L46" s="144" t="s">
        <v>64</v>
      </c>
      <c r="M46" s="144"/>
    </row>
    <row r="47" spans="1:13" x14ac:dyDescent="0.3">
      <c r="B47" s="766"/>
      <c r="C47" t="s">
        <v>113</v>
      </c>
      <c r="D47" s="307">
        <f>'CHP &amp; Boiler summary'!P29</f>
        <v>12010455.367484022</v>
      </c>
      <c r="E47" s="307">
        <f>'CHP &amp; Boiler summary'!Q29</f>
        <v>0</v>
      </c>
      <c r="F47" s="307">
        <f>'CHP &amp; Boiler summary'!R29</f>
        <v>0</v>
      </c>
      <c r="G47" s="307">
        <f>'CHP &amp; Boiler summary'!S29</f>
        <v>0</v>
      </c>
      <c r="H47" s="307">
        <f>'CHP &amp; Boiler summary'!T29</f>
        <v>438653.03346417233</v>
      </c>
      <c r="I47" s="307">
        <f>'CHP &amp; Boiler summary'!U29</f>
        <v>8668582.8765799701</v>
      </c>
      <c r="J47" s="307">
        <f>'CHP &amp; Boiler summary'!V29</f>
        <v>0</v>
      </c>
      <c r="L47" s="144" t="s">
        <v>72</v>
      </c>
      <c r="M47" s="144"/>
    </row>
    <row r="48" spans="1:13" x14ac:dyDescent="0.3">
      <c r="B48" s="766"/>
      <c r="C48" t="s">
        <v>39</v>
      </c>
      <c r="D48" s="307">
        <f>'CHP &amp; Boiler summary'!P30</f>
        <v>0</v>
      </c>
      <c r="E48" s="307">
        <f>'CHP &amp; Boiler summary'!Q30</f>
        <v>0</v>
      </c>
      <c r="F48" s="307">
        <f>'CHP &amp; Boiler summary'!R30</f>
        <v>4346727.0540352575</v>
      </c>
      <c r="G48" s="307">
        <f>'CHP &amp; Boiler summary'!S30</f>
        <v>0</v>
      </c>
      <c r="H48" s="307">
        <f>'CHP &amp; Boiler summary'!T30</f>
        <v>0</v>
      </c>
      <c r="I48" s="307">
        <f>'CHP &amp; Boiler summary'!U30</f>
        <v>2407738.1420440264</v>
      </c>
      <c r="J48" s="307">
        <f>'CHP &amp; Boiler summary'!V30</f>
        <v>0</v>
      </c>
      <c r="L48" s="144" t="s">
        <v>66</v>
      </c>
      <c r="M48" s="144"/>
    </row>
    <row r="49" spans="1:13" x14ac:dyDescent="0.3">
      <c r="B49" s="767"/>
      <c r="C49" s="59" t="s">
        <v>101</v>
      </c>
      <c r="D49" s="307">
        <f>'CHP &amp; Boiler summary'!P31</f>
        <v>0</v>
      </c>
      <c r="E49" s="307">
        <f>'CHP &amp; Boiler summary'!Q31</f>
        <v>0</v>
      </c>
      <c r="F49" s="307">
        <f>'CHP &amp; Boiler summary'!R31</f>
        <v>0</v>
      </c>
      <c r="G49" s="307">
        <f>'CHP &amp; Boiler summary'!S31</f>
        <v>41452703.660773665</v>
      </c>
      <c r="H49" s="307">
        <f>'CHP &amp; Boiler summary'!T31</f>
        <v>0</v>
      </c>
      <c r="I49" s="307">
        <f>'CHP &amp; Boiler summary'!U31</f>
        <v>23354024.245304406</v>
      </c>
      <c r="J49" s="307">
        <f>'CHP &amp; Boiler summary'!V31</f>
        <v>0</v>
      </c>
      <c r="L49" s="144" t="s">
        <v>68</v>
      </c>
      <c r="M49" s="144"/>
    </row>
    <row r="50" spans="1:13" x14ac:dyDescent="0.3">
      <c r="B50" s="765" t="s">
        <v>115</v>
      </c>
      <c r="C50" t="s">
        <v>597</v>
      </c>
      <c r="D50" s="474">
        <f>'CHP &amp; Boiler summary'!P32</f>
        <v>0</v>
      </c>
      <c r="E50" s="474">
        <f>'CHP &amp; Boiler summary'!Q32</f>
        <v>0</v>
      </c>
      <c r="F50" s="474">
        <f>'CHP &amp; Boiler summary'!R32</f>
        <v>0</v>
      </c>
      <c r="G50" s="474">
        <f>'CHP &amp; Boiler summary'!S32</f>
        <v>0</v>
      </c>
      <c r="H50" s="474">
        <f>'CHP &amp; Boiler summary'!T32</f>
        <v>0</v>
      </c>
      <c r="I50" s="474">
        <f>'CHP &amp; Boiler summary'!U32</f>
        <v>0</v>
      </c>
      <c r="J50" s="474">
        <f>'CHP &amp; Boiler summary'!V32</f>
        <v>0</v>
      </c>
      <c r="L50" s="144" t="s">
        <v>194</v>
      </c>
      <c r="M50" s="144"/>
    </row>
    <row r="51" spans="1:13" x14ac:dyDescent="0.3">
      <c r="B51" s="766"/>
      <c r="C51" t="s">
        <v>596</v>
      </c>
      <c r="D51" s="306">
        <f>'CHP &amp; Boiler summary'!P33</f>
        <v>0</v>
      </c>
      <c r="E51" s="306">
        <f>'CHP &amp; Boiler summary'!Q33</f>
        <v>0</v>
      </c>
      <c r="F51" s="306">
        <f>'CHP &amp; Boiler summary'!R33</f>
        <v>0</v>
      </c>
      <c r="G51" s="306">
        <f>'CHP &amp; Boiler summary'!S33</f>
        <v>0</v>
      </c>
      <c r="H51" s="306">
        <f>'CHP &amp; Boiler summary'!T33</f>
        <v>0</v>
      </c>
      <c r="I51" s="306">
        <f>'CHP &amp; Boiler summary'!U33</f>
        <v>15487578.808564706</v>
      </c>
      <c r="J51" s="306">
        <f>'CHP &amp; Boiler summary'!V33</f>
        <v>7915899.9920000006</v>
      </c>
      <c r="L51" s="144" t="s">
        <v>62</v>
      </c>
      <c r="M51" s="144"/>
    </row>
    <row r="52" spans="1:13" x14ac:dyDescent="0.3">
      <c r="C52" s="320" t="s">
        <v>600</v>
      </c>
      <c r="D52" s="319">
        <f t="shared" ref="D52:J52" si="1">SUM(D45:D51)</f>
        <v>51902323.307415619</v>
      </c>
      <c r="E52" s="319">
        <f t="shared" si="1"/>
        <v>3357940.8295975383</v>
      </c>
      <c r="F52" s="319">
        <f t="shared" si="1"/>
        <v>4346727.0540352575</v>
      </c>
      <c r="G52" s="319">
        <f t="shared" si="1"/>
        <v>41452703.660773665</v>
      </c>
      <c r="H52" s="319">
        <f t="shared" si="1"/>
        <v>438653.03346417233</v>
      </c>
      <c r="I52" s="319">
        <f t="shared" si="1"/>
        <v>80406032.539261296</v>
      </c>
      <c r="J52" s="319">
        <f t="shared" si="1"/>
        <v>7915899.9920000006</v>
      </c>
    </row>
    <row r="55" spans="1:13" ht="21" x14ac:dyDescent="0.4">
      <c r="A55" s="303" t="s">
        <v>599</v>
      </c>
    </row>
    <row r="57" spans="1:13" x14ac:dyDescent="0.3">
      <c r="B57" s="2" t="s">
        <v>598</v>
      </c>
    </row>
    <row r="58" spans="1:13" x14ac:dyDescent="0.3">
      <c r="D58" s="67" t="s">
        <v>37</v>
      </c>
      <c r="E58" s="67" t="s">
        <v>38</v>
      </c>
      <c r="F58" s="67" t="s">
        <v>39</v>
      </c>
      <c r="G58" s="67" t="s">
        <v>101</v>
      </c>
      <c r="H58" s="67" t="s">
        <v>40</v>
      </c>
      <c r="I58" s="67" t="s">
        <v>43</v>
      </c>
      <c r="J58" s="67" t="s">
        <v>36</v>
      </c>
    </row>
    <row r="59" spans="1:13" x14ac:dyDescent="0.3">
      <c r="B59" s="763" t="s">
        <v>107</v>
      </c>
      <c r="C59" t="s">
        <v>108</v>
      </c>
      <c r="D59" s="288">
        <f>-G29</f>
        <v>-3907286.0628300039</v>
      </c>
      <c r="I59" s="288">
        <f>-E29</f>
        <v>-15571684.162160752</v>
      </c>
      <c r="J59" s="288">
        <f>-D29</f>
        <v>-3108223.0789456046</v>
      </c>
      <c r="L59" t="s">
        <v>54</v>
      </c>
    </row>
    <row r="60" spans="1:13" x14ac:dyDescent="0.3">
      <c r="B60" s="763"/>
      <c r="C60" t="s">
        <v>109</v>
      </c>
      <c r="D60" s="288">
        <f>-G30</f>
        <v>0</v>
      </c>
      <c r="I60" s="288">
        <f>-E30</f>
        <v>-1508849.4475463997</v>
      </c>
      <c r="J60" s="288">
        <f>-D30</f>
        <v>-2520725.1818980007</v>
      </c>
      <c r="L60" t="s">
        <v>50</v>
      </c>
    </row>
    <row r="61" spans="1:13" x14ac:dyDescent="0.3">
      <c r="B61" s="763"/>
      <c r="C61" t="s">
        <v>110</v>
      </c>
      <c r="D61" s="288">
        <f>-G31</f>
        <v>-2273919.8333299058</v>
      </c>
      <c r="I61" s="288">
        <f>-E31</f>
        <v>-8766125.7342863046</v>
      </c>
      <c r="J61" s="288">
        <f>-D31</f>
        <v>-1655730.0101192435</v>
      </c>
      <c r="L61" t="s">
        <v>56</v>
      </c>
    </row>
    <row r="62" spans="1:13" x14ac:dyDescent="0.3">
      <c r="B62" s="763"/>
      <c r="C62" t="s">
        <v>111</v>
      </c>
      <c r="D62" s="288">
        <f>-G32</f>
        <v>0</v>
      </c>
      <c r="I62" s="288">
        <f>-E32</f>
        <v>-1264645.5556165345</v>
      </c>
      <c r="J62" s="288">
        <f>-D32</f>
        <v>-583383.9358420833</v>
      </c>
      <c r="L62" t="s">
        <v>59</v>
      </c>
    </row>
    <row r="63" spans="1:13" x14ac:dyDescent="0.3">
      <c r="B63" s="764"/>
      <c r="C63" s="80" t="s">
        <v>46</v>
      </c>
      <c r="D63" s="298">
        <f>-G33</f>
        <v>-1962054</v>
      </c>
      <c r="E63" s="59"/>
      <c r="F63" s="59"/>
      <c r="G63" s="59"/>
      <c r="H63" s="59"/>
      <c r="I63" s="298">
        <f>-E33</f>
        <v>-23108636</v>
      </c>
      <c r="J63" s="298">
        <f>-D33</f>
        <v>-4183099.128</v>
      </c>
      <c r="L63" t="s">
        <v>60</v>
      </c>
    </row>
    <row r="64" spans="1:13" x14ac:dyDescent="0.3">
      <c r="B64" s="765" t="s">
        <v>112</v>
      </c>
      <c r="C64" t="s">
        <v>38</v>
      </c>
      <c r="D64" s="288">
        <f t="shared" ref="D64:J70" si="2">D45</f>
        <v>0</v>
      </c>
      <c r="E64" s="288">
        <f>E45</f>
        <v>3357940.8295975383</v>
      </c>
      <c r="F64" s="288">
        <f t="shared" si="2"/>
        <v>0</v>
      </c>
      <c r="G64" s="288">
        <f t="shared" si="2"/>
        <v>0</v>
      </c>
      <c r="H64" s="288">
        <f t="shared" si="2"/>
        <v>0</v>
      </c>
      <c r="I64" s="288">
        <f t="shared" si="2"/>
        <v>2418679.3036871068</v>
      </c>
      <c r="J64" s="288">
        <f t="shared" si="2"/>
        <v>0</v>
      </c>
      <c r="L64" t="s">
        <v>70</v>
      </c>
    </row>
    <row r="65" spans="2:20" x14ac:dyDescent="0.3">
      <c r="B65" s="766"/>
      <c r="C65" t="s">
        <v>37</v>
      </c>
      <c r="D65" s="288">
        <f t="shared" si="2"/>
        <v>39891867.939931601</v>
      </c>
      <c r="E65" s="288">
        <f t="shared" si="2"/>
        <v>0</v>
      </c>
      <c r="F65" s="288">
        <f t="shared" si="2"/>
        <v>0</v>
      </c>
      <c r="G65" s="288">
        <f t="shared" si="2"/>
        <v>0</v>
      </c>
      <c r="H65" s="288">
        <f t="shared" si="2"/>
        <v>0</v>
      </c>
      <c r="I65" s="288">
        <f t="shared" si="2"/>
        <v>28069429.163081087</v>
      </c>
      <c r="J65" s="288">
        <f t="shared" si="2"/>
        <v>0</v>
      </c>
      <c r="L65" s="144" t="s">
        <v>64</v>
      </c>
    </row>
    <row r="66" spans="2:20" x14ac:dyDescent="0.3">
      <c r="B66" s="766"/>
      <c r="C66" t="s">
        <v>113</v>
      </c>
      <c r="D66" s="288">
        <f t="shared" si="2"/>
        <v>12010455.367484022</v>
      </c>
      <c r="E66" s="288">
        <f t="shared" si="2"/>
        <v>0</v>
      </c>
      <c r="F66" s="288">
        <f t="shared" si="2"/>
        <v>0</v>
      </c>
      <c r="G66" s="288">
        <f t="shared" si="2"/>
        <v>0</v>
      </c>
      <c r="H66" s="288">
        <f t="shared" si="2"/>
        <v>438653.03346417233</v>
      </c>
      <c r="I66" s="288">
        <f>I47</f>
        <v>8668582.8765799701</v>
      </c>
      <c r="J66" s="288">
        <f t="shared" si="2"/>
        <v>0</v>
      </c>
      <c r="L66" s="144" t="s">
        <v>72</v>
      </c>
    </row>
    <row r="67" spans="2:20" x14ac:dyDescent="0.3">
      <c r="B67" s="766"/>
      <c r="C67" t="s">
        <v>39</v>
      </c>
      <c r="D67" s="288">
        <f t="shared" si="2"/>
        <v>0</v>
      </c>
      <c r="E67" s="288">
        <f t="shared" si="2"/>
        <v>0</v>
      </c>
      <c r="F67" s="288">
        <f>F48</f>
        <v>4346727.0540352575</v>
      </c>
      <c r="G67" s="288">
        <f t="shared" si="2"/>
        <v>0</v>
      </c>
      <c r="H67" s="288">
        <f t="shared" si="2"/>
        <v>0</v>
      </c>
      <c r="I67" s="288">
        <f t="shared" si="2"/>
        <v>2407738.1420440264</v>
      </c>
      <c r="J67" s="288">
        <f t="shared" si="2"/>
        <v>0</v>
      </c>
      <c r="L67" s="144" t="s">
        <v>66</v>
      </c>
    </row>
    <row r="68" spans="2:20" x14ac:dyDescent="0.3">
      <c r="B68" s="767"/>
      <c r="C68" s="59" t="s">
        <v>101</v>
      </c>
      <c r="D68" s="298">
        <f t="shared" si="2"/>
        <v>0</v>
      </c>
      <c r="E68" s="298">
        <f t="shared" si="2"/>
        <v>0</v>
      </c>
      <c r="F68" s="298">
        <f t="shared" si="2"/>
        <v>0</v>
      </c>
      <c r="G68" s="298">
        <f t="shared" si="2"/>
        <v>41452703.660773665</v>
      </c>
      <c r="H68" s="298">
        <f t="shared" si="2"/>
        <v>0</v>
      </c>
      <c r="I68" s="298">
        <f>I49</f>
        <v>23354024.245304406</v>
      </c>
      <c r="J68" s="298">
        <f t="shared" si="2"/>
        <v>0</v>
      </c>
      <c r="L68" s="144" t="s">
        <v>68</v>
      </c>
    </row>
    <row r="69" spans="2:20" x14ac:dyDescent="0.3">
      <c r="B69" s="765" t="s">
        <v>115</v>
      </c>
      <c r="C69" t="s">
        <v>597</v>
      </c>
      <c r="D69" s="288">
        <f t="shared" si="2"/>
        <v>0</v>
      </c>
      <c r="E69" s="288">
        <f t="shared" si="2"/>
        <v>0</v>
      </c>
      <c r="F69" s="288">
        <f t="shared" si="2"/>
        <v>0</v>
      </c>
      <c r="G69" s="288">
        <f t="shared" si="2"/>
        <v>0</v>
      </c>
      <c r="H69" s="288">
        <f t="shared" si="2"/>
        <v>0</v>
      </c>
      <c r="I69" s="288">
        <f t="shared" si="2"/>
        <v>0</v>
      </c>
      <c r="J69" s="288">
        <f t="shared" si="2"/>
        <v>0</v>
      </c>
      <c r="L69" s="144" t="s">
        <v>194</v>
      </c>
    </row>
    <row r="70" spans="2:20" x14ac:dyDescent="0.3">
      <c r="B70" s="767"/>
      <c r="C70" t="s">
        <v>596</v>
      </c>
      <c r="D70" s="288">
        <f t="shared" si="2"/>
        <v>0</v>
      </c>
      <c r="E70" s="288">
        <f t="shared" si="2"/>
        <v>0</v>
      </c>
      <c r="F70" s="288">
        <f t="shared" si="2"/>
        <v>0</v>
      </c>
      <c r="G70" s="288">
        <f t="shared" si="2"/>
        <v>0</v>
      </c>
      <c r="H70" s="288">
        <f t="shared" si="2"/>
        <v>0</v>
      </c>
      <c r="I70" s="288">
        <f t="shared" si="2"/>
        <v>15487578.808564706</v>
      </c>
      <c r="J70" s="288">
        <f t="shared" si="2"/>
        <v>7915899.9920000006</v>
      </c>
      <c r="K70" s="318">
        <f>J70/I70</f>
        <v>0.51111281432979505</v>
      </c>
      <c r="L70" s="144" t="s">
        <v>62</v>
      </c>
    </row>
    <row r="71" spans="2:20" ht="15" thickBot="1" x14ac:dyDescent="0.35">
      <c r="B71" s="317" t="s">
        <v>595</v>
      </c>
      <c r="C71" s="316"/>
      <c r="D71" s="315">
        <f>SUM(D59:D70)</f>
        <v>43759063.411255717</v>
      </c>
      <c r="E71" s="315">
        <f t="shared" ref="E71:I71" si="3">SUM(E59:E70)</f>
        <v>3357940.8295975383</v>
      </c>
      <c r="F71" s="315">
        <f>SUM(F59:F70)</f>
        <v>4346727.0540352575</v>
      </c>
      <c r="G71" s="315">
        <f t="shared" si="3"/>
        <v>41452703.660773665</v>
      </c>
      <c r="H71" s="315">
        <f t="shared" si="3"/>
        <v>438653.03346417233</v>
      </c>
      <c r="I71" s="315">
        <f t="shared" si="3"/>
        <v>30186091.639651306</v>
      </c>
      <c r="J71" s="315">
        <f>SUM(J59:J70)</f>
        <v>-4135261.3428049311</v>
      </c>
    </row>
    <row r="72" spans="2:20" ht="15" thickTop="1" x14ac:dyDescent="0.3">
      <c r="D72" s="86"/>
    </row>
    <row r="73" spans="2:20" x14ac:dyDescent="0.3">
      <c r="B73" s="314" t="s">
        <v>594</v>
      </c>
      <c r="C73" s="2"/>
      <c r="D73" s="312">
        <f>-R74</f>
        <v>-58622400</v>
      </c>
      <c r="E73" s="313"/>
      <c r="F73" s="313"/>
      <c r="G73" s="313"/>
      <c r="H73" s="313"/>
      <c r="I73" s="313"/>
      <c r="J73" s="312">
        <f>-R75</f>
        <v>-7966000</v>
      </c>
      <c r="K73" t="s">
        <v>593</v>
      </c>
      <c r="N73" s="52"/>
      <c r="O73" s="53"/>
      <c r="P73" s="311" t="s">
        <v>592</v>
      </c>
      <c r="Q73" s="311"/>
      <c r="R73" s="55" t="s">
        <v>558</v>
      </c>
      <c r="T73" s="2" t="s">
        <v>910</v>
      </c>
    </row>
    <row r="74" spans="2:20" x14ac:dyDescent="0.3">
      <c r="B74" s="2" t="s">
        <v>591</v>
      </c>
      <c r="D74" s="288">
        <f>D73-D71</f>
        <v>-102381463.41125572</v>
      </c>
      <c r="I74" s="288"/>
      <c r="J74" s="288">
        <f>J73-J71</f>
        <v>-3830738.6571950689</v>
      </c>
      <c r="N74" s="50" t="s">
        <v>590</v>
      </c>
      <c r="O74" t="s">
        <v>37</v>
      </c>
      <c r="P74" s="309">
        <v>58622.400000000001</v>
      </c>
      <c r="Q74" s="309"/>
      <c r="R74" s="308">
        <f>P74*1000</f>
        <v>58622400</v>
      </c>
      <c r="S74" s="2" t="s">
        <v>909</v>
      </c>
      <c r="T74" s="483">
        <v>70718</v>
      </c>
    </row>
    <row r="75" spans="2:20" x14ac:dyDescent="0.3">
      <c r="D75" s="310">
        <f>D74/D73</f>
        <v>1.7464563615828714</v>
      </c>
      <c r="I75" s="310"/>
      <c r="J75" s="310">
        <f>J74/J73</f>
        <v>0.48088609806616484</v>
      </c>
      <c r="N75" s="50" t="s">
        <v>589</v>
      </c>
      <c r="O75" t="s">
        <v>588</v>
      </c>
      <c r="P75" s="309">
        <v>7966</v>
      </c>
      <c r="Q75" s="309"/>
      <c r="R75" s="308">
        <f>P75*1000</f>
        <v>7966000</v>
      </c>
    </row>
    <row r="76" spans="2:20" x14ac:dyDescent="0.3">
      <c r="N76" s="80"/>
      <c r="O76" s="59"/>
      <c r="P76" s="59"/>
      <c r="Q76" s="59"/>
      <c r="R76" s="107"/>
    </row>
    <row r="78" spans="2:20" x14ac:dyDescent="0.3">
      <c r="B78" s="2" t="s">
        <v>587</v>
      </c>
      <c r="D78" t="s">
        <v>586</v>
      </c>
      <c r="J78" t="s">
        <v>585</v>
      </c>
      <c r="N78" s="484"/>
      <c r="O78" s="485"/>
      <c r="P78" s="485" t="s">
        <v>592</v>
      </c>
      <c r="Q78" s="486" t="s">
        <v>912</v>
      </c>
    </row>
    <row r="79" spans="2:20" x14ac:dyDescent="0.3">
      <c r="B79" s="67"/>
      <c r="M79" s="2" t="s">
        <v>920</v>
      </c>
      <c r="N79" s="487" t="s">
        <v>917</v>
      </c>
      <c r="O79" s="326" t="s">
        <v>911</v>
      </c>
      <c r="P79" s="326"/>
      <c r="Q79" s="488">
        <v>803</v>
      </c>
    </row>
    <row r="80" spans="2:20" ht="15.6" x14ac:dyDescent="0.3">
      <c r="B80" s="763" t="s">
        <v>107</v>
      </c>
      <c r="C80" t="s">
        <v>108</v>
      </c>
      <c r="D80" s="307"/>
      <c r="I80" s="86"/>
      <c r="J80" s="284">
        <f>$J$74*(J59/SUM($J$59:$J$63))</f>
        <v>-988020.15614170174</v>
      </c>
      <c r="N80" s="487"/>
      <c r="O80" s="482" t="s">
        <v>913</v>
      </c>
      <c r="P80" s="326"/>
      <c r="Q80" s="489">
        <v>1409.71</v>
      </c>
    </row>
    <row r="81" spans="1:17" ht="15.6" x14ac:dyDescent="0.3">
      <c r="B81" s="763"/>
      <c r="C81" t="s">
        <v>109</v>
      </c>
      <c r="D81" s="307"/>
      <c r="I81" s="86"/>
      <c r="J81" s="284">
        <f>$J$74*(J60/SUM($J$59:$J$63))</f>
        <v>-801270.44441547559</v>
      </c>
      <c r="N81" s="487"/>
      <c r="O81" s="482" t="s">
        <v>914</v>
      </c>
      <c r="P81" s="326"/>
      <c r="Q81" s="488">
        <v>1302</v>
      </c>
    </row>
    <row r="82" spans="1:17" ht="15.6" x14ac:dyDescent="0.3">
      <c r="B82" s="763"/>
      <c r="C82" t="s">
        <v>110</v>
      </c>
      <c r="D82" s="307"/>
      <c r="I82" s="86"/>
      <c r="J82" s="284">
        <f>$J$74*(J61/SUM($J$59:$J$63))</f>
        <v>-526311.84492763539</v>
      </c>
      <c r="N82" s="487"/>
      <c r="O82" s="482" t="s">
        <v>915</v>
      </c>
      <c r="P82" s="326"/>
      <c r="Q82" s="488">
        <v>1151.3472222222224</v>
      </c>
    </row>
    <row r="83" spans="1:17" ht="15.6" x14ac:dyDescent="0.3">
      <c r="B83" s="763"/>
      <c r="C83" t="s">
        <v>111</v>
      </c>
      <c r="D83" s="307"/>
      <c r="I83" s="86"/>
      <c r="J83" s="284">
        <f>$J$74*(J62/SUM($J$59:$J$63))</f>
        <v>-185441.99458707607</v>
      </c>
      <c r="N83" s="487"/>
      <c r="O83" s="482" t="s">
        <v>916</v>
      </c>
      <c r="P83" s="326"/>
      <c r="Q83" s="488">
        <v>1061.5127777777777</v>
      </c>
    </row>
    <row r="84" spans="1:17" x14ac:dyDescent="0.3">
      <c r="B84" s="764"/>
      <c r="C84" s="80" t="s">
        <v>46</v>
      </c>
      <c r="D84" s="306"/>
      <c r="E84" s="59"/>
      <c r="F84" s="59"/>
      <c r="G84" s="59"/>
      <c r="H84" s="59"/>
      <c r="I84" s="304"/>
      <c r="J84" s="305">
        <f>$J$74*(J63/SUM($J$59:$J$63))</f>
        <v>-1329694.2171231804</v>
      </c>
      <c r="N84" s="487"/>
      <c r="O84" s="326"/>
      <c r="P84" s="326"/>
      <c r="Q84" s="488"/>
    </row>
    <row r="85" spans="1:17" ht="15.6" x14ac:dyDescent="0.3">
      <c r="B85" s="765" t="s">
        <v>112</v>
      </c>
      <c r="C85" t="s">
        <v>38</v>
      </c>
      <c r="I85" s="86"/>
      <c r="N85" s="487"/>
      <c r="O85" s="482" t="s">
        <v>918</v>
      </c>
      <c r="P85" s="326"/>
      <c r="Q85" s="488">
        <f>Q82+Q83</f>
        <v>2212.86</v>
      </c>
    </row>
    <row r="86" spans="1:17" x14ac:dyDescent="0.3">
      <c r="B86" s="766"/>
      <c r="C86" t="s">
        <v>37</v>
      </c>
      <c r="D86" s="288">
        <f>D74</f>
        <v>-102381463.41125572</v>
      </c>
      <c r="I86" s="86">
        <f>D86*I65/D65</f>
        <v>-72039475.29261142</v>
      </c>
      <c r="N86" s="487"/>
      <c r="O86" s="326"/>
      <c r="P86" s="326"/>
      <c r="Q86" s="488"/>
    </row>
    <row r="87" spans="1:17" ht="15.6" x14ac:dyDescent="0.3">
      <c r="B87" s="766"/>
      <c r="C87" t="s">
        <v>113</v>
      </c>
      <c r="I87" s="86"/>
      <c r="N87" s="490"/>
      <c r="O87" s="491" t="s">
        <v>919</v>
      </c>
      <c r="P87" s="492">
        <v>4144.8500000000004</v>
      </c>
      <c r="Q87" s="493">
        <f>P87/3.6</f>
        <v>1151.3472222222224</v>
      </c>
    </row>
    <row r="88" spans="1:17" x14ac:dyDescent="0.3">
      <c r="B88" s="766"/>
      <c r="C88" t="s">
        <v>39</v>
      </c>
      <c r="I88" s="86"/>
    </row>
    <row r="89" spans="1:17" x14ac:dyDescent="0.3">
      <c r="B89" s="767"/>
      <c r="C89" s="80" t="s">
        <v>101</v>
      </c>
      <c r="D89" s="59"/>
      <c r="E89" s="59"/>
      <c r="F89" s="59"/>
      <c r="G89" s="59"/>
      <c r="H89" s="59"/>
      <c r="I89" s="304"/>
      <c r="J89" s="59"/>
    </row>
    <row r="90" spans="1:17" x14ac:dyDescent="0.3">
      <c r="N90" s="2" t="s">
        <v>921</v>
      </c>
      <c r="O90" s="2" t="s">
        <v>39</v>
      </c>
      <c r="P90" s="2">
        <v>4471</v>
      </c>
      <c r="Q90" s="2" t="s">
        <v>1027</v>
      </c>
    </row>
    <row r="91" spans="1:17" x14ac:dyDescent="0.3">
      <c r="P91" s="137">
        <f>P87/1000</f>
        <v>4.1448499999999999</v>
      </c>
      <c r="Q91" s="495">
        <v>4.2808000000000002</v>
      </c>
    </row>
    <row r="92" spans="1:17" ht="21" x14ac:dyDescent="0.4">
      <c r="A92" s="303" t="s">
        <v>584</v>
      </c>
    </row>
    <row r="95" spans="1:17" x14ac:dyDescent="0.3">
      <c r="D95" s="67" t="s">
        <v>37</v>
      </c>
      <c r="E95" s="67" t="s">
        <v>38</v>
      </c>
      <c r="F95" s="67" t="s">
        <v>39</v>
      </c>
      <c r="G95" s="67" t="s">
        <v>101</v>
      </c>
      <c r="H95" s="67" t="s">
        <v>40</v>
      </c>
      <c r="I95" s="67" t="s">
        <v>43</v>
      </c>
      <c r="J95" s="67" t="s">
        <v>36</v>
      </c>
      <c r="K95" s="67"/>
    </row>
    <row r="96" spans="1:17" x14ac:dyDescent="0.3">
      <c r="B96" s="763" t="s">
        <v>107</v>
      </c>
      <c r="C96" t="s">
        <v>108</v>
      </c>
      <c r="D96" s="71">
        <f t="shared" ref="D96:J105" si="4">(D59+D80)/1000000</f>
        <v>-3.9072860628300039</v>
      </c>
      <c r="E96" s="71">
        <f t="shared" si="4"/>
        <v>0</v>
      </c>
      <c r="F96" s="71">
        <f t="shared" si="4"/>
        <v>0</v>
      </c>
      <c r="G96" s="71">
        <f t="shared" si="4"/>
        <v>0</v>
      </c>
      <c r="H96" s="71">
        <f t="shared" si="4"/>
        <v>0</v>
      </c>
      <c r="I96" s="71">
        <f t="shared" si="4"/>
        <v>-15.571684162160752</v>
      </c>
      <c r="J96" s="71">
        <f t="shared" si="4"/>
        <v>-4.0962432350873064</v>
      </c>
      <c r="K96" s="288"/>
    </row>
    <row r="97" spans="1:33" x14ac:dyDescent="0.3">
      <c r="B97" s="763"/>
      <c r="C97" t="s">
        <v>109</v>
      </c>
      <c r="D97" s="71">
        <f t="shared" si="4"/>
        <v>0</v>
      </c>
      <c r="E97" s="71">
        <f t="shared" si="4"/>
        <v>0</v>
      </c>
      <c r="F97" s="71">
        <f t="shared" si="4"/>
        <v>0</v>
      </c>
      <c r="G97" s="71">
        <f t="shared" si="4"/>
        <v>0</v>
      </c>
      <c r="H97" s="71">
        <f t="shared" si="4"/>
        <v>0</v>
      </c>
      <c r="I97" s="71">
        <f t="shared" si="4"/>
        <v>-1.5088494475463996</v>
      </c>
      <c r="J97" s="71">
        <f t="shared" si="4"/>
        <v>-3.3219956263134764</v>
      </c>
      <c r="K97" s="288"/>
    </row>
    <row r="98" spans="1:33" x14ac:dyDescent="0.3">
      <c r="B98" s="763"/>
      <c r="C98" t="s">
        <v>110</v>
      </c>
      <c r="D98" s="71">
        <f t="shared" si="4"/>
        <v>-2.2739198333299058</v>
      </c>
      <c r="E98" s="71">
        <f t="shared" si="4"/>
        <v>0</v>
      </c>
      <c r="F98" s="71">
        <f t="shared" si="4"/>
        <v>0</v>
      </c>
      <c r="G98" s="71">
        <f t="shared" si="4"/>
        <v>0</v>
      </c>
      <c r="H98" s="71">
        <f t="shared" si="4"/>
        <v>0</v>
      </c>
      <c r="I98" s="71">
        <f t="shared" si="4"/>
        <v>-8.7661257342863053</v>
      </c>
      <c r="J98" s="71">
        <f t="shared" si="4"/>
        <v>-2.182041855046879</v>
      </c>
      <c r="K98" s="288"/>
    </row>
    <row r="99" spans="1:33" x14ac:dyDescent="0.3">
      <c r="B99" s="763"/>
      <c r="C99" t="s">
        <v>111</v>
      </c>
      <c r="D99" s="71">
        <f t="shared" si="4"/>
        <v>0</v>
      </c>
      <c r="E99" s="71">
        <f t="shared" si="4"/>
        <v>0</v>
      </c>
      <c r="F99" s="71">
        <f t="shared" si="4"/>
        <v>0</v>
      </c>
      <c r="G99" s="71">
        <f t="shared" si="4"/>
        <v>0</v>
      </c>
      <c r="H99" s="71">
        <f t="shared" si="4"/>
        <v>0</v>
      </c>
      <c r="I99" s="71">
        <f t="shared" si="4"/>
        <v>-1.2646455556165346</v>
      </c>
      <c r="J99" s="71">
        <f t="shared" si="4"/>
        <v>-0.76882593042915948</v>
      </c>
      <c r="K99" s="288"/>
    </row>
    <row r="100" spans="1:33" x14ac:dyDescent="0.3">
      <c r="B100" s="764"/>
      <c r="C100" s="80" t="s">
        <v>46</v>
      </c>
      <c r="D100" s="81">
        <f t="shared" si="4"/>
        <v>-1.962054</v>
      </c>
      <c r="E100" s="71">
        <f t="shared" si="4"/>
        <v>0</v>
      </c>
      <c r="F100" s="71">
        <f t="shared" si="4"/>
        <v>0</v>
      </c>
      <c r="G100" s="71">
        <f t="shared" si="4"/>
        <v>0</v>
      </c>
      <c r="H100" s="71">
        <f t="shared" si="4"/>
        <v>0</v>
      </c>
      <c r="I100" s="71">
        <f t="shared" si="4"/>
        <v>-23.108636000000001</v>
      </c>
      <c r="J100" s="71">
        <f t="shared" si="4"/>
        <v>-5.5127933451231801</v>
      </c>
      <c r="K100" s="288"/>
      <c r="R100" t="s">
        <v>583</v>
      </c>
    </row>
    <row r="101" spans="1:33" x14ac:dyDescent="0.3">
      <c r="B101" s="765" t="s">
        <v>112</v>
      </c>
      <c r="C101" s="53" t="s">
        <v>38</v>
      </c>
      <c r="D101" s="82">
        <f t="shared" si="4"/>
        <v>0</v>
      </c>
      <c r="E101" s="82">
        <f t="shared" si="4"/>
        <v>3.3579408295975384</v>
      </c>
      <c r="F101" s="82">
        <f t="shared" si="4"/>
        <v>0</v>
      </c>
      <c r="G101" s="82">
        <f t="shared" si="4"/>
        <v>0</v>
      </c>
      <c r="H101" s="82">
        <f t="shared" si="4"/>
        <v>0</v>
      </c>
      <c r="I101" s="82">
        <f t="shared" si="4"/>
        <v>2.4186793036871066</v>
      </c>
      <c r="J101" s="82">
        <f t="shared" si="4"/>
        <v>0</v>
      </c>
      <c r="R101" s="52"/>
      <c r="S101" s="53"/>
      <c r="T101" s="53"/>
      <c r="U101" s="53"/>
      <c r="V101" s="53"/>
      <c r="W101" s="53"/>
      <c r="X101" s="53"/>
      <c r="Y101" s="53"/>
      <c r="Z101" s="53"/>
      <c r="AA101" s="53"/>
      <c r="AB101" s="53"/>
      <c r="AC101" s="53"/>
      <c r="AD101" s="53"/>
      <c r="AE101" s="53"/>
      <c r="AF101" s="53"/>
      <c r="AG101" s="55"/>
    </row>
    <row r="102" spans="1:33" x14ac:dyDescent="0.3">
      <c r="B102" s="766"/>
      <c r="C102" t="s">
        <v>37</v>
      </c>
      <c r="D102" s="71">
        <f t="shared" si="4"/>
        <v>-62.489595471324115</v>
      </c>
      <c r="E102" s="71">
        <f t="shared" si="4"/>
        <v>0</v>
      </c>
      <c r="F102" s="71">
        <f t="shared" si="4"/>
        <v>0</v>
      </c>
      <c r="G102" s="71">
        <f t="shared" si="4"/>
        <v>0</v>
      </c>
      <c r="H102" s="71">
        <f t="shared" si="4"/>
        <v>0</v>
      </c>
      <c r="I102" s="71">
        <f t="shared" si="4"/>
        <v>-43.970046129530331</v>
      </c>
      <c r="J102" s="71">
        <f t="shared" si="4"/>
        <v>0</v>
      </c>
      <c r="R102" s="50"/>
      <c r="AG102" s="66"/>
    </row>
    <row r="103" spans="1:33" x14ac:dyDescent="0.3">
      <c r="B103" s="766"/>
      <c r="C103" t="s">
        <v>113</v>
      </c>
      <c r="D103" s="71">
        <f t="shared" si="4"/>
        <v>12.010455367484022</v>
      </c>
      <c r="E103" s="71">
        <f t="shared" si="4"/>
        <v>0</v>
      </c>
      <c r="F103" s="71">
        <f t="shared" si="4"/>
        <v>0</v>
      </c>
      <c r="G103" s="71">
        <f t="shared" si="4"/>
        <v>0</v>
      </c>
      <c r="H103" s="71">
        <f t="shared" si="4"/>
        <v>0.43865303346417234</v>
      </c>
      <c r="I103" s="71">
        <f t="shared" si="4"/>
        <v>8.6685828765799702</v>
      </c>
      <c r="J103" s="71">
        <f t="shared" si="4"/>
        <v>0</v>
      </c>
      <c r="R103" s="50"/>
      <c r="S103" s="67" t="s">
        <v>367</v>
      </c>
      <c r="AG103" s="66"/>
    </row>
    <row r="104" spans="1:33" x14ac:dyDescent="0.3">
      <c r="B104" s="766"/>
      <c r="C104" t="s">
        <v>39</v>
      </c>
      <c r="D104" s="71">
        <f t="shared" si="4"/>
        <v>0</v>
      </c>
      <c r="E104" s="71">
        <f t="shared" si="4"/>
        <v>0</v>
      </c>
      <c r="F104" s="71">
        <f t="shared" si="4"/>
        <v>4.3467270540352576</v>
      </c>
      <c r="G104" s="71">
        <f t="shared" si="4"/>
        <v>0</v>
      </c>
      <c r="H104" s="71">
        <f t="shared" si="4"/>
        <v>0</v>
      </c>
      <c r="I104" s="71">
        <f t="shared" si="4"/>
        <v>2.4077381420440265</v>
      </c>
      <c r="J104" s="71">
        <f t="shared" si="4"/>
        <v>0</v>
      </c>
      <c r="R104" s="50"/>
      <c r="T104" t="s">
        <v>582</v>
      </c>
      <c r="U104" t="s">
        <v>581</v>
      </c>
      <c r="AG104" s="66"/>
    </row>
    <row r="105" spans="1:33" x14ac:dyDescent="0.3">
      <c r="B105" s="766"/>
      <c r="C105" s="80" t="s">
        <v>101</v>
      </c>
      <c r="D105" s="81">
        <f t="shared" si="4"/>
        <v>0</v>
      </c>
      <c r="E105" s="81">
        <f t="shared" si="4"/>
        <v>0</v>
      </c>
      <c r="F105" s="81">
        <f t="shared" si="4"/>
        <v>0</v>
      </c>
      <c r="G105" s="81">
        <f t="shared" si="4"/>
        <v>41.452703660773665</v>
      </c>
      <c r="H105" s="81">
        <f t="shared" si="4"/>
        <v>0</v>
      </c>
      <c r="I105" s="81">
        <f t="shared" si="4"/>
        <v>23.354024245304405</v>
      </c>
      <c r="J105" s="81">
        <f t="shared" si="4"/>
        <v>0</v>
      </c>
      <c r="R105" s="50"/>
      <c r="S105" t="s">
        <v>46</v>
      </c>
      <c r="T105" s="296">
        <f>T152</f>
        <v>2.0533000000000001</v>
      </c>
      <c r="U105" s="301">
        <f>'PP prod. and Capacity (OLD)'!I7</f>
        <v>6.8582375478927135E-2</v>
      </c>
      <c r="AG105" s="66"/>
    </row>
    <row r="106" spans="1:33" x14ac:dyDescent="0.3">
      <c r="B106" s="767"/>
      <c r="C106" s="91" t="s">
        <v>114</v>
      </c>
      <c r="D106" s="92">
        <f t="shared" ref="D106:J106" si="5">SUM(D101:D105)</f>
        <v>-50.479140103840095</v>
      </c>
      <c r="E106" s="92">
        <f t="shared" si="5"/>
        <v>3.3579408295975384</v>
      </c>
      <c r="F106" s="92">
        <f t="shared" si="5"/>
        <v>4.3467270540352576</v>
      </c>
      <c r="G106" s="92">
        <f t="shared" si="5"/>
        <v>41.452703660773665</v>
      </c>
      <c r="H106" s="92">
        <f t="shared" si="5"/>
        <v>0.43865303346417234</v>
      </c>
      <c r="I106" s="92">
        <f t="shared" si="5"/>
        <v>-7.1210215619148265</v>
      </c>
      <c r="J106" s="92">
        <f t="shared" si="5"/>
        <v>0</v>
      </c>
      <c r="R106" s="50"/>
      <c r="S106" t="s">
        <v>44</v>
      </c>
      <c r="T106" s="302">
        <f>(T148+T149)/1000000</f>
        <v>1.6156563145443816</v>
      </c>
      <c r="AG106" s="66"/>
    </row>
    <row r="107" spans="1:33" x14ac:dyDescent="0.3">
      <c r="B107" s="94" t="s">
        <v>115</v>
      </c>
      <c r="C107" s="95"/>
      <c r="D107" s="95"/>
      <c r="E107" s="95"/>
      <c r="F107" s="95"/>
      <c r="G107" s="95"/>
      <c r="H107" s="95"/>
      <c r="I107" s="96">
        <f>I70/1000000</f>
        <v>15.487578808564706</v>
      </c>
      <c r="J107" s="96">
        <f>J70/1000000</f>
        <v>7.9158999920000008</v>
      </c>
      <c r="R107" s="50"/>
      <c r="S107" t="s">
        <v>556</v>
      </c>
      <c r="T107" s="296">
        <f>T150/1000000</f>
        <v>0.73711514499999997</v>
      </c>
      <c r="U107" s="301">
        <f>'PP prod. and Capacity (OLD)'!I8</f>
        <v>-0.32189748201438845</v>
      </c>
      <c r="AG107" s="66"/>
    </row>
    <row r="108" spans="1:33" x14ac:dyDescent="0.3">
      <c r="D108" s="71">
        <f t="shared" ref="D108:J108" si="6">SUM(D106:D107,D96:D100)</f>
        <v>-58.622400000000006</v>
      </c>
      <c r="E108" s="71">
        <f t="shared" si="6"/>
        <v>3.3579408295975384</v>
      </c>
      <c r="F108" s="71">
        <f t="shared" si="6"/>
        <v>4.3467270540352576</v>
      </c>
      <c r="G108" s="71">
        <f t="shared" si="6"/>
        <v>41.452703660773665</v>
      </c>
      <c r="H108" s="71">
        <f t="shared" si="6"/>
        <v>0.43865303346417234</v>
      </c>
      <c r="I108" s="71">
        <f t="shared" si="6"/>
        <v>-41.853383652960112</v>
      </c>
      <c r="J108" s="71">
        <f t="shared" si="6"/>
        <v>-7.9660000000000011</v>
      </c>
      <c r="R108" s="50"/>
      <c r="S108" t="s">
        <v>580</v>
      </c>
      <c r="T108" s="296">
        <f>'PP prod. and Capacity (OLD)'!N17</f>
        <v>1.090198</v>
      </c>
      <c r="AG108" s="66"/>
    </row>
    <row r="109" spans="1:33" x14ac:dyDescent="0.3">
      <c r="D109" s="71"/>
      <c r="E109" s="71"/>
      <c r="F109" s="71"/>
      <c r="G109" s="71"/>
      <c r="H109" s="71"/>
      <c r="I109" s="71"/>
      <c r="J109" s="71"/>
      <c r="R109" s="50"/>
      <c r="T109" s="296"/>
      <c r="AG109" s="66"/>
    </row>
    <row r="110" spans="1:33" x14ac:dyDescent="0.3">
      <c r="D110" s="71"/>
      <c r="E110" s="71"/>
      <c r="F110" s="71"/>
      <c r="G110" s="71"/>
      <c r="H110" s="71"/>
      <c r="I110" s="71"/>
      <c r="J110" s="71"/>
      <c r="R110" s="50"/>
      <c r="T110" s="296"/>
      <c r="AG110" s="66"/>
    </row>
    <row r="111" spans="1:33" x14ac:dyDescent="0.3">
      <c r="A111" s="67" t="s">
        <v>579</v>
      </c>
      <c r="D111" s="71"/>
      <c r="E111" s="71"/>
      <c r="F111" s="71"/>
      <c r="G111" s="71"/>
      <c r="H111" s="71"/>
      <c r="I111" s="71"/>
      <c r="J111" s="71"/>
      <c r="R111" s="50"/>
      <c r="T111" s="296"/>
      <c r="AG111" s="66"/>
    </row>
    <row r="112" spans="1:33" x14ac:dyDescent="0.3">
      <c r="D112" s="65" t="s">
        <v>578</v>
      </c>
      <c r="E112" s="71"/>
      <c r="F112" s="71"/>
      <c r="G112" s="71"/>
      <c r="H112" s="71"/>
      <c r="I112" s="71"/>
      <c r="J112" s="72"/>
      <c r="K112" s="67" t="s">
        <v>577</v>
      </c>
      <c r="R112" s="50"/>
      <c r="T112" s="296"/>
      <c r="AG112" s="66"/>
    </row>
    <row r="113" spans="2:33" x14ac:dyDescent="0.3">
      <c r="D113" s="74" t="s">
        <v>37</v>
      </c>
      <c r="E113" s="74" t="s">
        <v>38</v>
      </c>
      <c r="F113" s="74" t="s">
        <v>39</v>
      </c>
      <c r="G113" s="74" t="s">
        <v>101</v>
      </c>
      <c r="H113" s="74" t="s">
        <v>40</v>
      </c>
      <c r="I113" s="74" t="s">
        <v>43</v>
      </c>
      <c r="J113" s="75" t="s">
        <v>36</v>
      </c>
      <c r="K113" s="74" t="s">
        <v>44</v>
      </c>
      <c r="L113" s="74" t="s">
        <v>102</v>
      </c>
      <c r="M113" s="74" t="s">
        <v>46</v>
      </c>
      <c r="N113" s="74" t="s">
        <v>103</v>
      </c>
      <c r="P113" s="67" t="s">
        <v>1414</v>
      </c>
      <c r="R113" s="50"/>
      <c r="T113" s="296"/>
      <c r="AG113" s="66"/>
    </row>
    <row r="114" spans="2:33" x14ac:dyDescent="0.3">
      <c r="B114" s="763" t="s">
        <v>107</v>
      </c>
      <c r="C114" t="s">
        <v>108</v>
      </c>
      <c r="D114" s="71">
        <f t="shared" ref="D114:J125" si="7">D96</f>
        <v>-3.9072860628300039</v>
      </c>
      <c r="E114" s="71">
        <f t="shared" si="7"/>
        <v>0</v>
      </c>
      <c r="F114" s="71">
        <f t="shared" si="7"/>
        <v>0</v>
      </c>
      <c r="G114" s="71">
        <f t="shared" si="7"/>
        <v>0</v>
      </c>
      <c r="H114" s="71">
        <f t="shared" si="7"/>
        <v>0</v>
      </c>
      <c r="I114" s="71">
        <f t="shared" si="7"/>
        <v>-15.571684162160752</v>
      </c>
      <c r="J114" s="72">
        <f t="shared" si="7"/>
        <v>-4.0962432350873064</v>
      </c>
      <c r="K114" s="288">
        <f>G8</f>
        <v>1149201.7831852953</v>
      </c>
      <c r="P114" s="650">
        <f>K114*'CHP &amp; Boiler summary'!$S$16</f>
        <v>493308.70884993445</v>
      </c>
      <c r="Q114" s="650">
        <f>L114*'CHP &amp; Boiler summary'!$S$16</f>
        <v>0</v>
      </c>
      <c r="R114" s="50"/>
      <c r="T114" s="296"/>
      <c r="AG114" s="66"/>
    </row>
    <row r="115" spans="2:33" x14ac:dyDescent="0.3">
      <c r="B115" s="763"/>
      <c r="C115" t="s">
        <v>109</v>
      </c>
      <c r="D115" s="71">
        <f t="shared" si="7"/>
        <v>0</v>
      </c>
      <c r="E115" s="71">
        <f t="shared" si="7"/>
        <v>0</v>
      </c>
      <c r="F115" s="71">
        <f t="shared" si="7"/>
        <v>0</v>
      </c>
      <c r="G115" s="71">
        <f t="shared" si="7"/>
        <v>0</v>
      </c>
      <c r="H115" s="71">
        <f t="shared" si="7"/>
        <v>0</v>
      </c>
      <c r="I115" s="71">
        <f t="shared" si="7"/>
        <v>-1.5088494475463996</v>
      </c>
      <c r="J115" s="72">
        <f t="shared" si="7"/>
        <v>-3.3219956263134764</v>
      </c>
      <c r="K115" s="288">
        <f>G9</f>
        <v>317652.51527292625</v>
      </c>
      <c r="P115" s="650">
        <f>K115*'CHP &amp; Boiler summary'!$S$16</f>
        <v>136356.16865985593</v>
      </c>
      <c r="Q115" s="650">
        <f>L115*'CHP &amp; Boiler summary'!$S$16</f>
        <v>0</v>
      </c>
      <c r="R115" s="50"/>
      <c r="T115" s="296"/>
      <c r="AG115" s="66"/>
    </row>
    <row r="116" spans="2:33" x14ac:dyDescent="0.3">
      <c r="B116" s="763"/>
      <c r="C116" t="s">
        <v>110</v>
      </c>
      <c r="D116" s="71">
        <f t="shared" si="7"/>
        <v>-2.2739198333299058</v>
      </c>
      <c r="E116" s="71">
        <f t="shared" si="7"/>
        <v>0</v>
      </c>
      <c r="F116" s="71">
        <f t="shared" si="7"/>
        <v>0</v>
      </c>
      <c r="G116" s="71">
        <f t="shared" si="7"/>
        <v>0</v>
      </c>
      <c r="H116" s="71">
        <f t="shared" si="7"/>
        <v>0</v>
      </c>
      <c r="I116" s="71">
        <f t="shared" si="7"/>
        <v>-8.7661257342863053</v>
      </c>
      <c r="J116" s="72">
        <f t="shared" si="7"/>
        <v>-2.182041855046879</v>
      </c>
      <c r="L116" s="288">
        <f>G10</f>
        <v>659107.19806663936</v>
      </c>
      <c r="P116" s="650">
        <f>K116*'CHP &amp; Boiler summary'!$S$16</f>
        <v>0</v>
      </c>
      <c r="Q116" s="650">
        <f>L116*'CHP &amp; Boiler summary'!$S$16</f>
        <v>282929.70445167361</v>
      </c>
      <c r="R116" s="50"/>
      <c r="T116" s="296"/>
      <c r="AG116" s="66"/>
    </row>
    <row r="117" spans="2:33" x14ac:dyDescent="0.3">
      <c r="B117" s="763"/>
      <c r="C117" t="s">
        <v>111</v>
      </c>
      <c r="D117" s="71">
        <f t="shared" si="7"/>
        <v>0</v>
      </c>
      <c r="E117" s="71">
        <f t="shared" si="7"/>
        <v>0</v>
      </c>
      <c r="F117" s="71">
        <f t="shared" si="7"/>
        <v>0</v>
      </c>
      <c r="G117" s="71">
        <f t="shared" si="7"/>
        <v>0</v>
      </c>
      <c r="H117" s="71">
        <f t="shared" si="7"/>
        <v>0</v>
      </c>
      <c r="I117" s="71">
        <f t="shared" si="7"/>
        <v>-1.2646455556165346</v>
      </c>
      <c r="J117" s="72">
        <f t="shared" si="7"/>
        <v>-0.76882593042915948</v>
      </c>
      <c r="K117" s="288">
        <f>G11</f>
        <v>294103.61758524063</v>
      </c>
      <c r="N117" s="300">
        <f>-K117</f>
        <v>-294103.61758524063</v>
      </c>
      <c r="P117" s="650">
        <f>K117*'CHP &amp; Boiler summary'!$S$16</f>
        <v>126247.52065467066</v>
      </c>
      <c r="Q117" s="650">
        <f>L117*'CHP &amp; Boiler summary'!$S$16</f>
        <v>0</v>
      </c>
      <c r="R117" s="50"/>
      <c r="T117" s="296"/>
      <c r="AG117" s="66"/>
    </row>
    <row r="118" spans="2:33" x14ac:dyDescent="0.3">
      <c r="B118" s="764"/>
      <c r="C118" s="80" t="s">
        <v>46</v>
      </c>
      <c r="D118" s="81">
        <f t="shared" si="7"/>
        <v>-1.962054</v>
      </c>
      <c r="E118" s="71">
        <f t="shared" si="7"/>
        <v>0</v>
      </c>
      <c r="F118" s="71">
        <f t="shared" si="7"/>
        <v>0</v>
      </c>
      <c r="G118" s="71">
        <f t="shared" si="7"/>
        <v>0</v>
      </c>
      <c r="H118" s="71">
        <f t="shared" si="7"/>
        <v>0</v>
      </c>
      <c r="I118" s="71">
        <f t="shared" si="7"/>
        <v>-23.108636000000001</v>
      </c>
      <c r="J118" s="72">
        <f t="shared" si="7"/>
        <v>-5.5127933451231801</v>
      </c>
      <c r="K118" s="299">
        <f>-SUM(K114:K117)</f>
        <v>-1760957.9160434622</v>
      </c>
      <c r="L118" s="59"/>
      <c r="M118" s="298">
        <f>G12</f>
        <v>2180060</v>
      </c>
      <c r="N118" s="59"/>
      <c r="P118" s="650">
        <f>K118*'CHP &amp; Boiler summary'!$S$16</f>
        <v>-755912.39816446102</v>
      </c>
      <c r="Q118" s="650">
        <f>L118*'CHP &amp; Boiler summary'!$S$16</f>
        <v>0</v>
      </c>
      <c r="R118" s="50"/>
      <c r="T118" s="296"/>
      <c r="AG118" s="66"/>
    </row>
    <row r="119" spans="2:33" x14ac:dyDescent="0.3">
      <c r="B119" s="765" t="s">
        <v>112</v>
      </c>
      <c r="C119" s="53" t="s">
        <v>38</v>
      </c>
      <c r="D119" s="82">
        <f t="shared" si="7"/>
        <v>0</v>
      </c>
      <c r="E119" s="82">
        <f t="shared" si="7"/>
        <v>3.3579408295975384</v>
      </c>
      <c r="F119" s="82">
        <f t="shared" si="7"/>
        <v>0</v>
      </c>
      <c r="G119" s="82">
        <f t="shared" si="7"/>
        <v>0</v>
      </c>
      <c r="H119" s="82">
        <f t="shared" si="7"/>
        <v>0</v>
      </c>
      <c r="I119" s="82">
        <f t="shared" si="7"/>
        <v>2.4186793036871066</v>
      </c>
      <c r="J119" s="84">
        <f t="shared" si="7"/>
        <v>0</v>
      </c>
      <c r="R119" s="50"/>
      <c r="T119" s="296"/>
      <c r="AG119" s="66"/>
    </row>
    <row r="120" spans="2:33" x14ac:dyDescent="0.3">
      <c r="B120" s="766"/>
      <c r="C120" t="s">
        <v>37</v>
      </c>
      <c r="D120" s="71">
        <f t="shared" si="7"/>
        <v>-62.489595471324115</v>
      </c>
      <c r="E120" s="71">
        <f t="shared" si="7"/>
        <v>0</v>
      </c>
      <c r="F120" s="71">
        <f t="shared" si="7"/>
        <v>0</v>
      </c>
      <c r="G120" s="71">
        <f t="shared" si="7"/>
        <v>0</v>
      </c>
      <c r="H120" s="71">
        <f t="shared" si="7"/>
        <v>0</v>
      </c>
      <c r="I120" s="71">
        <f t="shared" si="7"/>
        <v>-43.970046129530331</v>
      </c>
      <c r="J120" s="72">
        <f t="shared" si="7"/>
        <v>0</v>
      </c>
      <c r="R120" s="50"/>
      <c r="T120" s="296"/>
      <c r="AG120" s="66"/>
    </row>
    <row r="121" spans="2:33" x14ac:dyDescent="0.3">
      <c r="B121" s="766"/>
      <c r="C121" t="s">
        <v>113</v>
      </c>
      <c r="D121" s="71">
        <f t="shared" si="7"/>
        <v>12.010455367484022</v>
      </c>
      <c r="E121" s="71">
        <f t="shared" si="7"/>
        <v>0</v>
      </c>
      <c r="F121" s="71">
        <f t="shared" si="7"/>
        <v>0</v>
      </c>
      <c r="G121" s="71">
        <f t="shared" si="7"/>
        <v>0</v>
      </c>
      <c r="H121" s="71">
        <f t="shared" si="7"/>
        <v>0.43865303346417234</v>
      </c>
      <c r="I121" s="71">
        <f t="shared" si="7"/>
        <v>8.6685828765799702</v>
      </c>
      <c r="J121" s="72">
        <f t="shared" si="7"/>
        <v>0</v>
      </c>
      <c r="R121" s="50"/>
      <c r="T121" s="296"/>
      <c r="AG121" s="66"/>
    </row>
    <row r="122" spans="2:33" x14ac:dyDescent="0.3">
      <c r="B122" s="766"/>
      <c r="C122" t="s">
        <v>39</v>
      </c>
      <c r="D122" s="71">
        <f t="shared" si="7"/>
        <v>0</v>
      </c>
      <c r="E122" s="71">
        <f t="shared" si="7"/>
        <v>0</v>
      </c>
      <c r="F122" s="71">
        <f t="shared" si="7"/>
        <v>4.3467270540352576</v>
      </c>
      <c r="G122" s="71">
        <f t="shared" si="7"/>
        <v>0</v>
      </c>
      <c r="H122" s="71">
        <f t="shared" si="7"/>
        <v>0</v>
      </c>
      <c r="I122" s="71">
        <f t="shared" si="7"/>
        <v>2.4077381420440265</v>
      </c>
      <c r="J122" s="72">
        <f t="shared" si="7"/>
        <v>0</v>
      </c>
      <c r="R122" s="50"/>
      <c r="T122" s="296"/>
      <c r="AG122" s="66"/>
    </row>
    <row r="123" spans="2:33" x14ac:dyDescent="0.3">
      <c r="B123" s="766"/>
      <c r="C123" s="80" t="s">
        <v>101</v>
      </c>
      <c r="D123" s="81">
        <f t="shared" si="7"/>
        <v>0</v>
      </c>
      <c r="E123" s="81">
        <f t="shared" si="7"/>
        <v>0</v>
      </c>
      <c r="F123" s="81">
        <f t="shared" si="7"/>
        <v>0</v>
      </c>
      <c r="G123" s="81">
        <f t="shared" si="7"/>
        <v>41.452703660773665</v>
      </c>
      <c r="H123" s="81">
        <f t="shared" si="7"/>
        <v>0</v>
      </c>
      <c r="I123" s="81">
        <f t="shared" si="7"/>
        <v>23.354024245304405</v>
      </c>
      <c r="J123" s="90">
        <f t="shared" si="7"/>
        <v>0</v>
      </c>
      <c r="R123" s="50"/>
      <c r="T123" s="296"/>
      <c r="AG123" s="66"/>
    </row>
    <row r="124" spans="2:33" x14ac:dyDescent="0.3">
      <c r="B124" s="767"/>
      <c r="C124" s="91" t="s">
        <v>114</v>
      </c>
      <c r="D124" s="92">
        <f t="shared" si="7"/>
        <v>-50.479140103840095</v>
      </c>
      <c r="E124" s="92">
        <f t="shared" si="7"/>
        <v>3.3579408295975384</v>
      </c>
      <c r="F124" s="92">
        <f t="shared" si="7"/>
        <v>4.3467270540352576</v>
      </c>
      <c r="G124" s="92">
        <f t="shared" si="7"/>
        <v>41.452703660773665</v>
      </c>
      <c r="H124" s="92">
        <f t="shared" si="7"/>
        <v>0.43865303346417234</v>
      </c>
      <c r="I124" s="92">
        <f t="shared" si="7"/>
        <v>-7.1210215619148265</v>
      </c>
      <c r="J124" s="93">
        <f t="shared" si="7"/>
        <v>0</v>
      </c>
      <c r="R124" s="50"/>
      <c r="T124" s="296"/>
      <c r="AG124" s="66"/>
    </row>
    <row r="125" spans="2:33" x14ac:dyDescent="0.3">
      <c r="B125" s="94" t="s">
        <v>115</v>
      </c>
      <c r="C125" s="95"/>
      <c r="D125" s="95">
        <f t="shared" si="7"/>
        <v>0</v>
      </c>
      <c r="E125" s="95">
        <f t="shared" si="7"/>
        <v>0</v>
      </c>
      <c r="F125" s="95">
        <f t="shared" si="7"/>
        <v>0</v>
      </c>
      <c r="G125" s="95">
        <f t="shared" si="7"/>
        <v>0</v>
      </c>
      <c r="H125" s="95">
        <f t="shared" si="7"/>
        <v>0</v>
      </c>
      <c r="I125" s="96">
        <f t="shared" si="7"/>
        <v>15.487578808564706</v>
      </c>
      <c r="J125" s="97">
        <f t="shared" si="7"/>
        <v>7.9158999920000008</v>
      </c>
      <c r="R125" s="50"/>
      <c r="T125" s="296"/>
      <c r="AG125" s="66"/>
    </row>
    <row r="126" spans="2:33" x14ac:dyDescent="0.3">
      <c r="D126" s="71"/>
      <c r="E126" s="71"/>
      <c r="F126" s="71"/>
      <c r="G126" s="71"/>
      <c r="H126" s="71"/>
      <c r="I126" s="71">
        <f>SUM(I114:I118,I124:I125)</f>
        <v>-41.853383652960119</v>
      </c>
      <c r="J126" s="71">
        <f>SUM(J114:J118,J124:J125)</f>
        <v>-7.9660000000000002</v>
      </c>
      <c r="R126" s="50"/>
      <c r="T126" s="296"/>
      <c r="AG126" s="66"/>
    </row>
    <row r="127" spans="2:33" x14ac:dyDescent="0.3">
      <c r="D127" s="71"/>
      <c r="E127" s="71"/>
      <c r="F127" s="71"/>
      <c r="G127" s="71"/>
      <c r="H127" s="71"/>
      <c r="I127" s="71"/>
      <c r="J127" s="71"/>
      <c r="R127" s="50"/>
      <c r="T127" s="296"/>
      <c r="AG127" s="66"/>
    </row>
    <row r="128" spans="2:33" x14ac:dyDescent="0.3">
      <c r="D128" s="71"/>
      <c r="E128" s="71"/>
      <c r="F128" s="71"/>
      <c r="G128" s="71"/>
      <c r="H128" s="71"/>
      <c r="I128" s="71"/>
      <c r="J128" s="71"/>
      <c r="R128" s="50"/>
      <c r="T128" s="296"/>
      <c r="AG128" s="66"/>
    </row>
    <row r="129" spans="1:33" x14ac:dyDescent="0.3">
      <c r="D129" s="71"/>
      <c r="E129" s="71"/>
      <c r="F129" s="71"/>
      <c r="G129" s="71"/>
      <c r="H129" s="71"/>
      <c r="I129" s="71"/>
      <c r="J129" s="71"/>
      <c r="R129" s="50"/>
      <c r="T129" s="296"/>
      <c r="AG129" s="66"/>
    </row>
    <row r="130" spans="1:33" x14ac:dyDescent="0.3">
      <c r="D130" s="71"/>
      <c r="E130" s="71"/>
      <c r="F130" s="71"/>
      <c r="G130" s="71"/>
      <c r="H130" s="71"/>
      <c r="I130" s="71"/>
      <c r="J130" s="71"/>
      <c r="R130" s="50"/>
      <c r="T130" s="296"/>
      <c r="AG130" s="66"/>
    </row>
    <row r="131" spans="1:33" x14ac:dyDescent="0.3">
      <c r="R131" s="50"/>
      <c r="AG131" s="66"/>
    </row>
    <row r="132" spans="1:33" ht="23.4" x14ac:dyDescent="0.45">
      <c r="A132" s="274" t="s">
        <v>576</v>
      </c>
      <c r="B132" s="59"/>
      <c r="C132" s="59"/>
      <c r="D132" s="59"/>
      <c r="E132" s="59"/>
      <c r="F132" s="59"/>
      <c r="G132" s="59"/>
      <c r="H132" s="59"/>
      <c r="I132" s="59"/>
      <c r="J132" s="59"/>
      <c r="K132" s="59"/>
      <c r="L132" s="59"/>
      <c r="M132" s="59"/>
      <c r="N132" s="59"/>
      <c r="O132" s="59"/>
      <c r="R132" s="50"/>
      <c r="AG132" s="66"/>
    </row>
    <row r="133" spans="1:33" x14ac:dyDescent="0.3">
      <c r="R133" s="50"/>
      <c r="AG133" s="66"/>
    </row>
    <row r="134" spans="1:33" x14ac:dyDescent="0.3">
      <c r="R134" s="50"/>
      <c r="S134" s="67" t="s">
        <v>99</v>
      </c>
      <c r="AG134" s="66"/>
    </row>
    <row r="135" spans="1:33" ht="21" x14ac:dyDescent="0.4">
      <c r="A135" s="275" t="s">
        <v>107</v>
      </c>
      <c r="B135" s="59"/>
      <c r="C135" s="59"/>
      <c r="D135" s="59"/>
      <c r="E135" s="59"/>
      <c r="F135" s="59"/>
      <c r="G135" s="59"/>
      <c r="H135" s="59"/>
      <c r="I135" s="59"/>
      <c r="J135" s="59"/>
      <c r="K135" s="59"/>
      <c r="L135" s="59"/>
      <c r="M135" s="59"/>
      <c r="N135" s="59"/>
      <c r="O135" s="59"/>
      <c r="R135" s="50"/>
      <c r="S135" t="s">
        <v>575</v>
      </c>
      <c r="T135" t="s">
        <v>574</v>
      </c>
      <c r="U135" t="s">
        <v>573</v>
      </c>
      <c r="V135" t="s">
        <v>533</v>
      </c>
      <c r="W135" t="s">
        <v>572</v>
      </c>
      <c r="Y135" t="s">
        <v>571</v>
      </c>
      <c r="AG135" s="66"/>
    </row>
    <row r="136" spans="1:33" x14ac:dyDescent="0.3">
      <c r="R136" s="50"/>
      <c r="S136" s="67">
        <f>T105/Y136</f>
        <v>2.4156470588235295</v>
      </c>
      <c r="Y136">
        <v>0.85</v>
      </c>
      <c r="AG136" s="66"/>
    </row>
    <row r="137" spans="1:33" x14ac:dyDescent="0.3">
      <c r="R137" s="50"/>
      <c r="T137" s="296">
        <f>T149/1000000/Y137</f>
        <v>1.7071871176470588</v>
      </c>
      <c r="U137" s="296">
        <f>T148/1000000/Y137</f>
        <v>0.19358501711103746</v>
      </c>
      <c r="Y137">
        <v>0.85</v>
      </c>
      <c r="AG137" s="66"/>
    </row>
    <row r="138" spans="1:33" x14ac:dyDescent="0.3">
      <c r="B138" s="67" t="s">
        <v>391</v>
      </c>
      <c r="D138" s="297" t="s">
        <v>570</v>
      </c>
      <c r="N138" t="s">
        <v>569</v>
      </c>
      <c r="R138" s="50"/>
      <c r="V138" s="296">
        <f>T150/1000000/Y138</f>
        <v>0.8671942882352941</v>
      </c>
      <c r="Y138">
        <v>0.85</v>
      </c>
      <c r="AG138" s="66"/>
    </row>
    <row r="139" spans="1:33" x14ac:dyDescent="0.3">
      <c r="B139" t="s">
        <v>54</v>
      </c>
      <c r="J139" t="s">
        <v>568</v>
      </c>
      <c r="R139" s="50"/>
      <c r="V139" s="62"/>
      <c r="W139" s="67">
        <f>T108/Y139</f>
        <v>1.2825858823529412</v>
      </c>
      <c r="Y139">
        <v>0.85</v>
      </c>
      <c r="AG139" s="66"/>
    </row>
    <row r="140" spans="1:33" x14ac:dyDescent="0.3">
      <c r="D140" t="s">
        <v>538</v>
      </c>
      <c r="E140" t="s">
        <v>537</v>
      </c>
      <c r="F140" s="50" t="s">
        <v>504</v>
      </c>
      <c r="J140" s="85"/>
      <c r="K140" s="286" t="s">
        <v>538</v>
      </c>
      <c r="L140" s="67" t="s">
        <v>537</v>
      </c>
      <c r="M140" s="67"/>
      <c r="N140" s="67" t="s">
        <v>504</v>
      </c>
      <c r="P140" s="67" t="s">
        <v>148</v>
      </c>
      <c r="R140" s="50"/>
      <c r="AG140" s="66"/>
    </row>
    <row r="141" spans="1:33" x14ac:dyDescent="0.3">
      <c r="F141" s="50"/>
      <c r="J141" s="85"/>
      <c r="K141" s="50"/>
      <c r="R141" s="50"/>
      <c r="AG141" s="66"/>
    </row>
    <row r="142" spans="1:33" x14ac:dyDescent="0.3">
      <c r="B142" t="s">
        <v>37</v>
      </c>
      <c r="C142" t="s">
        <v>23</v>
      </c>
      <c r="D142" s="294">
        <f>'2006 model details (OLD)'!J14</f>
        <v>3.7571000000000008</v>
      </c>
      <c r="E142" s="294">
        <f>'2006 model details (OLD)'!L14</f>
        <v>0</v>
      </c>
      <c r="F142" s="50"/>
      <c r="J142" s="76">
        <f>D96</f>
        <v>-3.9072860628300039</v>
      </c>
      <c r="K142" s="282">
        <f>J142</f>
        <v>-3.9072860628300039</v>
      </c>
      <c r="R142" s="50"/>
      <c r="AG142" s="66"/>
    </row>
    <row r="143" spans="1:33" x14ac:dyDescent="0.3">
      <c r="B143" t="s">
        <v>36</v>
      </c>
      <c r="C143" t="s">
        <v>22</v>
      </c>
      <c r="D143" s="294">
        <f>'2006 model details (OLD)'!J15</f>
        <v>2.6686000000000001</v>
      </c>
      <c r="E143" s="294">
        <f>'2006 model details (OLD)'!L15</f>
        <v>0</v>
      </c>
      <c r="F143" s="50"/>
      <c r="J143" s="76">
        <f>J96</f>
        <v>-4.0962432350873064</v>
      </c>
      <c r="K143" s="282">
        <f>J143</f>
        <v>-4.0962432350873064</v>
      </c>
      <c r="R143" s="50"/>
      <c r="AG143" s="66"/>
    </row>
    <row r="144" spans="1:33" x14ac:dyDescent="0.3">
      <c r="B144" t="s">
        <v>43</v>
      </c>
      <c r="C144" t="s">
        <v>29</v>
      </c>
      <c r="D144" s="294">
        <f>'2006 model details (OLD)'!J16</f>
        <v>12.580500000000001</v>
      </c>
      <c r="E144" s="294">
        <f>'2006 model details (OLD)'!L16</f>
        <v>0</v>
      </c>
      <c r="F144" s="50"/>
      <c r="J144" s="85"/>
      <c r="K144" s="282">
        <f>I96</f>
        <v>-15.571684162160752</v>
      </c>
      <c r="R144" s="50"/>
      <c r="AG144" s="66"/>
    </row>
    <row r="145" spans="2:33" x14ac:dyDescent="0.3">
      <c r="B145" t="s">
        <v>534</v>
      </c>
      <c r="C145" t="s">
        <v>27</v>
      </c>
      <c r="D145" s="294">
        <f>'2006 model details (OLD)'!J17</f>
        <v>0</v>
      </c>
      <c r="E145" s="294">
        <f>'2006 model details (OLD)'!L17</f>
        <v>7.7351000000000001</v>
      </c>
      <c r="F145" s="280">
        <f>(D143+D144)/E146</f>
        <v>13.800090497737557</v>
      </c>
      <c r="G145" t="s">
        <v>561</v>
      </c>
      <c r="J145" s="85"/>
      <c r="K145" s="282"/>
      <c r="L145" s="289">
        <f>E145</f>
        <v>7.7351000000000001</v>
      </c>
      <c r="N145" s="281">
        <f>(K143+K144)/L146</f>
        <v>-17.114424712023649</v>
      </c>
      <c r="R145" s="50"/>
      <c r="S145" s="295" t="s">
        <v>567</v>
      </c>
      <c r="T145" s="53"/>
      <c r="U145" s="53"/>
      <c r="V145" s="53"/>
      <c r="W145" s="53"/>
      <c r="X145" s="55"/>
      <c r="AG145" s="66"/>
    </row>
    <row r="146" spans="2:33" x14ac:dyDescent="0.3">
      <c r="B146" t="s">
        <v>44</v>
      </c>
      <c r="C146" t="s">
        <v>30</v>
      </c>
      <c r="D146" s="294">
        <f>'2006 model details (OLD)'!J18</f>
        <v>0</v>
      </c>
      <c r="E146" s="294">
        <f>'2006 model details (OLD)'!L18</f>
        <v>1.105</v>
      </c>
      <c r="F146" s="280">
        <f>D142/E146</f>
        <v>3.4000904977375574</v>
      </c>
      <c r="G146" t="s">
        <v>562</v>
      </c>
      <c r="J146" s="85"/>
      <c r="K146" s="282"/>
      <c r="L146" s="62">
        <f>G8/1000000</f>
        <v>1.1492017831852952</v>
      </c>
      <c r="N146" s="281">
        <f>K142/L146</f>
        <v>-3.4000000000000004</v>
      </c>
      <c r="P146" s="276">
        <f>L146/Q146</f>
        <v>1.3845804616690305</v>
      </c>
      <c r="Q146">
        <v>0.83</v>
      </c>
      <c r="R146" s="50"/>
      <c r="S146" s="50"/>
      <c r="T146" t="s">
        <v>566</v>
      </c>
      <c r="X146" s="66"/>
      <c r="AG146" s="66"/>
    </row>
    <row r="147" spans="2:33" x14ac:dyDescent="0.3">
      <c r="F147" s="50"/>
      <c r="J147" s="85"/>
      <c r="K147" s="282"/>
      <c r="R147" s="50"/>
      <c r="S147" s="50"/>
      <c r="T147" t="s">
        <v>526</v>
      </c>
      <c r="X147" s="66"/>
      <c r="AG147" s="66"/>
    </row>
    <row r="148" spans="2:33" x14ac:dyDescent="0.3">
      <c r="F148" s="50"/>
      <c r="J148" s="85"/>
      <c r="K148" s="282"/>
      <c r="R148" s="50"/>
      <c r="S148" s="50" t="s">
        <v>565</v>
      </c>
      <c r="T148" s="293">
        <v>164547.26454438185</v>
      </c>
      <c r="U148" t="s">
        <v>564</v>
      </c>
      <c r="X148" s="66"/>
      <c r="AG148" s="66"/>
    </row>
    <row r="149" spans="2:33" x14ac:dyDescent="0.3">
      <c r="B149" s="67" t="s">
        <v>507</v>
      </c>
      <c r="F149" s="50"/>
      <c r="J149" s="85"/>
      <c r="K149" s="282"/>
      <c r="R149" s="50"/>
      <c r="S149" s="50" t="s">
        <v>563</v>
      </c>
      <c r="T149" s="293">
        <v>1451109.0499999998</v>
      </c>
      <c r="X149" s="66"/>
      <c r="AG149" s="66"/>
    </row>
    <row r="150" spans="2:33" x14ac:dyDescent="0.3">
      <c r="B150" t="s">
        <v>56</v>
      </c>
      <c r="F150" s="50"/>
      <c r="J150" s="85"/>
      <c r="K150" s="282"/>
      <c r="R150" s="50"/>
      <c r="S150" s="50" t="s">
        <v>110</v>
      </c>
      <c r="T150" s="293">
        <v>737115.14500000002</v>
      </c>
      <c r="X150" s="66"/>
      <c r="AG150" s="66"/>
    </row>
    <row r="151" spans="2:33" x14ac:dyDescent="0.3">
      <c r="D151" t="s">
        <v>538</v>
      </c>
      <c r="E151" t="s">
        <v>537</v>
      </c>
      <c r="F151" s="50" t="s">
        <v>504</v>
      </c>
      <c r="J151" s="85"/>
      <c r="K151" s="282"/>
      <c r="R151" s="50"/>
      <c r="S151" s="50"/>
      <c r="T151" s="293"/>
      <c r="X151" s="66"/>
      <c r="AG151" s="66"/>
    </row>
    <row r="152" spans="2:33" x14ac:dyDescent="0.3">
      <c r="F152" s="50"/>
      <c r="J152" s="85"/>
      <c r="K152" s="282"/>
      <c r="R152" s="50"/>
      <c r="S152" s="50" t="s">
        <v>46</v>
      </c>
      <c r="T152" s="293">
        <v>2.0533000000000001</v>
      </c>
      <c r="X152" s="66"/>
      <c r="AG152" s="66"/>
    </row>
    <row r="153" spans="2:33" x14ac:dyDescent="0.3">
      <c r="B153" t="s">
        <v>37</v>
      </c>
      <c r="C153" t="s">
        <v>23</v>
      </c>
      <c r="D153" s="277">
        <f>'2006 model details (OLD)'!J56</f>
        <v>2.3121000000000005</v>
      </c>
      <c r="E153" s="277">
        <f>'2006 model details (OLD)'!L56</f>
        <v>0</v>
      </c>
      <c r="F153" s="292">
        <f>D153/E158</f>
        <v>3.4001470588235301</v>
      </c>
      <c r="G153" t="s">
        <v>562</v>
      </c>
      <c r="J153" s="76">
        <f>D98</f>
        <v>-2.2739198333299058</v>
      </c>
      <c r="K153" s="282">
        <f>J153</f>
        <v>-2.2739198333299058</v>
      </c>
      <c r="N153" s="291">
        <f>K153/L158</f>
        <v>-3.45</v>
      </c>
      <c r="O153" t="s">
        <v>562</v>
      </c>
      <c r="R153" s="50"/>
      <c r="S153" s="50"/>
      <c r="X153" s="66"/>
      <c r="AG153" s="66"/>
    </row>
    <row r="154" spans="2:33" x14ac:dyDescent="0.3">
      <c r="B154" t="s">
        <v>36</v>
      </c>
      <c r="C154" t="s">
        <v>22</v>
      </c>
      <c r="D154" s="277">
        <f>'2006 model details (OLD)'!J57</f>
        <v>1.7083000000000002</v>
      </c>
      <c r="E154" s="277">
        <f>'2006 model details (OLD)'!L57</f>
        <v>0</v>
      </c>
      <c r="F154" s="50">
        <f>(D156+D154)/E158</f>
        <v>15.799999999999995</v>
      </c>
      <c r="G154" t="s">
        <v>561</v>
      </c>
      <c r="J154" s="76">
        <f>J98</f>
        <v>-2.182041855046879</v>
      </c>
      <c r="K154" s="282">
        <f>J154</f>
        <v>-2.182041855046879</v>
      </c>
      <c r="N154" s="290">
        <f>(K156+K154)/L158</f>
        <v>-16.610602374617468</v>
      </c>
      <c r="O154" t="s">
        <v>561</v>
      </c>
      <c r="R154" s="50"/>
      <c r="S154" s="50"/>
      <c r="X154" s="66"/>
      <c r="AG154" s="66"/>
    </row>
    <row r="155" spans="2:33" x14ac:dyDescent="0.3">
      <c r="B155" t="s">
        <v>535</v>
      </c>
      <c r="C155" t="s">
        <v>505</v>
      </c>
      <c r="D155" s="277">
        <f>'2006 model details (OLD)'!J58</f>
        <v>3.39E-2</v>
      </c>
      <c r="E155" s="277">
        <f>'2006 model details (OLD)'!L58</f>
        <v>0</v>
      </c>
      <c r="F155" s="280">
        <f>D155/E158</f>
        <v>4.9852941176470586E-2</v>
      </c>
      <c r="G155" t="s">
        <v>560</v>
      </c>
      <c r="J155" s="85"/>
      <c r="K155" s="282"/>
      <c r="N155" s="280">
        <f>K155/L158</f>
        <v>0</v>
      </c>
      <c r="O155" t="s">
        <v>560</v>
      </c>
      <c r="R155" s="50"/>
      <c r="S155" s="50" t="s">
        <v>559</v>
      </c>
      <c r="T155" t="s">
        <v>558</v>
      </c>
      <c r="X155" s="66"/>
      <c r="AG155" s="66"/>
    </row>
    <row r="156" spans="2:33" x14ac:dyDescent="0.3">
      <c r="B156" t="s">
        <v>43</v>
      </c>
      <c r="C156" t="s">
        <v>29</v>
      </c>
      <c r="D156" s="277">
        <f>'2006 model details (OLD)'!J59</f>
        <v>9.0356999999999985</v>
      </c>
      <c r="E156" s="277">
        <f>'2006 model details (OLD)'!L59</f>
        <v>0</v>
      </c>
      <c r="F156" s="50"/>
      <c r="J156" s="85"/>
      <c r="K156" s="282">
        <f>I98</f>
        <v>-8.7661257342863053</v>
      </c>
      <c r="R156" s="50"/>
      <c r="S156" s="50" t="s">
        <v>557</v>
      </c>
      <c r="T156" s="283">
        <v>14636913.800000001</v>
      </c>
      <c r="X156" s="66"/>
      <c r="AG156" s="66"/>
    </row>
    <row r="157" spans="2:33" x14ac:dyDescent="0.3">
      <c r="B157" t="s">
        <v>534</v>
      </c>
      <c r="C157" t="s">
        <v>27</v>
      </c>
      <c r="D157" s="277">
        <f>'2006 model details (OLD)'!J60</f>
        <v>0</v>
      </c>
      <c r="E157" s="277">
        <f>'2006 model details (OLD)'!L60</f>
        <v>4.7598000000000003</v>
      </c>
      <c r="F157" s="50"/>
      <c r="J157" s="85"/>
      <c r="K157" s="282"/>
      <c r="L157" s="289">
        <f>E157</f>
        <v>4.7598000000000003</v>
      </c>
      <c r="R157" s="50"/>
      <c r="S157" s="50" t="s">
        <v>37</v>
      </c>
      <c r="T157" s="283">
        <v>35681456</v>
      </c>
      <c r="X157" s="66"/>
      <c r="AG157" s="66"/>
    </row>
    <row r="158" spans="2:33" x14ac:dyDescent="0.3">
      <c r="B158" t="s">
        <v>556</v>
      </c>
      <c r="C158" t="s">
        <v>31</v>
      </c>
      <c r="D158" s="277">
        <f>'2006 model details (OLD)'!J61</f>
        <v>0</v>
      </c>
      <c r="E158" s="277">
        <f>'2006 model details (OLD)'!L61</f>
        <v>0.68</v>
      </c>
      <c r="F158" s="50"/>
      <c r="J158" s="85"/>
      <c r="K158" s="282"/>
      <c r="L158" s="62">
        <f>G10/1000000</f>
        <v>0.65910719806663931</v>
      </c>
      <c r="P158" s="276">
        <f>L158/Q158</f>
        <v>0.79410505791161368</v>
      </c>
      <c r="Q158">
        <v>0.83</v>
      </c>
      <c r="R158" s="50"/>
      <c r="S158" s="50" t="s">
        <v>555</v>
      </c>
      <c r="T158" s="283">
        <v>1253767.2375478926</v>
      </c>
      <c r="X158" s="66"/>
      <c r="AG158" s="66"/>
    </row>
    <row r="159" spans="2:33" x14ac:dyDescent="0.3">
      <c r="F159" s="50"/>
      <c r="J159" s="85"/>
      <c r="K159" s="50"/>
      <c r="R159" s="50"/>
      <c r="S159" s="50" t="s">
        <v>554</v>
      </c>
      <c r="T159" s="283">
        <v>4136229</v>
      </c>
      <c r="X159" s="66"/>
      <c r="AG159" s="66"/>
    </row>
    <row r="160" spans="2:33" x14ac:dyDescent="0.3">
      <c r="F160" s="50"/>
      <c r="J160" s="85"/>
      <c r="K160" s="50"/>
      <c r="R160" s="50"/>
      <c r="S160" s="50" t="s">
        <v>553</v>
      </c>
      <c r="T160" s="283">
        <v>35753002</v>
      </c>
      <c r="X160" s="66"/>
      <c r="AG160" s="66"/>
    </row>
    <row r="161" spans="2:33" x14ac:dyDescent="0.3">
      <c r="B161" s="67" t="s">
        <v>392</v>
      </c>
      <c r="F161" s="50"/>
      <c r="J161" s="85"/>
      <c r="K161" s="50"/>
      <c r="R161" s="50"/>
      <c r="S161" s="50" t="s">
        <v>552</v>
      </c>
      <c r="T161" s="283">
        <v>1567742</v>
      </c>
      <c r="V161" t="s">
        <v>551</v>
      </c>
      <c r="X161" s="66"/>
      <c r="AG161" s="66"/>
    </row>
    <row r="162" spans="2:33" x14ac:dyDescent="0.3">
      <c r="B162" t="s">
        <v>50</v>
      </c>
      <c r="F162" s="50"/>
      <c r="J162" s="85"/>
      <c r="K162" s="50"/>
      <c r="R162" s="50"/>
      <c r="S162" s="50"/>
      <c r="X162" s="66"/>
      <c r="AG162" s="66"/>
    </row>
    <row r="163" spans="2:33" x14ac:dyDescent="0.3">
      <c r="D163" t="s">
        <v>538</v>
      </c>
      <c r="E163" t="s">
        <v>537</v>
      </c>
      <c r="F163" s="50" t="s">
        <v>504</v>
      </c>
      <c r="J163" s="85"/>
      <c r="K163" s="50"/>
      <c r="R163" s="50"/>
      <c r="S163" s="50"/>
      <c r="T163" s="288"/>
      <c r="X163" s="66"/>
      <c r="AG163" s="66"/>
    </row>
    <row r="164" spans="2:33" x14ac:dyDescent="0.3">
      <c r="F164" s="50"/>
      <c r="J164" s="85"/>
      <c r="K164" s="50"/>
      <c r="R164" s="50"/>
      <c r="S164" s="50" t="s">
        <v>550</v>
      </c>
      <c r="T164" s="71">
        <f>T160/T168</f>
        <v>3210828.8910154407</v>
      </c>
      <c r="X164" s="66"/>
      <c r="AG164" s="66"/>
    </row>
    <row r="165" spans="2:33" x14ac:dyDescent="0.3">
      <c r="B165" t="s">
        <v>37</v>
      </c>
      <c r="C165" t="s">
        <v>23</v>
      </c>
      <c r="D165" s="277">
        <f>'2006 model details (OLD)'!J102</f>
        <v>0</v>
      </c>
      <c r="E165" s="277">
        <f>'2006 model details (OLD)'!L102</f>
        <v>0</v>
      </c>
      <c r="F165" s="50"/>
      <c r="J165" s="85"/>
      <c r="K165" s="50"/>
      <c r="R165" s="50"/>
      <c r="S165" s="80"/>
      <c r="T165" s="59"/>
      <c r="U165" s="59"/>
      <c r="V165" s="59"/>
      <c r="W165" s="59"/>
      <c r="X165" s="107"/>
      <c r="AG165" s="66"/>
    </row>
    <row r="166" spans="2:33" x14ac:dyDescent="0.3">
      <c r="B166" t="s">
        <v>36</v>
      </c>
      <c r="C166" t="s">
        <v>22</v>
      </c>
      <c r="D166" s="277">
        <f>'2006 model details (OLD)'!J103</f>
        <v>2.5417000000000005</v>
      </c>
      <c r="E166" s="277">
        <f>'2006 model details (OLD)'!L103</f>
        <v>0</v>
      </c>
      <c r="F166" s="280">
        <f>(D166+D168)/E171</f>
        <v>10.19814426818318</v>
      </c>
      <c r="G166" t="s">
        <v>549</v>
      </c>
      <c r="J166" s="76">
        <f>J97</f>
        <v>-3.3219956263134764</v>
      </c>
      <c r="K166" s="282">
        <f>J166</f>
        <v>-3.3219956263134764</v>
      </c>
      <c r="N166" s="281">
        <f>(K166+K168)/L171</f>
        <v>-15.207954735410253</v>
      </c>
      <c r="R166" s="50"/>
      <c r="AG166" s="66"/>
    </row>
    <row r="167" spans="2:33" x14ac:dyDescent="0.3">
      <c r="B167" t="s">
        <v>535</v>
      </c>
      <c r="C167" t="s">
        <v>505</v>
      </c>
      <c r="D167" s="277">
        <f>'2006 model details (OLD)'!J104</f>
        <v>0</v>
      </c>
      <c r="E167" s="277">
        <f>'2006 model details (OLD)'!L104</f>
        <v>0</v>
      </c>
      <c r="F167" s="50"/>
      <c r="J167" s="85"/>
      <c r="K167" s="50"/>
      <c r="R167" s="50"/>
      <c r="S167" t="s">
        <v>548</v>
      </c>
      <c r="Y167" t="s">
        <v>547</v>
      </c>
      <c r="AG167" s="66"/>
    </row>
    <row r="168" spans="2:33" x14ac:dyDescent="0.3">
      <c r="B168" t="s">
        <v>43</v>
      </c>
      <c r="C168" t="s">
        <v>29</v>
      </c>
      <c r="D168" s="277">
        <f>'2006 model details (OLD)'!J105</f>
        <v>0.86549999999999994</v>
      </c>
      <c r="E168" s="277">
        <f>'2006 model details (OLD)'!L105</f>
        <v>0</v>
      </c>
      <c r="F168" s="50"/>
      <c r="J168" s="85"/>
      <c r="K168" s="280">
        <f>I97</f>
        <v>-1.5088494475463996</v>
      </c>
      <c r="R168" s="50"/>
      <c r="S168" s="52" t="s">
        <v>546</v>
      </c>
      <c r="T168" s="287">
        <v>11.135131523216403</v>
      </c>
      <c r="U168" s="53" t="s">
        <v>545</v>
      </c>
      <c r="V168" s="53"/>
      <c r="W168" s="55"/>
      <c r="Y168" s="52"/>
      <c r="Z168" s="53"/>
      <c r="AA168" s="53"/>
      <c r="AB168" s="53"/>
      <c r="AC168" s="53"/>
      <c r="AD168" s="53"/>
      <c r="AE168" s="53"/>
      <c r="AF168" s="55"/>
      <c r="AG168" s="66"/>
    </row>
    <row r="169" spans="2:33" x14ac:dyDescent="0.3">
      <c r="B169" t="s">
        <v>534</v>
      </c>
      <c r="C169" t="s">
        <v>27</v>
      </c>
      <c r="D169" s="277">
        <f>'2006 model details (OLD)'!J106</f>
        <v>0</v>
      </c>
      <c r="E169" s="277">
        <f>'2006 model details (OLD)'!L106</f>
        <v>0</v>
      </c>
      <c r="F169" s="50"/>
      <c r="J169" s="85"/>
      <c r="K169" s="50"/>
      <c r="R169" s="50"/>
      <c r="S169" s="50"/>
      <c r="W169" s="66"/>
      <c r="Y169" s="50"/>
      <c r="AF169" s="66"/>
      <c r="AG169" s="66"/>
    </row>
    <row r="170" spans="2:33" x14ac:dyDescent="0.3">
      <c r="B170" t="s">
        <v>533</v>
      </c>
      <c r="C170" t="s">
        <v>31</v>
      </c>
      <c r="D170" s="277">
        <f>'2006 model details (OLD)'!J107</f>
        <v>0</v>
      </c>
      <c r="E170" s="277">
        <f>'2006 model details (OLD)'!L107</f>
        <v>0</v>
      </c>
      <c r="F170" s="50"/>
      <c r="J170" s="85"/>
      <c r="K170" s="50"/>
      <c r="R170" s="50"/>
      <c r="S170" s="286" t="s">
        <v>544</v>
      </c>
      <c r="T170" s="279" t="s">
        <v>543</v>
      </c>
      <c r="W170" s="66"/>
      <c r="Y170" s="50"/>
      <c r="Z170" s="285" t="s">
        <v>542</v>
      </c>
      <c r="AA170" s="285"/>
      <c r="AB170" s="285" t="s">
        <v>541</v>
      </c>
      <c r="AC170" s="283"/>
      <c r="AD170" s="283"/>
      <c r="AE170" s="283"/>
      <c r="AF170" s="66"/>
      <c r="AG170" s="66"/>
    </row>
    <row r="171" spans="2:33" x14ac:dyDescent="0.3">
      <c r="B171" t="s">
        <v>532</v>
      </c>
      <c r="C171" t="s">
        <v>30</v>
      </c>
      <c r="D171" s="277">
        <f>'2006 model details (OLD)'!J108</f>
        <v>0</v>
      </c>
      <c r="E171" s="277">
        <f>'2006 model details (OLD)'!L108</f>
        <v>0.33410000000000001</v>
      </c>
      <c r="F171" s="50"/>
      <c r="J171" s="85"/>
      <c r="K171" s="50"/>
      <c r="L171" s="62">
        <f>G9/1000000</f>
        <v>0.31765251527292626</v>
      </c>
      <c r="P171" s="276">
        <f>L171/Q171</f>
        <v>0.38271387382280275</v>
      </c>
      <c r="Q171">
        <v>0.83</v>
      </c>
      <c r="R171" s="50"/>
      <c r="S171" s="50" t="s">
        <v>39</v>
      </c>
      <c r="T171" s="284">
        <v>681177.60000000009</v>
      </c>
      <c r="W171" s="66"/>
      <c r="Y171" s="50"/>
      <c r="AA171" s="283"/>
      <c r="AB171" s="283" t="s">
        <v>39</v>
      </c>
      <c r="AC171" s="283" t="s">
        <v>37</v>
      </c>
      <c r="AD171" s="283" t="s">
        <v>38</v>
      </c>
      <c r="AE171" s="283" t="s">
        <v>43</v>
      </c>
      <c r="AF171" s="66"/>
      <c r="AG171" s="66"/>
    </row>
    <row r="172" spans="2:33" x14ac:dyDescent="0.3">
      <c r="F172" s="50"/>
      <c r="J172" s="85"/>
      <c r="K172" s="50"/>
      <c r="R172" s="50"/>
      <c r="S172" s="50" t="s">
        <v>539</v>
      </c>
      <c r="T172" s="284">
        <v>2952707.1039999998</v>
      </c>
      <c r="W172" s="66"/>
      <c r="Y172" s="50" t="s">
        <v>39</v>
      </c>
      <c r="Z172" s="283">
        <v>681177.60000000009</v>
      </c>
      <c r="AA172" s="283"/>
      <c r="AB172" s="283">
        <v>-1261440</v>
      </c>
      <c r="AC172" s="283"/>
      <c r="AD172" s="283"/>
      <c r="AE172" s="283"/>
      <c r="AF172" s="66"/>
      <c r="AG172" s="66"/>
    </row>
    <row r="173" spans="2:33" x14ac:dyDescent="0.3">
      <c r="B173" s="67" t="s">
        <v>540</v>
      </c>
      <c r="F173" s="50"/>
      <c r="J173" s="85"/>
      <c r="K173" s="50"/>
      <c r="R173" s="50"/>
      <c r="S173" s="50" t="s">
        <v>43</v>
      </c>
      <c r="T173" s="284">
        <v>7990887.9919999996</v>
      </c>
      <c r="W173" s="66"/>
      <c r="Y173" s="50" t="s">
        <v>539</v>
      </c>
      <c r="Z173" s="283">
        <v>2952707.1039999998</v>
      </c>
      <c r="AA173" s="283"/>
      <c r="AB173" s="283"/>
      <c r="AC173" s="283">
        <v>-2157406.3195876288</v>
      </c>
      <c r="AD173" s="283">
        <v>-1677900</v>
      </c>
      <c r="AE173" s="283"/>
      <c r="AF173" s="66"/>
      <c r="AG173" s="66"/>
    </row>
    <row r="174" spans="2:33" x14ac:dyDescent="0.3">
      <c r="B174" t="s">
        <v>60</v>
      </c>
      <c r="D174" t="s">
        <v>538</v>
      </c>
      <c r="E174" t="s">
        <v>537</v>
      </c>
      <c r="F174" s="50" t="s">
        <v>504</v>
      </c>
      <c r="J174" s="85"/>
      <c r="K174" s="50"/>
      <c r="R174" s="50"/>
      <c r="S174" s="50"/>
      <c r="W174" s="66"/>
      <c r="Y174" s="50" t="s">
        <v>536</v>
      </c>
      <c r="Z174" s="283">
        <v>7990887.9919999996</v>
      </c>
      <c r="AA174" s="283"/>
      <c r="AB174" s="283"/>
      <c r="AC174" s="283"/>
      <c r="AD174" s="283"/>
      <c r="AE174" s="283">
        <v>-15578197.632094119</v>
      </c>
      <c r="AF174" s="66"/>
      <c r="AG174" s="66"/>
    </row>
    <row r="175" spans="2:33" x14ac:dyDescent="0.3">
      <c r="F175" s="50"/>
      <c r="J175" s="85"/>
      <c r="K175" s="50"/>
      <c r="R175" s="50"/>
      <c r="S175" s="50"/>
      <c r="T175">
        <f>SUM(U175:V175)</f>
        <v>-12446402.442246219</v>
      </c>
      <c r="U175">
        <v>-12007844.75512773</v>
      </c>
      <c r="V175">
        <v>-438557.68711848865</v>
      </c>
      <c r="W175" s="66"/>
      <c r="Y175" s="50"/>
      <c r="AF175" s="66"/>
      <c r="AG175" s="66"/>
    </row>
    <row r="176" spans="2:33" x14ac:dyDescent="0.3">
      <c r="B176" t="s">
        <v>37</v>
      </c>
      <c r="C176" t="s">
        <v>23</v>
      </c>
      <c r="D176" s="277">
        <f>'2006 model details (OLD)'!J123</f>
        <v>0</v>
      </c>
      <c r="E176" s="277">
        <f>'2006 model details (OLD)'!L123</f>
        <v>0</v>
      </c>
      <c r="F176" s="50"/>
      <c r="J176" s="85"/>
      <c r="K176" s="50"/>
      <c r="R176" s="50"/>
      <c r="S176" s="80"/>
      <c r="T176" s="59"/>
      <c r="U176" s="59"/>
      <c r="V176" s="59"/>
      <c r="W176" s="107"/>
      <c r="Y176" s="50"/>
      <c r="AF176" s="66"/>
      <c r="AG176" s="66"/>
    </row>
    <row r="177" spans="1:33" x14ac:dyDescent="0.3">
      <c r="B177" t="s">
        <v>36</v>
      </c>
      <c r="C177" t="s">
        <v>22</v>
      </c>
      <c r="D177" s="277">
        <f>'2006 model details (OLD)'!J124</f>
        <v>2.4512999999999998</v>
      </c>
      <c r="E177" s="277">
        <f>'2006 model details (OLD)'!L124</f>
        <v>0</v>
      </c>
      <c r="F177" s="280">
        <f>(D177+D179)/E183</f>
        <v>8</v>
      </c>
      <c r="J177" s="76">
        <f>J100</f>
        <v>-5.5127933451231801</v>
      </c>
      <c r="K177" s="282">
        <f>J177</f>
        <v>-5.5127933451231801</v>
      </c>
      <c r="N177" s="281">
        <f>(K177+K179)/L183</f>
        <v>-13.128734688551315</v>
      </c>
      <c r="R177" s="50"/>
      <c r="Y177" s="80"/>
      <c r="Z177" s="59"/>
      <c r="AA177" s="59"/>
      <c r="AB177" s="59"/>
      <c r="AC177" s="59"/>
      <c r="AD177" s="59"/>
      <c r="AE177" s="59"/>
      <c r="AF177" s="107"/>
      <c r="AG177" s="66"/>
    </row>
    <row r="178" spans="1:33" x14ac:dyDescent="0.3">
      <c r="B178" t="s">
        <v>535</v>
      </c>
      <c r="C178" t="s">
        <v>505</v>
      </c>
      <c r="D178" s="277">
        <f>'2006 model details (OLD)'!J125</f>
        <v>0.10009999999999999</v>
      </c>
      <c r="E178" s="277">
        <f>'2006 model details (OLD)'!L125</f>
        <v>0</v>
      </c>
      <c r="F178" s="50"/>
      <c r="J178" s="85"/>
      <c r="K178" s="50"/>
      <c r="R178" s="50"/>
      <c r="AG178" s="66"/>
    </row>
    <row r="179" spans="1:33" x14ac:dyDescent="0.3">
      <c r="B179" t="s">
        <v>43</v>
      </c>
      <c r="C179" t="s">
        <v>29</v>
      </c>
      <c r="D179" s="277">
        <f>'2006 model details (OLD)'!J126</f>
        <v>13.5695</v>
      </c>
      <c r="E179" s="277">
        <f>'2006 model details (OLD)'!L126</f>
        <v>0</v>
      </c>
      <c r="F179" s="50"/>
      <c r="J179" s="85"/>
      <c r="K179" s="280">
        <f>I100</f>
        <v>-23.108636000000001</v>
      </c>
      <c r="R179" s="50"/>
      <c r="AG179" s="66"/>
    </row>
    <row r="180" spans="1:33" x14ac:dyDescent="0.3">
      <c r="B180" t="s">
        <v>534</v>
      </c>
      <c r="C180" t="s">
        <v>27</v>
      </c>
      <c r="D180" s="277">
        <f>'2006 model details (OLD)'!J127</f>
        <v>0</v>
      </c>
      <c r="E180" s="277">
        <f>'2006 model details (OLD)'!L127</f>
        <v>0</v>
      </c>
      <c r="F180" s="50"/>
      <c r="J180" s="85"/>
      <c r="K180" s="50"/>
      <c r="R180" s="50"/>
      <c r="AG180" s="66"/>
    </row>
    <row r="181" spans="1:33" x14ac:dyDescent="0.3">
      <c r="B181" t="s">
        <v>533</v>
      </c>
      <c r="C181" t="s">
        <v>31</v>
      </c>
      <c r="D181" s="277">
        <f>'2006 model details (OLD)'!J128</f>
        <v>0</v>
      </c>
      <c r="E181" s="277">
        <f>'2006 model details (OLD)'!L128</f>
        <v>0</v>
      </c>
      <c r="F181" s="50"/>
      <c r="J181" s="85"/>
      <c r="K181" s="50"/>
      <c r="R181" s="50"/>
      <c r="S181" s="279" t="s">
        <v>101</v>
      </c>
      <c r="AG181" s="66"/>
    </row>
    <row r="182" spans="1:33" x14ac:dyDescent="0.3">
      <c r="B182" t="s">
        <v>532</v>
      </c>
      <c r="C182" t="s">
        <v>30</v>
      </c>
      <c r="D182" s="277">
        <f>'2006 model details (OLD)'!J129</f>
        <v>2.2028999999999996</v>
      </c>
      <c r="E182" s="277">
        <f>'2006 model details (OLD)'!L129</f>
        <v>0</v>
      </c>
      <c r="F182" s="50"/>
      <c r="J182" s="85"/>
      <c r="K182" s="278">
        <f>L146+L171</f>
        <v>1.4668542984582214</v>
      </c>
      <c r="R182" s="50"/>
      <c r="S182" s="52"/>
      <c r="T182" s="53"/>
      <c r="U182" s="53"/>
      <c r="V182" s="53"/>
      <c r="W182" s="53"/>
      <c r="X182" s="55"/>
      <c r="AG182" s="66"/>
    </row>
    <row r="183" spans="1:33" x14ac:dyDescent="0.3">
      <c r="B183" t="s">
        <v>531</v>
      </c>
      <c r="C183" t="s">
        <v>32</v>
      </c>
      <c r="D183" s="277">
        <f>'2006 model details (OLD)'!J130</f>
        <v>0</v>
      </c>
      <c r="E183" s="277">
        <f>'2006 model details (OLD)'!L130</f>
        <v>2.0026000000000002</v>
      </c>
      <c r="F183" s="50"/>
      <c r="J183" s="85"/>
      <c r="K183" s="50"/>
      <c r="L183" s="62">
        <f>G12/1000000</f>
        <v>2.1800600000000001</v>
      </c>
      <c r="N183">
        <f>K182/L183</f>
        <v>0.67285042542784201</v>
      </c>
      <c r="O183" t="s">
        <v>530</v>
      </c>
      <c r="P183" s="276">
        <f>L183/Q183</f>
        <v>2.6265783132530123</v>
      </c>
      <c r="Q183">
        <v>0.83</v>
      </c>
      <c r="R183" s="50"/>
      <c r="S183" s="50" t="s">
        <v>529</v>
      </c>
      <c r="T183" s="71">
        <v>16.210891537852099</v>
      </c>
      <c r="U183" t="s">
        <v>21</v>
      </c>
      <c r="V183" t="s">
        <v>101</v>
      </c>
      <c r="X183" s="66"/>
      <c r="AG183" s="66"/>
    </row>
    <row r="184" spans="1:33" x14ac:dyDescent="0.3">
      <c r="D184" s="272"/>
      <c r="E184" s="272"/>
      <c r="R184" s="50"/>
      <c r="S184" s="50"/>
      <c r="T184" s="62">
        <f>T107</f>
        <v>0.73711514499999997</v>
      </c>
      <c r="U184" t="s">
        <v>526</v>
      </c>
      <c r="V184" t="s">
        <v>525</v>
      </c>
      <c r="X184" s="66"/>
      <c r="AG184" s="66"/>
    </row>
    <row r="185" spans="1:33" x14ac:dyDescent="0.3">
      <c r="D185" s="272"/>
      <c r="E185" s="272"/>
      <c r="R185" s="50"/>
      <c r="S185" s="50"/>
      <c r="T185" s="71">
        <f>(T183/T184)*(1+$X$185)</f>
        <v>21.992346308190559</v>
      </c>
      <c r="X185" s="66"/>
      <c r="AG185" s="66"/>
    </row>
    <row r="186" spans="1:33" ht="21" x14ac:dyDescent="0.4">
      <c r="A186" s="275" t="s">
        <v>528</v>
      </c>
      <c r="B186" s="59"/>
      <c r="C186" s="59"/>
      <c r="D186" s="273"/>
      <c r="E186" s="273"/>
      <c r="F186" s="59"/>
      <c r="G186" s="59"/>
      <c r="H186" s="59"/>
      <c r="I186" s="59"/>
      <c r="J186" s="59"/>
      <c r="K186" s="59"/>
      <c r="L186" s="59"/>
      <c r="M186" s="59"/>
      <c r="N186" s="59"/>
      <c r="O186" s="59"/>
      <c r="P186" s="59"/>
      <c r="R186" s="50"/>
      <c r="S186" s="50"/>
      <c r="X186" s="66"/>
      <c r="AG186" s="66"/>
    </row>
    <row r="187" spans="1:33" x14ac:dyDescent="0.3">
      <c r="R187" s="50"/>
      <c r="S187" s="50" t="s">
        <v>527</v>
      </c>
      <c r="T187" s="62">
        <v>23.518946282873902</v>
      </c>
      <c r="U187" t="s">
        <v>21</v>
      </c>
      <c r="V187" t="s">
        <v>101</v>
      </c>
      <c r="X187" s="66"/>
      <c r="AG187" s="66"/>
    </row>
    <row r="188" spans="1:33" x14ac:dyDescent="0.3">
      <c r="R188" s="50"/>
      <c r="S188" s="50"/>
      <c r="T188" s="62">
        <f>T149/1000000</f>
        <v>1.4511090499999999</v>
      </c>
      <c r="U188" t="s">
        <v>526</v>
      </c>
      <c r="V188" t="s">
        <v>525</v>
      </c>
      <c r="X188" s="66"/>
      <c r="AG188" s="66"/>
    </row>
    <row r="189" spans="1:33" x14ac:dyDescent="0.3">
      <c r="R189" s="50"/>
      <c r="S189" s="50"/>
      <c r="T189" s="272">
        <f>(T187/T188)*(1+$X$185)</f>
        <v>16.207566400935825</v>
      </c>
      <c r="X189" s="66"/>
      <c r="AG189" s="66"/>
    </row>
    <row r="190" spans="1:33" x14ac:dyDescent="0.3">
      <c r="R190" s="50"/>
      <c r="S190" s="80"/>
      <c r="T190" s="59"/>
      <c r="U190" s="59"/>
      <c r="V190" s="59"/>
      <c r="W190" s="59"/>
      <c r="X190" s="107"/>
      <c r="AG190" s="66"/>
    </row>
    <row r="191" spans="1:33" x14ac:dyDescent="0.3">
      <c r="R191" s="50"/>
      <c r="AG191" s="66"/>
    </row>
    <row r="192" spans="1:33" x14ac:dyDescent="0.3">
      <c r="R192" s="50"/>
      <c r="AG192" s="66"/>
    </row>
    <row r="193" spans="1:33" x14ac:dyDescent="0.3">
      <c r="R193" s="80"/>
      <c r="S193" s="59"/>
      <c r="T193" s="59"/>
      <c r="U193" s="59"/>
      <c r="V193" s="59"/>
      <c r="W193" s="59"/>
      <c r="X193" s="59"/>
      <c r="Y193" s="59"/>
      <c r="Z193" s="59"/>
      <c r="AA193" s="59"/>
      <c r="AB193" s="59"/>
      <c r="AC193" s="59"/>
      <c r="AD193" s="59"/>
      <c r="AE193" s="59"/>
      <c r="AF193" s="59"/>
      <c r="AG193" s="107"/>
    </row>
    <row r="196" spans="1:33" x14ac:dyDescent="0.3">
      <c r="T196" s="71"/>
      <c r="U196" s="71"/>
    </row>
    <row r="198" spans="1:33" x14ac:dyDescent="0.3">
      <c r="D198" s="272"/>
      <c r="E198" s="272"/>
    </row>
    <row r="199" spans="1:33" x14ac:dyDescent="0.3">
      <c r="D199" s="272"/>
      <c r="E199" s="272"/>
    </row>
    <row r="200" spans="1:33" x14ac:dyDescent="0.3">
      <c r="D200" s="272"/>
      <c r="E200" s="272"/>
    </row>
    <row r="201" spans="1:33" ht="21" x14ac:dyDescent="0.4">
      <c r="A201" s="275" t="s">
        <v>524</v>
      </c>
      <c r="B201" s="59"/>
      <c r="C201" s="59"/>
      <c r="D201" s="273"/>
      <c r="E201" s="273"/>
      <c r="F201" s="59"/>
      <c r="G201" s="59"/>
      <c r="H201" s="59"/>
      <c r="I201" s="59"/>
      <c r="J201" s="59"/>
      <c r="K201" s="59"/>
      <c r="L201" s="59"/>
      <c r="M201" s="59"/>
      <c r="N201" s="59"/>
      <c r="O201" s="59"/>
      <c r="P201" s="59"/>
    </row>
    <row r="202" spans="1:33" x14ac:dyDescent="0.3">
      <c r="C202" t="s">
        <v>523</v>
      </c>
      <c r="D202" s="272" t="str">
        <f>AB171</f>
        <v>Gas</v>
      </c>
      <c r="E202" s="272" t="str">
        <f>AC171</f>
        <v>Coal</v>
      </c>
      <c r="F202" s="272" t="str">
        <f>AD171</f>
        <v>Biomass</v>
      </c>
      <c r="G202" s="272" t="str">
        <f>AE171</f>
        <v>Steam</v>
      </c>
    </row>
    <row r="203" spans="1:33" x14ac:dyDescent="0.3">
      <c r="B203" t="s">
        <v>39</v>
      </c>
      <c r="C203" s="71">
        <f>Z172/1000000</f>
        <v>0.68117760000000005</v>
      </c>
      <c r="D203" s="272">
        <f>AB172/1000000</f>
        <v>-1.2614399999999999</v>
      </c>
      <c r="E203" s="272"/>
      <c r="F203" s="272"/>
      <c r="G203" s="272"/>
      <c r="H203" s="86"/>
    </row>
    <row r="204" spans="1:33" x14ac:dyDescent="0.3">
      <c r="B204" t="s">
        <v>43</v>
      </c>
      <c r="C204" s="71">
        <f>Z174/1000000</f>
        <v>7.9908879919999993</v>
      </c>
      <c r="D204" s="272"/>
      <c r="E204" s="272"/>
      <c r="F204" s="272"/>
      <c r="G204" s="272">
        <f>AE174/1000000</f>
        <v>-15.578197632094119</v>
      </c>
      <c r="M204" t="s">
        <v>367</v>
      </c>
    </row>
    <row r="205" spans="1:33" x14ac:dyDescent="0.3">
      <c r="M205" t="s">
        <v>43</v>
      </c>
      <c r="N205" s="71">
        <f>C204</f>
        <v>7.9908879919999993</v>
      </c>
    </row>
    <row r="206" spans="1:33" x14ac:dyDescent="0.3">
      <c r="D206" s="272"/>
      <c r="E206" s="272"/>
      <c r="M206" t="s">
        <v>73</v>
      </c>
      <c r="N206" s="86">
        <f>N208-N205</f>
        <v>6.209112008</v>
      </c>
    </row>
    <row r="207" spans="1:33" x14ac:dyDescent="0.3">
      <c r="D207" s="272"/>
      <c r="E207" s="272"/>
      <c r="M207" t="s">
        <v>522</v>
      </c>
      <c r="N207">
        <f>SUM(N205:N206)</f>
        <v>14.2</v>
      </c>
    </row>
    <row r="208" spans="1:33" x14ac:dyDescent="0.3">
      <c r="D208" s="272" t="s">
        <v>521</v>
      </c>
      <c r="E208" s="272" t="s">
        <v>520</v>
      </c>
      <c r="H208" s="85" t="s">
        <v>148</v>
      </c>
      <c r="M208" t="s">
        <v>519</v>
      </c>
      <c r="N208">
        <v>14.2</v>
      </c>
      <c r="O208" t="s">
        <v>518</v>
      </c>
    </row>
    <row r="209" spans="1:16" x14ac:dyDescent="0.3">
      <c r="D209" s="272"/>
      <c r="E209" s="272" t="s">
        <v>43</v>
      </c>
      <c r="F209" t="s">
        <v>39</v>
      </c>
    </row>
    <row r="210" spans="1:16" x14ac:dyDescent="0.3">
      <c r="B210" s="144" t="s">
        <v>62</v>
      </c>
      <c r="C210" t="s">
        <v>517</v>
      </c>
      <c r="D210" s="272">
        <f>C204</f>
        <v>7.9908879919999993</v>
      </c>
      <c r="E210" s="272">
        <f>-G204</f>
        <v>15.578197632094119</v>
      </c>
      <c r="H210">
        <f>(D210/0.85)*(1+K210)</f>
        <v>11.281253635764706</v>
      </c>
      <c r="J210" t="s">
        <v>516</v>
      </c>
      <c r="K210" s="139">
        <v>0.2</v>
      </c>
    </row>
    <row r="211" spans="1:16" x14ac:dyDescent="0.3">
      <c r="B211" s="144" t="s">
        <v>194</v>
      </c>
      <c r="C211" t="s">
        <v>73</v>
      </c>
      <c r="D211" s="272">
        <f>C203</f>
        <v>0.68117760000000005</v>
      </c>
      <c r="E211" s="272"/>
      <c r="F211" s="272">
        <f>-D203</f>
        <v>1.2614399999999999</v>
      </c>
      <c r="H211">
        <f>(D211/0.85)*(1+K211)</f>
        <v>0.80138541176470601</v>
      </c>
    </row>
    <row r="212" spans="1:16" x14ac:dyDescent="0.3">
      <c r="B212" s="144"/>
      <c r="D212" s="272"/>
      <c r="E212" s="272"/>
      <c r="F212" s="272"/>
    </row>
    <row r="213" spans="1:16" x14ac:dyDescent="0.3">
      <c r="B213" s="144"/>
      <c r="D213" s="272"/>
      <c r="E213" s="272"/>
      <c r="F213" s="272"/>
    </row>
    <row r="214" spans="1:16" x14ac:dyDescent="0.3">
      <c r="B214" s="144"/>
      <c r="D214" s="272"/>
      <c r="E214" s="272"/>
      <c r="F214" s="272"/>
    </row>
    <row r="215" spans="1:16" ht="23.4" x14ac:dyDescent="0.45">
      <c r="A215" s="274" t="s">
        <v>515</v>
      </c>
      <c r="B215" s="59"/>
      <c r="C215" s="59"/>
      <c r="D215" s="273"/>
      <c r="E215" s="273"/>
      <c r="F215" s="59"/>
      <c r="G215" s="59"/>
      <c r="H215" s="59"/>
      <c r="I215" s="59"/>
      <c r="J215" s="59"/>
      <c r="K215" s="59"/>
      <c r="L215" s="59"/>
      <c r="M215" s="59"/>
      <c r="N215" s="59"/>
      <c r="O215" s="59"/>
      <c r="P215" s="59"/>
    </row>
    <row r="216" spans="1:16" x14ac:dyDescent="0.3">
      <c r="D216" s="272"/>
      <c r="E216" s="272"/>
    </row>
    <row r="217" spans="1:16" ht="28.8" x14ac:dyDescent="0.3">
      <c r="I217" s="355" t="s">
        <v>514</v>
      </c>
      <c r="K217" s="355" t="s">
        <v>513</v>
      </c>
      <c r="M217" s="271" t="s">
        <v>512</v>
      </c>
      <c r="O217" s="271" t="s">
        <v>511</v>
      </c>
    </row>
    <row r="218" spans="1:16" ht="28.8" x14ac:dyDescent="0.3">
      <c r="C218" s="67" t="s">
        <v>353</v>
      </c>
      <c r="D218" s="271" t="s">
        <v>88</v>
      </c>
      <c r="E218" s="271" t="s">
        <v>510</v>
      </c>
      <c r="F218" s="271" t="s">
        <v>510</v>
      </c>
      <c r="G218" s="270"/>
      <c r="H218" s="270"/>
      <c r="I218" s="270"/>
      <c r="M218" s="268"/>
      <c r="O218" s="268"/>
    </row>
    <row r="219" spans="1:16" x14ac:dyDescent="0.3">
      <c r="B219" t="s">
        <v>504</v>
      </c>
      <c r="C219" t="s">
        <v>54</v>
      </c>
      <c r="D219" t="s">
        <v>313</v>
      </c>
      <c r="E219" t="s">
        <v>30</v>
      </c>
      <c r="F219" t="s">
        <v>241</v>
      </c>
      <c r="G219" t="s">
        <v>313</v>
      </c>
      <c r="H219">
        <v>0</v>
      </c>
      <c r="I219">
        <v>13.8</v>
      </c>
      <c r="J219" t="s">
        <v>509</v>
      </c>
      <c r="K219">
        <f t="shared" ref="K219:K250" si="8">I219</f>
        <v>13.8</v>
      </c>
      <c r="M219" s="267">
        <f>N145</f>
        <v>-17.114424712023649</v>
      </c>
      <c r="O219" s="266">
        <f t="shared" ref="O219:O250" si="9">IF(ISBLANK(M219),K219,M219)</f>
        <v>-17.114424712023649</v>
      </c>
      <c r="P219" t="s">
        <v>391</v>
      </c>
    </row>
    <row r="220" spans="1:16" x14ac:dyDescent="0.3">
      <c r="B220" t="s">
        <v>504</v>
      </c>
      <c r="C220" s="59" t="s">
        <v>54</v>
      </c>
      <c r="D220" s="59" t="s">
        <v>313</v>
      </c>
      <c r="E220" s="59" t="s">
        <v>30</v>
      </c>
      <c r="F220" s="59" t="s">
        <v>23</v>
      </c>
      <c r="G220" s="59" t="s">
        <v>313</v>
      </c>
      <c r="H220" s="59">
        <v>0</v>
      </c>
      <c r="I220" s="59">
        <v>3.4</v>
      </c>
      <c r="J220" t="s">
        <v>508</v>
      </c>
      <c r="K220">
        <f t="shared" si="8"/>
        <v>3.4</v>
      </c>
      <c r="M220" s="267">
        <f>N146</f>
        <v>-3.4000000000000004</v>
      </c>
      <c r="O220" s="266">
        <f t="shared" si="9"/>
        <v>-3.4000000000000004</v>
      </c>
    </row>
    <row r="221" spans="1:16" x14ac:dyDescent="0.3">
      <c r="B221" t="s">
        <v>504</v>
      </c>
      <c r="C221" t="s">
        <v>56</v>
      </c>
      <c r="D221" t="s">
        <v>313</v>
      </c>
      <c r="E221" t="s">
        <v>31</v>
      </c>
      <c r="F221" t="s">
        <v>243</v>
      </c>
      <c r="G221" t="s">
        <v>313</v>
      </c>
      <c r="H221">
        <v>0</v>
      </c>
      <c r="I221">
        <v>15.8</v>
      </c>
      <c r="K221">
        <f t="shared" si="8"/>
        <v>15.8</v>
      </c>
      <c r="M221" s="268">
        <f>N154</f>
        <v>-16.610602374617468</v>
      </c>
      <c r="O221" s="266">
        <f t="shared" si="9"/>
        <v>-16.610602374617468</v>
      </c>
      <c r="P221" t="s">
        <v>507</v>
      </c>
    </row>
    <row r="222" spans="1:16" x14ac:dyDescent="0.3">
      <c r="B222" t="s">
        <v>504</v>
      </c>
      <c r="C222" t="s">
        <v>56</v>
      </c>
      <c r="D222" t="s">
        <v>313</v>
      </c>
      <c r="E222" t="s">
        <v>31</v>
      </c>
      <c r="F222" t="s">
        <v>23</v>
      </c>
      <c r="G222" t="s">
        <v>313</v>
      </c>
      <c r="H222">
        <v>0</v>
      </c>
      <c r="I222">
        <v>3.4</v>
      </c>
      <c r="K222">
        <f t="shared" si="8"/>
        <v>3.4</v>
      </c>
      <c r="M222" s="269">
        <f>N153</f>
        <v>-3.45</v>
      </c>
      <c r="O222" s="266">
        <f>IF(ISBLANK(M222),K222,M222)</f>
        <v>-3.45</v>
      </c>
    </row>
    <row r="223" spans="1:16" x14ac:dyDescent="0.3">
      <c r="B223" t="s">
        <v>504</v>
      </c>
      <c r="C223" s="59" t="s">
        <v>56</v>
      </c>
      <c r="D223" s="59" t="s">
        <v>313</v>
      </c>
      <c r="E223" s="59" t="s">
        <v>31</v>
      </c>
      <c r="F223" s="59" t="s">
        <v>505</v>
      </c>
      <c r="G223" s="59" t="s">
        <v>313</v>
      </c>
      <c r="H223" s="59">
        <v>0</v>
      </c>
      <c r="I223" s="59">
        <v>0.05</v>
      </c>
      <c r="K223">
        <f t="shared" si="8"/>
        <v>0.05</v>
      </c>
      <c r="M223" s="268"/>
      <c r="O223" s="266">
        <f t="shared" si="9"/>
        <v>0.05</v>
      </c>
    </row>
    <row r="224" spans="1:16" x14ac:dyDescent="0.3">
      <c r="B224" t="s">
        <v>504</v>
      </c>
      <c r="C224" s="59" t="s">
        <v>50</v>
      </c>
      <c r="D224" s="59" t="s">
        <v>313</v>
      </c>
      <c r="E224" s="59" t="s">
        <v>30</v>
      </c>
      <c r="F224" s="59" t="s">
        <v>246</v>
      </c>
      <c r="G224" s="59" t="s">
        <v>313</v>
      </c>
      <c r="H224" s="59">
        <v>0</v>
      </c>
      <c r="I224" s="59">
        <v>10.199999999999999</v>
      </c>
      <c r="K224">
        <f t="shared" si="8"/>
        <v>10.199999999999999</v>
      </c>
      <c r="M224" s="267">
        <f>N166</f>
        <v>-15.207954735410253</v>
      </c>
      <c r="O224" s="266">
        <f t="shared" si="9"/>
        <v>-15.207954735410253</v>
      </c>
      <c r="P224" t="s">
        <v>392</v>
      </c>
    </row>
    <row r="225" spans="2:16" x14ac:dyDescent="0.3">
      <c r="B225" t="s">
        <v>504</v>
      </c>
      <c r="C225" t="s">
        <v>60</v>
      </c>
      <c r="D225" t="s">
        <v>313</v>
      </c>
      <c r="E225" t="s">
        <v>32</v>
      </c>
      <c r="F225" t="s">
        <v>248</v>
      </c>
      <c r="G225" t="s">
        <v>313</v>
      </c>
      <c r="H225">
        <v>0</v>
      </c>
      <c r="I225">
        <v>8</v>
      </c>
      <c r="K225">
        <f t="shared" si="8"/>
        <v>8</v>
      </c>
      <c r="M225" s="267">
        <f>N177</f>
        <v>-13.128734688551315</v>
      </c>
      <c r="O225" s="266">
        <f t="shared" si="9"/>
        <v>-13.128734688551315</v>
      </c>
      <c r="P225" t="s">
        <v>506</v>
      </c>
    </row>
    <row r="226" spans="2:16" x14ac:dyDescent="0.3">
      <c r="B226" t="s">
        <v>504</v>
      </c>
      <c r="C226" s="59" t="s">
        <v>60</v>
      </c>
      <c r="D226" s="59" t="s">
        <v>313</v>
      </c>
      <c r="E226" s="59" t="s">
        <v>32</v>
      </c>
      <c r="F226" s="59" t="s">
        <v>505</v>
      </c>
      <c r="G226" s="59" t="s">
        <v>313</v>
      </c>
      <c r="H226" s="59">
        <v>0</v>
      </c>
      <c r="I226" s="59">
        <v>0.05</v>
      </c>
      <c r="K226">
        <f t="shared" si="8"/>
        <v>0.05</v>
      </c>
      <c r="M226" s="268"/>
      <c r="O226" s="266">
        <f t="shared" si="9"/>
        <v>0.05</v>
      </c>
    </row>
    <row r="227" spans="2:16" x14ac:dyDescent="0.3">
      <c r="B227" t="s">
        <v>504</v>
      </c>
      <c r="C227" s="59" t="s">
        <v>59</v>
      </c>
      <c r="D227" s="59" t="s">
        <v>313</v>
      </c>
      <c r="E227" s="59" t="s">
        <v>30</v>
      </c>
      <c r="F227" s="59" t="s">
        <v>250</v>
      </c>
      <c r="G227" s="59" t="s">
        <v>313</v>
      </c>
      <c r="H227" s="59">
        <v>0</v>
      </c>
      <c r="I227" s="59">
        <v>3.85</v>
      </c>
      <c r="K227">
        <f t="shared" si="8"/>
        <v>3.85</v>
      </c>
      <c r="M227" s="268"/>
      <c r="O227" s="266">
        <f t="shared" si="9"/>
        <v>3.85</v>
      </c>
      <c r="P227" t="s">
        <v>503</v>
      </c>
    </row>
    <row r="228" spans="2:16" x14ac:dyDescent="0.3">
      <c r="B228" t="s">
        <v>501</v>
      </c>
      <c r="C228" t="s">
        <v>54</v>
      </c>
      <c r="D228" t="s">
        <v>22</v>
      </c>
      <c r="E228" t="s">
        <v>241</v>
      </c>
      <c r="F228" t="s">
        <v>313</v>
      </c>
      <c r="G228" t="s">
        <v>493</v>
      </c>
      <c r="H228">
        <v>3</v>
      </c>
      <c r="I228">
        <v>0.17499999999999999</v>
      </c>
      <c r="K228">
        <f t="shared" si="8"/>
        <v>0.17499999999999999</v>
      </c>
      <c r="M228" s="267">
        <f>K143/(K144+K143)</f>
        <v>0.20827020317659165</v>
      </c>
      <c r="O228" s="266">
        <f t="shared" si="9"/>
        <v>0.20827020317659165</v>
      </c>
    </row>
    <row r="229" spans="2:16" x14ac:dyDescent="0.3">
      <c r="B229" t="s">
        <v>501</v>
      </c>
      <c r="C229" s="59" t="s">
        <v>54</v>
      </c>
      <c r="D229" s="59" t="s">
        <v>29</v>
      </c>
      <c r="E229" s="59" t="s">
        <v>241</v>
      </c>
      <c r="F229" s="59" t="s">
        <v>313</v>
      </c>
      <c r="G229" s="59" t="s">
        <v>493</v>
      </c>
      <c r="H229" s="59">
        <v>3</v>
      </c>
      <c r="I229" s="59">
        <v>0.82499999999999996</v>
      </c>
      <c r="K229">
        <f t="shared" si="8"/>
        <v>0.82499999999999996</v>
      </c>
      <c r="M229" s="267">
        <f>1-M228</f>
        <v>0.79172979682340838</v>
      </c>
      <c r="O229" s="266">
        <f t="shared" si="9"/>
        <v>0.79172979682340838</v>
      </c>
    </row>
    <row r="230" spans="2:16" x14ac:dyDescent="0.3">
      <c r="B230" t="s">
        <v>501</v>
      </c>
      <c r="C230" t="s">
        <v>56</v>
      </c>
      <c r="D230" t="s">
        <v>22</v>
      </c>
      <c r="E230" t="s">
        <v>243</v>
      </c>
      <c r="F230" t="s">
        <v>313</v>
      </c>
      <c r="G230" t="s">
        <v>493</v>
      </c>
      <c r="H230">
        <v>3</v>
      </c>
      <c r="I230">
        <v>0.159</v>
      </c>
      <c r="K230">
        <f t="shared" si="8"/>
        <v>0.159</v>
      </c>
      <c r="M230" s="267">
        <f>K154/(K156+K154)</f>
        <v>0.19930658142033242</v>
      </c>
      <c r="O230" s="266">
        <f t="shared" si="9"/>
        <v>0.19930658142033242</v>
      </c>
    </row>
    <row r="231" spans="2:16" x14ac:dyDescent="0.3">
      <c r="B231" t="s">
        <v>501</v>
      </c>
      <c r="C231" s="59" t="s">
        <v>56</v>
      </c>
      <c r="D231" s="59" t="s">
        <v>29</v>
      </c>
      <c r="E231" s="59" t="s">
        <v>243</v>
      </c>
      <c r="F231" s="59" t="s">
        <v>313</v>
      </c>
      <c r="G231" s="59" t="s">
        <v>493</v>
      </c>
      <c r="H231" s="59">
        <v>3</v>
      </c>
      <c r="I231" s="59">
        <v>0.84099999999999997</v>
      </c>
      <c r="K231">
        <f t="shared" si="8"/>
        <v>0.84099999999999997</v>
      </c>
      <c r="M231" s="267">
        <f>1-M230</f>
        <v>0.80069341857966758</v>
      </c>
      <c r="O231" s="266">
        <f t="shared" si="9"/>
        <v>0.80069341857966758</v>
      </c>
    </row>
    <row r="232" spans="2:16" x14ac:dyDescent="0.3">
      <c r="B232" t="s">
        <v>501</v>
      </c>
      <c r="C232" t="s">
        <v>50</v>
      </c>
      <c r="D232" t="s">
        <v>22</v>
      </c>
      <c r="E232" t="s">
        <v>246</v>
      </c>
      <c r="F232" t="s">
        <v>313</v>
      </c>
      <c r="G232" t="s">
        <v>493</v>
      </c>
      <c r="H232">
        <v>3</v>
      </c>
      <c r="I232">
        <v>0.746</v>
      </c>
      <c r="K232">
        <f t="shared" si="8"/>
        <v>0.746</v>
      </c>
      <c r="M232" s="267">
        <f>K166/(K166+K168)</f>
        <v>0.68766345753646374</v>
      </c>
      <c r="O232" s="266">
        <f t="shared" si="9"/>
        <v>0.68766345753646374</v>
      </c>
      <c r="P232" t="s">
        <v>502</v>
      </c>
    </row>
    <row r="233" spans="2:16" x14ac:dyDescent="0.3">
      <c r="B233" t="s">
        <v>501</v>
      </c>
      <c r="C233" s="59" t="s">
        <v>50</v>
      </c>
      <c r="D233" s="59" t="s">
        <v>29</v>
      </c>
      <c r="E233" s="59" t="s">
        <v>246</v>
      </c>
      <c r="F233" s="59" t="s">
        <v>313</v>
      </c>
      <c r="G233" s="59" t="s">
        <v>493</v>
      </c>
      <c r="H233" s="59">
        <v>3</v>
      </c>
      <c r="I233" s="59">
        <v>0.254</v>
      </c>
      <c r="K233">
        <f t="shared" si="8"/>
        <v>0.254</v>
      </c>
      <c r="M233" s="267">
        <f>1-M232</f>
        <v>0.31233654246353626</v>
      </c>
      <c r="O233" s="266">
        <f t="shared" si="9"/>
        <v>0.31233654246353626</v>
      </c>
    </row>
    <row r="234" spans="2:16" x14ac:dyDescent="0.3">
      <c r="B234" t="s">
        <v>501</v>
      </c>
      <c r="C234" t="s">
        <v>60</v>
      </c>
      <c r="D234" t="s">
        <v>22</v>
      </c>
      <c r="E234" t="s">
        <v>248</v>
      </c>
      <c r="F234" t="s">
        <v>313</v>
      </c>
      <c r="G234" t="s">
        <v>493</v>
      </c>
      <c r="H234">
        <v>3</v>
      </c>
      <c r="I234">
        <v>0.153</v>
      </c>
      <c r="K234">
        <f t="shared" si="8"/>
        <v>0.153</v>
      </c>
      <c r="M234" s="267">
        <f>K177/(K179+K177)</f>
        <v>0.19261069315053295</v>
      </c>
      <c r="O234" s="266">
        <f t="shared" si="9"/>
        <v>0.19261069315053295</v>
      </c>
    </row>
    <row r="235" spans="2:16" x14ac:dyDescent="0.3">
      <c r="B235" t="s">
        <v>501</v>
      </c>
      <c r="C235" s="59" t="s">
        <v>60</v>
      </c>
      <c r="D235" s="59" t="s">
        <v>29</v>
      </c>
      <c r="E235" s="59" t="s">
        <v>248</v>
      </c>
      <c r="F235" s="59" t="s">
        <v>313</v>
      </c>
      <c r="G235" s="59" t="s">
        <v>493</v>
      </c>
      <c r="H235" s="59">
        <v>3</v>
      </c>
      <c r="I235" s="59">
        <v>0.84699999999999998</v>
      </c>
      <c r="K235">
        <f t="shared" si="8"/>
        <v>0.84699999999999998</v>
      </c>
      <c r="M235" s="267">
        <f>1-M234</f>
        <v>0.80738930684946708</v>
      </c>
      <c r="O235" s="266">
        <f t="shared" si="9"/>
        <v>0.80738930684946708</v>
      </c>
    </row>
    <row r="236" spans="2:16" x14ac:dyDescent="0.3">
      <c r="B236" t="s">
        <v>501</v>
      </c>
      <c r="C236" t="s">
        <v>59</v>
      </c>
      <c r="D236" t="s">
        <v>22</v>
      </c>
      <c r="E236" t="s">
        <v>250</v>
      </c>
      <c r="F236" t="s">
        <v>313</v>
      </c>
      <c r="G236" t="s">
        <v>493</v>
      </c>
      <c r="H236">
        <v>3</v>
      </c>
      <c r="I236">
        <v>0.441</v>
      </c>
      <c r="K236">
        <f t="shared" si="8"/>
        <v>0.441</v>
      </c>
      <c r="M236" s="267"/>
      <c r="O236" s="266">
        <f t="shared" si="9"/>
        <v>0.441</v>
      </c>
    </row>
    <row r="237" spans="2:16" x14ac:dyDescent="0.3">
      <c r="B237" t="s">
        <v>501</v>
      </c>
      <c r="C237" s="59" t="s">
        <v>59</v>
      </c>
      <c r="D237" s="59" t="s">
        <v>29</v>
      </c>
      <c r="E237" s="59" t="s">
        <v>250</v>
      </c>
      <c r="F237" s="59" t="s">
        <v>313</v>
      </c>
      <c r="G237" s="59" t="s">
        <v>493</v>
      </c>
      <c r="H237" s="59">
        <v>3</v>
      </c>
      <c r="I237" s="59">
        <v>0.55900000000000005</v>
      </c>
      <c r="K237">
        <f t="shared" si="8"/>
        <v>0.55900000000000005</v>
      </c>
      <c r="M237" s="267"/>
      <c r="O237" s="266">
        <f t="shared" si="9"/>
        <v>0.55900000000000005</v>
      </c>
    </row>
    <row r="238" spans="2:16" x14ac:dyDescent="0.3">
      <c r="B238" t="s">
        <v>499</v>
      </c>
      <c r="C238" t="s">
        <v>54</v>
      </c>
      <c r="D238" t="s">
        <v>313</v>
      </c>
      <c r="E238" t="s">
        <v>313</v>
      </c>
      <c r="F238" t="s">
        <v>313</v>
      </c>
      <c r="G238" t="s">
        <v>498</v>
      </c>
      <c r="H238">
        <v>0</v>
      </c>
      <c r="I238">
        <v>0.85</v>
      </c>
      <c r="K238">
        <f t="shared" si="8"/>
        <v>0.85</v>
      </c>
      <c r="M238" s="268">
        <v>0.75</v>
      </c>
      <c r="O238" s="266">
        <f t="shared" si="9"/>
        <v>0.75</v>
      </c>
      <c r="P238" t="s">
        <v>500</v>
      </c>
    </row>
    <row r="239" spans="2:16" x14ac:dyDescent="0.3">
      <c r="B239" t="s">
        <v>499</v>
      </c>
      <c r="C239" t="s">
        <v>56</v>
      </c>
      <c r="D239" t="s">
        <v>313</v>
      </c>
      <c r="E239" t="s">
        <v>313</v>
      </c>
      <c r="F239" t="s">
        <v>313</v>
      </c>
      <c r="G239" t="s">
        <v>498</v>
      </c>
      <c r="H239">
        <v>0</v>
      </c>
      <c r="I239">
        <v>0.85</v>
      </c>
      <c r="K239">
        <f t="shared" si="8"/>
        <v>0.85</v>
      </c>
      <c r="M239" s="268">
        <v>0.75</v>
      </c>
      <c r="O239" s="266">
        <f t="shared" si="9"/>
        <v>0.75</v>
      </c>
    </row>
    <row r="240" spans="2:16" x14ac:dyDescent="0.3">
      <c r="B240" t="s">
        <v>499</v>
      </c>
      <c r="C240" t="s">
        <v>50</v>
      </c>
      <c r="D240" t="s">
        <v>313</v>
      </c>
      <c r="E240" t="s">
        <v>313</v>
      </c>
      <c r="F240" t="s">
        <v>313</v>
      </c>
      <c r="G240" t="s">
        <v>498</v>
      </c>
      <c r="H240">
        <v>0</v>
      </c>
      <c r="I240">
        <v>0.85</v>
      </c>
      <c r="K240">
        <f t="shared" si="8"/>
        <v>0.85</v>
      </c>
      <c r="M240" s="268">
        <v>0.75</v>
      </c>
      <c r="O240" s="266">
        <f t="shared" si="9"/>
        <v>0.75</v>
      </c>
    </row>
    <row r="241" spans="2:16" x14ac:dyDescent="0.3">
      <c r="B241" t="s">
        <v>499</v>
      </c>
      <c r="C241" t="s">
        <v>60</v>
      </c>
      <c r="D241" t="s">
        <v>313</v>
      </c>
      <c r="E241" t="s">
        <v>313</v>
      </c>
      <c r="F241" t="s">
        <v>313</v>
      </c>
      <c r="G241" t="s">
        <v>498</v>
      </c>
      <c r="H241">
        <v>0</v>
      </c>
      <c r="I241">
        <v>0.85</v>
      </c>
      <c r="K241">
        <f t="shared" si="8"/>
        <v>0.85</v>
      </c>
      <c r="M241" s="268">
        <v>0.75</v>
      </c>
      <c r="O241" s="266">
        <f t="shared" si="9"/>
        <v>0.75</v>
      </c>
    </row>
    <row r="242" spans="2:16" x14ac:dyDescent="0.3">
      <c r="B242" t="s">
        <v>499</v>
      </c>
      <c r="C242" t="s">
        <v>59</v>
      </c>
      <c r="D242" t="s">
        <v>313</v>
      </c>
      <c r="E242" t="s">
        <v>313</v>
      </c>
      <c r="F242" t="s">
        <v>313</v>
      </c>
      <c r="G242" t="s">
        <v>498</v>
      </c>
      <c r="H242">
        <v>0</v>
      </c>
      <c r="I242">
        <v>0.85</v>
      </c>
      <c r="K242">
        <f t="shared" si="8"/>
        <v>0.85</v>
      </c>
      <c r="M242" s="268">
        <v>0.75</v>
      </c>
      <c r="O242" s="266">
        <f t="shared" si="9"/>
        <v>0.75</v>
      </c>
    </row>
    <row r="243" spans="2:16" x14ac:dyDescent="0.3">
      <c r="B243" t="s">
        <v>499</v>
      </c>
      <c r="C243" s="144" t="s">
        <v>68</v>
      </c>
      <c r="D243" t="s">
        <v>313</v>
      </c>
      <c r="E243" t="s">
        <v>313</v>
      </c>
      <c r="F243" t="s">
        <v>313</v>
      </c>
      <c r="G243" t="s">
        <v>498</v>
      </c>
      <c r="H243">
        <v>0</v>
      </c>
      <c r="I243">
        <v>0.85</v>
      </c>
      <c r="K243">
        <f t="shared" si="8"/>
        <v>0.85</v>
      </c>
      <c r="M243" s="268">
        <v>0.75</v>
      </c>
      <c r="O243" s="266">
        <f t="shared" si="9"/>
        <v>0.75</v>
      </c>
    </row>
    <row r="244" spans="2:16" x14ac:dyDescent="0.3">
      <c r="B244" t="s">
        <v>496</v>
      </c>
      <c r="C244" t="s">
        <v>54</v>
      </c>
      <c r="D244" t="s">
        <v>313</v>
      </c>
      <c r="E244" t="s">
        <v>313</v>
      </c>
      <c r="F244" t="s">
        <v>313</v>
      </c>
      <c r="G244" t="s">
        <v>495</v>
      </c>
      <c r="H244">
        <v>0</v>
      </c>
      <c r="I244">
        <v>0.85</v>
      </c>
      <c r="K244">
        <f t="shared" si="8"/>
        <v>0.85</v>
      </c>
      <c r="M244" s="268">
        <v>0.87</v>
      </c>
      <c r="O244" s="266">
        <f t="shared" si="9"/>
        <v>0.87</v>
      </c>
      <c r="P244" t="s">
        <v>497</v>
      </c>
    </row>
    <row r="245" spans="2:16" x14ac:dyDescent="0.3">
      <c r="B245" t="s">
        <v>496</v>
      </c>
      <c r="C245" t="s">
        <v>56</v>
      </c>
      <c r="D245" t="s">
        <v>313</v>
      </c>
      <c r="E245" t="s">
        <v>313</v>
      </c>
      <c r="F245" t="s">
        <v>313</v>
      </c>
      <c r="G245" t="s">
        <v>495</v>
      </c>
      <c r="H245">
        <v>0</v>
      </c>
      <c r="I245">
        <v>0.85</v>
      </c>
      <c r="K245">
        <f t="shared" si="8"/>
        <v>0.85</v>
      </c>
      <c r="M245" s="268"/>
      <c r="O245" s="266">
        <f t="shared" si="9"/>
        <v>0.85</v>
      </c>
    </row>
    <row r="246" spans="2:16" x14ac:dyDescent="0.3">
      <c r="B246" t="s">
        <v>496</v>
      </c>
      <c r="C246" t="s">
        <v>50</v>
      </c>
      <c r="D246" t="s">
        <v>313</v>
      </c>
      <c r="E246" t="s">
        <v>313</v>
      </c>
      <c r="F246" t="s">
        <v>313</v>
      </c>
      <c r="G246" t="s">
        <v>495</v>
      </c>
      <c r="H246">
        <v>0</v>
      </c>
      <c r="I246">
        <v>0.85</v>
      </c>
      <c r="K246">
        <f t="shared" si="8"/>
        <v>0.85</v>
      </c>
      <c r="M246" s="268"/>
      <c r="O246" s="266">
        <f t="shared" si="9"/>
        <v>0.85</v>
      </c>
    </row>
    <row r="247" spans="2:16" x14ac:dyDescent="0.3">
      <c r="B247" t="s">
        <v>496</v>
      </c>
      <c r="C247" t="s">
        <v>60</v>
      </c>
      <c r="D247" t="s">
        <v>313</v>
      </c>
      <c r="E247" t="s">
        <v>313</v>
      </c>
      <c r="F247" t="s">
        <v>313</v>
      </c>
      <c r="G247" t="s">
        <v>495</v>
      </c>
      <c r="H247">
        <v>0</v>
      </c>
      <c r="I247">
        <v>0.85</v>
      </c>
      <c r="K247">
        <f t="shared" si="8"/>
        <v>0.85</v>
      </c>
      <c r="M247" s="268"/>
      <c r="O247" s="266">
        <f t="shared" si="9"/>
        <v>0.85</v>
      </c>
    </row>
    <row r="248" spans="2:16" x14ac:dyDescent="0.3">
      <c r="B248" t="s">
        <v>496</v>
      </c>
      <c r="C248" t="s">
        <v>59</v>
      </c>
      <c r="D248" t="s">
        <v>313</v>
      </c>
      <c r="E248" t="s">
        <v>313</v>
      </c>
      <c r="F248" t="s">
        <v>313</v>
      </c>
      <c r="G248" t="s">
        <v>495</v>
      </c>
      <c r="H248">
        <v>0</v>
      </c>
      <c r="I248">
        <v>0.85</v>
      </c>
      <c r="K248">
        <f t="shared" si="8"/>
        <v>0.85</v>
      </c>
      <c r="M248" s="268"/>
      <c r="O248" s="266">
        <f t="shared" si="9"/>
        <v>0.85</v>
      </c>
    </row>
    <row r="249" spans="2:16" x14ac:dyDescent="0.3">
      <c r="B249" t="s">
        <v>494</v>
      </c>
      <c r="C249" t="s">
        <v>54</v>
      </c>
      <c r="D249" t="s">
        <v>313</v>
      </c>
      <c r="E249" t="s">
        <v>313</v>
      </c>
      <c r="F249" t="s">
        <v>313</v>
      </c>
      <c r="G249" t="s">
        <v>493</v>
      </c>
      <c r="H249">
        <v>0</v>
      </c>
      <c r="I249">
        <v>0</v>
      </c>
      <c r="K249">
        <f t="shared" si="8"/>
        <v>0</v>
      </c>
      <c r="M249" s="268"/>
      <c r="O249" s="266">
        <f t="shared" si="9"/>
        <v>0</v>
      </c>
    </row>
    <row r="250" spans="2:16" x14ac:dyDescent="0.3">
      <c r="B250" t="s">
        <v>494</v>
      </c>
      <c r="C250" t="s">
        <v>56</v>
      </c>
      <c r="D250" t="s">
        <v>313</v>
      </c>
      <c r="E250" t="s">
        <v>313</v>
      </c>
      <c r="F250" t="s">
        <v>313</v>
      </c>
      <c r="G250" t="s">
        <v>493</v>
      </c>
      <c r="H250">
        <v>0</v>
      </c>
      <c r="I250">
        <v>0</v>
      </c>
      <c r="K250">
        <f t="shared" si="8"/>
        <v>0</v>
      </c>
      <c r="M250" s="268"/>
      <c r="O250" s="266">
        <f t="shared" si="9"/>
        <v>0</v>
      </c>
    </row>
    <row r="251" spans="2:16" x14ac:dyDescent="0.3">
      <c r="B251" t="s">
        <v>494</v>
      </c>
      <c r="C251" t="s">
        <v>50</v>
      </c>
      <c r="D251" t="s">
        <v>313</v>
      </c>
      <c r="E251" t="s">
        <v>313</v>
      </c>
      <c r="F251" t="s">
        <v>313</v>
      </c>
      <c r="G251" t="s">
        <v>493</v>
      </c>
      <c r="H251">
        <v>0</v>
      </c>
      <c r="I251">
        <v>0</v>
      </c>
      <c r="K251">
        <f t="shared" ref="K251:K268" si="10">I251</f>
        <v>0</v>
      </c>
      <c r="M251" s="268"/>
      <c r="O251" s="266">
        <f t="shared" ref="O251:O267" si="11">IF(ISBLANK(M251),K251,M251)</f>
        <v>0</v>
      </c>
    </row>
    <row r="252" spans="2:16" x14ac:dyDescent="0.3">
      <c r="B252" t="s">
        <v>494</v>
      </c>
      <c r="C252" t="s">
        <v>60</v>
      </c>
      <c r="D252" t="s">
        <v>313</v>
      </c>
      <c r="E252" t="s">
        <v>313</v>
      </c>
      <c r="F252" t="s">
        <v>313</v>
      </c>
      <c r="G252" t="s">
        <v>493</v>
      </c>
      <c r="H252">
        <v>0</v>
      </c>
      <c r="I252">
        <v>0</v>
      </c>
      <c r="K252">
        <f t="shared" si="10"/>
        <v>0</v>
      </c>
      <c r="M252" s="268"/>
      <c r="O252" s="266">
        <f t="shared" si="11"/>
        <v>0</v>
      </c>
    </row>
    <row r="253" spans="2:16" x14ac:dyDescent="0.3">
      <c r="B253" t="s">
        <v>494</v>
      </c>
      <c r="C253" t="s">
        <v>59</v>
      </c>
      <c r="D253" t="s">
        <v>313</v>
      </c>
      <c r="E253" t="s">
        <v>313</v>
      </c>
      <c r="F253" t="s">
        <v>313</v>
      </c>
      <c r="G253" t="s">
        <v>493</v>
      </c>
      <c r="H253">
        <v>0</v>
      </c>
      <c r="I253">
        <v>0</v>
      </c>
      <c r="K253">
        <f t="shared" si="10"/>
        <v>0</v>
      </c>
      <c r="M253" s="268"/>
      <c r="O253" s="266">
        <f t="shared" si="11"/>
        <v>0</v>
      </c>
    </row>
    <row r="254" spans="2:16" x14ac:dyDescent="0.3">
      <c r="B254" t="s">
        <v>147</v>
      </c>
      <c r="C254" t="s">
        <v>54</v>
      </c>
      <c r="D254" t="s">
        <v>313</v>
      </c>
      <c r="E254" t="s">
        <v>313</v>
      </c>
      <c r="F254" t="s">
        <v>313</v>
      </c>
      <c r="G254" t="s">
        <v>313</v>
      </c>
      <c r="H254">
        <v>0</v>
      </c>
      <c r="I254">
        <v>25</v>
      </c>
      <c r="K254">
        <f t="shared" si="10"/>
        <v>25</v>
      </c>
      <c r="M254" s="268"/>
      <c r="O254" s="266">
        <f t="shared" si="11"/>
        <v>25</v>
      </c>
    </row>
    <row r="255" spans="2:16" x14ac:dyDescent="0.3">
      <c r="B255" t="s">
        <v>147</v>
      </c>
      <c r="C255" t="s">
        <v>56</v>
      </c>
      <c r="D255" t="s">
        <v>313</v>
      </c>
      <c r="E255" t="s">
        <v>313</v>
      </c>
      <c r="F255" t="s">
        <v>313</v>
      </c>
      <c r="G255" t="s">
        <v>313</v>
      </c>
      <c r="H255">
        <v>0</v>
      </c>
      <c r="I255">
        <v>25</v>
      </c>
      <c r="K255">
        <f t="shared" si="10"/>
        <v>25</v>
      </c>
      <c r="M255" s="268"/>
      <c r="O255" s="266">
        <f t="shared" si="11"/>
        <v>25</v>
      </c>
    </row>
    <row r="256" spans="2:16" x14ac:dyDescent="0.3">
      <c r="B256" t="s">
        <v>147</v>
      </c>
      <c r="C256" t="s">
        <v>50</v>
      </c>
      <c r="D256" t="s">
        <v>313</v>
      </c>
      <c r="E256" t="s">
        <v>313</v>
      </c>
      <c r="F256" t="s">
        <v>313</v>
      </c>
      <c r="G256" t="s">
        <v>313</v>
      </c>
      <c r="H256">
        <v>0</v>
      </c>
      <c r="I256">
        <v>25</v>
      </c>
      <c r="K256">
        <f t="shared" si="10"/>
        <v>25</v>
      </c>
      <c r="M256" s="268"/>
      <c r="O256" s="266">
        <f t="shared" si="11"/>
        <v>25</v>
      </c>
    </row>
    <row r="257" spans="2:15" x14ac:dyDescent="0.3">
      <c r="B257" t="s">
        <v>147</v>
      </c>
      <c r="C257" t="s">
        <v>60</v>
      </c>
      <c r="D257" t="s">
        <v>313</v>
      </c>
      <c r="E257" t="s">
        <v>313</v>
      </c>
      <c r="F257" t="s">
        <v>313</v>
      </c>
      <c r="G257" t="s">
        <v>313</v>
      </c>
      <c r="H257">
        <v>0</v>
      </c>
      <c r="I257">
        <v>25</v>
      </c>
      <c r="K257">
        <f t="shared" si="10"/>
        <v>25</v>
      </c>
      <c r="M257" s="268"/>
      <c r="O257" s="266">
        <f t="shared" si="11"/>
        <v>25</v>
      </c>
    </row>
    <row r="258" spans="2:15" x14ac:dyDescent="0.3">
      <c r="B258" t="s">
        <v>147</v>
      </c>
      <c r="C258" t="s">
        <v>59</v>
      </c>
      <c r="D258" t="s">
        <v>313</v>
      </c>
      <c r="E258" t="s">
        <v>313</v>
      </c>
      <c r="F258" t="s">
        <v>313</v>
      </c>
      <c r="G258" t="s">
        <v>313</v>
      </c>
      <c r="H258">
        <v>0</v>
      </c>
      <c r="I258">
        <v>25</v>
      </c>
      <c r="K258">
        <f t="shared" si="10"/>
        <v>25</v>
      </c>
      <c r="M258" s="268"/>
      <c r="O258" s="266">
        <f t="shared" si="11"/>
        <v>25</v>
      </c>
    </row>
    <row r="259" spans="2:15" x14ac:dyDescent="0.3">
      <c r="B259" t="s">
        <v>171</v>
      </c>
      <c r="C259" t="s">
        <v>54</v>
      </c>
      <c r="D259" t="s">
        <v>313</v>
      </c>
      <c r="E259" t="s">
        <v>27</v>
      </c>
      <c r="F259" t="s">
        <v>313</v>
      </c>
      <c r="G259" t="s">
        <v>313</v>
      </c>
      <c r="H259">
        <v>0</v>
      </c>
      <c r="I259">
        <v>7</v>
      </c>
      <c r="K259">
        <f t="shared" si="10"/>
        <v>7</v>
      </c>
      <c r="M259" s="268"/>
      <c r="O259" s="266">
        <f t="shared" si="11"/>
        <v>7</v>
      </c>
    </row>
    <row r="260" spans="2:15" x14ac:dyDescent="0.3">
      <c r="B260" t="s">
        <v>171</v>
      </c>
      <c r="C260" t="s">
        <v>56</v>
      </c>
      <c r="D260" t="s">
        <v>313</v>
      </c>
      <c r="E260" t="s">
        <v>27</v>
      </c>
      <c r="F260" t="s">
        <v>313</v>
      </c>
      <c r="G260" t="s">
        <v>313</v>
      </c>
      <c r="H260">
        <v>0</v>
      </c>
      <c r="I260">
        <v>7</v>
      </c>
      <c r="K260">
        <f t="shared" si="10"/>
        <v>7</v>
      </c>
      <c r="M260" s="268"/>
      <c r="O260" s="266">
        <f t="shared" si="11"/>
        <v>7</v>
      </c>
    </row>
    <row r="261" spans="2:15" x14ac:dyDescent="0.3">
      <c r="B261" t="s">
        <v>171</v>
      </c>
      <c r="C261" t="s">
        <v>60</v>
      </c>
      <c r="D261" t="s">
        <v>313</v>
      </c>
      <c r="E261" t="s">
        <v>30</v>
      </c>
      <c r="F261" t="s">
        <v>313</v>
      </c>
      <c r="G261" t="s">
        <v>313</v>
      </c>
      <c r="H261">
        <v>0</v>
      </c>
      <c r="I261">
        <v>1.1000000000000001</v>
      </c>
      <c r="K261">
        <f t="shared" si="10"/>
        <v>1.1000000000000001</v>
      </c>
      <c r="M261" s="267">
        <f>N183</f>
        <v>0.67285042542784201</v>
      </c>
      <c r="O261" s="266">
        <f t="shared" si="11"/>
        <v>0.67285042542784201</v>
      </c>
    </row>
    <row r="262" spans="2:15" x14ac:dyDescent="0.3">
      <c r="B262" t="s">
        <v>171</v>
      </c>
      <c r="C262" t="s">
        <v>59</v>
      </c>
      <c r="D262" t="s">
        <v>313</v>
      </c>
      <c r="E262" t="s">
        <v>28</v>
      </c>
      <c r="F262" t="s">
        <v>313</v>
      </c>
      <c r="G262" t="s">
        <v>313</v>
      </c>
      <c r="H262">
        <v>0</v>
      </c>
      <c r="I262">
        <v>1</v>
      </c>
      <c r="K262">
        <f t="shared" si="10"/>
        <v>1</v>
      </c>
      <c r="M262" s="268"/>
      <c r="O262" s="266">
        <f t="shared" si="11"/>
        <v>1</v>
      </c>
    </row>
    <row r="263" spans="2:15" x14ac:dyDescent="0.3">
      <c r="B263" t="s">
        <v>148</v>
      </c>
      <c r="C263" t="s">
        <v>54</v>
      </c>
      <c r="D263" t="s">
        <v>313</v>
      </c>
      <c r="E263" t="s">
        <v>313</v>
      </c>
      <c r="F263" t="s">
        <v>313</v>
      </c>
      <c r="G263" t="s">
        <v>313</v>
      </c>
      <c r="H263">
        <v>0</v>
      </c>
      <c r="I263">
        <v>1.3</v>
      </c>
      <c r="K263">
        <f t="shared" si="10"/>
        <v>1.3</v>
      </c>
      <c r="M263" s="267">
        <f>T137</f>
        <v>1.7071871176470588</v>
      </c>
      <c r="O263" s="266">
        <f t="shared" si="11"/>
        <v>1.7071871176470588</v>
      </c>
    </row>
    <row r="264" spans="2:15" x14ac:dyDescent="0.3">
      <c r="B264" t="s">
        <v>148</v>
      </c>
      <c r="C264" t="s">
        <v>56</v>
      </c>
      <c r="D264" t="s">
        <v>313</v>
      </c>
      <c r="E264" t="s">
        <v>313</v>
      </c>
      <c r="F264" t="s">
        <v>313</v>
      </c>
      <c r="G264" t="s">
        <v>313</v>
      </c>
      <c r="H264">
        <v>0</v>
      </c>
      <c r="I264">
        <v>0.8</v>
      </c>
      <c r="K264">
        <f t="shared" si="10"/>
        <v>0.8</v>
      </c>
      <c r="M264" s="267">
        <f>V138</f>
        <v>0.8671942882352941</v>
      </c>
      <c r="O264" s="266">
        <f t="shared" si="11"/>
        <v>0.8671942882352941</v>
      </c>
    </row>
    <row r="265" spans="2:15" x14ac:dyDescent="0.3">
      <c r="B265" t="s">
        <v>148</v>
      </c>
      <c r="C265" t="s">
        <v>50</v>
      </c>
      <c r="D265" t="s">
        <v>313</v>
      </c>
      <c r="E265" t="s">
        <v>313</v>
      </c>
      <c r="F265" t="s">
        <v>313</v>
      </c>
      <c r="G265" t="s">
        <v>313</v>
      </c>
      <c r="H265">
        <v>0</v>
      </c>
      <c r="I265">
        <v>0.39300000000000002</v>
      </c>
      <c r="K265">
        <f t="shared" si="10"/>
        <v>0.39300000000000002</v>
      </c>
      <c r="M265" s="267"/>
      <c r="O265" s="266">
        <f t="shared" si="11"/>
        <v>0.39300000000000002</v>
      </c>
    </row>
    <row r="266" spans="2:15" x14ac:dyDescent="0.3">
      <c r="B266" t="s">
        <v>148</v>
      </c>
      <c r="C266" t="s">
        <v>60</v>
      </c>
      <c r="D266" t="s">
        <v>313</v>
      </c>
      <c r="E266" t="s">
        <v>313</v>
      </c>
      <c r="F266" t="s">
        <v>313</v>
      </c>
      <c r="G266" t="s">
        <v>313</v>
      </c>
      <c r="H266">
        <v>0</v>
      </c>
      <c r="I266">
        <v>2.3559999999999999</v>
      </c>
      <c r="K266">
        <f t="shared" si="10"/>
        <v>2.3559999999999999</v>
      </c>
      <c r="M266" s="267">
        <f>S136</f>
        <v>2.4156470588235295</v>
      </c>
      <c r="O266" s="266">
        <f t="shared" si="11"/>
        <v>2.4156470588235295</v>
      </c>
    </row>
    <row r="267" spans="2:15" x14ac:dyDescent="0.3">
      <c r="B267" t="s">
        <v>148</v>
      </c>
      <c r="C267" t="s">
        <v>59</v>
      </c>
      <c r="D267" t="s">
        <v>313</v>
      </c>
      <c r="E267" t="s">
        <v>313</v>
      </c>
      <c r="F267" t="s">
        <v>313</v>
      </c>
      <c r="G267" t="s">
        <v>313</v>
      </c>
      <c r="H267">
        <v>0</v>
      </c>
      <c r="I267">
        <v>0.79400000000000004</v>
      </c>
      <c r="K267">
        <f t="shared" si="10"/>
        <v>0.79400000000000004</v>
      </c>
      <c r="M267" s="267">
        <f>W139</f>
        <v>1.2825858823529412</v>
      </c>
      <c r="O267" s="266">
        <f t="shared" si="11"/>
        <v>1.2825858823529412</v>
      </c>
    </row>
    <row r="268" spans="2:15" x14ac:dyDescent="0.3">
      <c r="B268" t="s">
        <v>148</v>
      </c>
      <c r="C268" t="s">
        <v>70</v>
      </c>
      <c r="D268" t="s">
        <v>313</v>
      </c>
      <c r="E268" t="s">
        <v>313</v>
      </c>
      <c r="F268" t="s">
        <v>313</v>
      </c>
      <c r="G268" t="s">
        <v>313</v>
      </c>
      <c r="H268">
        <v>0</v>
      </c>
      <c r="I268">
        <v>0.95499999999999996</v>
      </c>
      <c r="K268">
        <f t="shared" si="10"/>
        <v>0.95499999999999996</v>
      </c>
      <c r="M268" s="267"/>
      <c r="O268" s="266"/>
    </row>
    <row r="269" spans="2:15" x14ac:dyDescent="0.3">
      <c r="B269" t="s">
        <v>148</v>
      </c>
      <c r="C269" s="144" t="s">
        <v>64</v>
      </c>
      <c r="M269" s="267"/>
      <c r="O269" s="266"/>
    </row>
    <row r="270" spans="2:15" x14ac:dyDescent="0.3">
      <c r="B270" s="144" t="s">
        <v>148</v>
      </c>
      <c r="C270" s="144" t="s">
        <v>72</v>
      </c>
      <c r="M270" s="267"/>
      <c r="O270" s="266"/>
    </row>
    <row r="271" spans="2:15" x14ac:dyDescent="0.3">
      <c r="B271" s="144" t="s">
        <v>148</v>
      </c>
      <c r="C271" s="144" t="s">
        <v>66</v>
      </c>
      <c r="M271" s="267"/>
      <c r="O271" s="266"/>
    </row>
    <row r="272" spans="2:15" x14ac:dyDescent="0.3">
      <c r="B272" s="144" t="s">
        <v>148</v>
      </c>
      <c r="C272" s="144" t="s">
        <v>68</v>
      </c>
      <c r="M272" s="267"/>
      <c r="O272" s="266"/>
    </row>
    <row r="273" spans="2:15" x14ac:dyDescent="0.3">
      <c r="B273" s="144" t="s">
        <v>148</v>
      </c>
      <c r="C273" s="144" t="s">
        <v>194</v>
      </c>
      <c r="M273" s="267"/>
      <c r="O273" s="266"/>
    </row>
    <row r="274" spans="2:15" x14ac:dyDescent="0.3">
      <c r="B274" s="144" t="s">
        <v>148</v>
      </c>
      <c r="C274" s="144" t="s">
        <v>62</v>
      </c>
      <c r="M274" s="62"/>
      <c r="O274" s="266"/>
    </row>
    <row r="275" spans="2:15" x14ac:dyDescent="0.3">
      <c r="B275" s="144"/>
      <c r="C275" s="144"/>
    </row>
    <row r="276" spans="2:15" x14ac:dyDescent="0.3">
      <c r="B276" s="144"/>
      <c r="C276" s="144"/>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3BED-9638-4A70-AF94-57F0D1E41DD0}">
  <dimension ref="A1:AG276"/>
  <sheetViews>
    <sheetView topLeftCell="A42" zoomScale="140" zoomScaleNormal="140" workbookViewId="0">
      <selection activeCell="D59" sqref="D59"/>
    </sheetView>
  </sheetViews>
  <sheetFormatPr defaultRowHeight="14.4" x14ac:dyDescent="0.3"/>
  <cols>
    <col min="3" max="3" width="19.6640625" customWidth="1"/>
    <col min="4" max="4" width="14.33203125" customWidth="1"/>
    <col min="7" max="7" width="14.5546875" customWidth="1"/>
  </cols>
  <sheetData>
    <row r="1" spans="1:11" x14ac:dyDescent="0.3">
      <c r="A1" t="s">
        <v>1471</v>
      </c>
    </row>
    <row r="2" spans="1:11" x14ac:dyDescent="0.3">
      <c r="A2" t="s">
        <v>615</v>
      </c>
    </row>
    <row r="3" spans="1:11" x14ac:dyDescent="0.3">
      <c r="A3" t="s">
        <v>1470</v>
      </c>
    </row>
    <row r="6" spans="1:11" ht="21" x14ac:dyDescent="0.4">
      <c r="A6" s="303" t="s">
        <v>367</v>
      </c>
    </row>
    <row r="7" spans="1:11" x14ac:dyDescent="0.3">
      <c r="D7" s="265" t="s">
        <v>613</v>
      </c>
      <c r="G7" s="67" t="s">
        <v>612</v>
      </c>
    </row>
    <row r="8" spans="1:11" x14ac:dyDescent="0.3">
      <c r="B8" t="s">
        <v>54</v>
      </c>
      <c r="C8" t="s">
        <v>108</v>
      </c>
      <c r="D8" s="307">
        <f>SUMIFS('TNAPP Energy Intensity (OLD) '!$C$76:$C$113,'TNAPP Energy Intensity (OLD) '!$I$76:$I$113,Methodology!C8)</f>
        <v>1342799</v>
      </c>
      <c r="G8" s="307">
        <f>$G$12*(D8/$D$12)</f>
        <v>1149201.7831852953</v>
      </c>
      <c r="H8" t="s">
        <v>611</v>
      </c>
    </row>
    <row r="9" spans="1:11" x14ac:dyDescent="0.3">
      <c r="B9" t="s">
        <v>50</v>
      </c>
      <c r="C9" t="s">
        <v>109</v>
      </c>
      <c r="D9" s="307">
        <f>SUMIFS('TNAPP Energy Intensity (OLD) '!$C$76:$C$113,'TNAPP Energy Intensity (OLD) '!$I$76:$I$113,Methodology!C9)</f>
        <v>371165</v>
      </c>
      <c r="G9" s="307">
        <f>$G$12*(D9/$D$12)</f>
        <v>317652.51527292625</v>
      </c>
      <c r="H9" t="s">
        <v>611</v>
      </c>
      <c r="K9">
        <f>G9/SUM(G8:G9,G11)</f>
        <v>0.18038620479166878</v>
      </c>
    </row>
    <row r="10" spans="1:11" x14ac:dyDescent="0.3">
      <c r="B10" t="s">
        <v>56</v>
      </c>
      <c r="C10" t="s">
        <v>110</v>
      </c>
      <c r="D10" s="307">
        <f>SUMIFS('TNAPP Energy Intensity (OLD) '!$C$76:$C$113,'TNAPP Energy Intensity (OLD) '!$I$76:$I$113,Methodology!C10)</f>
        <v>895153</v>
      </c>
      <c r="G10" s="327">
        <f>'PP prod. and Capacity (OLD)'!H55*1000000</f>
        <v>659107.19806663936</v>
      </c>
    </row>
    <row r="11" spans="1:11" x14ac:dyDescent="0.3">
      <c r="B11" t="s">
        <v>59</v>
      </c>
      <c r="C11" t="s">
        <v>111</v>
      </c>
      <c r="D11" s="307">
        <f>SUMIFS('TNAPP Energy Intensity (OLD) '!$C$76:$C$113,'TNAPP Energy Intensity (OLD) '!$I$76:$I$113,Methodology!C11)</f>
        <v>343649</v>
      </c>
      <c r="G11" s="307">
        <f>$G$12*(D11/$D$12)</f>
        <v>294103.61758524063</v>
      </c>
      <c r="H11" t="s">
        <v>611</v>
      </c>
    </row>
    <row r="12" spans="1:11" x14ac:dyDescent="0.3">
      <c r="B12" t="s">
        <v>60</v>
      </c>
      <c r="C12" t="s">
        <v>46</v>
      </c>
      <c r="D12" s="327">
        <f>SUMIFS('TNAPP Energy Intensity (OLD) '!$C$76:$C$113,'TNAPP Energy Intensity (OLD) '!$I$76:$I$113,Methodology!C12)</f>
        <v>2547318</v>
      </c>
      <c r="G12" s="327">
        <f>'PP prod. and Capacity (OLD)'!H53*1000000</f>
        <v>2180060</v>
      </c>
    </row>
    <row r="14" spans="1:11" ht="21" x14ac:dyDescent="0.4">
      <c r="A14" s="303" t="s">
        <v>610</v>
      </c>
    </row>
    <row r="15" spans="1:11" ht="21" x14ac:dyDescent="0.4">
      <c r="A15" s="303"/>
      <c r="B15" s="326" t="s">
        <v>609</v>
      </c>
    </row>
    <row r="16" spans="1:11" x14ac:dyDescent="0.3">
      <c r="D16" s="325" t="s">
        <v>36</v>
      </c>
      <c r="E16" s="325" t="s">
        <v>43</v>
      </c>
      <c r="F16" s="325" t="s">
        <v>607</v>
      </c>
      <c r="G16" s="325" t="s">
        <v>606</v>
      </c>
    </row>
    <row r="17" spans="1:12" x14ac:dyDescent="0.3">
      <c r="D17" s="325" t="s">
        <v>608</v>
      </c>
      <c r="E17" s="325" t="s">
        <v>608</v>
      </c>
      <c r="F17" s="325" t="s">
        <v>608</v>
      </c>
      <c r="G17" s="325" t="s">
        <v>608</v>
      </c>
    </row>
    <row r="18" spans="1:12" x14ac:dyDescent="0.3">
      <c r="B18" t="s">
        <v>54</v>
      </c>
      <c r="C18" t="s">
        <v>108</v>
      </c>
      <c r="D18" s="324">
        <f>'TNAPP Energy Intensity (OLD) '!C66</f>
        <v>2.7046800000000002</v>
      </c>
      <c r="E18" s="324">
        <f>'TNAPP Energy Intensity (OLD) '!D66</f>
        <v>13.55</v>
      </c>
      <c r="F18" s="324">
        <f>'TNAPP Energy Intensity (OLD) '!E66</f>
        <v>16.25468</v>
      </c>
      <c r="G18" s="324">
        <f>'TNAPP Energy Intensity (OLD) '!F66</f>
        <v>3.4</v>
      </c>
    </row>
    <row r="19" spans="1:12" x14ac:dyDescent="0.3">
      <c r="B19" t="s">
        <v>50</v>
      </c>
      <c r="C19" t="s">
        <v>109</v>
      </c>
      <c r="D19" s="324">
        <f>'TNAPP Energy Intensity (OLD) '!C67</f>
        <v>7.9354800000000001</v>
      </c>
      <c r="E19" s="324">
        <f>'TNAPP Energy Intensity (OLD) '!D67</f>
        <v>4.75</v>
      </c>
      <c r="F19" s="324">
        <f>'TNAPP Energy Intensity (OLD) '!E67</f>
        <v>12.68548</v>
      </c>
      <c r="G19" s="324">
        <f>'TNAPP Energy Intensity (OLD) '!F67</f>
        <v>0</v>
      </c>
    </row>
    <row r="20" spans="1:12" x14ac:dyDescent="0.3">
      <c r="B20" t="s">
        <v>56</v>
      </c>
      <c r="C20" t="s">
        <v>110</v>
      </c>
      <c r="D20" s="324">
        <f>'TNAPP Energy Intensity (OLD) '!C68</f>
        <v>2.5120800000000001</v>
      </c>
      <c r="E20" s="324">
        <f>'TNAPP Energy Intensity (OLD) '!D68</f>
        <v>13.3</v>
      </c>
      <c r="F20" s="324">
        <f>'TNAPP Energy Intensity (OLD) '!E68</f>
        <v>15.812080000000002</v>
      </c>
      <c r="G20" s="324">
        <f>'TNAPP Energy Intensity (OLD) '!F68</f>
        <v>3.4499999999999997</v>
      </c>
    </row>
    <row r="21" spans="1:12" x14ac:dyDescent="0.3">
      <c r="B21" t="s">
        <v>59</v>
      </c>
      <c r="C21" t="s">
        <v>111</v>
      </c>
      <c r="D21" s="324">
        <f>'TNAPP Energy Intensity (OLD) '!C69</f>
        <v>1.9836</v>
      </c>
      <c r="E21" s="324">
        <f>'TNAPP Energy Intensity (OLD) '!D69</f>
        <v>4.3</v>
      </c>
      <c r="F21" s="324">
        <f>'TNAPP Energy Intensity (OLD) '!E69</f>
        <v>6.2835999999999999</v>
      </c>
      <c r="G21" s="324">
        <f>'TNAPP Energy Intensity (OLD) '!F69</f>
        <v>0</v>
      </c>
    </row>
    <row r="22" spans="1:12" x14ac:dyDescent="0.3">
      <c r="B22" t="s">
        <v>60</v>
      </c>
      <c r="C22" t="s">
        <v>46</v>
      </c>
      <c r="D22" s="324">
        <f>'TNAPP Energy Intensity (OLD) '!C70</f>
        <v>1.9188000000000001</v>
      </c>
      <c r="E22" s="324">
        <f>'TNAPP Energy Intensity (OLD) '!D70</f>
        <v>10.6</v>
      </c>
      <c r="F22" s="324">
        <f>'TNAPP Energy Intensity (OLD) '!E70</f>
        <v>12.518799999999999</v>
      </c>
      <c r="G22" s="324">
        <f>'TNAPP Energy Intensity (OLD) '!F70</f>
        <v>0.9</v>
      </c>
    </row>
    <row r="26" spans="1:12" ht="21" x14ac:dyDescent="0.4">
      <c r="A26" s="303" t="s">
        <v>578</v>
      </c>
    </row>
    <row r="28" spans="1:12" x14ac:dyDescent="0.3">
      <c r="D28" s="323" t="s">
        <v>36</v>
      </c>
      <c r="E28" s="323" t="s">
        <v>43</v>
      </c>
      <c r="F28" s="323" t="s">
        <v>607</v>
      </c>
      <c r="G28" s="323" t="s">
        <v>606</v>
      </c>
      <c r="I28" s="85" t="s">
        <v>605</v>
      </c>
      <c r="J28" s="85"/>
      <c r="K28" s="85"/>
      <c r="L28" s="85"/>
    </row>
    <row r="29" spans="1:12" x14ac:dyDescent="0.3">
      <c r="B29" t="s">
        <v>54</v>
      </c>
      <c r="C29" t="s">
        <v>108</v>
      </c>
      <c r="D29" s="307">
        <f t="shared" ref="D29:G33" si="0">D18*$G8</f>
        <v>3108223.0789456046</v>
      </c>
      <c r="E29" s="307">
        <f t="shared" si="0"/>
        <v>15571684.162160752</v>
      </c>
      <c r="F29" s="307">
        <f t="shared" si="0"/>
        <v>18679907.241106357</v>
      </c>
      <c r="G29" s="307">
        <f>G18*$G8</f>
        <v>3907286.0628300039</v>
      </c>
    </row>
    <row r="30" spans="1:12" x14ac:dyDescent="0.3">
      <c r="B30" t="s">
        <v>50</v>
      </c>
      <c r="C30" t="s">
        <v>109</v>
      </c>
      <c r="D30" s="307">
        <f t="shared" si="0"/>
        <v>2520725.1818980007</v>
      </c>
      <c r="E30" s="307">
        <f t="shared" si="0"/>
        <v>1508849.4475463997</v>
      </c>
      <c r="F30" s="307">
        <f t="shared" si="0"/>
        <v>4029574.6294444003</v>
      </c>
      <c r="G30" s="307">
        <f t="shared" si="0"/>
        <v>0</v>
      </c>
    </row>
    <row r="31" spans="1:12" x14ac:dyDescent="0.3">
      <c r="B31" t="s">
        <v>56</v>
      </c>
      <c r="C31" t="s">
        <v>110</v>
      </c>
      <c r="D31" s="307">
        <f t="shared" si="0"/>
        <v>1655730.0101192435</v>
      </c>
      <c r="E31" s="307">
        <f t="shared" si="0"/>
        <v>8766125.7342863046</v>
      </c>
      <c r="F31" s="307">
        <f t="shared" si="0"/>
        <v>10421855.744405547</v>
      </c>
      <c r="G31" s="307">
        <f t="shared" si="0"/>
        <v>2273919.8333299058</v>
      </c>
    </row>
    <row r="32" spans="1:12" x14ac:dyDescent="0.3">
      <c r="B32" t="s">
        <v>59</v>
      </c>
      <c r="C32" t="s">
        <v>111</v>
      </c>
      <c r="D32" s="307">
        <f t="shared" si="0"/>
        <v>583383.9358420833</v>
      </c>
      <c r="E32" s="307">
        <f t="shared" si="0"/>
        <v>1264645.5556165345</v>
      </c>
      <c r="F32" s="307">
        <f t="shared" si="0"/>
        <v>1848029.4914586181</v>
      </c>
      <c r="G32" s="307">
        <f t="shared" si="0"/>
        <v>0</v>
      </c>
    </row>
    <row r="33" spans="1:13" x14ac:dyDescent="0.3">
      <c r="B33" t="s">
        <v>60</v>
      </c>
      <c r="C33" t="s">
        <v>46</v>
      </c>
      <c r="D33" s="307">
        <f t="shared" si="0"/>
        <v>4183099.128</v>
      </c>
      <c r="E33" s="307">
        <f t="shared" si="0"/>
        <v>23108636</v>
      </c>
      <c r="F33" s="307">
        <f t="shared" si="0"/>
        <v>27291735.127999999</v>
      </c>
      <c r="G33" s="307">
        <f t="shared" si="0"/>
        <v>1962054</v>
      </c>
    </row>
    <row r="34" spans="1:13" x14ac:dyDescent="0.3">
      <c r="B34" s="67" t="s">
        <v>604</v>
      </c>
      <c r="C34" s="67"/>
      <c r="D34" s="322">
        <f>SUM(D29:D33)</f>
        <v>12051161.334804932</v>
      </c>
      <c r="E34" s="322">
        <f>SUM(E29:E33)</f>
        <v>50219940.89960999</v>
      </c>
      <c r="F34" s="322">
        <f>SUM(F29:F33)</f>
        <v>62271102.23441492</v>
      </c>
      <c r="G34" s="322">
        <f>SUM(G29:G33)</f>
        <v>8143259.8961599097</v>
      </c>
    </row>
    <row r="39" spans="1:13" ht="21" x14ac:dyDescent="0.4">
      <c r="A39" s="303" t="s">
        <v>603</v>
      </c>
    </row>
    <row r="41" spans="1:13" x14ac:dyDescent="0.3">
      <c r="B41" s="74" t="s">
        <v>602</v>
      </c>
      <c r="C41" s="59"/>
      <c r="D41" s="59"/>
      <c r="E41" s="59"/>
      <c r="F41" s="59"/>
      <c r="G41" s="59"/>
      <c r="H41" s="59"/>
      <c r="I41" s="59"/>
      <c r="J41" s="59"/>
    </row>
    <row r="42" spans="1:13" x14ac:dyDescent="0.3">
      <c r="B42" s="321" t="s">
        <v>601</v>
      </c>
    </row>
    <row r="44" spans="1:13" x14ac:dyDescent="0.3">
      <c r="D44" s="67" t="s">
        <v>37</v>
      </c>
      <c r="E44" s="67" t="s">
        <v>38</v>
      </c>
      <c r="F44" s="67" t="s">
        <v>39</v>
      </c>
      <c r="G44" s="67" t="s">
        <v>101</v>
      </c>
      <c r="H44" s="67" t="s">
        <v>40</v>
      </c>
      <c r="I44" s="67" t="s">
        <v>43</v>
      </c>
      <c r="J44" s="67" t="s">
        <v>36</v>
      </c>
      <c r="M44" s="144"/>
    </row>
    <row r="45" spans="1:13" x14ac:dyDescent="0.3">
      <c r="B45" s="766" t="s">
        <v>112</v>
      </c>
      <c r="C45" t="s">
        <v>38</v>
      </c>
      <c r="D45" s="307">
        <f>'CHP &amp; Boiler summary'!P27</f>
        <v>0</v>
      </c>
      <c r="E45" s="307">
        <f>'CHP &amp; Boiler summary'!Q27</f>
        <v>3357940.8295975383</v>
      </c>
      <c r="F45" s="307">
        <f>'CHP &amp; Boiler summary'!R27</f>
        <v>0</v>
      </c>
      <c r="G45" s="307">
        <f>'CHP &amp; Boiler summary'!S27</f>
        <v>0</v>
      </c>
      <c r="H45" s="307">
        <f>'CHP &amp; Boiler summary'!T27</f>
        <v>0</v>
      </c>
      <c r="I45" s="307">
        <f>'CHP &amp; Boiler summary'!U27</f>
        <v>2418679.3036871068</v>
      </c>
      <c r="J45" s="307">
        <f>'CHP &amp; Boiler summary'!V27</f>
        <v>0</v>
      </c>
      <c r="L45" t="s">
        <v>70</v>
      </c>
      <c r="M45" s="144"/>
    </row>
    <row r="46" spans="1:13" x14ac:dyDescent="0.3">
      <c r="B46" s="766"/>
      <c r="C46" t="s">
        <v>37</v>
      </c>
      <c r="D46" s="307">
        <f>'CHP &amp; Boiler summary'!P28</f>
        <v>39891867.939931601</v>
      </c>
      <c r="E46" s="307">
        <f>'CHP &amp; Boiler summary'!Q28</f>
        <v>0</v>
      </c>
      <c r="F46" s="307">
        <f>'CHP &amp; Boiler summary'!R28</f>
        <v>0</v>
      </c>
      <c r="G46" s="307">
        <f>'CHP &amp; Boiler summary'!S28</f>
        <v>0</v>
      </c>
      <c r="H46" s="307">
        <f>'CHP &amp; Boiler summary'!T28</f>
        <v>0</v>
      </c>
      <c r="I46" s="307">
        <f>'CHP &amp; Boiler summary'!U28</f>
        <v>28069429.163081087</v>
      </c>
      <c r="J46" s="307">
        <f>'CHP &amp; Boiler summary'!V28</f>
        <v>0</v>
      </c>
      <c r="L46" s="144" t="s">
        <v>64</v>
      </c>
      <c r="M46" s="144"/>
    </row>
    <row r="47" spans="1:13" x14ac:dyDescent="0.3">
      <c r="B47" s="766"/>
      <c r="C47" t="s">
        <v>113</v>
      </c>
      <c r="D47" s="307">
        <f>'CHP &amp; Boiler summary'!P29</f>
        <v>12010455.367484022</v>
      </c>
      <c r="E47" s="307">
        <f>'CHP &amp; Boiler summary'!Q29</f>
        <v>0</v>
      </c>
      <c r="F47" s="307">
        <f>'CHP &amp; Boiler summary'!R29</f>
        <v>0</v>
      </c>
      <c r="G47" s="307">
        <f>'CHP &amp; Boiler summary'!S29</f>
        <v>0</v>
      </c>
      <c r="H47" s="307">
        <f>'CHP &amp; Boiler summary'!T29</f>
        <v>438653.03346417233</v>
      </c>
      <c r="I47" s="307">
        <f>'CHP &amp; Boiler summary'!U29</f>
        <v>8668582.8765799701</v>
      </c>
      <c r="J47" s="307">
        <f>'CHP &amp; Boiler summary'!V29</f>
        <v>0</v>
      </c>
      <c r="L47" s="144" t="s">
        <v>72</v>
      </c>
      <c r="M47" s="144"/>
    </row>
    <row r="48" spans="1:13" x14ac:dyDescent="0.3">
      <c r="B48" s="766"/>
      <c r="C48" t="s">
        <v>39</v>
      </c>
      <c r="D48" s="307">
        <f>'CHP &amp; Boiler summary'!P30</f>
        <v>0</v>
      </c>
      <c r="E48" s="307">
        <f>'CHP &amp; Boiler summary'!Q30</f>
        <v>0</v>
      </c>
      <c r="F48" s="307">
        <f>'CHP &amp; Boiler summary'!R30</f>
        <v>4346727.0540352575</v>
      </c>
      <c r="G48" s="307">
        <f>'CHP &amp; Boiler summary'!S30</f>
        <v>0</v>
      </c>
      <c r="H48" s="307">
        <f>'CHP &amp; Boiler summary'!T30</f>
        <v>0</v>
      </c>
      <c r="I48" s="307">
        <f>'CHP &amp; Boiler summary'!U30</f>
        <v>2407738.1420440264</v>
      </c>
      <c r="J48" s="307">
        <f>'CHP &amp; Boiler summary'!V30</f>
        <v>0</v>
      </c>
      <c r="L48" s="144" t="s">
        <v>66</v>
      </c>
      <c r="M48" s="144"/>
    </row>
    <row r="49" spans="1:13" x14ac:dyDescent="0.3">
      <c r="B49" s="767"/>
      <c r="C49" s="59" t="s">
        <v>101</v>
      </c>
      <c r="D49" s="307">
        <f>'CHP &amp; Boiler summary'!P31</f>
        <v>0</v>
      </c>
      <c r="E49" s="307">
        <f>'CHP &amp; Boiler summary'!Q31</f>
        <v>0</v>
      </c>
      <c r="F49" s="307">
        <f>'CHP &amp; Boiler summary'!R31</f>
        <v>0</v>
      </c>
      <c r="G49" s="307">
        <f>'CHP &amp; Boiler summary'!S31</f>
        <v>41452703.660773665</v>
      </c>
      <c r="H49" s="307">
        <f>'CHP &amp; Boiler summary'!T31</f>
        <v>0</v>
      </c>
      <c r="I49" s="307">
        <f>'CHP &amp; Boiler summary'!U31</f>
        <v>23354024.245304406</v>
      </c>
      <c r="J49" s="307">
        <f>'CHP &amp; Boiler summary'!V31</f>
        <v>0</v>
      </c>
      <c r="L49" s="144" t="s">
        <v>68</v>
      </c>
      <c r="M49" s="144"/>
    </row>
    <row r="50" spans="1:13" x14ac:dyDescent="0.3">
      <c r="B50" s="765" t="s">
        <v>115</v>
      </c>
      <c r="C50" t="s">
        <v>597</v>
      </c>
      <c r="D50" s="474">
        <f>'CHP &amp; Boiler summary'!P32</f>
        <v>0</v>
      </c>
      <c r="E50" s="474">
        <f>'CHP &amp; Boiler summary'!Q32</f>
        <v>0</v>
      </c>
      <c r="F50" s="474">
        <f>'CHP &amp; Boiler summary'!R32</f>
        <v>0</v>
      </c>
      <c r="G50" s="474">
        <f>'CHP &amp; Boiler summary'!S32</f>
        <v>0</v>
      </c>
      <c r="H50" s="474">
        <f>'CHP &amp; Boiler summary'!T32</f>
        <v>0</v>
      </c>
      <c r="I50" s="474">
        <f>'CHP &amp; Boiler summary'!U32</f>
        <v>0</v>
      </c>
      <c r="J50" s="474">
        <f>'CHP &amp; Boiler summary'!V32</f>
        <v>0</v>
      </c>
      <c r="L50" s="144" t="s">
        <v>194</v>
      </c>
      <c r="M50" s="144"/>
    </row>
    <row r="51" spans="1:13" x14ac:dyDescent="0.3">
      <c r="B51" s="766"/>
      <c r="C51" t="s">
        <v>596</v>
      </c>
      <c r="D51" s="306">
        <f>'CHP &amp; Boiler summary'!P33</f>
        <v>0</v>
      </c>
      <c r="E51" s="306">
        <f>'CHP &amp; Boiler summary'!Q33</f>
        <v>0</v>
      </c>
      <c r="F51" s="306">
        <f>'CHP &amp; Boiler summary'!R33</f>
        <v>0</v>
      </c>
      <c r="G51" s="306">
        <f>'CHP &amp; Boiler summary'!S33</f>
        <v>0</v>
      </c>
      <c r="H51" s="306">
        <f>'CHP &amp; Boiler summary'!T33</f>
        <v>0</v>
      </c>
      <c r="I51" s="306">
        <f>'CHP &amp; Boiler summary'!U33</f>
        <v>15487578.808564706</v>
      </c>
      <c r="J51" s="306">
        <f>'CHP &amp; Boiler summary'!V33</f>
        <v>7915899.9920000006</v>
      </c>
      <c r="L51" s="144" t="s">
        <v>62</v>
      </c>
      <c r="M51" s="144"/>
    </row>
    <row r="52" spans="1:13" x14ac:dyDescent="0.3">
      <c r="C52" s="320" t="s">
        <v>600</v>
      </c>
      <c r="D52" s="319">
        <f t="shared" ref="D52:J52" si="1">SUM(D45:D51)</f>
        <v>51902323.307415619</v>
      </c>
      <c r="E52" s="319">
        <f t="shared" si="1"/>
        <v>3357940.8295975383</v>
      </c>
      <c r="F52" s="319">
        <f t="shared" si="1"/>
        <v>4346727.0540352575</v>
      </c>
      <c r="G52" s="319">
        <f t="shared" si="1"/>
        <v>41452703.660773665</v>
      </c>
      <c r="H52" s="319">
        <f t="shared" si="1"/>
        <v>438653.03346417233</v>
      </c>
      <c r="I52" s="319">
        <f t="shared" si="1"/>
        <v>80406032.539261296</v>
      </c>
      <c r="J52" s="319">
        <f t="shared" si="1"/>
        <v>7915899.9920000006</v>
      </c>
    </row>
    <row r="55" spans="1:13" ht="21" x14ac:dyDescent="0.4">
      <c r="A55" s="303" t="s">
        <v>599</v>
      </c>
    </row>
    <row r="57" spans="1:13" x14ac:dyDescent="0.3">
      <c r="B57" s="2" t="s">
        <v>598</v>
      </c>
    </row>
    <row r="58" spans="1:13" x14ac:dyDescent="0.3">
      <c r="D58" s="67" t="s">
        <v>37</v>
      </c>
      <c r="E58" s="67" t="s">
        <v>38</v>
      </c>
      <c r="F58" s="67" t="s">
        <v>39</v>
      </c>
      <c r="G58" s="67" t="s">
        <v>101</v>
      </c>
      <c r="H58" s="67" t="s">
        <v>40</v>
      </c>
      <c r="I58" s="67" t="s">
        <v>43</v>
      </c>
      <c r="J58" s="67" t="s">
        <v>36</v>
      </c>
    </row>
    <row r="59" spans="1:13" x14ac:dyDescent="0.3">
      <c r="B59" s="763" t="s">
        <v>107</v>
      </c>
      <c r="C59" t="s">
        <v>108</v>
      </c>
      <c r="D59" s="288">
        <f>-G29</f>
        <v>-3907286.0628300039</v>
      </c>
      <c r="I59" s="288">
        <f>-E29</f>
        <v>-15571684.162160752</v>
      </c>
      <c r="J59" s="288">
        <f>-D29</f>
        <v>-3108223.0789456046</v>
      </c>
      <c r="L59" t="s">
        <v>54</v>
      </c>
    </row>
    <row r="60" spans="1:13" x14ac:dyDescent="0.3">
      <c r="B60" s="763"/>
      <c r="C60" t="s">
        <v>109</v>
      </c>
      <c r="D60" s="288">
        <f>-G30</f>
        <v>0</v>
      </c>
      <c r="I60" s="288">
        <f>-E30</f>
        <v>-1508849.4475463997</v>
      </c>
      <c r="J60" s="288">
        <f>-D30</f>
        <v>-2520725.1818980007</v>
      </c>
      <c r="L60" t="s">
        <v>50</v>
      </c>
    </row>
    <row r="61" spans="1:13" x14ac:dyDescent="0.3">
      <c r="B61" s="763"/>
      <c r="C61" t="s">
        <v>110</v>
      </c>
      <c r="D61" s="288">
        <f>-G31</f>
        <v>-2273919.8333299058</v>
      </c>
      <c r="I61" s="288">
        <f>-E31</f>
        <v>-8766125.7342863046</v>
      </c>
      <c r="J61" s="288">
        <f>-D31</f>
        <v>-1655730.0101192435</v>
      </c>
      <c r="L61" t="s">
        <v>56</v>
      </c>
    </row>
    <row r="62" spans="1:13" x14ac:dyDescent="0.3">
      <c r="B62" s="763"/>
      <c r="C62" t="s">
        <v>111</v>
      </c>
      <c r="D62" s="288">
        <f>-G32</f>
        <v>0</v>
      </c>
      <c r="I62" s="288">
        <f>-E32</f>
        <v>-1264645.5556165345</v>
      </c>
      <c r="J62" s="288">
        <f>-D32</f>
        <v>-583383.9358420833</v>
      </c>
      <c r="L62" t="s">
        <v>59</v>
      </c>
    </row>
    <row r="63" spans="1:13" x14ac:dyDescent="0.3">
      <c r="B63" s="764"/>
      <c r="C63" s="80" t="s">
        <v>46</v>
      </c>
      <c r="D63" s="298">
        <f>-G33</f>
        <v>-1962054</v>
      </c>
      <c r="E63" s="59"/>
      <c r="F63" s="59"/>
      <c r="G63" s="59"/>
      <c r="H63" s="59"/>
      <c r="I63" s="298">
        <f>-E33</f>
        <v>-23108636</v>
      </c>
      <c r="J63" s="298">
        <f>-D33</f>
        <v>-4183099.128</v>
      </c>
      <c r="L63" t="s">
        <v>60</v>
      </c>
    </row>
    <row r="64" spans="1:13" x14ac:dyDescent="0.3">
      <c r="B64" s="765" t="s">
        <v>112</v>
      </c>
      <c r="C64" t="s">
        <v>38</v>
      </c>
      <c r="D64" s="288">
        <f t="shared" ref="D64:J70" si="2">D45</f>
        <v>0</v>
      </c>
      <c r="E64" s="288">
        <f>E45</f>
        <v>3357940.8295975383</v>
      </c>
      <c r="F64" s="288">
        <f t="shared" si="2"/>
        <v>0</v>
      </c>
      <c r="G64" s="288">
        <f t="shared" si="2"/>
        <v>0</v>
      </c>
      <c r="H64" s="288">
        <f t="shared" si="2"/>
        <v>0</v>
      </c>
      <c r="I64" s="288">
        <f t="shared" si="2"/>
        <v>2418679.3036871068</v>
      </c>
      <c r="J64" s="288">
        <f t="shared" si="2"/>
        <v>0</v>
      </c>
      <c r="L64" t="s">
        <v>70</v>
      </c>
    </row>
    <row r="65" spans="2:20" x14ac:dyDescent="0.3">
      <c r="B65" s="766"/>
      <c r="C65" t="s">
        <v>37</v>
      </c>
      <c r="D65" s="288">
        <f t="shared" si="2"/>
        <v>39891867.939931601</v>
      </c>
      <c r="E65" s="288">
        <f t="shared" si="2"/>
        <v>0</v>
      </c>
      <c r="F65" s="288">
        <f t="shared" si="2"/>
        <v>0</v>
      </c>
      <c r="G65" s="288">
        <f t="shared" si="2"/>
        <v>0</v>
      </c>
      <c r="H65" s="288">
        <f t="shared" si="2"/>
        <v>0</v>
      </c>
      <c r="I65" s="288">
        <f t="shared" si="2"/>
        <v>28069429.163081087</v>
      </c>
      <c r="J65" s="288">
        <f t="shared" si="2"/>
        <v>0</v>
      </c>
      <c r="L65" s="144" t="s">
        <v>64</v>
      </c>
    </row>
    <row r="66" spans="2:20" x14ac:dyDescent="0.3">
      <c r="B66" s="766"/>
      <c r="C66" t="s">
        <v>113</v>
      </c>
      <c r="D66" s="288">
        <f t="shared" si="2"/>
        <v>12010455.367484022</v>
      </c>
      <c r="E66" s="288">
        <f t="shared" si="2"/>
        <v>0</v>
      </c>
      <c r="F66" s="288">
        <f t="shared" si="2"/>
        <v>0</v>
      </c>
      <c r="G66" s="288">
        <f t="shared" si="2"/>
        <v>0</v>
      </c>
      <c r="H66" s="288">
        <f t="shared" si="2"/>
        <v>438653.03346417233</v>
      </c>
      <c r="I66" s="288">
        <f>I47</f>
        <v>8668582.8765799701</v>
      </c>
      <c r="J66" s="288">
        <f t="shared" si="2"/>
        <v>0</v>
      </c>
      <c r="L66" s="144" t="s">
        <v>72</v>
      </c>
    </row>
    <row r="67" spans="2:20" x14ac:dyDescent="0.3">
      <c r="B67" s="766"/>
      <c r="C67" t="s">
        <v>39</v>
      </c>
      <c r="D67" s="288">
        <f t="shared" si="2"/>
        <v>0</v>
      </c>
      <c r="E67" s="288">
        <f t="shared" si="2"/>
        <v>0</v>
      </c>
      <c r="F67" s="288">
        <f>F48</f>
        <v>4346727.0540352575</v>
      </c>
      <c r="G67" s="288">
        <f t="shared" si="2"/>
        <v>0</v>
      </c>
      <c r="H67" s="288">
        <f t="shared" si="2"/>
        <v>0</v>
      </c>
      <c r="I67" s="288">
        <f t="shared" si="2"/>
        <v>2407738.1420440264</v>
      </c>
      <c r="J67" s="288">
        <f t="shared" si="2"/>
        <v>0</v>
      </c>
      <c r="L67" s="144" t="s">
        <v>66</v>
      </c>
    </row>
    <row r="68" spans="2:20" x14ac:dyDescent="0.3">
      <c r="B68" s="767"/>
      <c r="C68" s="59" t="s">
        <v>101</v>
      </c>
      <c r="D68" s="298">
        <f t="shared" si="2"/>
        <v>0</v>
      </c>
      <c r="E68" s="298">
        <f t="shared" si="2"/>
        <v>0</v>
      </c>
      <c r="F68" s="298">
        <f t="shared" si="2"/>
        <v>0</v>
      </c>
      <c r="G68" s="298">
        <f t="shared" si="2"/>
        <v>41452703.660773665</v>
      </c>
      <c r="H68" s="298">
        <f t="shared" si="2"/>
        <v>0</v>
      </c>
      <c r="I68" s="298">
        <f>I49</f>
        <v>23354024.245304406</v>
      </c>
      <c r="J68" s="298">
        <f t="shared" si="2"/>
        <v>0</v>
      </c>
      <c r="L68" s="144" t="s">
        <v>68</v>
      </c>
    </row>
    <row r="69" spans="2:20" x14ac:dyDescent="0.3">
      <c r="B69" s="765" t="s">
        <v>115</v>
      </c>
      <c r="C69" t="s">
        <v>597</v>
      </c>
      <c r="D69" s="288">
        <f t="shared" si="2"/>
        <v>0</v>
      </c>
      <c r="E69" s="288">
        <f t="shared" si="2"/>
        <v>0</v>
      </c>
      <c r="F69" s="288">
        <f t="shared" si="2"/>
        <v>0</v>
      </c>
      <c r="G69" s="288">
        <f t="shared" si="2"/>
        <v>0</v>
      </c>
      <c r="H69" s="288">
        <f t="shared" si="2"/>
        <v>0</v>
      </c>
      <c r="I69" s="288">
        <f t="shared" si="2"/>
        <v>0</v>
      </c>
      <c r="J69" s="288">
        <f t="shared" si="2"/>
        <v>0</v>
      </c>
      <c r="L69" s="144" t="s">
        <v>194</v>
      </c>
    </row>
    <row r="70" spans="2:20" x14ac:dyDescent="0.3">
      <c r="B70" s="767"/>
      <c r="C70" t="s">
        <v>596</v>
      </c>
      <c r="D70" s="288">
        <f t="shared" si="2"/>
        <v>0</v>
      </c>
      <c r="E70" s="288">
        <f t="shared" si="2"/>
        <v>0</v>
      </c>
      <c r="F70" s="288">
        <f t="shared" si="2"/>
        <v>0</v>
      </c>
      <c r="G70" s="288">
        <f t="shared" si="2"/>
        <v>0</v>
      </c>
      <c r="H70" s="288">
        <f t="shared" si="2"/>
        <v>0</v>
      </c>
      <c r="I70" s="288">
        <f t="shared" si="2"/>
        <v>15487578.808564706</v>
      </c>
      <c r="J70" s="288">
        <f t="shared" si="2"/>
        <v>7915899.9920000006</v>
      </c>
      <c r="K70" s="318">
        <f>J70/I70</f>
        <v>0.51111281432979505</v>
      </c>
      <c r="L70" s="144" t="s">
        <v>62</v>
      </c>
    </row>
    <row r="71" spans="2:20" ht="15" thickBot="1" x14ac:dyDescent="0.35">
      <c r="B71" s="317" t="s">
        <v>595</v>
      </c>
      <c r="C71" s="316"/>
      <c r="D71" s="315">
        <f>SUM(D59:D70)</f>
        <v>43759063.411255717</v>
      </c>
      <c r="E71" s="315">
        <f t="shared" ref="E71:I71" si="3">SUM(E59:E70)</f>
        <v>3357940.8295975383</v>
      </c>
      <c r="F71" s="315">
        <f>SUM(F59:F70)</f>
        <v>4346727.0540352575</v>
      </c>
      <c r="G71" s="315">
        <f t="shared" si="3"/>
        <v>41452703.660773665</v>
      </c>
      <c r="H71" s="315">
        <f t="shared" si="3"/>
        <v>438653.03346417233</v>
      </c>
      <c r="I71" s="315">
        <f t="shared" si="3"/>
        <v>30186091.639651306</v>
      </c>
      <c r="J71" s="315">
        <f>SUM(J59:J70)</f>
        <v>-4135261.3428049311</v>
      </c>
    </row>
    <row r="72" spans="2:20" ht="15" thickTop="1" x14ac:dyDescent="0.3">
      <c r="D72" s="86"/>
    </row>
    <row r="73" spans="2:20" x14ac:dyDescent="0.3">
      <c r="B73" s="314" t="s">
        <v>594</v>
      </c>
      <c r="C73" s="2"/>
      <c r="D73" s="312">
        <f>-R74</f>
        <v>-58622400</v>
      </c>
      <c r="E73" s="313"/>
      <c r="F73" s="313"/>
      <c r="G73" s="313"/>
      <c r="H73" s="313"/>
      <c r="I73" s="313"/>
      <c r="J73" s="312">
        <f>-R75</f>
        <v>-7966000</v>
      </c>
      <c r="K73" t="s">
        <v>593</v>
      </c>
      <c r="N73" s="52"/>
      <c r="O73" s="53"/>
      <c r="P73" s="311" t="s">
        <v>592</v>
      </c>
      <c r="Q73" s="311"/>
      <c r="R73" s="55" t="s">
        <v>558</v>
      </c>
      <c r="T73" s="2" t="s">
        <v>910</v>
      </c>
    </row>
    <row r="74" spans="2:20" x14ac:dyDescent="0.3">
      <c r="B74" s="2" t="s">
        <v>591</v>
      </c>
      <c r="D74" s="288">
        <f>D73-D71</f>
        <v>-102381463.41125572</v>
      </c>
      <c r="I74" s="288"/>
      <c r="J74" s="288">
        <f>J73-J71</f>
        <v>-3830738.6571950689</v>
      </c>
      <c r="N74" s="50" t="s">
        <v>590</v>
      </c>
      <c r="O74" t="s">
        <v>37</v>
      </c>
      <c r="P74" s="309">
        <v>58622.400000000001</v>
      </c>
      <c r="Q74" s="309"/>
      <c r="R74" s="308">
        <f>P74*1000</f>
        <v>58622400</v>
      </c>
      <c r="S74" s="2" t="s">
        <v>909</v>
      </c>
      <c r="T74" s="483">
        <v>70718</v>
      </c>
    </row>
    <row r="75" spans="2:20" x14ac:dyDescent="0.3">
      <c r="D75" s="310">
        <f>D74/D73</f>
        <v>1.7464563615828714</v>
      </c>
      <c r="I75" s="310"/>
      <c r="J75" s="310">
        <f>J74/J73</f>
        <v>0.48088609806616484</v>
      </c>
      <c r="N75" s="50" t="s">
        <v>589</v>
      </c>
      <c r="O75" t="s">
        <v>588</v>
      </c>
      <c r="P75" s="309">
        <v>7966</v>
      </c>
      <c r="Q75" s="309"/>
      <c r="R75" s="308">
        <f>P75*1000</f>
        <v>7966000</v>
      </c>
    </row>
    <row r="76" spans="2:20" x14ac:dyDescent="0.3">
      <c r="N76" s="80"/>
      <c r="O76" s="59"/>
      <c r="P76" s="59"/>
      <c r="Q76" s="59"/>
      <c r="R76" s="107"/>
    </row>
    <row r="78" spans="2:20" x14ac:dyDescent="0.3">
      <c r="B78" s="2" t="s">
        <v>587</v>
      </c>
      <c r="D78" t="s">
        <v>586</v>
      </c>
      <c r="J78" t="s">
        <v>585</v>
      </c>
      <c r="N78" s="484"/>
      <c r="O78" s="485"/>
      <c r="P78" s="485" t="s">
        <v>592</v>
      </c>
      <c r="Q78" s="486" t="s">
        <v>912</v>
      </c>
    </row>
    <row r="79" spans="2:20" x14ac:dyDescent="0.3">
      <c r="B79" s="67"/>
      <c r="M79" s="2" t="s">
        <v>920</v>
      </c>
      <c r="N79" s="487" t="s">
        <v>917</v>
      </c>
      <c r="O79" s="326" t="s">
        <v>911</v>
      </c>
      <c r="P79" s="326"/>
      <c r="Q79" s="488">
        <v>803</v>
      </c>
    </row>
    <row r="80" spans="2:20" ht="15.6" x14ac:dyDescent="0.3">
      <c r="B80" s="763" t="s">
        <v>107</v>
      </c>
      <c r="C80" t="s">
        <v>108</v>
      </c>
      <c r="D80" s="307"/>
      <c r="I80" s="86"/>
      <c r="J80" s="284">
        <f>$J$74*(J59/SUM($J$59:$J$63))</f>
        <v>-988020.15614170174</v>
      </c>
      <c r="N80" s="487"/>
      <c r="O80" s="482" t="s">
        <v>913</v>
      </c>
      <c r="P80" s="326"/>
      <c r="Q80" s="489">
        <v>1409.71</v>
      </c>
    </row>
    <row r="81" spans="1:17" ht="15.6" x14ac:dyDescent="0.3">
      <c r="B81" s="763"/>
      <c r="C81" t="s">
        <v>109</v>
      </c>
      <c r="D81" s="307"/>
      <c r="I81" s="86"/>
      <c r="J81" s="284">
        <f>$J$74*(J60/SUM($J$59:$J$63))</f>
        <v>-801270.44441547559</v>
      </c>
      <c r="N81" s="487"/>
      <c r="O81" s="482" t="s">
        <v>914</v>
      </c>
      <c r="P81" s="326"/>
      <c r="Q81" s="488">
        <v>1302</v>
      </c>
    </row>
    <row r="82" spans="1:17" ht="15.6" x14ac:dyDescent="0.3">
      <c r="B82" s="763"/>
      <c r="C82" t="s">
        <v>110</v>
      </c>
      <c r="D82" s="307"/>
      <c r="I82" s="86"/>
      <c r="J82" s="284">
        <f>$J$74*(J61/SUM($J$59:$J$63))</f>
        <v>-526311.84492763539</v>
      </c>
      <c r="N82" s="487"/>
      <c r="O82" s="482" t="s">
        <v>915</v>
      </c>
      <c r="P82" s="326"/>
      <c r="Q82" s="488">
        <v>1151.3472222222224</v>
      </c>
    </row>
    <row r="83" spans="1:17" ht="15.6" x14ac:dyDescent="0.3">
      <c r="B83" s="763"/>
      <c r="C83" t="s">
        <v>111</v>
      </c>
      <c r="D83" s="307"/>
      <c r="I83" s="86"/>
      <c r="J83" s="284">
        <f>$J$74*(J62/SUM($J$59:$J$63))</f>
        <v>-185441.99458707607</v>
      </c>
      <c r="N83" s="487"/>
      <c r="O83" s="482" t="s">
        <v>916</v>
      </c>
      <c r="P83" s="326"/>
      <c r="Q83" s="488">
        <v>1061.5127777777777</v>
      </c>
    </row>
    <row r="84" spans="1:17" x14ac:dyDescent="0.3">
      <c r="B84" s="764"/>
      <c r="C84" s="80" t="s">
        <v>46</v>
      </c>
      <c r="D84" s="306"/>
      <c r="E84" s="59"/>
      <c r="F84" s="59"/>
      <c r="G84" s="59"/>
      <c r="H84" s="59"/>
      <c r="I84" s="304"/>
      <c r="J84" s="305">
        <f>$J$74*(J63/SUM($J$59:$J$63))</f>
        <v>-1329694.2171231804</v>
      </c>
      <c r="N84" s="487"/>
      <c r="O84" s="326"/>
      <c r="P84" s="326"/>
      <c r="Q84" s="488"/>
    </row>
    <row r="85" spans="1:17" ht="15.6" x14ac:dyDescent="0.3">
      <c r="B85" s="765" t="s">
        <v>112</v>
      </c>
      <c r="C85" t="s">
        <v>38</v>
      </c>
      <c r="I85" s="86"/>
      <c r="N85" s="487"/>
      <c r="O85" s="482" t="s">
        <v>918</v>
      </c>
      <c r="P85" s="326"/>
      <c r="Q85" s="488">
        <f>Q82+Q83</f>
        <v>2212.86</v>
      </c>
    </row>
    <row r="86" spans="1:17" x14ac:dyDescent="0.3">
      <c r="B86" s="766"/>
      <c r="C86" t="s">
        <v>37</v>
      </c>
      <c r="D86" s="288">
        <f>D74</f>
        <v>-102381463.41125572</v>
      </c>
      <c r="I86" s="86">
        <f>D86*I65/D65</f>
        <v>-72039475.29261142</v>
      </c>
      <c r="N86" s="487"/>
      <c r="O86" s="326"/>
      <c r="P86" s="326"/>
      <c r="Q86" s="488"/>
    </row>
    <row r="87" spans="1:17" ht="15.6" x14ac:dyDescent="0.3">
      <c r="B87" s="766"/>
      <c r="C87" t="s">
        <v>113</v>
      </c>
      <c r="I87" s="86"/>
      <c r="N87" s="490"/>
      <c r="O87" s="491" t="s">
        <v>919</v>
      </c>
      <c r="P87" s="492">
        <v>4144.8500000000004</v>
      </c>
      <c r="Q87" s="493">
        <f>P87/3.6</f>
        <v>1151.3472222222224</v>
      </c>
    </row>
    <row r="88" spans="1:17" x14ac:dyDescent="0.3">
      <c r="B88" s="766"/>
      <c r="C88" t="s">
        <v>39</v>
      </c>
      <c r="I88" s="86"/>
    </row>
    <row r="89" spans="1:17" x14ac:dyDescent="0.3">
      <c r="B89" s="767"/>
      <c r="C89" s="80" t="s">
        <v>101</v>
      </c>
      <c r="D89" s="59"/>
      <c r="E89" s="59"/>
      <c r="F89" s="59"/>
      <c r="G89" s="59"/>
      <c r="H89" s="59"/>
      <c r="I89" s="304"/>
      <c r="J89" s="59"/>
    </row>
    <row r="90" spans="1:17" x14ac:dyDescent="0.3">
      <c r="N90" s="2" t="s">
        <v>921</v>
      </c>
      <c r="O90" s="2" t="s">
        <v>39</v>
      </c>
      <c r="P90" s="2">
        <v>4471</v>
      </c>
      <c r="Q90" s="2" t="s">
        <v>1027</v>
      </c>
    </row>
    <row r="91" spans="1:17" x14ac:dyDescent="0.3">
      <c r="P91" s="137">
        <f>P87/1000</f>
        <v>4.1448499999999999</v>
      </c>
      <c r="Q91" s="495">
        <v>4.2808000000000002</v>
      </c>
    </row>
    <row r="92" spans="1:17" ht="21" x14ac:dyDescent="0.4">
      <c r="A92" s="303" t="s">
        <v>584</v>
      </c>
    </row>
    <row r="95" spans="1:17" x14ac:dyDescent="0.3">
      <c r="D95" s="67" t="s">
        <v>37</v>
      </c>
      <c r="E95" s="67" t="s">
        <v>38</v>
      </c>
      <c r="F95" s="67" t="s">
        <v>39</v>
      </c>
      <c r="G95" s="67" t="s">
        <v>101</v>
      </c>
      <c r="H95" s="67" t="s">
        <v>40</v>
      </c>
      <c r="I95" s="67" t="s">
        <v>43</v>
      </c>
      <c r="J95" s="67" t="s">
        <v>36</v>
      </c>
      <c r="K95" s="67"/>
    </row>
    <row r="96" spans="1:17" x14ac:dyDescent="0.3">
      <c r="B96" s="763" t="s">
        <v>107</v>
      </c>
      <c r="C96" t="s">
        <v>108</v>
      </c>
      <c r="D96" s="71">
        <f t="shared" ref="D96:J105" si="4">(D59+D80)/1000000</f>
        <v>-3.9072860628300039</v>
      </c>
      <c r="E96" s="71">
        <f t="shared" si="4"/>
        <v>0</v>
      </c>
      <c r="F96" s="71">
        <f t="shared" si="4"/>
        <v>0</v>
      </c>
      <c r="G96" s="71">
        <f t="shared" si="4"/>
        <v>0</v>
      </c>
      <c r="H96" s="71">
        <f t="shared" si="4"/>
        <v>0</v>
      </c>
      <c r="I96" s="71">
        <f t="shared" si="4"/>
        <v>-15.571684162160752</v>
      </c>
      <c r="J96" s="71">
        <f t="shared" si="4"/>
        <v>-4.0962432350873064</v>
      </c>
      <c r="K96" s="288"/>
    </row>
    <row r="97" spans="1:33" x14ac:dyDescent="0.3">
      <c r="B97" s="763"/>
      <c r="C97" t="s">
        <v>109</v>
      </c>
      <c r="D97" s="71">
        <f t="shared" si="4"/>
        <v>0</v>
      </c>
      <c r="E97" s="71">
        <f t="shared" si="4"/>
        <v>0</v>
      </c>
      <c r="F97" s="71">
        <f t="shared" si="4"/>
        <v>0</v>
      </c>
      <c r="G97" s="71">
        <f t="shared" si="4"/>
        <v>0</v>
      </c>
      <c r="H97" s="71">
        <f t="shared" si="4"/>
        <v>0</v>
      </c>
      <c r="I97" s="71">
        <f t="shared" si="4"/>
        <v>-1.5088494475463996</v>
      </c>
      <c r="J97" s="71">
        <f t="shared" si="4"/>
        <v>-3.3219956263134764</v>
      </c>
      <c r="K97" s="288"/>
    </row>
    <row r="98" spans="1:33" x14ac:dyDescent="0.3">
      <c r="B98" s="763"/>
      <c r="C98" t="s">
        <v>110</v>
      </c>
      <c r="D98" s="71">
        <f t="shared" si="4"/>
        <v>-2.2739198333299058</v>
      </c>
      <c r="E98" s="71">
        <f t="shared" si="4"/>
        <v>0</v>
      </c>
      <c r="F98" s="71">
        <f t="shared" si="4"/>
        <v>0</v>
      </c>
      <c r="G98" s="71">
        <f t="shared" si="4"/>
        <v>0</v>
      </c>
      <c r="H98" s="71">
        <f t="shared" si="4"/>
        <v>0</v>
      </c>
      <c r="I98" s="71">
        <f t="shared" si="4"/>
        <v>-8.7661257342863053</v>
      </c>
      <c r="J98" s="71">
        <f t="shared" si="4"/>
        <v>-2.182041855046879</v>
      </c>
      <c r="K98" s="288"/>
    </row>
    <row r="99" spans="1:33" x14ac:dyDescent="0.3">
      <c r="B99" s="763"/>
      <c r="C99" t="s">
        <v>111</v>
      </c>
      <c r="D99" s="71">
        <f t="shared" si="4"/>
        <v>0</v>
      </c>
      <c r="E99" s="71">
        <f t="shared" si="4"/>
        <v>0</v>
      </c>
      <c r="F99" s="71">
        <f t="shared" si="4"/>
        <v>0</v>
      </c>
      <c r="G99" s="71">
        <f t="shared" si="4"/>
        <v>0</v>
      </c>
      <c r="H99" s="71">
        <f t="shared" si="4"/>
        <v>0</v>
      </c>
      <c r="I99" s="71">
        <f t="shared" si="4"/>
        <v>-1.2646455556165346</v>
      </c>
      <c r="J99" s="71">
        <f t="shared" si="4"/>
        <v>-0.76882593042915948</v>
      </c>
      <c r="K99" s="288"/>
    </row>
    <row r="100" spans="1:33" x14ac:dyDescent="0.3">
      <c r="B100" s="764"/>
      <c r="C100" s="80" t="s">
        <v>46</v>
      </c>
      <c r="D100" s="81">
        <f t="shared" si="4"/>
        <v>-1.962054</v>
      </c>
      <c r="E100" s="71">
        <f t="shared" si="4"/>
        <v>0</v>
      </c>
      <c r="F100" s="71">
        <f t="shared" si="4"/>
        <v>0</v>
      </c>
      <c r="G100" s="71">
        <f t="shared" si="4"/>
        <v>0</v>
      </c>
      <c r="H100" s="71">
        <f t="shared" si="4"/>
        <v>0</v>
      </c>
      <c r="I100" s="71">
        <f t="shared" si="4"/>
        <v>-23.108636000000001</v>
      </c>
      <c r="J100" s="71">
        <f t="shared" si="4"/>
        <v>-5.5127933451231801</v>
      </c>
      <c r="K100" s="288"/>
      <c r="R100" t="s">
        <v>583</v>
      </c>
    </row>
    <row r="101" spans="1:33" x14ac:dyDescent="0.3">
      <c r="B101" s="765" t="s">
        <v>112</v>
      </c>
      <c r="C101" s="53" t="s">
        <v>38</v>
      </c>
      <c r="D101" s="82">
        <f t="shared" si="4"/>
        <v>0</v>
      </c>
      <c r="E101" s="82">
        <f t="shared" si="4"/>
        <v>3.3579408295975384</v>
      </c>
      <c r="F101" s="82">
        <f t="shared" si="4"/>
        <v>0</v>
      </c>
      <c r="G101" s="82">
        <f t="shared" si="4"/>
        <v>0</v>
      </c>
      <c r="H101" s="82">
        <f t="shared" si="4"/>
        <v>0</v>
      </c>
      <c r="I101" s="82">
        <f t="shared" si="4"/>
        <v>2.4186793036871066</v>
      </c>
      <c r="J101" s="82">
        <f t="shared" si="4"/>
        <v>0</v>
      </c>
      <c r="R101" s="52"/>
      <c r="S101" s="53"/>
      <c r="T101" s="53"/>
      <c r="U101" s="53"/>
      <c r="V101" s="53"/>
      <c r="W101" s="53"/>
      <c r="X101" s="53"/>
      <c r="Y101" s="53"/>
      <c r="Z101" s="53"/>
      <c r="AA101" s="53"/>
      <c r="AB101" s="53"/>
      <c r="AC101" s="53"/>
      <c r="AD101" s="53"/>
      <c r="AE101" s="53"/>
      <c r="AF101" s="53"/>
      <c r="AG101" s="55"/>
    </row>
    <row r="102" spans="1:33" x14ac:dyDescent="0.3">
      <c r="B102" s="766"/>
      <c r="C102" t="s">
        <v>37</v>
      </c>
      <c r="D102" s="71">
        <f t="shared" si="4"/>
        <v>-62.489595471324115</v>
      </c>
      <c r="E102" s="71">
        <f t="shared" si="4"/>
        <v>0</v>
      </c>
      <c r="F102" s="71">
        <f t="shared" si="4"/>
        <v>0</v>
      </c>
      <c r="G102" s="71">
        <f t="shared" si="4"/>
        <v>0</v>
      </c>
      <c r="H102" s="71">
        <f t="shared" si="4"/>
        <v>0</v>
      </c>
      <c r="I102" s="71">
        <f t="shared" si="4"/>
        <v>-43.970046129530331</v>
      </c>
      <c r="J102" s="71">
        <f t="shared" si="4"/>
        <v>0</v>
      </c>
      <c r="R102" s="50"/>
      <c r="AG102" s="66"/>
    </row>
    <row r="103" spans="1:33" x14ac:dyDescent="0.3">
      <c r="B103" s="766"/>
      <c r="C103" t="s">
        <v>113</v>
      </c>
      <c r="D103" s="71">
        <f t="shared" si="4"/>
        <v>12.010455367484022</v>
      </c>
      <c r="E103" s="71">
        <f t="shared" si="4"/>
        <v>0</v>
      </c>
      <c r="F103" s="71">
        <f t="shared" si="4"/>
        <v>0</v>
      </c>
      <c r="G103" s="71">
        <f t="shared" si="4"/>
        <v>0</v>
      </c>
      <c r="H103" s="71">
        <f t="shared" si="4"/>
        <v>0.43865303346417234</v>
      </c>
      <c r="I103" s="71">
        <f t="shared" si="4"/>
        <v>8.6685828765799702</v>
      </c>
      <c r="J103" s="71">
        <f t="shared" si="4"/>
        <v>0</v>
      </c>
      <c r="R103" s="50"/>
      <c r="S103" s="67" t="s">
        <v>367</v>
      </c>
      <c r="AG103" s="66"/>
    </row>
    <row r="104" spans="1:33" x14ac:dyDescent="0.3">
      <c r="B104" s="766"/>
      <c r="C104" t="s">
        <v>39</v>
      </c>
      <c r="D104" s="71">
        <f t="shared" si="4"/>
        <v>0</v>
      </c>
      <c r="E104" s="71">
        <f t="shared" si="4"/>
        <v>0</v>
      </c>
      <c r="F104" s="71">
        <f t="shared" si="4"/>
        <v>4.3467270540352576</v>
      </c>
      <c r="G104" s="71">
        <f t="shared" si="4"/>
        <v>0</v>
      </c>
      <c r="H104" s="71">
        <f t="shared" si="4"/>
        <v>0</v>
      </c>
      <c r="I104" s="71">
        <f t="shared" si="4"/>
        <v>2.4077381420440265</v>
      </c>
      <c r="J104" s="71">
        <f t="shared" si="4"/>
        <v>0</v>
      </c>
      <c r="R104" s="50"/>
      <c r="T104" t="s">
        <v>582</v>
      </c>
      <c r="U104" t="s">
        <v>581</v>
      </c>
      <c r="AG104" s="66"/>
    </row>
    <row r="105" spans="1:33" x14ac:dyDescent="0.3">
      <c r="B105" s="766"/>
      <c r="C105" s="80" t="s">
        <v>101</v>
      </c>
      <c r="D105" s="81">
        <f t="shared" si="4"/>
        <v>0</v>
      </c>
      <c r="E105" s="81">
        <f t="shared" si="4"/>
        <v>0</v>
      </c>
      <c r="F105" s="81">
        <f t="shared" si="4"/>
        <v>0</v>
      </c>
      <c r="G105" s="81">
        <f t="shared" si="4"/>
        <v>41.452703660773665</v>
      </c>
      <c r="H105" s="81">
        <f t="shared" si="4"/>
        <v>0</v>
      </c>
      <c r="I105" s="81">
        <f t="shared" si="4"/>
        <v>23.354024245304405</v>
      </c>
      <c r="J105" s="81">
        <f t="shared" si="4"/>
        <v>0</v>
      </c>
      <c r="R105" s="50"/>
      <c r="S105" t="s">
        <v>46</v>
      </c>
      <c r="T105" s="296">
        <f>T152</f>
        <v>2.0533000000000001</v>
      </c>
      <c r="U105" s="301">
        <f>'PP prod. and Capacity (OLD)'!I7</f>
        <v>6.8582375478927135E-2</v>
      </c>
      <c r="AG105" s="66"/>
    </row>
    <row r="106" spans="1:33" x14ac:dyDescent="0.3">
      <c r="B106" s="767"/>
      <c r="C106" s="91" t="s">
        <v>114</v>
      </c>
      <c r="D106" s="92">
        <f t="shared" ref="D106:J106" si="5">SUM(D101:D105)</f>
        <v>-50.479140103840095</v>
      </c>
      <c r="E106" s="92">
        <f t="shared" si="5"/>
        <v>3.3579408295975384</v>
      </c>
      <c r="F106" s="92">
        <f t="shared" si="5"/>
        <v>4.3467270540352576</v>
      </c>
      <c r="G106" s="92">
        <f t="shared" si="5"/>
        <v>41.452703660773665</v>
      </c>
      <c r="H106" s="92">
        <f t="shared" si="5"/>
        <v>0.43865303346417234</v>
      </c>
      <c r="I106" s="92">
        <f t="shared" si="5"/>
        <v>-7.1210215619148265</v>
      </c>
      <c r="J106" s="92">
        <f t="shared" si="5"/>
        <v>0</v>
      </c>
      <c r="R106" s="50"/>
      <c r="S106" t="s">
        <v>44</v>
      </c>
      <c r="T106" s="302">
        <f>(T148+T149)/1000000</f>
        <v>1.6156563145443816</v>
      </c>
      <c r="AG106" s="66"/>
    </row>
    <row r="107" spans="1:33" x14ac:dyDescent="0.3">
      <c r="B107" s="94" t="s">
        <v>115</v>
      </c>
      <c r="C107" s="95"/>
      <c r="D107" s="95"/>
      <c r="E107" s="95"/>
      <c r="F107" s="95"/>
      <c r="G107" s="95"/>
      <c r="H107" s="95"/>
      <c r="I107" s="96">
        <f>I70/1000000</f>
        <v>15.487578808564706</v>
      </c>
      <c r="J107" s="96">
        <f>J70/1000000</f>
        <v>7.9158999920000008</v>
      </c>
      <c r="R107" s="50"/>
      <c r="S107" t="s">
        <v>556</v>
      </c>
      <c r="T107" s="296">
        <f>T150/1000000</f>
        <v>0.73711514499999997</v>
      </c>
      <c r="U107" s="301">
        <f>'PP prod. and Capacity (OLD)'!I8</f>
        <v>-0.32189748201438845</v>
      </c>
      <c r="AG107" s="66"/>
    </row>
    <row r="108" spans="1:33" x14ac:dyDescent="0.3">
      <c r="D108" s="71">
        <f t="shared" ref="D108:J108" si="6">SUM(D106:D107,D96:D100)</f>
        <v>-58.622400000000006</v>
      </c>
      <c r="E108" s="71">
        <f t="shared" si="6"/>
        <v>3.3579408295975384</v>
      </c>
      <c r="F108" s="71">
        <f t="shared" si="6"/>
        <v>4.3467270540352576</v>
      </c>
      <c r="G108" s="71">
        <f t="shared" si="6"/>
        <v>41.452703660773665</v>
      </c>
      <c r="H108" s="71">
        <f t="shared" si="6"/>
        <v>0.43865303346417234</v>
      </c>
      <c r="I108" s="71">
        <f t="shared" si="6"/>
        <v>-41.853383652960112</v>
      </c>
      <c r="J108" s="71">
        <f t="shared" si="6"/>
        <v>-7.9660000000000011</v>
      </c>
      <c r="R108" s="50"/>
      <c r="S108" t="s">
        <v>580</v>
      </c>
      <c r="T108" s="296">
        <f>'PP prod. and Capacity (OLD)'!N17</f>
        <v>1.090198</v>
      </c>
      <c r="AG108" s="66"/>
    </row>
    <row r="109" spans="1:33" x14ac:dyDescent="0.3">
      <c r="D109" s="71"/>
      <c r="E109" s="71"/>
      <c r="F109" s="71"/>
      <c r="G109" s="71"/>
      <c r="H109" s="71"/>
      <c r="I109" s="71"/>
      <c r="J109" s="71"/>
      <c r="R109" s="50"/>
      <c r="T109" s="296"/>
      <c r="AG109" s="66"/>
    </row>
    <row r="110" spans="1:33" x14ac:dyDescent="0.3">
      <c r="D110" s="71"/>
      <c r="E110" s="71"/>
      <c r="F110" s="71"/>
      <c r="G110" s="71"/>
      <c r="H110" s="71"/>
      <c r="I110" s="71"/>
      <c r="J110" s="71"/>
      <c r="R110" s="50"/>
      <c r="T110" s="296"/>
      <c r="AG110" s="66"/>
    </row>
    <row r="111" spans="1:33" x14ac:dyDescent="0.3">
      <c r="A111" s="67" t="s">
        <v>579</v>
      </c>
      <c r="D111" s="71"/>
      <c r="E111" s="71"/>
      <c r="F111" s="71"/>
      <c r="G111" s="71"/>
      <c r="H111" s="71"/>
      <c r="I111" s="71"/>
      <c r="J111" s="71"/>
      <c r="R111" s="50"/>
      <c r="T111" s="296"/>
      <c r="AG111" s="66"/>
    </row>
    <row r="112" spans="1:33" x14ac:dyDescent="0.3">
      <c r="D112" s="65" t="s">
        <v>578</v>
      </c>
      <c r="E112" s="71"/>
      <c r="F112" s="71"/>
      <c r="G112" s="71"/>
      <c r="H112" s="71"/>
      <c r="I112" s="71"/>
      <c r="J112" s="72"/>
      <c r="K112" s="67" t="s">
        <v>577</v>
      </c>
      <c r="R112" s="50"/>
      <c r="T112" s="296"/>
      <c r="AG112" s="66"/>
    </row>
    <row r="113" spans="2:33" x14ac:dyDescent="0.3">
      <c r="D113" s="74" t="s">
        <v>37</v>
      </c>
      <c r="E113" s="74" t="s">
        <v>38</v>
      </c>
      <c r="F113" s="74" t="s">
        <v>39</v>
      </c>
      <c r="G113" s="74" t="s">
        <v>101</v>
      </c>
      <c r="H113" s="74" t="s">
        <v>40</v>
      </c>
      <c r="I113" s="74" t="s">
        <v>43</v>
      </c>
      <c r="J113" s="75" t="s">
        <v>36</v>
      </c>
      <c r="K113" s="74" t="s">
        <v>44</v>
      </c>
      <c r="L113" s="74" t="s">
        <v>102</v>
      </c>
      <c r="M113" s="74" t="s">
        <v>46</v>
      </c>
      <c r="N113" s="74" t="s">
        <v>103</v>
      </c>
      <c r="P113" s="67" t="s">
        <v>1414</v>
      </c>
      <c r="R113" s="50"/>
      <c r="T113" s="296"/>
      <c r="AG113" s="66"/>
    </row>
    <row r="114" spans="2:33" x14ac:dyDescent="0.3">
      <c r="B114" s="763" t="s">
        <v>107</v>
      </c>
      <c r="C114" t="s">
        <v>108</v>
      </c>
      <c r="D114" s="71">
        <f t="shared" ref="D114:J125" si="7">D96</f>
        <v>-3.9072860628300039</v>
      </c>
      <c r="E114" s="71">
        <f t="shared" si="7"/>
        <v>0</v>
      </c>
      <c r="F114" s="71">
        <f t="shared" si="7"/>
        <v>0</v>
      </c>
      <c r="G114" s="71">
        <f t="shared" si="7"/>
        <v>0</v>
      </c>
      <c r="H114" s="71">
        <f t="shared" si="7"/>
        <v>0</v>
      </c>
      <c r="I114" s="71">
        <f t="shared" si="7"/>
        <v>-15.571684162160752</v>
      </c>
      <c r="J114" s="72">
        <f t="shared" si="7"/>
        <v>-4.0962432350873064</v>
      </c>
      <c r="K114" s="288">
        <f>G8</f>
        <v>1149201.7831852953</v>
      </c>
      <c r="P114" s="650">
        <f>K114*'CHP &amp; Boiler summary'!$S$16</f>
        <v>493308.70884993445</v>
      </c>
      <c r="Q114" s="650">
        <f>L114*'CHP &amp; Boiler summary'!$S$16</f>
        <v>0</v>
      </c>
      <c r="R114" s="50"/>
      <c r="T114" s="296"/>
      <c r="AG114" s="66"/>
    </row>
    <row r="115" spans="2:33" x14ac:dyDescent="0.3">
      <c r="B115" s="763"/>
      <c r="C115" t="s">
        <v>109</v>
      </c>
      <c r="D115" s="71">
        <f t="shared" si="7"/>
        <v>0</v>
      </c>
      <c r="E115" s="71">
        <f t="shared" si="7"/>
        <v>0</v>
      </c>
      <c r="F115" s="71">
        <f t="shared" si="7"/>
        <v>0</v>
      </c>
      <c r="G115" s="71">
        <f t="shared" si="7"/>
        <v>0</v>
      </c>
      <c r="H115" s="71">
        <f t="shared" si="7"/>
        <v>0</v>
      </c>
      <c r="I115" s="71">
        <f t="shared" si="7"/>
        <v>-1.5088494475463996</v>
      </c>
      <c r="J115" s="72">
        <f t="shared" si="7"/>
        <v>-3.3219956263134764</v>
      </c>
      <c r="K115" s="288">
        <f>G9</f>
        <v>317652.51527292625</v>
      </c>
      <c r="P115" s="650">
        <f>K115*'CHP &amp; Boiler summary'!$S$16</f>
        <v>136356.16865985593</v>
      </c>
      <c r="Q115" s="650">
        <f>L115*'CHP &amp; Boiler summary'!$S$16</f>
        <v>0</v>
      </c>
      <c r="R115" s="50"/>
      <c r="T115" s="296"/>
      <c r="AG115" s="66"/>
    </row>
    <row r="116" spans="2:33" x14ac:dyDescent="0.3">
      <c r="B116" s="763"/>
      <c r="C116" t="s">
        <v>110</v>
      </c>
      <c r="D116" s="71">
        <f t="shared" si="7"/>
        <v>-2.2739198333299058</v>
      </c>
      <c r="E116" s="71">
        <f t="shared" si="7"/>
        <v>0</v>
      </c>
      <c r="F116" s="71">
        <f t="shared" si="7"/>
        <v>0</v>
      </c>
      <c r="G116" s="71">
        <f t="shared" si="7"/>
        <v>0</v>
      </c>
      <c r="H116" s="71">
        <f t="shared" si="7"/>
        <v>0</v>
      </c>
      <c r="I116" s="71">
        <f t="shared" si="7"/>
        <v>-8.7661257342863053</v>
      </c>
      <c r="J116" s="72">
        <f t="shared" si="7"/>
        <v>-2.182041855046879</v>
      </c>
      <c r="L116" s="288">
        <f>G10</f>
        <v>659107.19806663936</v>
      </c>
      <c r="P116" s="650">
        <f>K116*'CHP &amp; Boiler summary'!$S$16</f>
        <v>0</v>
      </c>
      <c r="Q116" s="650">
        <f>L116*'CHP &amp; Boiler summary'!$S$16</f>
        <v>282929.70445167361</v>
      </c>
      <c r="R116" s="50"/>
      <c r="T116" s="296"/>
      <c r="AG116" s="66"/>
    </row>
    <row r="117" spans="2:33" x14ac:dyDescent="0.3">
      <c r="B117" s="763"/>
      <c r="C117" t="s">
        <v>111</v>
      </c>
      <c r="D117" s="71">
        <f t="shared" si="7"/>
        <v>0</v>
      </c>
      <c r="E117" s="71">
        <f t="shared" si="7"/>
        <v>0</v>
      </c>
      <c r="F117" s="71">
        <f t="shared" si="7"/>
        <v>0</v>
      </c>
      <c r="G117" s="71">
        <f t="shared" si="7"/>
        <v>0</v>
      </c>
      <c r="H117" s="71">
        <f t="shared" si="7"/>
        <v>0</v>
      </c>
      <c r="I117" s="71">
        <f t="shared" si="7"/>
        <v>-1.2646455556165346</v>
      </c>
      <c r="J117" s="72">
        <f t="shared" si="7"/>
        <v>-0.76882593042915948</v>
      </c>
      <c r="K117" s="288">
        <f>G11</f>
        <v>294103.61758524063</v>
      </c>
      <c r="N117" s="300">
        <f>-K117</f>
        <v>-294103.61758524063</v>
      </c>
      <c r="P117" s="650">
        <f>K117*'CHP &amp; Boiler summary'!$S$16</f>
        <v>126247.52065467066</v>
      </c>
      <c r="Q117" s="650">
        <f>L117*'CHP &amp; Boiler summary'!$S$16</f>
        <v>0</v>
      </c>
      <c r="R117" s="50"/>
      <c r="T117" s="296"/>
      <c r="AG117" s="66"/>
    </row>
    <row r="118" spans="2:33" x14ac:dyDescent="0.3">
      <c r="B118" s="764"/>
      <c r="C118" s="80" t="s">
        <v>46</v>
      </c>
      <c r="D118" s="81">
        <f t="shared" si="7"/>
        <v>-1.962054</v>
      </c>
      <c r="E118" s="71">
        <f t="shared" si="7"/>
        <v>0</v>
      </c>
      <c r="F118" s="71">
        <f t="shared" si="7"/>
        <v>0</v>
      </c>
      <c r="G118" s="71">
        <f t="shared" si="7"/>
        <v>0</v>
      </c>
      <c r="H118" s="71">
        <f t="shared" si="7"/>
        <v>0</v>
      </c>
      <c r="I118" s="71">
        <f t="shared" si="7"/>
        <v>-23.108636000000001</v>
      </c>
      <c r="J118" s="72">
        <f t="shared" si="7"/>
        <v>-5.5127933451231801</v>
      </c>
      <c r="K118" s="299">
        <f>-SUM(K114:K117)</f>
        <v>-1760957.9160434622</v>
      </c>
      <c r="L118" s="59"/>
      <c r="M118" s="298">
        <f>G12</f>
        <v>2180060</v>
      </c>
      <c r="N118" s="59"/>
      <c r="P118" s="650">
        <f>K118*'CHP &amp; Boiler summary'!$S$16</f>
        <v>-755912.39816446102</v>
      </c>
      <c r="Q118" s="650">
        <f>L118*'CHP &amp; Boiler summary'!$S$16</f>
        <v>0</v>
      </c>
      <c r="R118" s="50"/>
      <c r="T118" s="296"/>
      <c r="AG118" s="66"/>
    </row>
    <row r="119" spans="2:33" x14ac:dyDescent="0.3">
      <c r="B119" s="765" t="s">
        <v>112</v>
      </c>
      <c r="C119" s="53" t="s">
        <v>38</v>
      </c>
      <c r="D119" s="82">
        <f t="shared" si="7"/>
        <v>0</v>
      </c>
      <c r="E119" s="82">
        <f t="shared" si="7"/>
        <v>3.3579408295975384</v>
      </c>
      <c r="F119" s="82">
        <f t="shared" si="7"/>
        <v>0</v>
      </c>
      <c r="G119" s="82">
        <f t="shared" si="7"/>
        <v>0</v>
      </c>
      <c r="H119" s="82">
        <f t="shared" si="7"/>
        <v>0</v>
      </c>
      <c r="I119" s="82">
        <f t="shared" si="7"/>
        <v>2.4186793036871066</v>
      </c>
      <c r="J119" s="84">
        <f t="shared" si="7"/>
        <v>0</v>
      </c>
      <c r="R119" s="50"/>
      <c r="T119" s="296"/>
      <c r="AG119" s="66"/>
    </row>
    <row r="120" spans="2:33" x14ac:dyDescent="0.3">
      <c r="B120" s="766"/>
      <c r="C120" t="s">
        <v>37</v>
      </c>
      <c r="D120" s="71">
        <f t="shared" si="7"/>
        <v>-62.489595471324115</v>
      </c>
      <c r="E120" s="71">
        <f t="shared" si="7"/>
        <v>0</v>
      </c>
      <c r="F120" s="71">
        <f t="shared" si="7"/>
        <v>0</v>
      </c>
      <c r="G120" s="71">
        <f t="shared" si="7"/>
        <v>0</v>
      </c>
      <c r="H120" s="71">
        <f t="shared" si="7"/>
        <v>0</v>
      </c>
      <c r="I120" s="71">
        <f t="shared" si="7"/>
        <v>-43.970046129530331</v>
      </c>
      <c r="J120" s="72">
        <f t="shared" si="7"/>
        <v>0</v>
      </c>
      <c r="R120" s="50"/>
      <c r="T120" s="296"/>
      <c r="AG120" s="66"/>
    </row>
    <row r="121" spans="2:33" x14ac:dyDescent="0.3">
      <c r="B121" s="766"/>
      <c r="C121" t="s">
        <v>113</v>
      </c>
      <c r="D121" s="71">
        <f t="shared" si="7"/>
        <v>12.010455367484022</v>
      </c>
      <c r="E121" s="71">
        <f t="shared" si="7"/>
        <v>0</v>
      </c>
      <c r="F121" s="71">
        <f t="shared" si="7"/>
        <v>0</v>
      </c>
      <c r="G121" s="71">
        <f t="shared" si="7"/>
        <v>0</v>
      </c>
      <c r="H121" s="71">
        <f t="shared" si="7"/>
        <v>0.43865303346417234</v>
      </c>
      <c r="I121" s="71">
        <f t="shared" si="7"/>
        <v>8.6685828765799702</v>
      </c>
      <c r="J121" s="72">
        <f t="shared" si="7"/>
        <v>0</v>
      </c>
      <c r="R121" s="50"/>
      <c r="T121" s="296"/>
      <c r="AG121" s="66"/>
    </row>
    <row r="122" spans="2:33" x14ac:dyDescent="0.3">
      <c r="B122" s="766"/>
      <c r="C122" t="s">
        <v>39</v>
      </c>
      <c r="D122" s="71">
        <f t="shared" si="7"/>
        <v>0</v>
      </c>
      <c r="E122" s="71">
        <f t="shared" si="7"/>
        <v>0</v>
      </c>
      <c r="F122" s="71">
        <f t="shared" si="7"/>
        <v>4.3467270540352576</v>
      </c>
      <c r="G122" s="71">
        <f t="shared" si="7"/>
        <v>0</v>
      </c>
      <c r="H122" s="71">
        <f t="shared" si="7"/>
        <v>0</v>
      </c>
      <c r="I122" s="71">
        <f t="shared" si="7"/>
        <v>2.4077381420440265</v>
      </c>
      <c r="J122" s="72">
        <f t="shared" si="7"/>
        <v>0</v>
      </c>
      <c r="R122" s="50"/>
      <c r="T122" s="296"/>
      <c r="AG122" s="66"/>
    </row>
    <row r="123" spans="2:33" x14ac:dyDescent="0.3">
      <c r="B123" s="766"/>
      <c r="C123" s="80" t="s">
        <v>101</v>
      </c>
      <c r="D123" s="81">
        <f t="shared" si="7"/>
        <v>0</v>
      </c>
      <c r="E123" s="81">
        <f t="shared" si="7"/>
        <v>0</v>
      </c>
      <c r="F123" s="81">
        <f t="shared" si="7"/>
        <v>0</v>
      </c>
      <c r="G123" s="81">
        <f t="shared" si="7"/>
        <v>41.452703660773665</v>
      </c>
      <c r="H123" s="81">
        <f t="shared" si="7"/>
        <v>0</v>
      </c>
      <c r="I123" s="81">
        <f t="shared" si="7"/>
        <v>23.354024245304405</v>
      </c>
      <c r="J123" s="90">
        <f t="shared" si="7"/>
        <v>0</v>
      </c>
      <c r="R123" s="50"/>
      <c r="T123" s="296"/>
      <c r="AG123" s="66"/>
    </row>
    <row r="124" spans="2:33" x14ac:dyDescent="0.3">
      <c r="B124" s="767"/>
      <c r="C124" s="91" t="s">
        <v>114</v>
      </c>
      <c r="D124" s="92">
        <f t="shared" si="7"/>
        <v>-50.479140103840095</v>
      </c>
      <c r="E124" s="92">
        <f t="shared" si="7"/>
        <v>3.3579408295975384</v>
      </c>
      <c r="F124" s="92">
        <f t="shared" si="7"/>
        <v>4.3467270540352576</v>
      </c>
      <c r="G124" s="92">
        <f t="shared" si="7"/>
        <v>41.452703660773665</v>
      </c>
      <c r="H124" s="92">
        <f t="shared" si="7"/>
        <v>0.43865303346417234</v>
      </c>
      <c r="I124" s="92">
        <f t="shared" si="7"/>
        <v>-7.1210215619148265</v>
      </c>
      <c r="J124" s="93">
        <f t="shared" si="7"/>
        <v>0</v>
      </c>
      <c r="R124" s="50"/>
      <c r="T124" s="296"/>
      <c r="AG124" s="66"/>
    </row>
    <row r="125" spans="2:33" x14ac:dyDescent="0.3">
      <c r="B125" s="94" t="s">
        <v>115</v>
      </c>
      <c r="C125" s="95"/>
      <c r="D125" s="95">
        <f t="shared" si="7"/>
        <v>0</v>
      </c>
      <c r="E125" s="95">
        <f t="shared" si="7"/>
        <v>0</v>
      </c>
      <c r="F125" s="95">
        <f t="shared" si="7"/>
        <v>0</v>
      </c>
      <c r="G125" s="95">
        <f t="shared" si="7"/>
        <v>0</v>
      </c>
      <c r="H125" s="95">
        <f t="shared" si="7"/>
        <v>0</v>
      </c>
      <c r="I125" s="96">
        <f t="shared" si="7"/>
        <v>15.487578808564706</v>
      </c>
      <c r="J125" s="97">
        <f t="shared" si="7"/>
        <v>7.9158999920000008</v>
      </c>
      <c r="R125" s="50"/>
      <c r="T125" s="296"/>
      <c r="AG125" s="66"/>
    </row>
    <row r="126" spans="2:33" x14ac:dyDescent="0.3">
      <c r="D126" s="71"/>
      <c r="E126" s="71"/>
      <c r="F126" s="71"/>
      <c r="G126" s="71"/>
      <c r="H126" s="71"/>
      <c r="I126" s="71">
        <f>SUM(I114:I118,I124:I125)</f>
        <v>-41.853383652960119</v>
      </c>
      <c r="J126" s="71">
        <f>SUM(J114:J118,J124:J125)</f>
        <v>-7.9660000000000002</v>
      </c>
      <c r="R126" s="50"/>
      <c r="T126" s="296"/>
      <c r="AG126" s="66"/>
    </row>
    <row r="127" spans="2:33" x14ac:dyDescent="0.3">
      <c r="D127" s="71"/>
      <c r="E127" s="71"/>
      <c r="F127" s="71"/>
      <c r="G127" s="71"/>
      <c r="H127" s="71"/>
      <c r="I127" s="71"/>
      <c r="J127" s="71"/>
      <c r="R127" s="50"/>
      <c r="T127" s="296"/>
      <c r="AG127" s="66"/>
    </row>
    <row r="128" spans="2:33" x14ac:dyDescent="0.3">
      <c r="D128" s="71"/>
      <c r="E128" s="71"/>
      <c r="F128" s="71"/>
      <c r="G128" s="71"/>
      <c r="H128" s="71"/>
      <c r="I128" s="71"/>
      <c r="J128" s="71"/>
      <c r="R128" s="50"/>
      <c r="T128" s="296"/>
      <c r="AG128" s="66"/>
    </row>
    <row r="129" spans="1:33" x14ac:dyDescent="0.3">
      <c r="D129" s="71"/>
      <c r="E129" s="71"/>
      <c r="F129" s="71"/>
      <c r="G129" s="71"/>
      <c r="H129" s="71"/>
      <c r="I129" s="71"/>
      <c r="J129" s="71"/>
      <c r="R129" s="50"/>
      <c r="T129" s="296"/>
      <c r="AG129" s="66"/>
    </row>
    <row r="130" spans="1:33" x14ac:dyDescent="0.3">
      <c r="D130" s="71"/>
      <c r="E130" s="71"/>
      <c r="F130" s="71"/>
      <c r="G130" s="71"/>
      <c r="H130" s="71"/>
      <c r="I130" s="71"/>
      <c r="J130" s="71"/>
      <c r="R130" s="50"/>
      <c r="T130" s="296"/>
      <c r="AG130" s="66"/>
    </row>
    <row r="131" spans="1:33" x14ac:dyDescent="0.3">
      <c r="R131" s="50"/>
      <c r="AG131" s="66"/>
    </row>
    <row r="132" spans="1:33" ht="23.4" x14ac:dyDescent="0.45">
      <c r="A132" s="274" t="s">
        <v>576</v>
      </c>
      <c r="B132" s="59"/>
      <c r="C132" s="59"/>
      <c r="D132" s="59"/>
      <c r="E132" s="59"/>
      <c r="F132" s="59"/>
      <c r="G132" s="59"/>
      <c r="H132" s="59"/>
      <c r="I132" s="59"/>
      <c r="J132" s="59"/>
      <c r="K132" s="59"/>
      <c r="L132" s="59"/>
      <c r="M132" s="59"/>
      <c r="N132" s="59"/>
      <c r="O132" s="59"/>
      <c r="R132" s="50"/>
      <c r="AG132" s="66"/>
    </row>
    <row r="133" spans="1:33" x14ac:dyDescent="0.3">
      <c r="R133" s="50"/>
      <c r="AG133" s="66"/>
    </row>
    <row r="134" spans="1:33" x14ac:dyDescent="0.3">
      <c r="R134" s="50"/>
      <c r="S134" s="67" t="s">
        <v>99</v>
      </c>
      <c r="AG134" s="66"/>
    </row>
    <row r="135" spans="1:33" ht="21" x14ac:dyDescent="0.4">
      <c r="A135" s="275" t="s">
        <v>107</v>
      </c>
      <c r="B135" s="59"/>
      <c r="C135" s="59"/>
      <c r="D135" s="59"/>
      <c r="E135" s="59"/>
      <c r="F135" s="59"/>
      <c r="G135" s="59"/>
      <c r="H135" s="59"/>
      <c r="I135" s="59"/>
      <c r="J135" s="59"/>
      <c r="K135" s="59"/>
      <c r="L135" s="59"/>
      <c r="M135" s="59"/>
      <c r="N135" s="59"/>
      <c r="O135" s="59"/>
      <c r="R135" s="50"/>
      <c r="S135" t="s">
        <v>575</v>
      </c>
      <c r="T135" t="s">
        <v>574</v>
      </c>
      <c r="U135" t="s">
        <v>573</v>
      </c>
      <c r="V135" t="s">
        <v>533</v>
      </c>
      <c r="W135" t="s">
        <v>572</v>
      </c>
      <c r="Y135" t="s">
        <v>571</v>
      </c>
      <c r="AG135" s="66"/>
    </row>
    <row r="136" spans="1:33" x14ac:dyDescent="0.3">
      <c r="R136" s="50"/>
      <c r="S136" s="67">
        <f>T105/Y136</f>
        <v>2.4156470588235295</v>
      </c>
      <c r="Y136">
        <v>0.85</v>
      </c>
      <c r="AG136" s="66"/>
    </row>
    <row r="137" spans="1:33" x14ac:dyDescent="0.3">
      <c r="R137" s="50"/>
      <c r="T137" s="296">
        <f>T149/1000000/Y137</f>
        <v>1.7071871176470588</v>
      </c>
      <c r="U137" s="296">
        <f>T148/1000000/Y137</f>
        <v>0.19358501711103746</v>
      </c>
      <c r="Y137">
        <v>0.85</v>
      </c>
      <c r="AG137" s="66"/>
    </row>
    <row r="138" spans="1:33" x14ac:dyDescent="0.3">
      <c r="B138" s="67" t="s">
        <v>391</v>
      </c>
      <c r="D138" s="297" t="s">
        <v>570</v>
      </c>
      <c r="N138" t="s">
        <v>569</v>
      </c>
      <c r="R138" s="50"/>
      <c r="V138" s="296">
        <f>T150/1000000/Y138</f>
        <v>0.8671942882352941</v>
      </c>
      <c r="Y138">
        <v>0.85</v>
      </c>
      <c r="AG138" s="66"/>
    </row>
    <row r="139" spans="1:33" x14ac:dyDescent="0.3">
      <c r="B139" t="s">
        <v>54</v>
      </c>
      <c r="J139" t="s">
        <v>568</v>
      </c>
      <c r="R139" s="50"/>
      <c r="V139" s="62"/>
      <c r="W139" s="67">
        <f>T108/Y139</f>
        <v>1.2825858823529412</v>
      </c>
      <c r="Y139">
        <v>0.85</v>
      </c>
      <c r="AG139" s="66"/>
    </row>
    <row r="140" spans="1:33" x14ac:dyDescent="0.3">
      <c r="D140" t="s">
        <v>538</v>
      </c>
      <c r="E140" t="s">
        <v>537</v>
      </c>
      <c r="F140" s="50" t="s">
        <v>504</v>
      </c>
      <c r="J140" s="85"/>
      <c r="K140" s="286" t="s">
        <v>538</v>
      </c>
      <c r="L140" s="67" t="s">
        <v>537</v>
      </c>
      <c r="M140" s="67"/>
      <c r="N140" s="67" t="s">
        <v>504</v>
      </c>
      <c r="P140" s="67" t="s">
        <v>148</v>
      </c>
      <c r="R140" s="50"/>
      <c r="AG140" s="66"/>
    </row>
    <row r="141" spans="1:33" x14ac:dyDescent="0.3">
      <c r="F141" s="50"/>
      <c r="J141" s="85"/>
      <c r="K141" s="50"/>
      <c r="R141" s="50"/>
      <c r="AG141" s="66"/>
    </row>
    <row r="142" spans="1:33" x14ac:dyDescent="0.3">
      <c r="B142" t="s">
        <v>37</v>
      </c>
      <c r="C142" t="s">
        <v>23</v>
      </c>
      <c r="D142" s="294">
        <f>'2006 model details (OLD)'!J14</f>
        <v>3.7571000000000008</v>
      </c>
      <c r="E142" s="294">
        <f>'2006 model details (OLD)'!L14</f>
        <v>0</v>
      </c>
      <c r="F142" s="50"/>
      <c r="J142" s="76">
        <f>D96</f>
        <v>-3.9072860628300039</v>
      </c>
      <c r="K142" s="282">
        <f>J142</f>
        <v>-3.9072860628300039</v>
      </c>
      <c r="R142" s="50"/>
      <c r="AG142" s="66"/>
    </row>
    <row r="143" spans="1:33" x14ac:dyDescent="0.3">
      <c r="B143" t="s">
        <v>36</v>
      </c>
      <c r="C143" t="s">
        <v>22</v>
      </c>
      <c r="D143" s="294">
        <f>'2006 model details (OLD)'!J15</f>
        <v>2.6686000000000001</v>
      </c>
      <c r="E143" s="294">
        <f>'2006 model details (OLD)'!L15</f>
        <v>0</v>
      </c>
      <c r="F143" s="50"/>
      <c r="J143" s="76">
        <f>J96</f>
        <v>-4.0962432350873064</v>
      </c>
      <c r="K143" s="282">
        <f>J143</f>
        <v>-4.0962432350873064</v>
      </c>
      <c r="R143" s="50"/>
      <c r="AG143" s="66"/>
    </row>
    <row r="144" spans="1:33" x14ac:dyDescent="0.3">
      <c r="B144" t="s">
        <v>43</v>
      </c>
      <c r="C144" t="s">
        <v>29</v>
      </c>
      <c r="D144" s="294">
        <f>'2006 model details (OLD)'!J16</f>
        <v>12.580500000000001</v>
      </c>
      <c r="E144" s="294">
        <f>'2006 model details (OLD)'!L16</f>
        <v>0</v>
      </c>
      <c r="F144" s="50"/>
      <c r="J144" s="85"/>
      <c r="K144" s="282">
        <f>I96</f>
        <v>-15.571684162160752</v>
      </c>
      <c r="R144" s="50"/>
      <c r="AG144" s="66"/>
    </row>
    <row r="145" spans="2:33" x14ac:dyDescent="0.3">
      <c r="B145" t="s">
        <v>534</v>
      </c>
      <c r="C145" t="s">
        <v>27</v>
      </c>
      <c r="D145" s="294">
        <f>'2006 model details (OLD)'!J17</f>
        <v>0</v>
      </c>
      <c r="E145" s="294">
        <f>'2006 model details (OLD)'!L17</f>
        <v>7.7351000000000001</v>
      </c>
      <c r="F145" s="280">
        <f>(D143+D144)/E146</f>
        <v>13.800090497737557</v>
      </c>
      <c r="G145" t="s">
        <v>561</v>
      </c>
      <c r="J145" s="85"/>
      <c r="K145" s="282"/>
      <c r="L145" s="289">
        <f>E145</f>
        <v>7.7351000000000001</v>
      </c>
      <c r="N145" s="281">
        <f>(K143+K144)/L146</f>
        <v>-17.114424712023649</v>
      </c>
      <c r="R145" s="50"/>
      <c r="S145" s="295" t="s">
        <v>567</v>
      </c>
      <c r="T145" s="53"/>
      <c r="U145" s="53"/>
      <c r="V145" s="53"/>
      <c r="W145" s="53"/>
      <c r="X145" s="55"/>
      <c r="AG145" s="66"/>
    </row>
    <row r="146" spans="2:33" x14ac:dyDescent="0.3">
      <c r="B146" t="s">
        <v>44</v>
      </c>
      <c r="C146" t="s">
        <v>30</v>
      </c>
      <c r="D146" s="294">
        <f>'2006 model details (OLD)'!J18</f>
        <v>0</v>
      </c>
      <c r="E146" s="294">
        <f>'2006 model details (OLD)'!L18</f>
        <v>1.105</v>
      </c>
      <c r="F146" s="280">
        <f>D142/E146</f>
        <v>3.4000904977375574</v>
      </c>
      <c r="G146" t="s">
        <v>562</v>
      </c>
      <c r="J146" s="85"/>
      <c r="K146" s="282"/>
      <c r="L146" s="62">
        <f>G8/1000000</f>
        <v>1.1492017831852952</v>
      </c>
      <c r="N146" s="281">
        <f>K142/L146</f>
        <v>-3.4000000000000004</v>
      </c>
      <c r="P146" s="276">
        <f>L146/Q146</f>
        <v>1.3845804616690305</v>
      </c>
      <c r="Q146">
        <v>0.83</v>
      </c>
      <c r="R146" s="50"/>
      <c r="S146" s="50"/>
      <c r="T146" t="s">
        <v>566</v>
      </c>
      <c r="X146" s="66"/>
      <c r="AG146" s="66"/>
    </row>
    <row r="147" spans="2:33" x14ac:dyDescent="0.3">
      <c r="F147" s="50"/>
      <c r="J147" s="85"/>
      <c r="K147" s="282"/>
      <c r="R147" s="50"/>
      <c r="S147" s="50"/>
      <c r="T147" t="s">
        <v>526</v>
      </c>
      <c r="X147" s="66"/>
      <c r="AG147" s="66"/>
    </row>
    <row r="148" spans="2:33" x14ac:dyDescent="0.3">
      <c r="F148" s="50"/>
      <c r="J148" s="85"/>
      <c r="K148" s="282"/>
      <c r="R148" s="50"/>
      <c r="S148" s="50" t="s">
        <v>565</v>
      </c>
      <c r="T148" s="293">
        <v>164547.26454438185</v>
      </c>
      <c r="U148" t="s">
        <v>564</v>
      </c>
      <c r="X148" s="66"/>
      <c r="AG148" s="66"/>
    </row>
    <row r="149" spans="2:33" x14ac:dyDescent="0.3">
      <c r="B149" s="67" t="s">
        <v>507</v>
      </c>
      <c r="F149" s="50"/>
      <c r="J149" s="85"/>
      <c r="K149" s="282"/>
      <c r="R149" s="50"/>
      <c r="S149" s="50" t="s">
        <v>563</v>
      </c>
      <c r="T149" s="293">
        <v>1451109.0499999998</v>
      </c>
      <c r="X149" s="66"/>
      <c r="AG149" s="66"/>
    </row>
    <row r="150" spans="2:33" x14ac:dyDescent="0.3">
      <c r="B150" t="s">
        <v>56</v>
      </c>
      <c r="F150" s="50"/>
      <c r="J150" s="85"/>
      <c r="K150" s="282"/>
      <c r="R150" s="50"/>
      <c r="S150" s="50" t="s">
        <v>110</v>
      </c>
      <c r="T150" s="293">
        <v>737115.14500000002</v>
      </c>
      <c r="X150" s="66"/>
      <c r="AG150" s="66"/>
    </row>
    <row r="151" spans="2:33" x14ac:dyDescent="0.3">
      <c r="D151" t="s">
        <v>538</v>
      </c>
      <c r="E151" t="s">
        <v>537</v>
      </c>
      <c r="F151" s="50" t="s">
        <v>504</v>
      </c>
      <c r="J151" s="85"/>
      <c r="K151" s="282"/>
      <c r="R151" s="50"/>
      <c r="S151" s="50"/>
      <c r="T151" s="293"/>
      <c r="X151" s="66"/>
      <c r="AG151" s="66"/>
    </row>
    <row r="152" spans="2:33" x14ac:dyDescent="0.3">
      <c r="F152" s="50"/>
      <c r="J152" s="85"/>
      <c r="K152" s="282"/>
      <c r="R152" s="50"/>
      <c r="S152" s="50" t="s">
        <v>46</v>
      </c>
      <c r="T152" s="293">
        <v>2.0533000000000001</v>
      </c>
      <c r="X152" s="66"/>
      <c r="AG152" s="66"/>
    </row>
    <row r="153" spans="2:33" x14ac:dyDescent="0.3">
      <c r="B153" t="s">
        <v>37</v>
      </c>
      <c r="C153" t="s">
        <v>23</v>
      </c>
      <c r="D153" s="277">
        <f>'2006 model details (OLD)'!J56</f>
        <v>2.3121000000000005</v>
      </c>
      <c r="E153" s="277">
        <f>'2006 model details (OLD)'!L56</f>
        <v>0</v>
      </c>
      <c r="F153" s="292">
        <f>D153/E158</f>
        <v>3.4001470588235301</v>
      </c>
      <c r="G153" t="s">
        <v>562</v>
      </c>
      <c r="J153" s="76">
        <f>D98</f>
        <v>-2.2739198333299058</v>
      </c>
      <c r="K153" s="282">
        <f>J153</f>
        <v>-2.2739198333299058</v>
      </c>
      <c r="N153" s="291">
        <f>K153/L158</f>
        <v>-3.45</v>
      </c>
      <c r="O153" t="s">
        <v>562</v>
      </c>
      <c r="R153" s="50"/>
      <c r="S153" s="50"/>
      <c r="X153" s="66"/>
      <c r="AG153" s="66"/>
    </row>
    <row r="154" spans="2:33" x14ac:dyDescent="0.3">
      <c r="B154" t="s">
        <v>36</v>
      </c>
      <c r="C154" t="s">
        <v>22</v>
      </c>
      <c r="D154" s="277">
        <f>'2006 model details (OLD)'!J57</f>
        <v>1.7083000000000002</v>
      </c>
      <c r="E154" s="277">
        <f>'2006 model details (OLD)'!L57</f>
        <v>0</v>
      </c>
      <c r="F154" s="50">
        <f>(D156+D154)/E158</f>
        <v>15.799999999999995</v>
      </c>
      <c r="G154" t="s">
        <v>561</v>
      </c>
      <c r="J154" s="76">
        <f>J98</f>
        <v>-2.182041855046879</v>
      </c>
      <c r="K154" s="282">
        <f>J154</f>
        <v>-2.182041855046879</v>
      </c>
      <c r="N154" s="290">
        <f>(K156+K154)/L158</f>
        <v>-16.610602374617468</v>
      </c>
      <c r="O154" t="s">
        <v>561</v>
      </c>
      <c r="R154" s="50"/>
      <c r="S154" s="50"/>
      <c r="X154" s="66"/>
      <c r="AG154" s="66"/>
    </row>
    <row r="155" spans="2:33" x14ac:dyDescent="0.3">
      <c r="B155" t="s">
        <v>535</v>
      </c>
      <c r="C155" t="s">
        <v>505</v>
      </c>
      <c r="D155" s="277">
        <f>'2006 model details (OLD)'!J58</f>
        <v>3.39E-2</v>
      </c>
      <c r="E155" s="277">
        <f>'2006 model details (OLD)'!L58</f>
        <v>0</v>
      </c>
      <c r="F155" s="280">
        <f>D155/E158</f>
        <v>4.9852941176470586E-2</v>
      </c>
      <c r="G155" t="s">
        <v>560</v>
      </c>
      <c r="J155" s="85"/>
      <c r="K155" s="282"/>
      <c r="N155" s="280">
        <f>K155/L158</f>
        <v>0</v>
      </c>
      <c r="O155" t="s">
        <v>560</v>
      </c>
      <c r="R155" s="50"/>
      <c r="S155" s="50" t="s">
        <v>559</v>
      </c>
      <c r="T155" t="s">
        <v>558</v>
      </c>
      <c r="X155" s="66"/>
      <c r="AG155" s="66"/>
    </row>
    <row r="156" spans="2:33" x14ac:dyDescent="0.3">
      <c r="B156" t="s">
        <v>43</v>
      </c>
      <c r="C156" t="s">
        <v>29</v>
      </c>
      <c r="D156" s="277">
        <f>'2006 model details (OLD)'!J59</f>
        <v>9.0356999999999985</v>
      </c>
      <c r="E156" s="277">
        <f>'2006 model details (OLD)'!L59</f>
        <v>0</v>
      </c>
      <c r="F156" s="50"/>
      <c r="J156" s="85"/>
      <c r="K156" s="282">
        <f>I98</f>
        <v>-8.7661257342863053</v>
      </c>
      <c r="R156" s="50"/>
      <c r="S156" s="50" t="s">
        <v>557</v>
      </c>
      <c r="T156" s="283">
        <v>14636913.800000001</v>
      </c>
      <c r="X156" s="66"/>
      <c r="AG156" s="66"/>
    </row>
    <row r="157" spans="2:33" x14ac:dyDescent="0.3">
      <c r="B157" t="s">
        <v>534</v>
      </c>
      <c r="C157" t="s">
        <v>27</v>
      </c>
      <c r="D157" s="277">
        <f>'2006 model details (OLD)'!J60</f>
        <v>0</v>
      </c>
      <c r="E157" s="277">
        <f>'2006 model details (OLD)'!L60</f>
        <v>4.7598000000000003</v>
      </c>
      <c r="F157" s="50"/>
      <c r="J157" s="85"/>
      <c r="K157" s="282"/>
      <c r="L157" s="289">
        <f>E157</f>
        <v>4.7598000000000003</v>
      </c>
      <c r="R157" s="50"/>
      <c r="S157" s="50" t="s">
        <v>37</v>
      </c>
      <c r="T157" s="283">
        <v>35681456</v>
      </c>
      <c r="X157" s="66"/>
      <c r="AG157" s="66"/>
    </row>
    <row r="158" spans="2:33" x14ac:dyDescent="0.3">
      <c r="B158" t="s">
        <v>556</v>
      </c>
      <c r="C158" t="s">
        <v>31</v>
      </c>
      <c r="D158" s="277">
        <f>'2006 model details (OLD)'!J61</f>
        <v>0</v>
      </c>
      <c r="E158" s="277">
        <f>'2006 model details (OLD)'!L61</f>
        <v>0.68</v>
      </c>
      <c r="F158" s="50"/>
      <c r="J158" s="85"/>
      <c r="K158" s="282"/>
      <c r="L158" s="62">
        <f>G10/1000000</f>
        <v>0.65910719806663931</v>
      </c>
      <c r="P158" s="276">
        <f>L158/Q158</f>
        <v>0.79410505791161368</v>
      </c>
      <c r="Q158">
        <v>0.83</v>
      </c>
      <c r="R158" s="50"/>
      <c r="S158" s="50" t="s">
        <v>555</v>
      </c>
      <c r="T158" s="283">
        <v>1253767.2375478926</v>
      </c>
      <c r="X158" s="66"/>
      <c r="AG158" s="66"/>
    </row>
    <row r="159" spans="2:33" x14ac:dyDescent="0.3">
      <c r="F159" s="50"/>
      <c r="J159" s="85"/>
      <c r="K159" s="50"/>
      <c r="R159" s="50"/>
      <c r="S159" s="50" t="s">
        <v>554</v>
      </c>
      <c r="T159" s="283">
        <v>4136229</v>
      </c>
      <c r="X159" s="66"/>
      <c r="AG159" s="66"/>
    </row>
    <row r="160" spans="2:33" x14ac:dyDescent="0.3">
      <c r="F160" s="50"/>
      <c r="J160" s="85"/>
      <c r="K160" s="50"/>
      <c r="R160" s="50"/>
      <c r="S160" s="50" t="s">
        <v>553</v>
      </c>
      <c r="T160" s="283">
        <v>35753002</v>
      </c>
      <c r="X160" s="66"/>
      <c r="AG160" s="66"/>
    </row>
    <row r="161" spans="2:33" x14ac:dyDescent="0.3">
      <c r="B161" s="67" t="s">
        <v>392</v>
      </c>
      <c r="F161" s="50"/>
      <c r="J161" s="85"/>
      <c r="K161" s="50"/>
      <c r="R161" s="50"/>
      <c r="S161" s="50" t="s">
        <v>552</v>
      </c>
      <c r="T161" s="283">
        <v>1567742</v>
      </c>
      <c r="V161" t="s">
        <v>551</v>
      </c>
      <c r="X161" s="66"/>
      <c r="AG161" s="66"/>
    </row>
    <row r="162" spans="2:33" x14ac:dyDescent="0.3">
      <c r="B162" t="s">
        <v>50</v>
      </c>
      <c r="F162" s="50"/>
      <c r="J162" s="85"/>
      <c r="K162" s="50"/>
      <c r="R162" s="50"/>
      <c r="S162" s="50"/>
      <c r="X162" s="66"/>
      <c r="AG162" s="66"/>
    </row>
    <row r="163" spans="2:33" x14ac:dyDescent="0.3">
      <c r="D163" t="s">
        <v>538</v>
      </c>
      <c r="E163" t="s">
        <v>537</v>
      </c>
      <c r="F163" s="50" t="s">
        <v>504</v>
      </c>
      <c r="J163" s="85"/>
      <c r="K163" s="50"/>
      <c r="R163" s="50"/>
      <c r="S163" s="50"/>
      <c r="T163" s="288"/>
      <c r="X163" s="66"/>
      <c r="AG163" s="66"/>
    </row>
    <row r="164" spans="2:33" x14ac:dyDescent="0.3">
      <c r="F164" s="50"/>
      <c r="J164" s="85"/>
      <c r="K164" s="50"/>
      <c r="R164" s="50"/>
      <c r="S164" s="50" t="s">
        <v>550</v>
      </c>
      <c r="T164" s="71">
        <f>T160/T168</f>
        <v>3210828.8910154407</v>
      </c>
      <c r="X164" s="66"/>
      <c r="AG164" s="66"/>
    </row>
    <row r="165" spans="2:33" x14ac:dyDescent="0.3">
      <c r="B165" t="s">
        <v>37</v>
      </c>
      <c r="C165" t="s">
        <v>23</v>
      </c>
      <c r="D165" s="277">
        <f>'2006 model details (OLD)'!J102</f>
        <v>0</v>
      </c>
      <c r="E165" s="277">
        <f>'2006 model details (OLD)'!L102</f>
        <v>0</v>
      </c>
      <c r="F165" s="50"/>
      <c r="J165" s="85"/>
      <c r="K165" s="50"/>
      <c r="R165" s="50"/>
      <c r="S165" s="80"/>
      <c r="T165" s="59"/>
      <c r="U165" s="59"/>
      <c r="V165" s="59"/>
      <c r="W165" s="59"/>
      <c r="X165" s="107"/>
      <c r="AG165" s="66"/>
    </row>
    <row r="166" spans="2:33" x14ac:dyDescent="0.3">
      <c r="B166" t="s">
        <v>36</v>
      </c>
      <c r="C166" t="s">
        <v>22</v>
      </c>
      <c r="D166" s="277">
        <f>'2006 model details (OLD)'!J103</f>
        <v>2.5417000000000005</v>
      </c>
      <c r="E166" s="277">
        <f>'2006 model details (OLD)'!L103</f>
        <v>0</v>
      </c>
      <c r="F166" s="280">
        <f>(D166+D168)/E171</f>
        <v>10.19814426818318</v>
      </c>
      <c r="G166" t="s">
        <v>549</v>
      </c>
      <c r="J166" s="76">
        <f>J97</f>
        <v>-3.3219956263134764</v>
      </c>
      <c r="K166" s="282">
        <f>J166</f>
        <v>-3.3219956263134764</v>
      </c>
      <c r="N166" s="281">
        <f>(K166+K168)/L171</f>
        <v>-15.207954735410253</v>
      </c>
      <c r="R166" s="50"/>
      <c r="AG166" s="66"/>
    </row>
    <row r="167" spans="2:33" x14ac:dyDescent="0.3">
      <c r="B167" t="s">
        <v>535</v>
      </c>
      <c r="C167" t="s">
        <v>505</v>
      </c>
      <c r="D167" s="277">
        <f>'2006 model details (OLD)'!J104</f>
        <v>0</v>
      </c>
      <c r="E167" s="277">
        <f>'2006 model details (OLD)'!L104</f>
        <v>0</v>
      </c>
      <c r="F167" s="50"/>
      <c r="J167" s="85"/>
      <c r="K167" s="50"/>
      <c r="R167" s="50"/>
      <c r="S167" t="s">
        <v>548</v>
      </c>
      <c r="Y167" t="s">
        <v>547</v>
      </c>
      <c r="AG167" s="66"/>
    </row>
    <row r="168" spans="2:33" x14ac:dyDescent="0.3">
      <c r="B168" t="s">
        <v>43</v>
      </c>
      <c r="C168" t="s">
        <v>29</v>
      </c>
      <c r="D168" s="277">
        <f>'2006 model details (OLD)'!J105</f>
        <v>0.86549999999999994</v>
      </c>
      <c r="E168" s="277">
        <f>'2006 model details (OLD)'!L105</f>
        <v>0</v>
      </c>
      <c r="F168" s="50"/>
      <c r="J168" s="85"/>
      <c r="K168" s="280">
        <f>I97</f>
        <v>-1.5088494475463996</v>
      </c>
      <c r="R168" s="50"/>
      <c r="S168" s="52" t="s">
        <v>546</v>
      </c>
      <c r="T168" s="287">
        <v>11.135131523216403</v>
      </c>
      <c r="U168" s="53" t="s">
        <v>545</v>
      </c>
      <c r="V168" s="53"/>
      <c r="W168" s="55"/>
      <c r="Y168" s="52"/>
      <c r="Z168" s="53"/>
      <c r="AA168" s="53"/>
      <c r="AB168" s="53"/>
      <c r="AC168" s="53"/>
      <c r="AD168" s="53"/>
      <c r="AE168" s="53"/>
      <c r="AF168" s="55"/>
      <c r="AG168" s="66"/>
    </row>
    <row r="169" spans="2:33" x14ac:dyDescent="0.3">
      <c r="B169" t="s">
        <v>534</v>
      </c>
      <c r="C169" t="s">
        <v>27</v>
      </c>
      <c r="D169" s="277">
        <f>'2006 model details (OLD)'!J106</f>
        <v>0</v>
      </c>
      <c r="E169" s="277">
        <f>'2006 model details (OLD)'!L106</f>
        <v>0</v>
      </c>
      <c r="F169" s="50"/>
      <c r="J169" s="85"/>
      <c r="K169" s="50"/>
      <c r="R169" s="50"/>
      <c r="S169" s="50"/>
      <c r="W169" s="66"/>
      <c r="Y169" s="50"/>
      <c r="AF169" s="66"/>
      <c r="AG169" s="66"/>
    </row>
    <row r="170" spans="2:33" x14ac:dyDescent="0.3">
      <c r="B170" t="s">
        <v>533</v>
      </c>
      <c r="C170" t="s">
        <v>31</v>
      </c>
      <c r="D170" s="277">
        <f>'2006 model details (OLD)'!J107</f>
        <v>0</v>
      </c>
      <c r="E170" s="277">
        <f>'2006 model details (OLD)'!L107</f>
        <v>0</v>
      </c>
      <c r="F170" s="50"/>
      <c r="J170" s="85"/>
      <c r="K170" s="50"/>
      <c r="R170" s="50"/>
      <c r="S170" s="286" t="s">
        <v>544</v>
      </c>
      <c r="T170" s="279" t="s">
        <v>543</v>
      </c>
      <c r="W170" s="66"/>
      <c r="Y170" s="50"/>
      <c r="Z170" s="285" t="s">
        <v>542</v>
      </c>
      <c r="AA170" s="285"/>
      <c r="AB170" s="285" t="s">
        <v>541</v>
      </c>
      <c r="AC170" s="283"/>
      <c r="AD170" s="283"/>
      <c r="AE170" s="283"/>
      <c r="AF170" s="66"/>
      <c r="AG170" s="66"/>
    </row>
    <row r="171" spans="2:33" x14ac:dyDescent="0.3">
      <c r="B171" t="s">
        <v>532</v>
      </c>
      <c r="C171" t="s">
        <v>30</v>
      </c>
      <c r="D171" s="277">
        <f>'2006 model details (OLD)'!J108</f>
        <v>0</v>
      </c>
      <c r="E171" s="277">
        <f>'2006 model details (OLD)'!L108</f>
        <v>0.33410000000000001</v>
      </c>
      <c r="F171" s="50"/>
      <c r="J171" s="85"/>
      <c r="K171" s="50"/>
      <c r="L171" s="62">
        <f>G9/1000000</f>
        <v>0.31765251527292626</v>
      </c>
      <c r="P171" s="276">
        <f>L171/Q171</f>
        <v>0.38271387382280275</v>
      </c>
      <c r="Q171">
        <v>0.83</v>
      </c>
      <c r="R171" s="50"/>
      <c r="S171" s="50" t="s">
        <v>39</v>
      </c>
      <c r="T171" s="284">
        <v>681177.60000000009</v>
      </c>
      <c r="W171" s="66"/>
      <c r="Y171" s="50"/>
      <c r="AA171" s="283"/>
      <c r="AB171" s="283" t="s">
        <v>39</v>
      </c>
      <c r="AC171" s="283" t="s">
        <v>37</v>
      </c>
      <c r="AD171" s="283" t="s">
        <v>38</v>
      </c>
      <c r="AE171" s="283" t="s">
        <v>43</v>
      </c>
      <c r="AF171" s="66"/>
      <c r="AG171" s="66"/>
    </row>
    <row r="172" spans="2:33" x14ac:dyDescent="0.3">
      <c r="F172" s="50"/>
      <c r="J172" s="85"/>
      <c r="K172" s="50"/>
      <c r="R172" s="50"/>
      <c r="S172" s="50" t="s">
        <v>539</v>
      </c>
      <c r="T172" s="284">
        <v>2952707.1039999998</v>
      </c>
      <c r="W172" s="66"/>
      <c r="Y172" s="50" t="s">
        <v>39</v>
      </c>
      <c r="Z172" s="283">
        <v>681177.60000000009</v>
      </c>
      <c r="AA172" s="283"/>
      <c r="AB172" s="283">
        <v>-1261440</v>
      </c>
      <c r="AC172" s="283"/>
      <c r="AD172" s="283"/>
      <c r="AE172" s="283"/>
      <c r="AF172" s="66"/>
      <c r="AG172" s="66"/>
    </row>
    <row r="173" spans="2:33" x14ac:dyDescent="0.3">
      <c r="B173" s="67" t="s">
        <v>540</v>
      </c>
      <c r="F173" s="50"/>
      <c r="J173" s="85"/>
      <c r="K173" s="50"/>
      <c r="R173" s="50"/>
      <c r="S173" s="50" t="s">
        <v>43</v>
      </c>
      <c r="T173" s="284">
        <v>7990887.9919999996</v>
      </c>
      <c r="W173" s="66"/>
      <c r="Y173" s="50" t="s">
        <v>539</v>
      </c>
      <c r="Z173" s="283">
        <v>2952707.1039999998</v>
      </c>
      <c r="AA173" s="283"/>
      <c r="AB173" s="283"/>
      <c r="AC173" s="283">
        <v>-2157406.3195876288</v>
      </c>
      <c r="AD173" s="283">
        <v>-1677900</v>
      </c>
      <c r="AE173" s="283"/>
      <c r="AF173" s="66"/>
      <c r="AG173" s="66"/>
    </row>
    <row r="174" spans="2:33" x14ac:dyDescent="0.3">
      <c r="B174" t="s">
        <v>60</v>
      </c>
      <c r="D174" t="s">
        <v>538</v>
      </c>
      <c r="E174" t="s">
        <v>537</v>
      </c>
      <c r="F174" s="50" t="s">
        <v>504</v>
      </c>
      <c r="J174" s="85"/>
      <c r="K174" s="50"/>
      <c r="R174" s="50"/>
      <c r="S174" s="50"/>
      <c r="W174" s="66"/>
      <c r="Y174" s="50" t="s">
        <v>536</v>
      </c>
      <c r="Z174" s="283">
        <v>7990887.9919999996</v>
      </c>
      <c r="AA174" s="283"/>
      <c r="AB174" s="283"/>
      <c r="AC174" s="283"/>
      <c r="AD174" s="283"/>
      <c r="AE174" s="283">
        <v>-15578197.632094119</v>
      </c>
      <c r="AF174" s="66"/>
      <c r="AG174" s="66"/>
    </row>
    <row r="175" spans="2:33" x14ac:dyDescent="0.3">
      <c r="F175" s="50"/>
      <c r="J175" s="85"/>
      <c r="K175" s="50"/>
      <c r="R175" s="50"/>
      <c r="S175" s="50"/>
      <c r="T175">
        <f>SUM(U175:V175)</f>
        <v>-12446402.442246219</v>
      </c>
      <c r="U175">
        <v>-12007844.75512773</v>
      </c>
      <c r="V175">
        <v>-438557.68711848865</v>
      </c>
      <c r="W175" s="66"/>
      <c r="Y175" s="50"/>
      <c r="AF175" s="66"/>
      <c r="AG175" s="66"/>
    </row>
    <row r="176" spans="2:33" x14ac:dyDescent="0.3">
      <c r="B176" t="s">
        <v>37</v>
      </c>
      <c r="C176" t="s">
        <v>23</v>
      </c>
      <c r="D176" s="277">
        <f>'2006 model details (OLD)'!J123</f>
        <v>0</v>
      </c>
      <c r="E176" s="277">
        <f>'2006 model details (OLD)'!L123</f>
        <v>0</v>
      </c>
      <c r="F176" s="50"/>
      <c r="J176" s="85"/>
      <c r="K176" s="50"/>
      <c r="R176" s="50"/>
      <c r="S176" s="80"/>
      <c r="T176" s="59"/>
      <c r="U176" s="59"/>
      <c r="V176" s="59"/>
      <c r="W176" s="107"/>
      <c r="Y176" s="50"/>
      <c r="AF176" s="66"/>
      <c r="AG176" s="66"/>
    </row>
    <row r="177" spans="1:33" x14ac:dyDescent="0.3">
      <c r="B177" t="s">
        <v>36</v>
      </c>
      <c r="C177" t="s">
        <v>22</v>
      </c>
      <c r="D177" s="277">
        <f>'2006 model details (OLD)'!J124</f>
        <v>2.4512999999999998</v>
      </c>
      <c r="E177" s="277">
        <f>'2006 model details (OLD)'!L124</f>
        <v>0</v>
      </c>
      <c r="F177" s="280">
        <f>(D177+D179)/E183</f>
        <v>8</v>
      </c>
      <c r="J177" s="76">
        <f>J100</f>
        <v>-5.5127933451231801</v>
      </c>
      <c r="K177" s="282">
        <f>J177</f>
        <v>-5.5127933451231801</v>
      </c>
      <c r="N177" s="281">
        <f>(K177+K179)/L183</f>
        <v>-13.128734688551315</v>
      </c>
      <c r="R177" s="50"/>
      <c r="Y177" s="80"/>
      <c r="Z177" s="59"/>
      <c r="AA177" s="59"/>
      <c r="AB177" s="59"/>
      <c r="AC177" s="59"/>
      <c r="AD177" s="59"/>
      <c r="AE177" s="59"/>
      <c r="AF177" s="107"/>
      <c r="AG177" s="66"/>
    </row>
    <row r="178" spans="1:33" x14ac:dyDescent="0.3">
      <c r="B178" t="s">
        <v>535</v>
      </c>
      <c r="C178" t="s">
        <v>505</v>
      </c>
      <c r="D178" s="277">
        <f>'2006 model details (OLD)'!J125</f>
        <v>0.10009999999999999</v>
      </c>
      <c r="E178" s="277">
        <f>'2006 model details (OLD)'!L125</f>
        <v>0</v>
      </c>
      <c r="F178" s="50"/>
      <c r="J178" s="85"/>
      <c r="K178" s="50"/>
      <c r="R178" s="50"/>
      <c r="AG178" s="66"/>
    </row>
    <row r="179" spans="1:33" x14ac:dyDescent="0.3">
      <c r="B179" t="s">
        <v>43</v>
      </c>
      <c r="C179" t="s">
        <v>29</v>
      </c>
      <c r="D179" s="277">
        <f>'2006 model details (OLD)'!J126</f>
        <v>13.5695</v>
      </c>
      <c r="E179" s="277">
        <f>'2006 model details (OLD)'!L126</f>
        <v>0</v>
      </c>
      <c r="F179" s="50"/>
      <c r="J179" s="85"/>
      <c r="K179" s="280">
        <f>I100</f>
        <v>-23.108636000000001</v>
      </c>
      <c r="R179" s="50"/>
      <c r="AG179" s="66"/>
    </row>
    <row r="180" spans="1:33" x14ac:dyDescent="0.3">
      <c r="B180" t="s">
        <v>534</v>
      </c>
      <c r="C180" t="s">
        <v>27</v>
      </c>
      <c r="D180" s="277">
        <f>'2006 model details (OLD)'!J127</f>
        <v>0</v>
      </c>
      <c r="E180" s="277">
        <f>'2006 model details (OLD)'!L127</f>
        <v>0</v>
      </c>
      <c r="F180" s="50"/>
      <c r="J180" s="85"/>
      <c r="K180" s="50"/>
      <c r="R180" s="50"/>
      <c r="AG180" s="66"/>
    </row>
    <row r="181" spans="1:33" x14ac:dyDescent="0.3">
      <c r="B181" t="s">
        <v>533</v>
      </c>
      <c r="C181" t="s">
        <v>31</v>
      </c>
      <c r="D181" s="277">
        <f>'2006 model details (OLD)'!J128</f>
        <v>0</v>
      </c>
      <c r="E181" s="277">
        <f>'2006 model details (OLD)'!L128</f>
        <v>0</v>
      </c>
      <c r="F181" s="50"/>
      <c r="J181" s="85"/>
      <c r="K181" s="50"/>
      <c r="R181" s="50"/>
      <c r="S181" s="279" t="s">
        <v>101</v>
      </c>
      <c r="AG181" s="66"/>
    </row>
    <row r="182" spans="1:33" x14ac:dyDescent="0.3">
      <c r="B182" t="s">
        <v>532</v>
      </c>
      <c r="C182" t="s">
        <v>30</v>
      </c>
      <c r="D182" s="277">
        <f>'2006 model details (OLD)'!J129</f>
        <v>2.2028999999999996</v>
      </c>
      <c r="E182" s="277">
        <f>'2006 model details (OLD)'!L129</f>
        <v>0</v>
      </c>
      <c r="F182" s="50"/>
      <c r="J182" s="85"/>
      <c r="K182" s="278">
        <f>L146+L171</f>
        <v>1.4668542984582214</v>
      </c>
      <c r="R182" s="50"/>
      <c r="S182" s="52"/>
      <c r="T182" s="53"/>
      <c r="U182" s="53"/>
      <c r="V182" s="53"/>
      <c r="W182" s="53"/>
      <c r="X182" s="55"/>
      <c r="AG182" s="66"/>
    </row>
    <row r="183" spans="1:33" x14ac:dyDescent="0.3">
      <c r="B183" t="s">
        <v>531</v>
      </c>
      <c r="C183" t="s">
        <v>32</v>
      </c>
      <c r="D183" s="277">
        <f>'2006 model details (OLD)'!J130</f>
        <v>0</v>
      </c>
      <c r="E183" s="277">
        <f>'2006 model details (OLD)'!L130</f>
        <v>2.0026000000000002</v>
      </c>
      <c r="F183" s="50"/>
      <c r="J183" s="85"/>
      <c r="K183" s="50"/>
      <c r="L183" s="62">
        <f>G12/1000000</f>
        <v>2.1800600000000001</v>
      </c>
      <c r="N183">
        <f>K182/L183</f>
        <v>0.67285042542784201</v>
      </c>
      <c r="O183" t="s">
        <v>530</v>
      </c>
      <c r="P183" s="276">
        <f>L183/Q183</f>
        <v>2.6265783132530123</v>
      </c>
      <c r="Q183">
        <v>0.83</v>
      </c>
      <c r="R183" s="50"/>
      <c r="S183" s="50" t="s">
        <v>529</v>
      </c>
      <c r="T183" s="71">
        <v>16.210891537852099</v>
      </c>
      <c r="U183" t="s">
        <v>21</v>
      </c>
      <c r="V183" t="s">
        <v>101</v>
      </c>
      <c r="X183" s="66"/>
      <c r="AG183" s="66"/>
    </row>
    <row r="184" spans="1:33" x14ac:dyDescent="0.3">
      <c r="D184" s="272"/>
      <c r="E184" s="272"/>
      <c r="R184" s="50"/>
      <c r="S184" s="50"/>
      <c r="T184" s="62">
        <f>T107</f>
        <v>0.73711514499999997</v>
      </c>
      <c r="U184" t="s">
        <v>526</v>
      </c>
      <c r="V184" t="s">
        <v>525</v>
      </c>
      <c r="X184" s="66"/>
      <c r="AG184" s="66"/>
    </row>
    <row r="185" spans="1:33" x14ac:dyDescent="0.3">
      <c r="D185" s="272"/>
      <c r="E185" s="272"/>
      <c r="R185" s="50"/>
      <c r="S185" s="50"/>
      <c r="T185" s="71">
        <f>(T183/T184)*(1+$X$185)</f>
        <v>21.992346308190559</v>
      </c>
      <c r="X185" s="66"/>
      <c r="AG185" s="66"/>
    </row>
    <row r="186" spans="1:33" ht="21" x14ac:dyDescent="0.4">
      <c r="A186" s="275" t="s">
        <v>528</v>
      </c>
      <c r="B186" s="59"/>
      <c r="C186" s="59"/>
      <c r="D186" s="273"/>
      <c r="E186" s="273"/>
      <c r="F186" s="59"/>
      <c r="G186" s="59"/>
      <c r="H186" s="59"/>
      <c r="I186" s="59"/>
      <c r="J186" s="59"/>
      <c r="K186" s="59"/>
      <c r="L186" s="59"/>
      <c r="M186" s="59"/>
      <c r="N186" s="59"/>
      <c r="O186" s="59"/>
      <c r="P186" s="59"/>
      <c r="R186" s="50"/>
      <c r="S186" s="50"/>
      <c r="X186" s="66"/>
      <c r="AG186" s="66"/>
    </row>
    <row r="187" spans="1:33" x14ac:dyDescent="0.3">
      <c r="R187" s="50"/>
      <c r="S187" s="50" t="s">
        <v>527</v>
      </c>
      <c r="T187" s="62">
        <v>23.518946282873902</v>
      </c>
      <c r="U187" t="s">
        <v>21</v>
      </c>
      <c r="V187" t="s">
        <v>101</v>
      </c>
      <c r="X187" s="66"/>
      <c r="AG187" s="66"/>
    </row>
    <row r="188" spans="1:33" x14ac:dyDescent="0.3">
      <c r="R188" s="50"/>
      <c r="S188" s="50"/>
      <c r="T188" s="62">
        <f>T149/1000000</f>
        <v>1.4511090499999999</v>
      </c>
      <c r="U188" t="s">
        <v>526</v>
      </c>
      <c r="V188" t="s">
        <v>525</v>
      </c>
      <c r="X188" s="66"/>
      <c r="AG188" s="66"/>
    </row>
    <row r="189" spans="1:33" x14ac:dyDescent="0.3">
      <c r="R189" s="50"/>
      <c r="S189" s="50"/>
      <c r="T189" s="272">
        <f>(T187/T188)*(1+$X$185)</f>
        <v>16.207566400935825</v>
      </c>
      <c r="X189" s="66"/>
      <c r="AG189" s="66"/>
    </row>
    <row r="190" spans="1:33" x14ac:dyDescent="0.3">
      <c r="R190" s="50"/>
      <c r="S190" s="80"/>
      <c r="T190" s="59"/>
      <c r="U190" s="59"/>
      <c r="V190" s="59"/>
      <c r="W190" s="59"/>
      <c r="X190" s="107"/>
      <c r="AG190" s="66"/>
    </row>
    <row r="191" spans="1:33" x14ac:dyDescent="0.3">
      <c r="R191" s="50"/>
      <c r="AG191" s="66"/>
    </row>
    <row r="192" spans="1:33" x14ac:dyDescent="0.3">
      <c r="R192" s="50"/>
      <c r="AG192" s="66"/>
    </row>
    <row r="193" spans="1:33" x14ac:dyDescent="0.3">
      <c r="R193" s="80"/>
      <c r="S193" s="59"/>
      <c r="T193" s="59"/>
      <c r="U193" s="59"/>
      <c r="V193" s="59"/>
      <c r="W193" s="59"/>
      <c r="X193" s="59"/>
      <c r="Y193" s="59"/>
      <c r="Z193" s="59"/>
      <c r="AA193" s="59"/>
      <c r="AB193" s="59"/>
      <c r="AC193" s="59"/>
      <c r="AD193" s="59"/>
      <c r="AE193" s="59"/>
      <c r="AF193" s="59"/>
      <c r="AG193" s="107"/>
    </row>
    <row r="196" spans="1:33" x14ac:dyDescent="0.3">
      <c r="T196" s="71"/>
      <c r="U196" s="71"/>
    </row>
    <row r="198" spans="1:33" x14ac:dyDescent="0.3">
      <c r="D198" s="272"/>
      <c r="E198" s="272"/>
    </row>
    <row r="199" spans="1:33" x14ac:dyDescent="0.3">
      <c r="D199" s="272"/>
      <c r="E199" s="272"/>
    </row>
    <row r="200" spans="1:33" x14ac:dyDescent="0.3">
      <c r="D200" s="272"/>
      <c r="E200" s="272"/>
    </row>
    <row r="201" spans="1:33" ht="21" x14ac:dyDescent="0.4">
      <c r="A201" s="275" t="s">
        <v>524</v>
      </c>
      <c r="B201" s="59"/>
      <c r="C201" s="59"/>
      <c r="D201" s="273"/>
      <c r="E201" s="273"/>
      <c r="F201" s="59"/>
      <c r="G201" s="59"/>
      <c r="H201" s="59"/>
      <c r="I201" s="59"/>
      <c r="J201" s="59"/>
      <c r="K201" s="59"/>
      <c r="L201" s="59"/>
      <c r="M201" s="59"/>
      <c r="N201" s="59"/>
      <c r="O201" s="59"/>
      <c r="P201" s="59"/>
    </row>
    <row r="202" spans="1:33" x14ac:dyDescent="0.3">
      <c r="C202" t="s">
        <v>523</v>
      </c>
      <c r="D202" s="272" t="str">
        <f>AB171</f>
        <v>Gas</v>
      </c>
      <c r="E202" s="272" t="str">
        <f>AC171</f>
        <v>Coal</v>
      </c>
      <c r="F202" s="272" t="str">
        <f>AD171</f>
        <v>Biomass</v>
      </c>
      <c r="G202" s="272" t="str">
        <f>AE171</f>
        <v>Steam</v>
      </c>
    </row>
    <row r="203" spans="1:33" x14ac:dyDescent="0.3">
      <c r="B203" t="s">
        <v>39</v>
      </c>
      <c r="C203" s="71">
        <f>Z172/1000000</f>
        <v>0.68117760000000005</v>
      </c>
      <c r="D203" s="272">
        <f>AB172/1000000</f>
        <v>-1.2614399999999999</v>
      </c>
      <c r="E203" s="272"/>
      <c r="F203" s="272"/>
      <c r="G203" s="272"/>
      <c r="H203" s="86"/>
    </row>
    <row r="204" spans="1:33" x14ac:dyDescent="0.3">
      <c r="B204" t="s">
        <v>43</v>
      </c>
      <c r="C204" s="71">
        <f>Z174/1000000</f>
        <v>7.9908879919999993</v>
      </c>
      <c r="D204" s="272"/>
      <c r="E204" s="272"/>
      <c r="F204" s="272"/>
      <c r="G204" s="272">
        <f>AE174/1000000</f>
        <v>-15.578197632094119</v>
      </c>
      <c r="M204" t="s">
        <v>367</v>
      </c>
    </row>
    <row r="205" spans="1:33" x14ac:dyDescent="0.3">
      <c r="M205" t="s">
        <v>43</v>
      </c>
      <c r="N205" s="71">
        <f>C204</f>
        <v>7.9908879919999993</v>
      </c>
    </row>
    <row r="206" spans="1:33" x14ac:dyDescent="0.3">
      <c r="D206" s="272"/>
      <c r="E206" s="272"/>
      <c r="M206" t="s">
        <v>73</v>
      </c>
      <c r="N206" s="86">
        <f>N208-N205</f>
        <v>6.209112008</v>
      </c>
    </row>
    <row r="207" spans="1:33" x14ac:dyDescent="0.3">
      <c r="D207" s="272"/>
      <c r="E207" s="272"/>
      <c r="M207" t="s">
        <v>522</v>
      </c>
      <c r="N207">
        <f>SUM(N205:N206)</f>
        <v>14.2</v>
      </c>
    </row>
    <row r="208" spans="1:33" x14ac:dyDescent="0.3">
      <c r="D208" s="272" t="s">
        <v>521</v>
      </c>
      <c r="E208" s="272" t="s">
        <v>520</v>
      </c>
      <c r="H208" s="85" t="s">
        <v>148</v>
      </c>
      <c r="M208" t="s">
        <v>519</v>
      </c>
      <c r="N208">
        <v>14.2</v>
      </c>
      <c r="O208" t="s">
        <v>518</v>
      </c>
    </row>
    <row r="209" spans="1:16" x14ac:dyDescent="0.3">
      <c r="D209" s="272"/>
      <c r="E209" s="272" t="s">
        <v>43</v>
      </c>
      <c r="F209" t="s">
        <v>39</v>
      </c>
    </row>
    <row r="210" spans="1:16" x14ac:dyDescent="0.3">
      <c r="B210" s="144" t="s">
        <v>62</v>
      </c>
      <c r="C210" t="s">
        <v>517</v>
      </c>
      <c r="D210" s="272">
        <f>C204</f>
        <v>7.9908879919999993</v>
      </c>
      <c r="E210" s="272">
        <f>-G204</f>
        <v>15.578197632094119</v>
      </c>
      <c r="H210">
        <f>(D210/0.85)*(1+K210)</f>
        <v>11.281253635764706</v>
      </c>
      <c r="J210" t="s">
        <v>516</v>
      </c>
      <c r="K210" s="139">
        <v>0.2</v>
      </c>
    </row>
    <row r="211" spans="1:16" x14ac:dyDescent="0.3">
      <c r="B211" s="144" t="s">
        <v>194</v>
      </c>
      <c r="C211" t="s">
        <v>73</v>
      </c>
      <c r="D211" s="272">
        <f>C203</f>
        <v>0.68117760000000005</v>
      </c>
      <c r="E211" s="272"/>
      <c r="F211" s="272">
        <f>-D203</f>
        <v>1.2614399999999999</v>
      </c>
      <c r="H211">
        <f>(D211/0.85)*(1+K211)</f>
        <v>0.80138541176470601</v>
      </c>
    </row>
    <row r="212" spans="1:16" x14ac:dyDescent="0.3">
      <c r="B212" s="144"/>
      <c r="D212" s="272"/>
      <c r="E212" s="272"/>
      <c r="F212" s="272"/>
    </row>
    <row r="213" spans="1:16" x14ac:dyDescent="0.3">
      <c r="B213" s="144"/>
      <c r="D213" s="272"/>
      <c r="E213" s="272"/>
      <c r="F213" s="272"/>
    </row>
    <row r="214" spans="1:16" x14ac:dyDescent="0.3">
      <c r="B214" s="144"/>
      <c r="D214" s="272"/>
      <c r="E214" s="272"/>
      <c r="F214" s="272"/>
    </row>
    <row r="215" spans="1:16" ht="23.4" x14ac:dyDescent="0.45">
      <c r="A215" s="274" t="s">
        <v>515</v>
      </c>
      <c r="B215" s="59"/>
      <c r="C215" s="59"/>
      <c r="D215" s="273"/>
      <c r="E215" s="273"/>
      <c r="F215" s="59"/>
      <c r="G215" s="59"/>
      <c r="H215" s="59"/>
      <c r="I215" s="59"/>
      <c r="J215" s="59"/>
      <c r="K215" s="59"/>
      <c r="L215" s="59"/>
      <c r="M215" s="59"/>
      <c r="N215" s="59"/>
      <c r="O215" s="59"/>
      <c r="P215" s="59"/>
    </row>
    <row r="216" spans="1:16" x14ac:dyDescent="0.3">
      <c r="D216" s="272"/>
      <c r="E216" s="272"/>
    </row>
    <row r="217" spans="1:16" ht="43.2" x14ac:dyDescent="0.3">
      <c r="I217" s="355" t="s">
        <v>514</v>
      </c>
      <c r="K217" s="355" t="s">
        <v>513</v>
      </c>
      <c r="M217" s="271" t="s">
        <v>512</v>
      </c>
      <c r="O217" s="271" t="s">
        <v>511</v>
      </c>
    </row>
    <row r="218" spans="1:16" ht="28.8" x14ac:dyDescent="0.3">
      <c r="C218" s="67" t="s">
        <v>353</v>
      </c>
      <c r="D218" s="271" t="s">
        <v>88</v>
      </c>
      <c r="E218" s="271" t="s">
        <v>510</v>
      </c>
      <c r="F218" s="271" t="s">
        <v>510</v>
      </c>
      <c r="G218" s="270"/>
      <c r="H218" s="270"/>
      <c r="I218" s="270"/>
      <c r="M218" s="268"/>
      <c r="O218" s="268"/>
    </row>
    <row r="219" spans="1:16" x14ac:dyDescent="0.3">
      <c r="B219" t="s">
        <v>504</v>
      </c>
      <c r="C219" t="s">
        <v>54</v>
      </c>
      <c r="D219" t="s">
        <v>313</v>
      </c>
      <c r="E219" t="s">
        <v>30</v>
      </c>
      <c r="F219" t="s">
        <v>241</v>
      </c>
      <c r="G219" t="s">
        <v>313</v>
      </c>
      <c r="H219">
        <v>0</v>
      </c>
      <c r="I219">
        <v>13.8</v>
      </c>
      <c r="J219" t="s">
        <v>509</v>
      </c>
      <c r="K219">
        <f t="shared" ref="K219:K268" si="8">I219</f>
        <v>13.8</v>
      </c>
      <c r="M219" s="267">
        <f>N145</f>
        <v>-17.114424712023649</v>
      </c>
      <c r="O219" s="266">
        <f t="shared" ref="O219:O267" si="9">IF(ISBLANK(M219),K219,M219)</f>
        <v>-17.114424712023649</v>
      </c>
      <c r="P219" t="s">
        <v>391</v>
      </c>
    </row>
    <row r="220" spans="1:16" x14ac:dyDescent="0.3">
      <c r="B220" t="s">
        <v>504</v>
      </c>
      <c r="C220" s="59" t="s">
        <v>54</v>
      </c>
      <c r="D220" s="59" t="s">
        <v>313</v>
      </c>
      <c r="E220" s="59" t="s">
        <v>30</v>
      </c>
      <c r="F220" s="59" t="s">
        <v>23</v>
      </c>
      <c r="G220" s="59" t="s">
        <v>313</v>
      </c>
      <c r="H220" s="59">
        <v>0</v>
      </c>
      <c r="I220" s="59">
        <v>3.4</v>
      </c>
      <c r="J220" t="s">
        <v>508</v>
      </c>
      <c r="K220">
        <f t="shared" si="8"/>
        <v>3.4</v>
      </c>
      <c r="M220" s="267">
        <f>N146</f>
        <v>-3.4000000000000004</v>
      </c>
      <c r="O220" s="266">
        <f t="shared" si="9"/>
        <v>-3.4000000000000004</v>
      </c>
    </row>
    <row r="221" spans="1:16" x14ac:dyDescent="0.3">
      <c r="B221" t="s">
        <v>504</v>
      </c>
      <c r="C221" t="s">
        <v>56</v>
      </c>
      <c r="D221" t="s">
        <v>313</v>
      </c>
      <c r="E221" t="s">
        <v>31</v>
      </c>
      <c r="F221" t="s">
        <v>243</v>
      </c>
      <c r="G221" t="s">
        <v>313</v>
      </c>
      <c r="H221">
        <v>0</v>
      </c>
      <c r="I221">
        <v>15.8</v>
      </c>
      <c r="K221">
        <f t="shared" si="8"/>
        <v>15.8</v>
      </c>
      <c r="M221" s="268">
        <f>N154</f>
        <v>-16.610602374617468</v>
      </c>
      <c r="O221" s="266">
        <f t="shared" si="9"/>
        <v>-16.610602374617468</v>
      </c>
      <c r="P221" t="s">
        <v>507</v>
      </c>
    </row>
    <row r="222" spans="1:16" x14ac:dyDescent="0.3">
      <c r="B222" t="s">
        <v>504</v>
      </c>
      <c r="C222" t="s">
        <v>56</v>
      </c>
      <c r="D222" t="s">
        <v>313</v>
      </c>
      <c r="E222" t="s">
        <v>31</v>
      </c>
      <c r="F222" t="s">
        <v>23</v>
      </c>
      <c r="G222" t="s">
        <v>313</v>
      </c>
      <c r="H222">
        <v>0</v>
      </c>
      <c r="I222">
        <v>3.4</v>
      </c>
      <c r="K222">
        <f t="shared" si="8"/>
        <v>3.4</v>
      </c>
      <c r="M222" s="269">
        <f>N153</f>
        <v>-3.45</v>
      </c>
      <c r="O222" s="266">
        <f>IF(ISBLANK(M222),K222,M222)</f>
        <v>-3.45</v>
      </c>
    </row>
    <row r="223" spans="1:16" x14ac:dyDescent="0.3">
      <c r="B223" t="s">
        <v>504</v>
      </c>
      <c r="C223" s="59" t="s">
        <v>56</v>
      </c>
      <c r="D223" s="59" t="s">
        <v>313</v>
      </c>
      <c r="E223" s="59" t="s">
        <v>31</v>
      </c>
      <c r="F223" s="59" t="s">
        <v>505</v>
      </c>
      <c r="G223" s="59" t="s">
        <v>313</v>
      </c>
      <c r="H223" s="59">
        <v>0</v>
      </c>
      <c r="I223" s="59">
        <v>0.05</v>
      </c>
      <c r="K223">
        <f t="shared" si="8"/>
        <v>0.05</v>
      </c>
      <c r="M223" s="268"/>
      <c r="O223" s="266">
        <f t="shared" si="9"/>
        <v>0.05</v>
      </c>
    </row>
    <row r="224" spans="1:16" x14ac:dyDescent="0.3">
      <c r="B224" t="s">
        <v>504</v>
      </c>
      <c r="C224" s="59" t="s">
        <v>50</v>
      </c>
      <c r="D224" s="59" t="s">
        <v>313</v>
      </c>
      <c r="E224" s="59" t="s">
        <v>30</v>
      </c>
      <c r="F224" s="59" t="s">
        <v>246</v>
      </c>
      <c r="G224" s="59" t="s">
        <v>313</v>
      </c>
      <c r="H224" s="59">
        <v>0</v>
      </c>
      <c r="I224" s="59">
        <v>10.199999999999999</v>
      </c>
      <c r="K224">
        <f t="shared" si="8"/>
        <v>10.199999999999999</v>
      </c>
      <c r="M224" s="267">
        <f>N166</f>
        <v>-15.207954735410253</v>
      </c>
      <c r="O224" s="266">
        <f t="shared" si="9"/>
        <v>-15.207954735410253</v>
      </c>
      <c r="P224" t="s">
        <v>392</v>
      </c>
    </row>
    <row r="225" spans="2:16" x14ac:dyDescent="0.3">
      <c r="B225" t="s">
        <v>504</v>
      </c>
      <c r="C225" t="s">
        <v>60</v>
      </c>
      <c r="D225" t="s">
        <v>313</v>
      </c>
      <c r="E225" t="s">
        <v>32</v>
      </c>
      <c r="F225" t="s">
        <v>248</v>
      </c>
      <c r="G225" t="s">
        <v>313</v>
      </c>
      <c r="H225">
        <v>0</v>
      </c>
      <c r="I225">
        <v>8</v>
      </c>
      <c r="K225">
        <f t="shared" si="8"/>
        <v>8</v>
      </c>
      <c r="M225" s="267">
        <f>N177</f>
        <v>-13.128734688551315</v>
      </c>
      <c r="O225" s="266">
        <f t="shared" si="9"/>
        <v>-13.128734688551315</v>
      </c>
      <c r="P225" t="s">
        <v>506</v>
      </c>
    </row>
    <row r="226" spans="2:16" x14ac:dyDescent="0.3">
      <c r="B226" t="s">
        <v>504</v>
      </c>
      <c r="C226" s="59" t="s">
        <v>60</v>
      </c>
      <c r="D226" s="59" t="s">
        <v>313</v>
      </c>
      <c r="E226" s="59" t="s">
        <v>32</v>
      </c>
      <c r="F226" s="59" t="s">
        <v>505</v>
      </c>
      <c r="G226" s="59" t="s">
        <v>313</v>
      </c>
      <c r="H226" s="59">
        <v>0</v>
      </c>
      <c r="I226" s="59">
        <v>0.05</v>
      </c>
      <c r="K226">
        <f t="shared" si="8"/>
        <v>0.05</v>
      </c>
      <c r="M226" s="268"/>
      <c r="O226" s="266">
        <f t="shared" si="9"/>
        <v>0.05</v>
      </c>
    </row>
    <row r="227" spans="2:16" x14ac:dyDescent="0.3">
      <c r="B227" t="s">
        <v>504</v>
      </c>
      <c r="C227" s="59" t="s">
        <v>59</v>
      </c>
      <c r="D227" s="59" t="s">
        <v>313</v>
      </c>
      <c r="E227" s="59" t="s">
        <v>30</v>
      </c>
      <c r="F227" s="59" t="s">
        <v>250</v>
      </c>
      <c r="G227" s="59" t="s">
        <v>313</v>
      </c>
      <c r="H227" s="59">
        <v>0</v>
      </c>
      <c r="I227" s="59">
        <v>3.85</v>
      </c>
      <c r="K227">
        <f t="shared" si="8"/>
        <v>3.85</v>
      </c>
      <c r="M227" s="268"/>
      <c r="O227" s="266">
        <f t="shared" si="9"/>
        <v>3.85</v>
      </c>
      <c r="P227" t="s">
        <v>503</v>
      </c>
    </row>
    <row r="228" spans="2:16" x14ac:dyDescent="0.3">
      <c r="B228" t="s">
        <v>501</v>
      </c>
      <c r="C228" t="s">
        <v>54</v>
      </c>
      <c r="D228" t="s">
        <v>22</v>
      </c>
      <c r="E228" t="s">
        <v>241</v>
      </c>
      <c r="F228" t="s">
        <v>313</v>
      </c>
      <c r="G228" t="s">
        <v>493</v>
      </c>
      <c r="H228">
        <v>3</v>
      </c>
      <c r="I228">
        <v>0.17499999999999999</v>
      </c>
      <c r="K228">
        <f t="shared" si="8"/>
        <v>0.17499999999999999</v>
      </c>
      <c r="M228" s="267">
        <f>K143/(K144+K143)</f>
        <v>0.20827020317659165</v>
      </c>
      <c r="O228" s="266">
        <f t="shared" si="9"/>
        <v>0.20827020317659165</v>
      </c>
    </row>
    <row r="229" spans="2:16" x14ac:dyDescent="0.3">
      <c r="B229" t="s">
        <v>501</v>
      </c>
      <c r="C229" s="59" t="s">
        <v>54</v>
      </c>
      <c r="D229" s="59" t="s">
        <v>29</v>
      </c>
      <c r="E229" s="59" t="s">
        <v>241</v>
      </c>
      <c r="F229" s="59" t="s">
        <v>313</v>
      </c>
      <c r="G229" s="59" t="s">
        <v>493</v>
      </c>
      <c r="H229" s="59">
        <v>3</v>
      </c>
      <c r="I229" s="59">
        <v>0.82499999999999996</v>
      </c>
      <c r="K229">
        <f t="shared" si="8"/>
        <v>0.82499999999999996</v>
      </c>
      <c r="M229" s="267">
        <f>1-M228</f>
        <v>0.79172979682340838</v>
      </c>
      <c r="O229" s="266">
        <f t="shared" si="9"/>
        <v>0.79172979682340838</v>
      </c>
    </row>
    <row r="230" spans="2:16" x14ac:dyDescent="0.3">
      <c r="B230" t="s">
        <v>501</v>
      </c>
      <c r="C230" t="s">
        <v>56</v>
      </c>
      <c r="D230" t="s">
        <v>22</v>
      </c>
      <c r="E230" t="s">
        <v>243</v>
      </c>
      <c r="F230" t="s">
        <v>313</v>
      </c>
      <c r="G230" t="s">
        <v>493</v>
      </c>
      <c r="H230">
        <v>3</v>
      </c>
      <c r="I230">
        <v>0.159</v>
      </c>
      <c r="K230">
        <f t="shared" si="8"/>
        <v>0.159</v>
      </c>
      <c r="M230" s="267">
        <f>K154/(K156+K154)</f>
        <v>0.19930658142033242</v>
      </c>
      <c r="O230" s="266">
        <f t="shared" si="9"/>
        <v>0.19930658142033242</v>
      </c>
    </row>
    <row r="231" spans="2:16" x14ac:dyDescent="0.3">
      <c r="B231" t="s">
        <v>501</v>
      </c>
      <c r="C231" s="59" t="s">
        <v>56</v>
      </c>
      <c r="D231" s="59" t="s">
        <v>29</v>
      </c>
      <c r="E231" s="59" t="s">
        <v>243</v>
      </c>
      <c r="F231" s="59" t="s">
        <v>313</v>
      </c>
      <c r="G231" s="59" t="s">
        <v>493</v>
      </c>
      <c r="H231" s="59">
        <v>3</v>
      </c>
      <c r="I231" s="59">
        <v>0.84099999999999997</v>
      </c>
      <c r="K231">
        <f t="shared" si="8"/>
        <v>0.84099999999999997</v>
      </c>
      <c r="M231" s="267">
        <f>1-M230</f>
        <v>0.80069341857966758</v>
      </c>
      <c r="O231" s="266">
        <f t="shared" si="9"/>
        <v>0.80069341857966758</v>
      </c>
    </row>
    <row r="232" spans="2:16" x14ac:dyDescent="0.3">
      <c r="B232" t="s">
        <v>501</v>
      </c>
      <c r="C232" t="s">
        <v>50</v>
      </c>
      <c r="D232" t="s">
        <v>22</v>
      </c>
      <c r="E232" t="s">
        <v>246</v>
      </c>
      <c r="F232" t="s">
        <v>313</v>
      </c>
      <c r="G232" t="s">
        <v>493</v>
      </c>
      <c r="H232">
        <v>3</v>
      </c>
      <c r="I232">
        <v>0.746</v>
      </c>
      <c r="K232">
        <f t="shared" si="8"/>
        <v>0.746</v>
      </c>
      <c r="M232" s="267">
        <f>K166/(K166+K168)</f>
        <v>0.68766345753646374</v>
      </c>
      <c r="O232" s="266">
        <f t="shared" si="9"/>
        <v>0.68766345753646374</v>
      </c>
      <c r="P232" t="s">
        <v>502</v>
      </c>
    </row>
    <row r="233" spans="2:16" x14ac:dyDescent="0.3">
      <c r="B233" t="s">
        <v>501</v>
      </c>
      <c r="C233" s="59" t="s">
        <v>50</v>
      </c>
      <c r="D233" s="59" t="s">
        <v>29</v>
      </c>
      <c r="E233" s="59" t="s">
        <v>246</v>
      </c>
      <c r="F233" s="59" t="s">
        <v>313</v>
      </c>
      <c r="G233" s="59" t="s">
        <v>493</v>
      </c>
      <c r="H233" s="59">
        <v>3</v>
      </c>
      <c r="I233" s="59">
        <v>0.254</v>
      </c>
      <c r="K233">
        <f t="shared" si="8"/>
        <v>0.254</v>
      </c>
      <c r="M233" s="267">
        <f>1-M232</f>
        <v>0.31233654246353626</v>
      </c>
      <c r="O233" s="266">
        <f t="shared" si="9"/>
        <v>0.31233654246353626</v>
      </c>
    </row>
    <row r="234" spans="2:16" x14ac:dyDescent="0.3">
      <c r="B234" t="s">
        <v>501</v>
      </c>
      <c r="C234" t="s">
        <v>60</v>
      </c>
      <c r="D234" t="s">
        <v>22</v>
      </c>
      <c r="E234" t="s">
        <v>248</v>
      </c>
      <c r="F234" t="s">
        <v>313</v>
      </c>
      <c r="G234" t="s">
        <v>493</v>
      </c>
      <c r="H234">
        <v>3</v>
      </c>
      <c r="I234">
        <v>0.153</v>
      </c>
      <c r="K234">
        <f t="shared" si="8"/>
        <v>0.153</v>
      </c>
      <c r="M234" s="267">
        <f>K177/(K179+K177)</f>
        <v>0.19261069315053295</v>
      </c>
      <c r="O234" s="266">
        <f t="shared" si="9"/>
        <v>0.19261069315053295</v>
      </c>
    </row>
    <row r="235" spans="2:16" x14ac:dyDescent="0.3">
      <c r="B235" t="s">
        <v>501</v>
      </c>
      <c r="C235" s="59" t="s">
        <v>60</v>
      </c>
      <c r="D235" s="59" t="s">
        <v>29</v>
      </c>
      <c r="E235" s="59" t="s">
        <v>248</v>
      </c>
      <c r="F235" s="59" t="s">
        <v>313</v>
      </c>
      <c r="G235" s="59" t="s">
        <v>493</v>
      </c>
      <c r="H235" s="59">
        <v>3</v>
      </c>
      <c r="I235" s="59">
        <v>0.84699999999999998</v>
      </c>
      <c r="K235">
        <f t="shared" si="8"/>
        <v>0.84699999999999998</v>
      </c>
      <c r="M235" s="267">
        <f>1-M234</f>
        <v>0.80738930684946708</v>
      </c>
      <c r="O235" s="266">
        <f t="shared" si="9"/>
        <v>0.80738930684946708</v>
      </c>
    </row>
    <row r="236" spans="2:16" x14ac:dyDescent="0.3">
      <c r="B236" t="s">
        <v>501</v>
      </c>
      <c r="C236" t="s">
        <v>59</v>
      </c>
      <c r="D236" t="s">
        <v>22</v>
      </c>
      <c r="E236" t="s">
        <v>250</v>
      </c>
      <c r="F236" t="s">
        <v>313</v>
      </c>
      <c r="G236" t="s">
        <v>493</v>
      </c>
      <c r="H236">
        <v>3</v>
      </c>
      <c r="I236">
        <v>0.441</v>
      </c>
      <c r="K236">
        <f t="shared" si="8"/>
        <v>0.441</v>
      </c>
      <c r="M236" s="267"/>
      <c r="O236" s="266">
        <f t="shared" si="9"/>
        <v>0.441</v>
      </c>
    </row>
    <row r="237" spans="2:16" x14ac:dyDescent="0.3">
      <c r="B237" t="s">
        <v>501</v>
      </c>
      <c r="C237" s="59" t="s">
        <v>59</v>
      </c>
      <c r="D237" s="59" t="s">
        <v>29</v>
      </c>
      <c r="E237" s="59" t="s">
        <v>250</v>
      </c>
      <c r="F237" s="59" t="s">
        <v>313</v>
      </c>
      <c r="G237" s="59" t="s">
        <v>493</v>
      </c>
      <c r="H237" s="59">
        <v>3</v>
      </c>
      <c r="I237" s="59">
        <v>0.55900000000000005</v>
      </c>
      <c r="K237">
        <f t="shared" si="8"/>
        <v>0.55900000000000005</v>
      </c>
      <c r="M237" s="267"/>
      <c r="O237" s="266">
        <f t="shared" si="9"/>
        <v>0.55900000000000005</v>
      </c>
    </row>
    <row r="238" spans="2:16" x14ac:dyDescent="0.3">
      <c r="B238" t="s">
        <v>499</v>
      </c>
      <c r="C238" t="s">
        <v>54</v>
      </c>
      <c r="D238" t="s">
        <v>313</v>
      </c>
      <c r="E238" t="s">
        <v>313</v>
      </c>
      <c r="F238" t="s">
        <v>313</v>
      </c>
      <c r="G238" t="s">
        <v>498</v>
      </c>
      <c r="H238">
        <v>0</v>
      </c>
      <c r="I238">
        <v>0.85</v>
      </c>
      <c r="K238">
        <f t="shared" si="8"/>
        <v>0.85</v>
      </c>
      <c r="M238" s="268">
        <v>0.75</v>
      </c>
      <c r="O238" s="266">
        <f t="shared" si="9"/>
        <v>0.75</v>
      </c>
      <c r="P238" t="s">
        <v>500</v>
      </c>
    </row>
    <row r="239" spans="2:16" x14ac:dyDescent="0.3">
      <c r="B239" t="s">
        <v>499</v>
      </c>
      <c r="C239" t="s">
        <v>56</v>
      </c>
      <c r="D239" t="s">
        <v>313</v>
      </c>
      <c r="E239" t="s">
        <v>313</v>
      </c>
      <c r="F239" t="s">
        <v>313</v>
      </c>
      <c r="G239" t="s">
        <v>498</v>
      </c>
      <c r="H239">
        <v>0</v>
      </c>
      <c r="I239">
        <v>0.85</v>
      </c>
      <c r="K239">
        <f t="shared" si="8"/>
        <v>0.85</v>
      </c>
      <c r="M239" s="268">
        <v>0.75</v>
      </c>
      <c r="O239" s="266">
        <f t="shared" si="9"/>
        <v>0.75</v>
      </c>
    </row>
    <row r="240" spans="2:16" x14ac:dyDescent="0.3">
      <c r="B240" t="s">
        <v>499</v>
      </c>
      <c r="C240" t="s">
        <v>50</v>
      </c>
      <c r="D240" t="s">
        <v>313</v>
      </c>
      <c r="E240" t="s">
        <v>313</v>
      </c>
      <c r="F240" t="s">
        <v>313</v>
      </c>
      <c r="G240" t="s">
        <v>498</v>
      </c>
      <c r="H240">
        <v>0</v>
      </c>
      <c r="I240">
        <v>0.85</v>
      </c>
      <c r="K240">
        <f t="shared" si="8"/>
        <v>0.85</v>
      </c>
      <c r="M240" s="268">
        <v>0.75</v>
      </c>
      <c r="O240" s="266">
        <f t="shared" si="9"/>
        <v>0.75</v>
      </c>
    </row>
    <row r="241" spans="2:16" x14ac:dyDescent="0.3">
      <c r="B241" t="s">
        <v>499</v>
      </c>
      <c r="C241" t="s">
        <v>60</v>
      </c>
      <c r="D241" t="s">
        <v>313</v>
      </c>
      <c r="E241" t="s">
        <v>313</v>
      </c>
      <c r="F241" t="s">
        <v>313</v>
      </c>
      <c r="G241" t="s">
        <v>498</v>
      </c>
      <c r="H241">
        <v>0</v>
      </c>
      <c r="I241">
        <v>0.85</v>
      </c>
      <c r="K241">
        <f t="shared" si="8"/>
        <v>0.85</v>
      </c>
      <c r="M241" s="268">
        <v>0.75</v>
      </c>
      <c r="O241" s="266">
        <f t="shared" si="9"/>
        <v>0.75</v>
      </c>
    </row>
    <row r="242" spans="2:16" x14ac:dyDescent="0.3">
      <c r="B242" t="s">
        <v>499</v>
      </c>
      <c r="C242" t="s">
        <v>59</v>
      </c>
      <c r="D242" t="s">
        <v>313</v>
      </c>
      <c r="E242" t="s">
        <v>313</v>
      </c>
      <c r="F242" t="s">
        <v>313</v>
      </c>
      <c r="G242" t="s">
        <v>498</v>
      </c>
      <c r="H242">
        <v>0</v>
      </c>
      <c r="I242">
        <v>0.85</v>
      </c>
      <c r="K242">
        <f t="shared" si="8"/>
        <v>0.85</v>
      </c>
      <c r="M242" s="268">
        <v>0.75</v>
      </c>
      <c r="O242" s="266">
        <f t="shared" si="9"/>
        <v>0.75</v>
      </c>
    </row>
    <row r="243" spans="2:16" x14ac:dyDescent="0.3">
      <c r="B243" t="s">
        <v>499</v>
      </c>
      <c r="C243" s="144" t="s">
        <v>68</v>
      </c>
      <c r="D243" t="s">
        <v>313</v>
      </c>
      <c r="E243" t="s">
        <v>313</v>
      </c>
      <c r="F243" t="s">
        <v>313</v>
      </c>
      <c r="G243" t="s">
        <v>498</v>
      </c>
      <c r="H243">
        <v>0</v>
      </c>
      <c r="I243">
        <v>0.85</v>
      </c>
      <c r="K243">
        <f t="shared" si="8"/>
        <v>0.85</v>
      </c>
      <c r="M243" s="268">
        <v>0.75</v>
      </c>
      <c r="O243" s="266">
        <f t="shared" si="9"/>
        <v>0.75</v>
      </c>
    </row>
    <row r="244" spans="2:16" x14ac:dyDescent="0.3">
      <c r="B244" t="s">
        <v>496</v>
      </c>
      <c r="C244" t="s">
        <v>54</v>
      </c>
      <c r="D244" t="s">
        <v>313</v>
      </c>
      <c r="E244" t="s">
        <v>313</v>
      </c>
      <c r="F244" t="s">
        <v>313</v>
      </c>
      <c r="G244" t="s">
        <v>495</v>
      </c>
      <c r="H244">
        <v>0</v>
      </c>
      <c r="I244">
        <v>0.85</v>
      </c>
      <c r="K244">
        <f t="shared" si="8"/>
        <v>0.85</v>
      </c>
      <c r="M244" s="268">
        <v>0.87</v>
      </c>
      <c r="O244" s="266">
        <f t="shared" si="9"/>
        <v>0.87</v>
      </c>
      <c r="P244" t="s">
        <v>497</v>
      </c>
    </row>
    <row r="245" spans="2:16" x14ac:dyDescent="0.3">
      <c r="B245" t="s">
        <v>496</v>
      </c>
      <c r="C245" t="s">
        <v>56</v>
      </c>
      <c r="D245" t="s">
        <v>313</v>
      </c>
      <c r="E245" t="s">
        <v>313</v>
      </c>
      <c r="F245" t="s">
        <v>313</v>
      </c>
      <c r="G245" t="s">
        <v>495</v>
      </c>
      <c r="H245">
        <v>0</v>
      </c>
      <c r="I245">
        <v>0.85</v>
      </c>
      <c r="K245">
        <f t="shared" si="8"/>
        <v>0.85</v>
      </c>
      <c r="M245" s="268"/>
      <c r="O245" s="266">
        <f t="shared" si="9"/>
        <v>0.85</v>
      </c>
    </row>
    <row r="246" spans="2:16" x14ac:dyDescent="0.3">
      <c r="B246" t="s">
        <v>496</v>
      </c>
      <c r="C246" t="s">
        <v>50</v>
      </c>
      <c r="D246" t="s">
        <v>313</v>
      </c>
      <c r="E246" t="s">
        <v>313</v>
      </c>
      <c r="F246" t="s">
        <v>313</v>
      </c>
      <c r="G246" t="s">
        <v>495</v>
      </c>
      <c r="H246">
        <v>0</v>
      </c>
      <c r="I246">
        <v>0.85</v>
      </c>
      <c r="K246">
        <f t="shared" si="8"/>
        <v>0.85</v>
      </c>
      <c r="M246" s="268"/>
      <c r="O246" s="266">
        <f t="shared" si="9"/>
        <v>0.85</v>
      </c>
    </row>
    <row r="247" spans="2:16" x14ac:dyDescent="0.3">
      <c r="B247" t="s">
        <v>496</v>
      </c>
      <c r="C247" t="s">
        <v>60</v>
      </c>
      <c r="D247" t="s">
        <v>313</v>
      </c>
      <c r="E247" t="s">
        <v>313</v>
      </c>
      <c r="F247" t="s">
        <v>313</v>
      </c>
      <c r="G247" t="s">
        <v>495</v>
      </c>
      <c r="H247">
        <v>0</v>
      </c>
      <c r="I247">
        <v>0.85</v>
      </c>
      <c r="K247">
        <f t="shared" si="8"/>
        <v>0.85</v>
      </c>
      <c r="M247" s="268"/>
      <c r="O247" s="266">
        <f t="shared" si="9"/>
        <v>0.85</v>
      </c>
    </row>
    <row r="248" spans="2:16" x14ac:dyDescent="0.3">
      <c r="B248" t="s">
        <v>496</v>
      </c>
      <c r="C248" t="s">
        <v>59</v>
      </c>
      <c r="D248" t="s">
        <v>313</v>
      </c>
      <c r="E248" t="s">
        <v>313</v>
      </c>
      <c r="F248" t="s">
        <v>313</v>
      </c>
      <c r="G248" t="s">
        <v>495</v>
      </c>
      <c r="H248">
        <v>0</v>
      </c>
      <c r="I248">
        <v>0.85</v>
      </c>
      <c r="K248">
        <f t="shared" si="8"/>
        <v>0.85</v>
      </c>
      <c r="M248" s="268"/>
      <c r="O248" s="266">
        <f t="shared" si="9"/>
        <v>0.85</v>
      </c>
    </row>
    <row r="249" spans="2:16" x14ac:dyDescent="0.3">
      <c r="B249" t="s">
        <v>494</v>
      </c>
      <c r="C249" t="s">
        <v>54</v>
      </c>
      <c r="D249" t="s">
        <v>313</v>
      </c>
      <c r="E249" t="s">
        <v>313</v>
      </c>
      <c r="F249" t="s">
        <v>313</v>
      </c>
      <c r="G249" t="s">
        <v>493</v>
      </c>
      <c r="H249">
        <v>0</v>
      </c>
      <c r="I249">
        <v>0</v>
      </c>
      <c r="K249">
        <f t="shared" si="8"/>
        <v>0</v>
      </c>
      <c r="M249" s="268"/>
      <c r="O249" s="266">
        <f t="shared" si="9"/>
        <v>0</v>
      </c>
    </row>
    <row r="250" spans="2:16" x14ac:dyDescent="0.3">
      <c r="B250" t="s">
        <v>494</v>
      </c>
      <c r="C250" t="s">
        <v>56</v>
      </c>
      <c r="D250" t="s">
        <v>313</v>
      </c>
      <c r="E250" t="s">
        <v>313</v>
      </c>
      <c r="F250" t="s">
        <v>313</v>
      </c>
      <c r="G250" t="s">
        <v>493</v>
      </c>
      <c r="H250">
        <v>0</v>
      </c>
      <c r="I250">
        <v>0</v>
      </c>
      <c r="K250">
        <f t="shared" si="8"/>
        <v>0</v>
      </c>
      <c r="M250" s="268"/>
      <c r="O250" s="266">
        <f t="shared" si="9"/>
        <v>0</v>
      </c>
    </row>
    <row r="251" spans="2:16" x14ac:dyDescent="0.3">
      <c r="B251" t="s">
        <v>494</v>
      </c>
      <c r="C251" t="s">
        <v>50</v>
      </c>
      <c r="D251" t="s">
        <v>313</v>
      </c>
      <c r="E251" t="s">
        <v>313</v>
      </c>
      <c r="F251" t="s">
        <v>313</v>
      </c>
      <c r="G251" t="s">
        <v>493</v>
      </c>
      <c r="H251">
        <v>0</v>
      </c>
      <c r="I251">
        <v>0</v>
      </c>
      <c r="K251">
        <f t="shared" si="8"/>
        <v>0</v>
      </c>
      <c r="M251" s="268"/>
      <c r="O251" s="266">
        <f t="shared" si="9"/>
        <v>0</v>
      </c>
    </row>
    <row r="252" spans="2:16" x14ac:dyDescent="0.3">
      <c r="B252" t="s">
        <v>494</v>
      </c>
      <c r="C252" t="s">
        <v>60</v>
      </c>
      <c r="D252" t="s">
        <v>313</v>
      </c>
      <c r="E252" t="s">
        <v>313</v>
      </c>
      <c r="F252" t="s">
        <v>313</v>
      </c>
      <c r="G252" t="s">
        <v>493</v>
      </c>
      <c r="H252">
        <v>0</v>
      </c>
      <c r="I252">
        <v>0</v>
      </c>
      <c r="K252">
        <f t="shared" si="8"/>
        <v>0</v>
      </c>
      <c r="M252" s="268"/>
      <c r="O252" s="266">
        <f t="shared" si="9"/>
        <v>0</v>
      </c>
    </row>
    <row r="253" spans="2:16" x14ac:dyDescent="0.3">
      <c r="B253" t="s">
        <v>494</v>
      </c>
      <c r="C253" t="s">
        <v>59</v>
      </c>
      <c r="D253" t="s">
        <v>313</v>
      </c>
      <c r="E253" t="s">
        <v>313</v>
      </c>
      <c r="F253" t="s">
        <v>313</v>
      </c>
      <c r="G253" t="s">
        <v>493</v>
      </c>
      <c r="H253">
        <v>0</v>
      </c>
      <c r="I253">
        <v>0</v>
      </c>
      <c r="K253">
        <f t="shared" si="8"/>
        <v>0</v>
      </c>
      <c r="M253" s="268"/>
      <c r="O253" s="266">
        <f t="shared" si="9"/>
        <v>0</v>
      </c>
    </row>
    <row r="254" spans="2:16" x14ac:dyDescent="0.3">
      <c r="B254" t="s">
        <v>147</v>
      </c>
      <c r="C254" t="s">
        <v>54</v>
      </c>
      <c r="D254" t="s">
        <v>313</v>
      </c>
      <c r="E254" t="s">
        <v>313</v>
      </c>
      <c r="F254" t="s">
        <v>313</v>
      </c>
      <c r="G254" t="s">
        <v>313</v>
      </c>
      <c r="H254">
        <v>0</v>
      </c>
      <c r="I254">
        <v>25</v>
      </c>
      <c r="K254">
        <f t="shared" si="8"/>
        <v>25</v>
      </c>
      <c r="M254" s="268"/>
      <c r="O254" s="266">
        <f t="shared" si="9"/>
        <v>25</v>
      </c>
    </row>
    <row r="255" spans="2:16" x14ac:dyDescent="0.3">
      <c r="B255" t="s">
        <v>147</v>
      </c>
      <c r="C255" t="s">
        <v>56</v>
      </c>
      <c r="D255" t="s">
        <v>313</v>
      </c>
      <c r="E255" t="s">
        <v>313</v>
      </c>
      <c r="F255" t="s">
        <v>313</v>
      </c>
      <c r="G255" t="s">
        <v>313</v>
      </c>
      <c r="H255">
        <v>0</v>
      </c>
      <c r="I255">
        <v>25</v>
      </c>
      <c r="K255">
        <f t="shared" si="8"/>
        <v>25</v>
      </c>
      <c r="M255" s="268"/>
      <c r="O255" s="266">
        <f t="shared" si="9"/>
        <v>25</v>
      </c>
    </row>
    <row r="256" spans="2:16" x14ac:dyDescent="0.3">
      <c r="B256" t="s">
        <v>147</v>
      </c>
      <c r="C256" t="s">
        <v>50</v>
      </c>
      <c r="D256" t="s">
        <v>313</v>
      </c>
      <c r="E256" t="s">
        <v>313</v>
      </c>
      <c r="F256" t="s">
        <v>313</v>
      </c>
      <c r="G256" t="s">
        <v>313</v>
      </c>
      <c r="H256">
        <v>0</v>
      </c>
      <c r="I256">
        <v>25</v>
      </c>
      <c r="K256">
        <f t="shared" si="8"/>
        <v>25</v>
      </c>
      <c r="M256" s="268"/>
      <c r="O256" s="266">
        <f t="shared" si="9"/>
        <v>25</v>
      </c>
    </row>
    <row r="257" spans="2:15" x14ac:dyDescent="0.3">
      <c r="B257" t="s">
        <v>147</v>
      </c>
      <c r="C257" t="s">
        <v>60</v>
      </c>
      <c r="D257" t="s">
        <v>313</v>
      </c>
      <c r="E257" t="s">
        <v>313</v>
      </c>
      <c r="F257" t="s">
        <v>313</v>
      </c>
      <c r="G257" t="s">
        <v>313</v>
      </c>
      <c r="H257">
        <v>0</v>
      </c>
      <c r="I257">
        <v>25</v>
      </c>
      <c r="K257">
        <f t="shared" si="8"/>
        <v>25</v>
      </c>
      <c r="M257" s="268"/>
      <c r="O257" s="266">
        <f t="shared" si="9"/>
        <v>25</v>
      </c>
    </row>
    <row r="258" spans="2:15" x14ac:dyDescent="0.3">
      <c r="B258" t="s">
        <v>147</v>
      </c>
      <c r="C258" t="s">
        <v>59</v>
      </c>
      <c r="D258" t="s">
        <v>313</v>
      </c>
      <c r="E258" t="s">
        <v>313</v>
      </c>
      <c r="F258" t="s">
        <v>313</v>
      </c>
      <c r="G258" t="s">
        <v>313</v>
      </c>
      <c r="H258">
        <v>0</v>
      </c>
      <c r="I258">
        <v>25</v>
      </c>
      <c r="K258">
        <f t="shared" si="8"/>
        <v>25</v>
      </c>
      <c r="M258" s="268"/>
      <c r="O258" s="266">
        <f t="shared" si="9"/>
        <v>25</v>
      </c>
    </row>
    <row r="259" spans="2:15" x14ac:dyDescent="0.3">
      <c r="B259" t="s">
        <v>171</v>
      </c>
      <c r="C259" t="s">
        <v>54</v>
      </c>
      <c r="D259" t="s">
        <v>313</v>
      </c>
      <c r="E259" t="s">
        <v>27</v>
      </c>
      <c r="F259" t="s">
        <v>313</v>
      </c>
      <c r="G259" t="s">
        <v>313</v>
      </c>
      <c r="H259">
        <v>0</v>
      </c>
      <c r="I259">
        <v>7</v>
      </c>
      <c r="K259">
        <f t="shared" si="8"/>
        <v>7</v>
      </c>
      <c r="M259" s="268"/>
      <c r="O259" s="266">
        <f t="shared" si="9"/>
        <v>7</v>
      </c>
    </row>
    <row r="260" spans="2:15" x14ac:dyDescent="0.3">
      <c r="B260" t="s">
        <v>171</v>
      </c>
      <c r="C260" t="s">
        <v>56</v>
      </c>
      <c r="D260" t="s">
        <v>313</v>
      </c>
      <c r="E260" t="s">
        <v>27</v>
      </c>
      <c r="F260" t="s">
        <v>313</v>
      </c>
      <c r="G260" t="s">
        <v>313</v>
      </c>
      <c r="H260">
        <v>0</v>
      </c>
      <c r="I260">
        <v>7</v>
      </c>
      <c r="K260">
        <f t="shared" si="8"/>
        <v>7</v>
      </c>
      <c r="M260" s="268"/>
      <c r="O260" s="266">
        <f t="shared" si="9"/>
        <v>7</v>
      </c>
    </row>
    <row r="261" spans="2:15" x14ac:dyDescent="0.3">
      <c r="B261" t="s">
        <v>171</v>
      </c>
      <c r="C261" t="s">
        <v>60</v>
      </c>
      <c r="D261" t="s">
        <v>313</v>
      </c>
      <c r="E261" t="s">
        <v>30</v>
      </c>
      <c r="F261" t="s">
        <v>313</v>
      </c>
      <c r="G261" t="s">
        <v>313</v>
      </c>
      <c r="H261">
        <v>0</v>
      </c>
      <c r="I261">
        <v>1.1000000000000001</v>
      </c>
      <c r="K261">
        <f t="shared" si="8"/>
        <v>1.1000000000000001</v>
      </c>
      <c r="M261" s="267">
        <f>N183</f>
        <v>0.67285042542784201</v>
      </c>
      <c r="O261" s="266">
        <f t="shared" si="9"/>
        <v>0.67285042542784201</v>
      </c>
    </row>
    <row r="262" spans="2:15" x14ac:dyDescent="0.3">
      <c r="B262" t="s">
        <v>171</v>
      </c>
      <c r="C262" t="s">
        <v>59</v>
      </c>
      <c r="D262" t="s">
        <v>313</v>
      </c>
      <c r="E262" t="s">
        <v>28</v>
      </c>
      <c r="F262" t="s">
        <v>313</v>
      </c>
      <c r="G262" t="s">
        <v>313</v>
      </c>
      <c r="H262">
        <v>0</v>
      </c>
      <c r="I262">
        <v>1</v>
      </c>
      <c r="K262">
        <f t="shared" si="8"/>
        <v>1</v>
      </c>
      <c r="M262" s="268"/>
      <c r="O262" s="266">
        <f t="shared" si="9"/>
        <v>1</v>
      </c>
    </row>
    <row r="263" spans="2:15" x14ac:dyDescent="0.3">
      <c r="B263" t="s">
        <v>148</v>
      </c>
      <c r="C263" t="s">
        <v>54</v>
      </c>
      <c r="D263" t="s">
        <v>313</v>
      </c>
      <c r="E263" t="s">
        <v>313</v>
      </c>
      <c r="F263" t="s">
        <v>313</v>
      </c>
      <c r="G263" t="s">
        <v>313</v>
      </c>
      <c r="H263">
        <v>0</v>
      </c>
      <c r="I263">
        <v>1.3</v>
      </c>
      <c r="K263">
        <f t="shared" si="8"/>
        <v>1.3</v>
      </c>
      <c r="M263" s="267">
        <f>T137</f>
        <v>1.7071871176470588</v>
      </c>
      <c r="O263" s="266">
        <f t="shared" si="9"/>
        <v>1.7071871176470588</v>
      </c>
    </row>
    <row r="264" spans="2:15" x14ac:dyDescent="0.3">
      <c r="B264" t="s">
        <v>148</v>
      </c>
      <c r="C264" t="s">
        <v>56</v>
      </c>
      <c r="D264" t="s">
        <v>313</v>
      </c>
      <c r="E264" t="s">
        <v>313</v>
      </c>
      <c r="F264" t="s">
        <v>313</v>
      </c>
      <c r="G264" t="s">
        <v>313</v>
      </c>
      <c r="H264">
        <v>0</v>
      </c>
      <c r="I264">
        <v>0.8</v>
      </c>
      <c r="K264">
        <f t="shared" si="8"/>
        <v>0.8</v>
      </c>
      <c r="M264" s="267">
        <f>V138</f>
        <v>0.8671942882352941</v>
      </c>
      <c r="O264" s="266">
        <f t="shared" si="9"/>
        <v>0.8671942882352941</v>
      </c>
    </row>
    <row r="265" spans="2:15" x14ac:dyDescent="0.3">
      <c r="B265" t="s">
        <v>148</v>
      </c>
      <c r="C265" t="s">
        <v>50</v>
      </c>
      <c r="D265" t="s">
        <v>313</v>
      </c>
      <c r="E265" t="s">
        <v>313</v>
      </c>
      <c r="F265" t="s">
        <v>313</v>
      </c>
      <c r="G265" t="s">
        <v>313</v>
      </c>
      <c r="H265">
        <v>0</v>
      </c>
      <c r="I265">
        <v>0.39300000000000002</v>
      </c>
      <c r="K265">
        <f t="shared" si="8"/>
        <v>0.39300000000000002</v>
      </c>
      <c r="M265" s="267"/>
      <c r="O265" s="266">
        <f t="shared" si="9"/>
        <v>0.39300000000000002</v>
      </c>
    </row>
    <row r="266" spans="2:15" x14ac:dyDescent="0.3">
      <c r="B266" t="s">
        <v>148</v>
      </c>
      <c r="C266" t="s">
        <v>60</v>
      </c>
      <c r="D266" t="s">
        <v>313</v>
      </c>
      <c r="E266" t="s">
        <v>313</v>
      </c>
      <c r="F266" t="s">
        <v>313</v>
      </c>
      <c r="G266" t="s">
        <v>313</v>
      </c>
      <c r="H266">
        <v>0</v>
      </c>
      <c r="I266">
        <v>2.3559999999999999</v>
      </c>
      <c r="K266">
        <f t="shared" si="8"/>
        <v>2.3559999999999999</v>
      </c>
      <c r="M266" s="267">
        <f>S136</f>
        <v>2.4156470588235295</v>
      </c>
      <c r="O266" s="266">
        <f t="shared" si="9"/>
        <v>2.4156470588235295</v>
      </c>
    </row>
    <row r="267" spans="2:15" x14ac:dyDescent="0.3">
      <c r="B267" t="s">
        <v>148</v>
      </c>
      <c r="C267" t="s">
        <v>59</v>
      </c>
      <c r="D267" t="s">
        <v>313</v>
      </c>
      <c r="E267" t="s">
        <v>313</v>
      </c>
      <c r="F267" t="s">
        <v>313</v>
      </c>
      <c r="G267" t="s">
        <v>313</v>
      </c>
      <c r="H267">
        <v>0</v>
      </c>
      <c r="I267">
        <v>0.79400000000000004</v>
      </c>
      <c r="K267">
        <f t="shared" si="8"/>
        <v>0.79400000000000004</v>
      </c>
      <c r="M267" s="267">
        <f>W139</f>
        <v>1.2825858823529412</v>
      </c>
      <c r="O267" s="266">
        <f t="shared" si="9"/>
        <v>1.2825858823529412</v>
      </c>
    </row>
    <row r="268" spans="2:15" x14ac:dyDescent="0.3">
      <c r="B268" t="s">
        <v>148</v>
      </c>
      <c r="C268" t="s">
        <v>70</v>
      </c>
      <c r="D268" t="s">
        <v>313</v>
      </c>
      <c r="E268" t="s">
        <v>313</v>
      </c>
      <c r="F268" t="s">
        <v>313</v>
      </c>
      <c r="G268" t="s">
        <v>313</v>
      </c>
      <c r="H268">
        <v>0</v>
      </c>
      <c r="I268">
        <v>0.95499999999999996</v>
      </c>
      <c r="K268">
        <f t="shared" si="8"/>
        <v>0.95499999999999996</v>
      </c>
      <c r="M268" s="267"/>
      <c r="O268" s="266"/>
    </row>
    <row r="269" spans="2:15" x14ac:dyDescent="0.3">
      <c r="B269" t="s">
        <v>148</v>
      </c>
      <c r="C269" s="144" t="s">
        <v>64</v>
      </c>
      <c r="M269" s="267"/>
      <c r="O269" s="266"/>
    </row>
    <row r="270" spans="2:15" x14ac:dyDescent="0.3">
      <c r="B270" s="144" t="s">
        <v>148</v>
      </c>
      <c r="C270" s="144" t="s">
        <v>72</v>
      </c>
      <c r="M270" s="267"/>
      <c r="O270" s="266"/>
    </row>
    <row r="271" spans="2:15" x14ac:dyDescent="0.3">
      <c r="B271" s="144" t="s">
        <v>148</v>
      </c>
      <c r="C271" s="144" t="s">
        <v>66</v>
      </c>
      <c r="M271" s="267"/>
      <c r="O271" s="266"/>
    </row>
    <row r="272" spans="2:15" x14ac:dyDescent="0.3">
      <c r="B272" s="144" t="s">
        <v>148</v>
      </c>
      <c r="C272" s="144" t="s">
        <v>68</v>
      </c>
      <c r="M272" s="267"/>
      <c r="O272" s="266"/>
    </row>
    <row r="273" spans="2:15" x14ac:dyDescent="0.3">
      <c r="B273" s="144" t="s">
        <v>148</v>
      </c>
      <c r="C273" s="144" t="s">
        <v>194</v>
      </c>
      <c r="M273" s="267"/>
      <c r="O273" s="266"/>
    </row>
    <row r="274" spans="2:15" x14ac:dyDescent="0.3">
      <c r="B274" s="144" t="s">
        <v>148</v>
      </c>
      <c r="C274" s="144" t="s">
        <v>62</v>
      </c>
      <c r="M274" s="62"/>
      <c r="O274" s="266"/>
    </row>
    <row r="275" spans="2:15" x14ac:dyDescent="0.3">
      <c r="B275" s="144"/>
      <c r="C275" s="144"/>
    </row>
    <row r="276" spans="2:15" x14ac:dyDescent="0.3">
      <c r="B276" s="144"/>
      <c r="C276" s="144"/>
    </row>
  </sheetData>
  <mergeCells count="11">
    <mergeCell ref="B85:B89"/>
    <mergeCell ref="B96:B100"/>
    <mergeCell ref="B101:B106"/>
    <mergeCell ref="B114:B118"/>
    <mergeCell ref="B119:B124"/>
    <mergeCell ref="B80:B84"/>
    <mergeCell ref="B45:B49"/>
    <mergeCell ref="B50:B51"/>
    <mergeCell ref="B59:B63"/>
    <mergeCell ref="B64:B68"/>
    <mergeCell ref="B69:B70"/>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60"/>
  <sheetViews>
    <sheetView zoomScale="106" zoomScaleNormal="106" workbookViewId="0">
      <selection activeCell="C23" sqref="C23"/>
    </sheetView>
  </sheetViews>
  <sheetFormatPr defaultColWidth="9.109375" defaultRowHeight="14.4" x14ac:dyDescent="0.3"/>
  <cols>
    <col min="1" max="2" width="9.109375" style="8"/>
    <col min="3" max="3" width="20.6640625" style="8" customWidth="1"/>
    <col min="4" max="10" width="3.5546875" style="8" customWidth="1"/>
    <col min="11" max="11" width="4.33203125" style="8" customWidth="1"/>
    <col min="12" max="12" width="4.5546875" style="8" customWidth="1"/>
    <col min="13" max="13" width="29.88671875" style="8" customWidth="1"/>
    <col min="14" max="14" width="4" style="8" customWidth="1"/>
    <col min="15" max="15" width="3.5546875" style="8" customWidth="1"/>
    <col min="16" max="16" width="3.5546875" style="8" hidden="1" customWidth="1"/>
    <col min="17" max="17" width="3.6640625" style="8" hidden="1" customWidth="1"/>
    <col min="18" max="18" width="3.88671875" style="8" hidden="1" customWidth="1"/>
    <col min="19" max="19" width="4" style="8" customWidth="1"/>
    <col min="20" max="20" width="25.5546875" style="8" customWidth="1"/>
    <col min="21" max="22" width="3.5546875" style="8" customWidth="1"/>
    <col min="23" max="27" width="3.5546875" style="8" hidden="1" customWidth="1"/>
    <col min="28" max="28" width="4.88671875" style="8" customWidth="1"/>
    <col min="29" max="29" width="25.5546875" style="8" customWidth="1"/>
    <col min="30" max="31" width="3.5546875" style="8" customWidth="1"/>
    <col min="32" max="33" width="4.6640625" style="8" customWidth="1"/>
    <col min="34" max="37" width="9.44140625" style="8" customWidth="1"/>
    <col min="38" max="16384" width="9.109375" style="8"/>
  </cols>
  <sheetData>
    <row r="1" spans="2:31" x14ac:dyDescent="0.3">
      <c r="D1" s="8" t="s">
        <v>1468</v>
      </c>
      <c r="N1" s="8" t="s">
        <v>34</v>
      </c>
      <c r="U1" s="8" t="s">
        <v>35</v>
      </c>
      <c r="AD1" s="8" t="s">
        <v>1469</v>
      </c>
    </row>
    <row r="2" spans="2:31" ht="50.4" customHeight="1" x14ac:dyDescent="0.3">
      <c r="C2" s="534" t="s">
        <v>1089</v>
      </c>
      <c r="D2" s="10" t="s">
        <v>22</v>
      </c>
      <c r="E2" s="10" t="s">
        <v>23</v>
      </c>
      <c r="F2" s="10" t="s">
        <v>24</v>
      </c>
      <c r="G2" s="10" t="s">
        <v>25</v>
      </c>
      <c r="H2" s="10" t="s">
        <v>26</v>
      </c>
      <c r="I2" s="10" t="s">
        <v>27</v>
      </c>
      <c r="J2" s="10" t="s">
        <v>28</v>
      </c>
      <c r="K2" s="668" t="s">
        <v>1404</v>
      </c>
      <c r="L2" s="11"/>
      <c r="M2" s="9"/>
      <c r="O2" s="10" t="s">
        <v>29</v>
      </c>
      <c r="U2" s="10" t="s">
        <v>30</v>
      </c>
      <c r="V2" s="10" t="s">
        <v>27</v>
      </c>
      <c r="W2" s="10"/>
      <c r="X2" s="10"/>
      <c r="Y2" s="10"/>
      <c r="Z2" s="10"/>
      <c r="AA2" s="10"/>
      <c r="AD2" s="10" t="s">
        <v>31</v>
      </c>
      <c r="AE2" s="10" t="s">
        <v>32</v>
      </c>
    </row>
    <row r="3" spans="2:31" ht="106.8" customHeight="1" x14ac:dyDescent="0.3">
      <c r="C3" s="729" t="s">
        <v>1090</v>
      </c>
      <c r="D3" s="10" t="s">
        <v>36</v>
      </c>
      <c r="E3" s="10" t="s">
        <v>37</v>
      </c>
      <c r="F3" s="10" t="s">
        <v>38</v>
      </c>
      <c r="G3" s="10" t="s">
        <v>39</v>
      </c>
      <c r="H3" s="10" t="s">
        <v>40</v>
      </c>
      <c r="I3" s="10" t="s">
        <v>41</v>
      </c>
      <c r="J3" s="10" t="s">
        <v>42</v>
      </c>
      <c r="K3" s="668" t="s">
        <v>1405</v>
      </c>
      <c r="L3" s="11"/>
      <c r="M3" s="9"/>
      <c r="O3" s="10" t="s">
        <v>43</v>
      </c>
      <c r="U3" s="10" t="s">
        <v>44</v>
      </c>
      <c r="V3" s="10" t="s">
        <v>41</v>
      </c>
      <c r="W3" s="10"/>
      <c r="X3" s="10"/>
      <c r="Y3" s="10"/>
      <c r="Z3" s="10"/>
      <c r="AA3" s="10"/>
      <c r="AD3" s="10" t="s">
        <v>45</v>
      </c>
      <c r="AE3" s="10" t="s">
        <v>46</v>
      </c>
    </row>
    <row r="4" spans="2:31" x14ac:dyDescent="0.3">
      <c r="D4" s="12"/>
      <c r="E4" s="12"/>
      <c r="F4" s="12"/>
      <c r="G4" s="12"/>
      <c r="H4" s="12"/>
      <c r="I4" s="12"/>
      <c r="J4" s="12"/>
      <c r="K4" s="669"/>
      <c r="L4" s="9"/>
      <c r="O4" s="12"/>
      <c r="U4" s="12"/>
      <c r="V4" s="12"/>
      <c r="W4" s="12"/>
      <c r="X4" s="12"/>
      <c r="Y4" s="12"/>
      <c r="Z4" s="12"/>
      <c r="AA4" s="12"/>
      <c r="AD4" s="12"/>
      <c r="AE4" s="12"/>
    </row>
    <row r="5" spans="2:31" x14ac:dyDescent="0.3">
      <c r="D5" s="12"/>
      <c r="E5" s="13"/>
      <c r="F5" s="14"/>
      <c r="G5" s="14"/>
      <c r="H5" s="14"/>
      <c r="I5" s="14"/>
      <c r="J5" s="14"/>
      <c r="K5" s="670"/>
      <c r="L5" s="15"/>
      <c r="M5" s="16"/>
      <c r="N5" s="15"/>
      <c r="O5" s="14"/>
      <c r="P5" s="16"/>
      <c r="Q5" s="16"/>
      <c r="R5" s="16"/>
      <c r="S5" s="17"/>
      <c r="T5" s="18" t="s">
        <v>47</v>
      </c>
      <c r="U5" s="13"/>
      <c r="V5" s="12"/>
      <c r="W5" s="12"/>
      <c r="X5" s="12"/>
      <c r="Y5" s="12"/>
      <c r="Z5" s="12"/>
      <c r="AA5" s="12"/>
      <c r="AD5" s="12"/>
      <c r="AE5" s="12"/>
    </row>
    <row r="6" spans="2:31" x14ac:dyDescent="0.3">
      <c r="C6" s="9"/>
      <c r="D6" s="12"/>
      <c r="E6" s="12"/>
      <c r="F6" s="12"/>
      <c r="G6" s="12"/>
      <c r="H6" s="12"/>
      <c r="I6" s="12"/>
      <c r="J6" s="12"/>
      <c r="K6" s="669"/>
      <c r="L6" s="9"/>
      <c r="N6" s="9"/>
      <c r="O6" s="19"/>
      <c r="T6" s="20"/>
      <c r="U6" s="12"/>
      <c r="V6" s="12"/>
      <c r="W6" s="12"/>
      <c r="X6" s="12"/>
      <c r="Y6" s="12"/>
      <c r="Z6" s="12"/>
      <c r="AA6" s="12"/>
      <c r="AD6" s="12"/>
      <c r="AE6" s="12"/>
    </row>
    <row r="7" spans="2:31" x14ac:dyDescent="0.3">
      <c r="B7" s="8" t="s">
        <v>48</v>
      </c>
      <c r="C7" s="21"/>
      <c r="D7" s="22"/>
      <c r="E7" s="22"/>
      <c r="F7" s="12"/>
      <c r="G7" s="12"/>
      <c r="H7" s="12"/>
      <c r="I7" s="12"/>
      <c r="J7" s="12"/>
      <c r="K7" s="669"/>
      <c r="L7" s="9"/>
      <c r="O7" s="23"/>
      <c r="P7" s="24"/>
      <c r="Q7" s="16"/>
      <c r="R7" s="16"/>
      <c r="S7" s="17"/>
      <c r="T7" s="25"/>
      <c r="U7" s="12"/>
      <c r="V7" s="12"/>
      <c r="W7" s="12"/>
      <c r="X7" s="12"/>
      <c r="Y7" s="12"/>
      <c r="Z7" s="12"/>
      <c r="AA7" s="12"/>
      <c r="AD7" s="12"/>
      <c r="AE7" s="12"/>
    </row>
    <row r="8" spans="2:31" x14ac:dyDescent="0.3">
      <c r="B8" s="8" t="s">
        <v>49</v>
      </c>
      <c r="C8" s="9"/>
      <c r="D8" s="12"/>
      <c r="E8" s="12"/>
      <c r="F8" s="12"/>
      <c r="G8" s="12"/>
      <c r="H8" s="12"/>
      <c r="I8" s="12"/>
      <c r="J8" s="12"/>
      <c r="K8" s="669"/>
      <c r="L8" s="673"/>
      <c r="M8" s="674"/>
      <c r="N8" s="675"/>
      <c r="O8" s="676"/>
      <c r="P8" s="674"/>
      <c r="Q8" s="674"/>
      <c r="R8" s="674"/>
      <c r="S8" s="677"/>
      <c r="T8" s="26"/>
      <c r="U8" s="12"/>
      <c r="V8" s="12"/>
      <c r="W8" s="12"/>
      <c r="X8" s="25"/>
      <c r="Y8" s="12"/>
      <c r="Z8" s="12"/>
      <c r="AA8" s="12"/>
      <c r="AD8" s="12"/>
      <c r="AE8" s="12"/>
    </row>
    <row r="9" spans="2:31" x14ac:dyDescent="0.3">
      <c r="C9" s="9"/>
      <c r="D9" s="12"/>
      <c r="E9" s="12"/>
      <c r="F9" s="12"/>
      <c r="G9" s="676"/>
      <c r="H9" s="676"/>
      <c r="I9" s="676"/>
      <c r="J9" s="676"/>
      <c r="K9" s="683"/>
      <c r="L9" s="9"/>
      <c r="N9" s="9"/>
      <c r="O9" s="12"/>
      <c r="S9" s="23"/>
      <c r="T9" s="26"/>
      <c r="U9" s="12"/>
      <c r="V9" s="12"/>
      <c r="W9" s="12"/>
      <c r="X9" s="12"/>
      <c r="Y9" s="12"/>
      <c r="Z9" s="12"/>
      <c r="AA9" s="12"/>
      <c r="AD9" s="12"/>
      <c r="AE9" s="12"/>
    </row>
    <row r="10" spans="2:31" x14ac:dyDescent="0.3">
      <c r="C10" s="9"/>
      <c r="D10" s="12"/>
      <c r="E10" s="12"/>
      <c r="F10" s="12"/>
      <c r="G10" s="12"/>
      <c r="H10" s="12"/>
      <c r="I10" s="12"/>
      <c r="J10" s="12"/>
      <c r="K10" s="669"/>
      <c r="L10" s="9"/>
      <c r="N10" s="9"/>
      <c r="O10" s="12"/>
      <c r="S10" s="23"/>
      <c r="T10" s="26"/>
      <c r="U10" s="12"/>
      <c r="V10" s="12"/>
      <c r="W10" s="12"/>
      <c r="X10" s="12"/>
      <c r="Y10" s="12"/>
      <c r="Z10" s="12"/>
      <c r="AA10" s="12"/>
      <c r="AD10" s="12"/>
      <c r="AE10" s="12"/>
    </row>
    <row r="11" spans="2:31" x14ac:dyDescent="0.3">
      <c r="C11" s="9"/>
      <c r="D11" s="12"/>
      <c r="E11" s="12"/>
      <c r="F11" s="13"/>
      <c r="G11" s="14"/>
      <c r="H11" s="14"/>
      <c r="I11" s="14"/>
      <c r="J11" s="14"/>
      <c r="K11" s="670"/>
      <c r="L11" s="15"/>
      <c r="M11" s="16"/>
      <c r="N11" s="15"/>
      <c r="O11" s="14"/>
      <c r="P11" s="16"/>
      <c r="Q11" s="16"/>
      <c r="R11" s="16"/>
      <c r="S11" s="17"/>
      <c r="T11" s="13" t="s">
        <v>50</v>
      </c>
      <c r="U11" s="12"/>
      <c r="V11" s="12"/>
      <c r="W11" s="12"/>
      <c r="X11" s="12"/>
      <c r="Y11" s="12"/>
      <c r="Z11" s="12"/>
      <c r="AA11" s="12"/>
      <c r="AB11" s="27"/>
      <c r="AD11" s="12"/>
      <c r="AE11" s="12"/>
    </row>
    <row r="12" spans="2:31" ht="15" thickBot="1" x14ac:dyDescent="0.35">
      <c r="B12" s="8" t="s">
        <v>51</v>
      </c>
      <c r="C12" s="21"/>
      <c r="D12" s="22"/>
      <c r="E12" s="22"/>
      <c r="F12" s="22"/>
      <c r="G12" s="22"/>
      <c r="H12" s="12"/>
      <c r="I12" s="12"/>
      <c r="J12" s="28"/>
      <c r="K12" s="671"/>
      <c r="L12" s="29"/>
      <c r="M12" s="30"/>
      <c r="N12" s="29"/>
      <c r="O12" s="31"/>
      <c r="P12" s="30"/>
      <c r="Q12" s="30"/>
      <c r="R12" s="30"/>
      <c r="S12" s="30"/>
      <c r="T12" s="30"/>
      <c r="U12" s="31"/>
      <c r="V12" s="31"/>
      <c r="W12" s="12"/>
      <c r="X12" s="12"/>
      <c r="Y12" s="12"/>
      <c r="Z12" s="12"/>
      <c r="AA12" s="12"/>
      <c r="AD12" s="12"/>
      <c r="AE12" s="12"/>
    </row>
    <row r="13" spans="2:31" x14ac:dyDescent="0.3">
      <c r="B13" s="8" t="s">
        <v>52</v>
      </c>
      <c r="C13" s="21"/>
      <c r="D13" s="22"/>
      <c r="E13" s="22"/>
      <c r="F13" s="22"/>
      <c r="G13" s="22"/>
      <c r="H13" s="22"/>
      <c r="I13" s="12"/>
      <c r="J13" s="12"/>
      <c r="K13" s="669"/>
      <c r="L13" s="9"/>
      <c r="N13" s="9"/>
      <c r="O13" s="12"/>
      <c r="U13" s="12"/>
      <c r="V13" s="12"/>
      <c r="W13" s="12"/>
      <c r="X13" s="12"/>
      <c r="Y13" s="12"/>
      <c r="Z13" s="12"/>
      <c r="AA13" s="12"/>
      <c r="AD13" s="12"/>
      <c r="AE13" s="12"/>
    </row>
    <row r="14" spans="2:31" x14ac:dyDescent="0.3">
      <c r="C14" s="9"/>
      <c r="D14" s="12"/>
      <c r="E14" s="13"/>
      <c r="F14" s="14"/>
      <c r="G14" s="14"/>
      <c r="H14" s="14"/>
      <c r="I14" s="14"/>
      <c r="J14" s="14"/>
      <c r="K14" s="670"/>
      <c r="L14" s="15"/>
      <c r="M14" s="16"/>
      <c r="N14" s="15"/>
      <c r="O14" s="14"/>
      <c r="P14" s="16"/>
      <c r="Q14" s="16"/>
      <c r="R14" s="16"/>
      <c r="S14" s="17"/>
      <c r="T14" s="18" t="s">
        <v>53</v>
      </c>
      <c r="U14" s="13"/>
      <c r="V14" s="12"/>
      <c r="W14" s="12"/>
      <c r="X14" s="12"/>
      <c r="Y14" s="12"/>
      <c r="Z14" s="12"/>
      <c r="AA14" s="12"/>
      <c r="AD14" s="12"/>
      <c r="AE14" s="12"/>
    </row>
    <row r="15" spans="2:31" x14ac:dyDescent="0.3">
      <c r="C15" s="9"/>
      <c r="D15" s="12"/>
      <c r="E15" s="12"/>
      <c r="F15" s="12"/>
      <c r="G15" s="12"/>
      <c r="H15" s="12"/>
      <c r="I15" s="12"/>
      <c r="J15" s="12"/>
      <c r="K15" s="669"/>
      <c r="L15" s="678"/>
      <c r="M15" s="679"/>
      <c r="N15" s="680"/>
      <c r="O15" s="681"/>
      <c r="P15" s="679"/>
      <c r="Q15" s="679"/>
      <c r="R15" s="679"/>
      <c r="S15" s="682"/>
      <c r="T15" s="20"/>
      <c r="U15" s="12"/>
      <c r="V15" s="12"/>
      <c r="W15" s="12"/>
      <c r="X15" s="12"/>
      <c r="Y15" s="12"/>
      <c r="Z15" s="12"/>
      <c r="AA15" s="12"/>
      <c r="AD15" s="12"/>
      <c r="AE15" s="12"/>
    </row>
    <row r="16" spans="2:31" x14ac:dyDescent="0.3">
      <c r="B16" s="8" t="s">
        <v>1467</v>
      </c>
      <c r="C16" s="15"/>
      <c r="D16" s="14"/>
      <c r="E16" s="12"/>
      <c r="F16" s="12"/>
      <c r="G16" s="12"/>
      <c r="H16" s="12"/>
      <c r="I16" s="12"/>
      <c r="J16" s="12"/>
      <c r="K16" s="669"/>
      <c r="L16" s="9"/>
      <c r="O16" s="23"/>
      <c r="P16" s="24"/>
      <c r="Q16" s="16"/>
      <c r="R16" s="16"/>
      <c r="S16" s="17"/>
      <c r="T16" s="26"/>
      <c r="U16" s="13"/>
      <c r="V16" s="14"/>
      <c r="W16" s="12"/>
      <c r="X16" s="12"/>
      <c r="Y16" s="12"/>
      <c r="Z16" s="12"/>
      <c r="AA16" s="12"/>
      <c r="AD16" s="12"/>
      <c r="AE16" s="12"/>
    </row>
    <row r="17" spans="2:31" x14ac:dyDescent="0.3">
      <c r="D17" s="32"/>
      <c r="E17" s="12"/>
      <c r="F17" s="12"/>
      <c r="G17" s="12"/>
      <c r="H17" s="12"/>
      <c r="I17" s="12"/>
      <c r="J17" s="12"/>
      <c r="K17" s="669"/>
      <c r="L17" s="9"/>
      <c r="N17" s="9"/>
      <c r="O17" s="12"/>
      <c r="T17" s="13" t="s">
        <v>54</v>
      </c>
      <c r="U17" s="12"/>
      <c r="V17" s="12"/>
      <c r="W17" s="12"/>
      <c r="X17" s="12"/>
      <c r="Y17" s="12"/>
      <c r="Z17" s="12"/>
      <c r="AA17" s="12"/>
      <c r="AD17" s="12"/>
      <c r="AE17" s="12"/>
    </row>
    <row r="18" spans="2:31" x14ac:dyDescent="0.3">
      <c r="B18" s="731" t="s">
        <v>131</v>
      </c>
      <c r="C18" s="9"/>
      <c r="D18" s="12"/>
      <c r="E18" s="12"/>
      <c r="F18" s="12"/>
      <c r="G18" s="12"/>
      <c r="H18" s="12"/>
      <c r="I18" s="12"/>
      <c r="J18" s="12"/>
      <c r="K18" s="669"/>
      <c r="L18" s="9"/>
      <c r="N18" s="9"/>
      <c r="O18" s="12"/>
      <c r="U18" s="12"/>
      <c r="V18" s="12"/>
      <c r="W18" s="12"/>
      <c r="X18" s="12"/>
      <c r="Y18" s="12"/>
      <c r="Z18" s="12"/>
      <c r="AA18" s="12"/>
      <c r="AD18" s="12"/>
      <c r="AE18" s="12"/>
    </row>
    <row r="19" spans="2:31" x14ac:dyDescent="0.3">
      <c r="B19" s="732" t="s">
        <v>131</v>
      </c>
      <c r="C19" s="680"/>
      <c r="D19" s="681"/>
      <c r="E19" s="681"/>
      <c r="F19" s="681"/>
      <c r="G19" s="676"/>
      <c r="H19" s="676"/>
      <c r="I19" s="676"/>
      <c r="J19" s="676"/>
      <c r="K19" s="683"/>
      <c r="L19" s="9"/>
      <c r="N19" s="9"/>
      <c r="O19" s="12"/>
      <c r="U19" s="12"/>
      <c r="V19" s="12"/>
      <c r="W19" s="12"/>
      <c r="X19" s="12"/>
      <c r="Y19" s="12"/>
      <c r="Z19" s="12"/>
      <c r="AA19" s="12"/>
      <c r="AD19" s="12"/>
      <c r="AE19" s="12"/>
    </row>
    <row r="20" spans="2:31" x14ac:dyDescent="0.3">
      <c r="B20" s="730"/>
      <c r="C20" s="9"/>
      <c r="D20" s="12"/>
      <c r="E20" s="13"/>
      <c r="F20" s="14"/>
      <c r="G20" s="14"/>
      <c r="H20" s="14"/>
      <c r="I20" s="14"/>
      <c r="J20" s="14"/>
      <c r="K20" s="670"/>
      <c r="L20" s="15"/>
      <c r="M20" s="16"/>
      <c r="N20" s="15"/>
      <c r="O20" s="14"/>
      <c r="P20" s="16"/>
      <c r="Q20" s="16"/>
      <c r="R20" s="16"/>
      <c r="S20" s="17"/>
      <c r="T20" s="18" t="s">
        <v>55</v>
      </c>
      <c r="U20" s="13"/>
      <c r="V20" s="14"/>
      <c r="W20" s="12"/>
      <c r="X20" s="12"/>
      <c r="Y20" s="12"/>
      <c r="Z20" s="12"/>
      <c r="AA20" s="12"/>
      <c r="AD20" s="12"/>
      <c r="AE20" s="12"/>
    </row>
    <row r="21" spans="2:31" x14ac:dyDescent="0.3">
      <c r="C21" s="9"/>
      <c r="D21" s="12"/>
      <c r="E21" s="12"/>
      <c r="F21" s="12"/>
      <c r="G21" s="12"/>
      <c r="H21" s="12"/>
      <c r="I21" s="12"/>
      <c r="J21" s="12"/>
      <c r="K21" s="669"/>
      <c r="L21" s="678"/>
      <c r="M21" s="679"/>
      <c r="N21" s="680"/>
      <c r="O21" s="681"/>
      <c r="P21" s="679"/>
      <c r="Q21" s="679"/>
      <c r="R21" s="679"/>
      <c r="S21" s="682"/>
      <c r="T21" s="20"/>
      <c r="U21" s="13"/>
      <c r="V21" s="14"/>
      <c r="W21" s="14"/>
      <c r="X21" s="14"/>
      <c r="Y21" s="14"/>
      <c r="Z21" s="14"/>
      <c r="AA21" s="14"/>
      <c r="AB21" s="16"/>
      <c r="AC21" s="16"/>
      <c r="AD21" s="14"/>
      <c r="AE21" s="12"/>
    </row>
    <row r="22" spans="2:31" x14ac:dyDescent="0.3">
      <c r="C22" s="9"/>
      <c r="D22" s="12"/>
      <c r="E22" s="12"/>
      <c r="F22" s="12"/>
      <c r="G22" s="12"/>
      <c r="H22" s="12"/>
      <c r="I22" s="12"/>
      <c r="J22" s="12"/>
      <c r="K22" s="669"/>
      <c r="L22" s="9"/>
      <c r="N22" s="9"/>
      <c r="O22" s="12"/>
      <c r="P22" s="24"/>
      <c r="Q22" s="16"/>
      <c r="R22" s="16"/>
      <c r="S22" s="17"/>
      <c r="T22" s="26"/>
      <c r="U22" s="12"/>
      <c r="V22" s="12"/>
      <c r="W22" s="12"/>
      <c r="X22" s="12"/>
      <c r="Y22" s="12"/>
      <c r="Z22" s="12"/>
      <c r="AA22" s="12"/>
      <c r="AD22" s="12"/>
      <c r="AE22" s="12"/>
    </row>
    <row r="23" spans="2:31" x14ac:dyDescent="0.3">
      <c r="C23" s="9"/>
      <c r="D23" s="12"/>
      <c r="E23" s="12"/>
      <c r="F23" s="13"/>
      <c r="G23" s="14"/>
      <c r="H23" s="14"/>
      <c r="I23" s="14"/>
      <c r="J23" s="14"/>
      <c r="K23" s="670"/>
      <c r="L23" s="15"/>
      <c r="M23" s="16"/>
      <c r="N23" s="15"/>
      <c r="O23" s="14"/>
      <c r="P23" s="16"/>
      <c r="Q23" s="16"/>
      <c r="R23" s="16"/>
      <c r="S23" s="17"/>
      <c r="T23" s="26"/>
      <c r="U23" s="12"/>
      <c r="V23" s="12"/>
      <c r="W23" s="12"/>
      <c r="X23" s="12"/>
      <c r="Y23" s="12"/>
      <c r="Z23" s="12"/>
      <c r="AA23" s="12"/>
      <c r="AD23" s="12"/>
      <c r="AE23" s="12"/>
    </row>
    <row r="24" spans="2:31" x14ac:dyDescent="0.3">
      <c r="C24" s="9"/>
      <c r="D24" s="12"/>
      <c r="E24" s="12"/>
      <c r="F24" s="12"/>
      <c r="G24" s="12"/>
      <c r="H24" s="12"/>
      <c r="I24" s="12"/>
      <c r="J24" s="12"/>
      <c r="K24" s="669"/>
      <c r="L24" s="9"/>
      <c r="N24" s="9"/>
      <c r="O24" s="12"/>
      <c r="T24" s="13" t="s">
        <v>56</v>
      </c>
      <c r="U24" s="12"/>
      <c r="V24" s="12"/>
      <c r="W24" s="12"/>
      <c r="X24" s="12"/>
      <c r="Y24" s="12"/>
      <c r="Z24" s="12"/>
      <c r="AA24" s="12"/>
      <c r="AD24" s="12"/>
      <c r="AE24" s="12"/>
    </row>
    <row r="25" spans="2:31" x14ac:dyDescent="0.3">
      <c r="C25" s="9"/>
      <c r="D25" s="12"/>
      <c r="E25" s="12"/>
      <c r="F25" s="12"/>
      <c r="G25" s="12"/>
      <c r="H25" s="12"/>
      <c r="I25" s="12"/>
      <c r="J25" s="12"/>
      <c r="K25" s="669"/>
      <c r="L25" s="9"/>
      <c r="N25" s="9"/>
      <c r="O25" s="12"/>
      <c r="U25" s="12"/>
      <c r="V25" s="12"/>
      <c r="W25" s="12"/>
      <c r="X25" s="12"/>
      <c r="Y25" s="12"/>
      <c r="Z25" s="12"/>
      <c r="AA25" s="12"/>
      <c r="AD25" s="12"/>
      <c r="AE25" s="12"/>
    </row>
    <row r="26" spans="2:31" x14ac:dyDescent="0.3">
      <c r="C26" s="9"/>
      <c r="D26" s="12"/>
      <c r="E26" s="12"/>
      <c r="F26" s="12"/>
      <c r="G26" s="12"/>
      <c r="H26" s="12"/>
      <c r="I26" s="12"/>
      <c r="J26" s="12"/>
      <c r="K26" s="670"/>
      <c r="L26" s="15"/>
      <c r="M26" s="16"/>
      <c r="N26" s="15"/>
      <c r="O26" s="14"/>
      <c r="P26" s="16"/>
      <c r="Q26" s="16"/>
      <c r="R26" s="16"/>
      <c r="S26" s="16"/>
      <c r="T26" s="727"/>
      <c r="U26" s="12"/>
      <c r="V26" s="12"/>
      <c r="W26" s="12"/>
      <c r="X26" s="12"/>
      <c r="Y26" s="12"/>
      <c r="Z26" s="12"/>
      <c r="AA26" s="12"/>
      <c r="AD26" s="12"/>
      <c r="AE26" s="12"/>
    </row>
    <row r="27" spans="2:31" x14ac:dyDescent="0.3">
      <c r="C27" s="9"/>
      <c r="D27" s="12"/>
      <c r="E27" s="13"/>
      <c r="F27" s="14"/>
      <c r="G27" s="14"/>
      <c r="H27" s="14"/>
      <c r="I27" s="14"/>
      <c r="J27" s="14"/>
      <c r="K27" s="670"/>
      <c r="L27" s="15"/>
      <c r="M27" s="16"/>
      <c r="N27" s="15"/>
      <c r="O27" s="14"/>
      <c r="P27" s="16"/>
      <c r="Q27" s="16"/>
      <c r="R27" s="16"/>
      <c r="S27" s="16"/>
      <c r="T27" s="726" t="s">
        <v>57</v>
      </c>
      <c r="U27" s="14"/>
      <c r="V27" s="12"/>
      <c r="W27" s="12"/>
      <c r="X27" s="12"/>
      <c r="Y27" s="12"/>
      <c r="Z27" s="12"/>
      <c r="AA27" s="12"/>
      <c r="AD27" s="12"/>
      <c r="AE27" s="12"/>
    </row>
    <row r="28" spans="2:31" x14ac:dyDescent="0.3">
      <c r="C28" s="9"/>
      <c r="D28" s="12"/>
      <c r="E28" s="12"/>
      <c r="F28" s="12"/>
      <c r="G28" s="12"/>
      <c r="H28" s="12"/>
      <c r="I28" s="12"/>
      <c r="J28" s="12"/>
      <c r="K28" s="669"/>
      <c r="L28" s="9"/>
      <c r="O28" s="32"/>
      <c r="P28" s="16"/>
      <c r="Q28" s="16"/>
      <c r="R28" s="16"/>
      <c r="S28" s="16"/>
      <c r="T28" s="20"/>
      <c r="U28" s="12"/>
      <c r="V28" s="12"/>
      <c r="W28" s="12"/>
      <c r="X28" s="12"/>
      <c r="Y28" s="12"/>
      <c r="Z28" s="12"/>
      <c r="AA28" s="12"/>
      <c r="AD28" s="12"/>
      <c r="AE28" s="12"/>
    </row>
    <row r="29" spans="2:31" hidden="1" x14ac:dyDescent="0.3">
      <c r="C29" s="9"/>
      <c r="D29" s="12"/>
      <c r="E29" s="12"/>
      <c r="F29" s="12"/>
      <c r="G29" s="12"/>
      <c r="H29" s="12"/>
      <c r="I29" s="12"/>
      <c r="J29" s="12"/>
      <c r="K29" s="669"/>
      <c r="L29" s="9"/>
      <c r="O29" s="23"/>
      <c r="T29" s="25"/>
      <c r="U29" s="12"/>
      <c r="V29" s="12"/>
      <c r="W29" s="12"/>
      <c r="X29" s="12"/>
      <c r="Y29" s="12"/>
      <c r="Z29" s="12"/>
      <c r="AA29" s="12"/>
      <c r="AD29" s="12"/>
      <c r="AE29" s="12"/>
    </row>
    <row r="30" spans="2:31" x14ac:dyDescent="0.3">
      <c r="C30" s="9"/>
      <c r="D30" s="12"/>
      <c r="E30" s="12"/>
      <c r="F30" s="12"/>
      <c r="G30" s="12"/>
      <c r="H30" s="12"/>
      <c r="I30" s="12"/>
      <c r="J30" s="12"/>
      <c r="K30" s="669"/>
      <c r="L30" s="9"/>
      <c r="O30" s="23"/>
      <c r="T30" s="26"/>
      <c r="U30" s="12"/>
      <c r="V30" s="13"/>
      <c r="W30" s="13"/>
      <c r="X30" s="14"/>
      <c r="Y30" s="14"/>
      <c r="Z30" s="14"/>
      <c r="AA30" s="14"/>
      <c r="AB30" s="16"/>
      <c r="AC30" s="18" t="s">
        <v>58</v>
      </c>
      <c r="AD30" s="14"/>
      <c r="AE30" s="14"/>
    </row>
    <row r="31" spans="2:31" x14ac:dyDescent="0.3">
      <c r="C31" s="9"/>
      <c r="D31" s="12"/>
      <c r="E31" s="12"/>
      <c r="F31" s="12"/>
      <c r="G31" s="12"/>
      <c r="H31" s="12"/>
      <c r="I31" s="12"/>
      <c r="J31" s="12"/>
      <c r="K31" s="669"/>
      <c r="L31" s="9"/>
      <c r="O31" s="23"/>
      <c r="T31" s="13" t="s">
        <v>59</v>
      </c>
      <c r="U31" s="12"/>
      <c r="V31" s="12"/>
      <c r="W31" s="12"/>
      <c r="X31" s="12"/>
      <c r="Y31" s="12"/>
      <c r="Z31" s="12"/>
      <c r="AA31" s="12"/>
      <c r="AC31" s="20"/>
      <c r="AD31" s="12"/>
      <c r="AE31" s="12"/>
    </row>
    <row r="32" spans="2:31" x14ac:dyDescent="0.3">
      <c r="C32" s="9"/>
      <c r="D32" s="12"/>
      <c r="E32" s="12"/>
      <c r="F32" s="12"/>
      <c r="G32" s="12"/>
      <c r="H32" s="12"/>
      <c r="I32" s="12"/>
      <c r="J32" s="12"/>
      <c r="K32" s="669"/>
      <c r="L32" s="9"/>
      <c r="O32" s="23"/>
      <c r="P32" s="16"/>
      <c r="Q32" s="16"/>
      <c r="R32" s="16"/>
      <c r="S32" s="16"/>
      <c r="T32" s="16"/>
      <c r="U32" s="14"/>
      <c r="V32" s="14"/>
      <c r="W32" s="14"/>
      <c r="X32" s="14"/>
      <c r="Y32" s="14"/>
      <c r="Z32" s="14"/>
      <c r="AA32" s="14"/>
      <c r="AB32" s="16"/>
      <c r="AC32" s="25"/>
      <c r="AD32" s="12"/>
      <c r="AE32" s="12"/>
    </row>
    <row r="33" spans="3:31" x14ac:dyDescent="0.3">
      <c r="C33" s="9"/>
      <c r="D33" s="12"/>
      <c r="E33" s="13"/>
      <c r="F33" s="14"/>
      <c r="G33" s="14"/>
      <c r="H33" s="14"/>
      <c r="I33" s="14"/>
      <c r="J33" s="14"/>
      <c r="K33" s="670"/>
      <c r="L33" s="15"/>
      <c r="M33" s="16"/>
      <c r="N33" s="16"/>
      <c r="O33" s="17"/>
      <c r="P33" s="16"/>
      <c r="Q33" s="16"/>
      <c r="R33" s="16"/>
      <c r="S33" s="16"/>
      <c r="T33" s="16"/>
      <c r="U33" s="14"/>
      <c r="V33" s="14"/>
      <c r="W33" s="14"/>
      <c r="X33" s="14"/>
      <c r="Y33" s="14"/>
      <c r="Z33" s="14"/>
      <c r="AA33" s="14"/>
      <c r="AB33" s="16"/>
      <c r="AC33" s="26"/>
      <c r="AD33" s="12"/>
      <c r="AE33" s="12"/>
    </row>
    <row r="34" spans="3:31" x14ac:dyDescent="0.3">
      <c r="C34" s="9"/>
      <c r="D34" s="12"/>
      <c r="E34" s="12"/>
      <c r="F34" s="33"/>
      <c r="G34" s="34"/>
      <c r="H34" s="34"/>
      <c r="I34" s="34"/>
      <c r="J34" s="34"/>
      <c r="K34" s="672"/>
      <c r="L34" s="35"/>
      <c r="M34" s="36"/>
      <c r="N34" s="36"/>
      <c r="O34" s="37"/>
      <c r="P34" s="36"/>
      <c r="Q34" s="36"/>
      <c r="R34" s="36"/>
      <c r="S34" s="36"/>
      <c r="T34" s="36"/>
      <c r="U34" s="34"/>
      <c r="V34" s="34"/>
      <c r="W34" s="34"/>
      <c r="X34" s="34"/>
      <c r="Y34" s="34"/>
      <c r="Z34" s="34"/>
      <c r="AA34" s="34"/>
      <c r="AB34" s="36"/>
      <c r="AC34" s="25" t="s">
        <v>60</v>
      </c>
      <c r="AD34" s="12"/>
      <c r="AE34" s="12"/>
    </row>
    <row r="35" spans="3:31" x14ac:dyDescent="0.3">
      <c r="C35" s="9"/>
      <c r="D35" s="12"/>
      <c r="E35" s="12"/>
      <c r="F35" s="12"/>
      <c r="G35" s="12"/>
      <c r="H35" s="12"/>
      <c r="I35" s="12"/>
      <c r="J35" s="12"/>
      <c r="K35" s="669"/>
      <c r="L35" s="9"/>
      <c r="O35" s="23"/>
      <c r="U35" s="12"/>
      <c r="V35" s="12"/>
      <c r="W35" s="12"/>
      <c r="X35" s="12"/>
      <c r="Y35" s="12"/>
      <c r="Z35" s="12"/>
      <c r="AA35" s="12"/>
      <c r="AC35" s="730"/>
      <c r="AD35" s="12"/>
      <c r="AE35" s="12"/>
    </row>
    <row r="36" spans="3:31" x14ac:dyDescent="0.3">
      <c r="C36" s="9"/>
      <c r="D36" s="12"/>
      <c r="E36" s="12"/>
      <c r="F36" s="12"/>
      <c r="G36" s="12"/>
      <c r="H36" s="12"/>
      <c r="I36" s="12"/>
      <c r="J36" s="12"/>
      <c r="K36" s="669"/>
      <c r="L36" s="9"/>
      <c r="O36" s="23"/>
      <c r="P36" s="16"/>
      <c r="Q36" s="16"/>
      <c r="R36" s="16"/>
      <c r="S36" s="17"/>
      <c r="T36" s="18" t="s">
        <v>61</v>
      </c>
      <c r="U36" s="9"/>
    </row>
    <row r="37" spans="3:31" x14ac:dyDescent="0.3">
      <c r="C37" s="9"/>
      <c r="D37" s="12"/>
      <c r="E37" s="12"/>
      <c r="F37" s="12"/>
      <c r="G37" s="12"/>
      <c r="H37" s="12"/>
      <c r="I37" s="12"/>
      <c r="J37" s="12"/>
      <c r="K37" s="669"/>
      <c r="L37" s="9"/>
      <c r="O37" s="23"/>
      <c r="T37" s="20"/>
      <c r="U37" s="9"/>
    </row>
    <row r="38" spans="3:31" ht="15" thickBot="1" x14ac:dyDescent="0.35">
      <c r="C38" s="9"/>
      <c r="D38" s="12"/>
      <c r="E38" s="28"/>
      <c r="F38" s="31"/>
      <c r="G38" s="31"/>
      <c r="H38" s="31"/>
      <c r="I38" s="31"/>
      <c r="J38" s="31"/>
      <c r="K38" s="671"/>
      <c r="L38" s="29"/>
      <c r="M38" s="30"/>
      <c r="N38" s="29"/>
      <c r="O38" s="31"/>
      <c r="P38" s="30"/>
      <c r="Q38" s="30"/>
      <c r="R38" s="30"/>
      <c r="S38" s="38"/>
      <c r="T38" s="26"/>
      <c r="U38" s="9"/>
    </row>
    <row r="39" spans="3:31" x14ac:dyDescent="0.3">
      <c r="D39" s="12"/>
      <c r="E39" s="728"/>
      <c r="F39" s="12"/>
      <c r="G39" s="12"/>
      <c r="H39" s="12"/>
      <c r="I39" s="12"/>
      <c r="J39" s="12"/>
      <c r="K39" s="669"/>
      <c r="L39" s="9"/>
      <c r="N39" s="9"/>
      <c r="O39" s="12"/>
      <c r="T39" s="13" t="s">
        <v>62</v>
      </c>
      <c r="U39" s="9"/>
    </row>
    <row r="40" spans="3:31" x14ac:dyDescent="0.3">
      <c r="D40" s="12"/>
      <c r="E40" s="12"/>
      <c r="F40" s="12"/>
      <c r="G40" s="12"/>
      <c r="H40" s="12"/>
      <c r="I40" s="12"/>
      <c r="J40" s="12"/>
      <c r="K40" s="669"/>
      <c r="L40" s="9"/>
      <c r="N40" s="9"/>
      <c r="O40" s="12"/>
      <c r="U40" s="9"/>
    </row>
    <row r="41" spans="3:31" x14ac:dyDescent="0.3">
      <c r="D41" s="12"/>
      <c r="E41" s="12"/>
      <c r="F41" s="12"/>
      <c r="G41" s="12"/>
      <c r="H41" s="12"/>
      <c r="I41" s="12"/>
      <c r="J41" s="12"/>
      <c r="K41" s="669"/>
      <c r="L41" s="9"/>
      <c r="N41" s="9"/>
      <c r="O41" s="12"/>
      <c r="U41" s="9"/>
    </row>
    <row r="42" spans="3:31" x14ac:dyDescent="0.3">
      <c r="D42" s="12"/>
      <c r="E42" s="12"/>
      <c r="F42" s="13"/>
      <c r="G42" s="14"/>
      <c r="H42" s="14"/>
      <c r="I42" s="14"/>
      <c r="J42" s="14"/>
      <c r="K42" s="670"/>
      <c r="L42" s="15"/>
      <c r="M42" s="39" t="s">
        <v>63</v>
      </c>
      <c r="N42" s="15"/>
      <c r="O42" s="14"/>
      <c r="U42" s="9"/>
    </row>
    <row r="43" spans="3:31" x14ac:dyDescent="0.3">
      <c r="D43" s="12"/>
      <c r="E43" s="12"/>
      <c r="F43" s="12"/>
      <c r="G43" s="12"/>
      <c r="H43" s="12"/>
      <c r="I43" s="12"/>
      <c r="J43" s="12"/>
      <c r="K43" s="669"/>
      <c r="L43" s="9"/>
      <c r="M43" s="25" t="s">
        <v>64</v>
      </c>
      <c r="N43" s="9"/>
      <c r="O43" s="12"/>
    </row>
    <row r="44" spans="3:31" x14ac:dyDescent="0.3">
      <c r="D44" s="12"/>
      <c r="E44" s="12"/>
      <c r="F44" s="12"/>
      <c r="G44" s="12"/>
      <c r="H44" s="13"/>
      <c r="I44" s="14"/>
      <c r="J44" s="14"/>
      <c r="K44" s="670"/>
      <c r="L44" s="15"/>
      <c r="M44" s="40" t="s">
        <v>65</v>
      </c>
      <c r="N44" s="15"/>
      <c r="O44" s="14"/>
    </row>
    <row r="45" spans="3:31" x14ac:dyDescent="0.3">
      <c r="D45" s="12"/>
      <c r="E45" s="12"/>
      <c r="F45" s="12"/>
      <c r="G45" s="12"/>
      <c r="H45" s="12"/>
      <c r="I45" s="12"/>
      <c r="J45" s="12"/>
      <c r="K45" s="669"/>
      <c r="L45" s="9"/>
      <c r="M45" s="25" t="s">
        <v>66</v>
      </c>
      <c r="N45" s="9"/>
      <c r="O45" s="12"/>
    </row>
    <row r="46" spans="3:31" x14ac:dyDescent="0.3">
      <c r="D46" s="12"/>
      <c r="E46" s="12"/>
      <c r="F46" s="12"/>
      <c r="G46" s="12"/>
      <c r="H46" s="12"/>
      <c r="I46" s="12"/>
      <c r="J46" s="13"/>
      <c r="K46" s="670"/>
      <c r="L46" s="15"/>
      <c r="M46" s="40" t="s">
        <v>67</v>
      </c>
      <c r="N46" s="15"/>
      <c r="O46" s="14"/>
    </row>
    <row r="47" spans="3:31" x14ac:dyDescent="0.3">
      <c r="D47" s="12"/>
      <c r="E47" s="12"/>
      <c r="F47" s="12"/>
      <c r="G47" s="12"/>
      <c r="H47" s="12"/>
      <c r="I47" s="12"/>
      <c r="J47" s="12"/>
      <c r="K47" s="669"/>
      <c r="L47" s="9"/>
      <c r="M47" s="25" t="s">
        <v>68</v>
      </c>
      <c r="N47" s="9"/>
      <c r="O47" s="12"/>
    </row>
    <row r="48" spans="3:31" x14ac:dyDescent="0.3">
      <c r="D48" s="12"/>
      <c r="E48" s="12"/>
      <c r="F48" s="12"/>
      <c r="G48" s="13"/>
      <c r="H48" s="14"/>
      <c r="I48" s="14"/>
      <c r="J48" s="14"/>
      <c r="K48" s="670"/>
      <c r="L48" s="15"/>
      <c r="M48" s="40" t="s">
        <v>69</v>
      </c>
      <c r="N48" s="15"/>
      <c r="O48" s="14"/>
    </row>
    <row r="49" spans="4:15" x14ac:dyDescent="0.3">
      <c r="D49" s="12"/>
      <c r="E49" s="12"/>
      <c r="F49" s="12"/>
      <c r="G49" s="12"/>
      <c r="H49" s="12"/>
      <c r="I49" s="12"/>
      <c r="J49" s="12"/>
      <c r="K49" s="669"/>
      <c r="L49" s="9"/>
      <c r="M49" s="25" t="s">
        <v>70</v>
      </c>
      <c r="N49" s="9"/>
      <c r="O49" s="12"/>
    </row>
    <row r="50" spans="4:15" x14ac:dyDescent="0.3">
      <c r="D50" s="12"/>
      <c r="E50" s="12"/>
      <c r="F50" s="13"/>
      <c r="G50" s="14"/>
      <c r="H50" s="14"/>
      <c r="I50" s="14"/>
      <c r="J50" s="14"/>
      <c r="K50" s="670"/>
      <c r="L50" s="15"/>
      <c r="M50" s="40" t="s">
        <v>71</v>
      </c>
      <c r="N50" s="15"/>
      <c r="O50" s="14"/>
    </row>
    <row r="51" spans="4:15" x14ac:dyDescent="0.3">
      <c r="D51" s="12"/>
      <c r="E51" s="12"/>
      <c r="F51" s="12"/>
      <c r="G51" s="12"/>
      <c r="H51" s="12"/>
      <c r="I51" s="12"/>
      <c r="J51" s="13"/>
      <c r="K51" s="672"/>
      <c r="L51" s="35"/>
      <c r="M51" s="25" t="s">
        <v>72</v>
      </c>
      <c r="N51" s="9"/>
      <c r="O51" s="12"/>
    </row>
    <row r="52" spans="4:15" x14ac:dyDescent="0.3">
      <c r="D52" s="12"/>
      <c r="E52" s="12"/>
      <c r="F52" s="12"/>
      <c r="G52" s="12"/>
      <c r="H52" s="12"/>
      <c r="I52" s="12"/>
      <c r="J52" s="12"/>
      <c r="K52" s="669"/>
      <c r="L52" s="9"/>
      <c r="M52" s="13"/>
      <c r="N52" s="9"/>
      <c r="O52" s="12"/>
    </row>
    <row r="53" spans="4:15" x14ac:dyDescent="0.3">
      <c r="D53" s="12"/>
      <c r="E53" s="12"/>
      <c r="F53" s="12"/>
      <c r="G53" s="12"/>
      <c r="H53" s="25"/>
      <c r="I53" s="25"/>
      <c r="J53" s="725"/>
      <c r="K53" s="724"/>
      <c r="L53" s="9"/>
      <c r="M53" s="9"/>
      <c r="N53" s="9"/>
      <c r="O53" s="12"/>
    </row>
    <row r="54" spans="4:15" x14ac:dyDescent="0.3">
      <c r="D54" s="12"/>
      <c r="E54" s="12"/>
      <c r="F54" s="12"/>
      <c r="G54" s="12"/>
      <c r="H54" s="13"/>
      <c r="I54" s="14"/>
      <c r="J54" s="14"/>
      <c r="K54" s="670"/>
      <c r="L54" s="15"/>
      <c r="M54" s="727"/>
      <c r="N54" s="15"/>
      <c r="O54" s="14"/>
    </row>
    <row r="55" spans="4:15" x14ac:dyDescent="0.3">
      <c r="D55" s="12"/>
      <c r="E55" s="12"/>
      <c r="F55" s="12"/>
      <c r="G55" s="12"/>
      <c r="H55" s="12"/>
      <c r="I55" s="12"/>
      <c r="J55" s="12"/>
      <c r="K55" s="669"/>
      <c r="L55" s="9"/>
      <c r="M55" s="726" t="s">
        <v>73</v>
      </c>
      <c r="N55" s="9"/>
      <c r="O55" s="12"/>
    </row>
    <row r="56" spans="4:15" ht="15" thickBot="1" x14ac:dyDescent="0.35">
      <c r="D56" s="12"/>
      <c r="E56" s="28"/>
      <c r="F56" s="31"/>
      <c r="G56" s="31"/>
      <c r="H56" s="31"/>
      <c r="I56" s="31"/>
      <c r="J56" s="31"/>
      <c r="K56" s="671"/>
      <c r="L56" s="29"/>
      <c r="M56" s="20"/>
      <c r="N56" s="9"/>
    </row>
    <row r="57" spans="4:15" x14ac:dyDescent="0.3">
      <c r="D57" s="12"/>
      <c r="E57" s="12"/>
      <c r="F57" s="12"/>
      <c r="G57" s="12"/>
      <c r="H57" s="12"/>
      <c r="I57" s="12"/>
      <c r="J57" s="12"/>
      <c r="K57" s="669"/>
      <c r="L57" s="9"/>
      <c r="M57" s="26"/>
      <c r="N57" s="9"/>
    </row>
    <row r="58" spans="4:15" x14ac:dyDescent="0.3">
      <c r="L58" s="9"/>
      <c r="M58" s="13" t="s">
        <v>74</v>
      </c>
      <c r="N58" s="9"/>
    </row>
    <row r="59" spans="4:15" x14ac:dyDescent="0.3">
      <c r="L59" s="9"/>
      <c r="N59" s="9"/>
    </row>
    <row r="60" spans="4:15" x14ac:dyDescent="0.3">
      <c r="L60" s="9"/>
      <c r="N60" s="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4.4" x14ac:dyDescent="0.3"/>
  <cols>
    <col min="1" max="1" width="14" customWidth="1"/>
    <col min="2" max="2" width="46.44140625" customWidth="1"/>
    <col min="3" max="3" width="24" customWidth="1"/>
    <col min="4" max="4" width="17.6640625" customWidth="1"/>
    <col min="5" max="5" width="16.88671875" customWidth="1"/>
    <col min="7" max="7" width="11" bestFit="1" customWidth="1"/>
  </cols>
  <sheetData>
    <row r="2" spans="2:13" x14ac:dyDescent="0.3">
      <c r="B2" s="68" t="b">
        <v>0</v>
      </c>
      <c r="C2" s="4" t="s">
        <v>174</v>
      </c>
    </row>
    <row r="3" spans="2:13" x14ac:dyDescent="0.3">
      <c r="B3" s="68" t="s">
        <v>175</v>
      </c>
      <c r="C3" s="4" t="s">
        <v>176</v>
      </c>
    </row>
    <row r="4" spans="2:13" x14ac:dyDescent="0.3">
      <c r="B4" s="68" t="b">
        <v>1</v>
      </c>
      <c r="C4" s="4" t="s">
        <v>177</v>
      </c>
    </row>
    <row r="5" spans="2:13" x14ac:dyDescent="0.3">
      <c r="B5" s="68"/>
      <c r="C5" s="4"/>
    </row>
    <row r="6" spans="2:13" x14ac:dyDescent="0.3">
      <c r="B6" s="68"/>
      <c r="C6" s="4"/>
    </row>
    <row r="7" spans="2:13" x14ac:dyDescent="0.3">
      <c r="B7" s="4" t="s">
        <v>178</v>
      </c>
    </row>
    <row r="8" spans="2:13" x14ac:dyDescent="0.3">
      <c r="B8" s="138">
        <v>0.16</v>
      </c>
      <c r="C8" s="68" t="s">
        <v>179</v>
      </c>
    </row>
    <row r="9" spans="2:13" x14ac:dyDescent="0.3">
      <c r="B9" s="139">
        <v>0.35</v>
      </c>
      <c r="C9" s="4" t="s">
        <v>180</v>
      </c>
      <c r="M9" s="4" t="s">
        <v>181</v>
      </c>
    </row>
    <row r="12" spans="2:13" x14ac:dyDescent="0.3">
      <c r="B12" s="4" t="s">
        <v>182</v>
      </c>
    </row>
    <row r="14" spans="2:13" x14ac:dyDescent="0.3">
      <c r="C14" s="68">
        <v>2020</v>
      </c>
      <c r="D14" s="68">
        <v>2025</v>
      </c>
      <c r="E14" s="68">
        <v>2030</v>
      </c>
      <c r="F14" s="68"/>
    </row>
    <row r="15" spans="2:13" x14ac:dyDescent="0.3">
      <c r="B15" s="4" t="s">
        <v>175</v>
      </c>
      <c r="C15" s="139">
        <f>($E$15/3)</f>
        <v>5.3333333333333337E-2</v>
      </c>
      <c r="D15" s="140">
        <f>C15*2</f>
        <v>0.10666666666666667</v>
      </c>
      <c r="E15" s="139">
        <f>B8</f>
        <v>0.16</v>
      </c>
      <c r="G15" s="4" t="s">
        <v>183</v>
      </c>
    </row>
    <row r="16" spans="2:13" x14ac:dyDescent="0.3">
      <c r="B16" s="4" t="s">
        <v>184</v>
      </c>
      <c r="C16" s="139">
        <f>($E$16/3)</f>
        <v>2.6666666666666668E-2</v>
      </c>
      <c r="D16" s="140">
        <f>C16*2</f>
        <v>5.3333333333333337E-2</v>
      </c>
      <c r="E16" s="139">
        <v>0.08</v>
      </c>
      <c r="G16" s="4" t="s">
        <v>185</v>
      </c>
    </row>
    <row r="17" spans="2:5" x14ac:dyDescent="0.3">
      <c r="B17" s="68" t="s">
        <v>186</v>
      </c>
      <c r="C17" s="141"/>
      <c r="D17" s="141">
        <f>IF($B$2,-SUMIFS(D15:D16,$B$15:$B$16,$B$3),0)</f>
        <v>0</v>
      </c>
      <c r="E17" s="141">
        <f>IF($B$2,-SUMIFS(E15:E16,$B$15:$B$16,$B$3),0)</f>
        <v>0</v>
      </c>
    </row>
    <row r="19" spans="2:5" x14ac:dyDescent="0.3">
      <c r="B19" s="4" t="s">
        <v>187</v>
      </c>
      <c r="C19" s="142">
        <f>'Students report revision'!K104</f>
        <v>1814000</v>
      </c>
    </row>
    <row r="20" spans="2:5" x14ac:dyDescent="0.3">
      <c r="B20" s="4" t="s">
        <v>175</v>
      </c>
      <c r="E20" s="139">
        <v>0.5</v>
      </c>
    </row>
    <row r="21" spans="2:5" x14ac:dyDescent="0.3">
      <c r="B21" s="4" t="s">
        <v>184</v>
      </c>
      <c r="E21" s="139">
        <v>0.1</v>
      </c>
    </row>
    <row r="22" spans="2:5" x14ac:dyDescent="0.3">
      <c r="B22" s="4" t="s">
        <v>188</v>
      </c>
      <c r="E22">
        <f>$C$19*(1+SUMIFS(E20:E21,$B$20:$B$21,$B$3))/1000000</f>
        <v>2.7210000000000001</v>
      </c>
    </row>
    <row r="38" spans="13:13" x14ac:dyDescent="0.3">
      <c r="M38" s="4" t="s">
        <v>189</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A208" zoomScale="80" zoomScaleNormal="80" zoomScaleSheetLayoutView="50" workbookViewId="0">
      <selection activeCell="T226" sqref="T226"/>
    </sheetView>
  </sheetViews>
  <sheetFormatPr defaultRowHeight="14.4" x14ac:dyDescent="0.3"/>
  <cols>
    <col min="2" max="2" width="12.33203125" customWidth="1"/>
    <col min="3" max="3" width="43.109375" customWidth="1"/>
    <col min="4" max="4" width="13.44140625" customWidth="1"/>
    <col min="5" max="5" width="13.109375" customWidth="1"/>
    <col min="6" max="6" width="11.33203125" bestFit="1" customWidth="1"/>
    <col min="7" max="7" width="13.5546875" bestFit="1" customWidth="1"/>
    <col min="8" max="8" width="13.33203125" bestFit="1" customWidth="1"/>
    <col min="9" max="9" width="11.33203125" bestFit="1" customWidth="1"/>
    <col min="10" max="10" width="31.33203125" bestFit="1" customWidth="1"/>
    <col min="14" max="14" width="25.33203125" customWidth="1"/>
    <col min="15" max="19" width="11.88671875" customWidth="1"/>
    <col min="20" max="20" width="12" customWidth="1"/>
    <col min="21" max="21" width="13.33203125" customWidth="1"/>
    <col min="22" max="22" width="12.88671875" customWidth="1"/>
    <col min="23" max="23" width="11.88671875" customWidth="1"/>
    <col min="24" max="24" width="11" customWidth="1"/>
    <col min="25" max="25" width="11.88671875" customWidth="1"/>
    <col min="26" max="26" width="14.33203125" customWidth="1"/>
    <col min="27" max="27" width="12.88671875" customWidth="1"/>
    <col min="28" max="28" width="13.33203125" customWidth="1"/>
  </cols>
  <sheetData>
    <row r="1" spans="1:28" x14ac:dyDescent="0.3">
      <c r="A1" s="2" t="s">
        <v>823</v>
      </c>
      <c r="J1" s="372" t="s">
        <v>822</v>
      </c>
      <c r="K1" s="372" t="s">
        <v>821</v>
      </c>
      <c r="M1" s="2" t="s">
        <v>820</v>
      </c>
    </row>
    <row r="2" spans="1:28" x14ac:dyDescent="0.3">
      <c r="J2" s="372"/>
      <c r="K2" s="372"/>
    </row>
    <row r="3" spans="1:28" ht="18" x14ac:dyDescent="0.35">
      <c r="A3" s="375" t="s">
        <v>819</v>
      </c>
      <c r="B3" s="59"/>
      <c r="C3" s="59"/>
      <c r="D3" s="59"/>
      <c r="E3" s="59"/>
      <c r="F3" s="59"/>
      <c r="G3" s="59"/>
      <c r="H3" s="59"/>
      <c r="I3" s="59"/>
      <c r="J3" s="374"/>
      <c r="K3" s="372"/>
      <c r="O3" s="768" t="s">
        <v>818</v>
      </c>
      <c r="P3" s="768"/>
      <c r="Q3" s="768"/>
      <c r="R3" s="768"/>
      <c r="S3" s="768"/>
      <c r="T3" s="768"/>
      <c r="U3" s="764"/>
      <c r="V3" s="768" t="s">
        <v>684</v>
      </c>
      <c r="W3" s="768"/>
      <c r="X3" s="768"/>
      <c r="Y3" s="768"/>
      <c r="Z3" s="764"/>
      <c r="AA3" s="769" t="s">
        <v>817</v>
      </c>
      <c r="AB3" s="769"/>
    </row>
    <row r="4" spans="1:28" x14ac:dyDescent="0.3">
      <c r="J4" s="372"/>
      <c r="K4" s="372"/>
      <c r="O4" t="s">
        <v>690</v>
      </c>
      <c r="P4" t="s">
        <v>727</v>
      </c>
      <c r="Q4" t="s">
        <v>724</v>
      </c>
      <c r="R4" t="s">
        <v>778</v>
      </c>
      <c r="S4" t="s">
        <v>773</v>
      </c>
      <c r="T4" t="s">
        <v>685</v>
      </c>
      <c r="U4" s="66" t="s">
        <v>744</v>
      </c>
      <c r="V4" t="s">
        <v>689</v>
      </c>
      <c r="W4" t="s">
        <v>722</v>
      </c>
      <c r="X4" t="s">
        <v>772</v>
      </c>
      <c r="Y4" t="s">
        <v>683</v>
      </c>
      <c r="Z4" s="66" t="s">
        <v>742</v>
      </c>
      <c r="AA4" t="s">
        <v>707</v>
      </c>
      <c r="AB4" t="s">
        <v>710</v>
      </c>
    </row>
    <row r="5" spans="1:28" x14ac:dyDescent="0.3">
      <c r="J5" s="372"/>
      <c r="K5" s="372"/>
      <c r="N5" s="67" t="s">
        <v>816</v>
      </c>
      <c r="O5" s="67" t="s">
        <v>815</v>
      </c>
      <c r="P5" s="67" t="s">
        <v>37</v>
      </c>
      <c r="Q5" s="67" t="s">
        <v>38</v>
      </c>
      <c r="R5" s="67" t="s">
        <v>37</v>
      </c>
      <c r="S5" s="67" t="s">
        <v>40</v>
      </c>
      <c r="T5" s="67" t="s">
        <v>39</v>
      </c>
      <c r="U5" s="433" t="s">
        <v>101</v>
      </c>
      <c r="V5" s="67" t="s">
        <v>690</v>
      </c>
      <c r="W5" s="67" t="s">
        <v>814</v>
      </c>
      <c r="X5" s="67" t="s">
        <v>813</v>
      </c>
      <c r="Y5" s="67" t="s">
        <v>39</v>
      </c>
      <c r="Z5" s="433" t="s">
        <v>101</v>
      </c>
      <c r="AA5" s="67" t="s">
        <v>36</v>
      </c>
      <c r="AB5" s="67" t="s">
        <v>812</v>
      </c>
    </row>
    <row r="6" spans="1:28" ht="18" thickBot="1" x14ac:dyDescent="0.4">
      <c r="B6" s="3" t="s">
        <v>811</v>
      </c>
      <c r="C6" s="144"/>
      <c r="D6" s="144"/>
      <c r="E6" s="144"/>
      <c r="F6" s="144"/>
      <c r="G6" s="144"/>
      <c r="H6" s="144"/>
      <c r="J6" s="372"/>
      <c r="K6" s="372"/>
      <c r="N6" t="s">
        <v>37</v>
      </c>
      <c r="O6" s="283">
        <f>SUMIFS($J:$J,$K:$K,O$4)</f>
        <v>35624642.904105201</v>
      </c>
      <c r="U6" s="66"/>
      <c r="V6" s="283">
        <f>SUMIFS($J:$J,$K:$K,V$4)</f>
        <v>24995804.759888195</v>
      </c>
      <c r="Z6" s="66"/>
    </row>
    <row r="7" spans="1:28" ht="15" thickTop="1" x14ac:dyDescent="0.3">
      <c r="B7" s="144"/>
      <c r="C7" s="387" t="s">
        <v>788</v>
      </c>
      <c r="D7" s="386" t="s">
        <v>712</v>
      </c>
      <c r="E7" s="386" t="s">
        <v>760</v>
      </c>
      <c r="F7" s="386" t="s">
        <v>759</v>
      </c>
      <c r="G7" s="386" t="s">
        <v>758</v>
      </c>
      <c r="H7" s="385" t="s">
        <v>757</v>
      </c>
      <c r="J7" s="372"/>
      <c r="K7" s="372"/>
      <c r="N7" t="s">
        <v>810</v>
      </c>
      <c r="U7" s="432">
        <f>SUMIFS($J:$J,$K:$K,U$4)</f>
        <v>41452703.660773665</v>
      </c>
      <c r="Z7" s="432">
        <f>SUMIFS($J:$J,$K:$K,Z$4)</f>
        <v>23354024.245304406</v>
      </c>
    </row>
    <row r="8" spans="1:28" x14ac:dyDescent="0.3">
      <c r="B8" s="144"/>
      <c r="C8" s="382" t="s">
        <v>787</v>
      </c>
      <c r="D8" s="381" t="s">
        <v>708</v>
      </c>
      <c r="E8" s="423">
        <v>121217.10426000001</v>
      </c>
      <c r="F8" s="423">
        <v>129339</v>
      </c>
      <c r="G8" s="423">
        <v>117716</v>
      </c>
      <c r="H8" s="422">
        <v>122728</v>
      </c>
      <c r="J8" s="372"/>
      <c r="K8" s="372"/>
      <c r="N8" t="s">
        <v>809</v>
      </c>
      <c r="T8" s="283">
        <f>SUMIFS($J:$J,$K:$K,T$4)</f>
        <v>4346727.0540352575</v>
      </c>
      <c r="U8" s="66"/>
      <c r="Y8" s="283">
        <f>SUMIFS($J:$J,$K:$K,Y$4)</f>
        <v>2407738.1420440264</v>
      </c>
      <c r="Z8" s="66"/>
    </row>
    <row r="9" spans="1:28" x14ac:dyDescent="0.3">
      <c r="B9" s="144"/>
      <c r="C9" s="382" t="s">
        <v>786</v>
      </c>
      <c r="D9" s="381" t="s">
        <v>708</v>
      </c>
      <c r="E9" s="381">
        <v>0</v>
      </c>
      <c r="F9" s="381">
        <v>0</v>
      </c>
      <c r="G9" s="381">
        <v>0</v>
      </c>
      <c r="H9" s="417">
        <v>0</v>
      </c>
      <c r="J9" s="372"/>
      <c r="K9" s="372"/>
      <c r="N9" t="s">
        <v>113</v>
      </c>
      <c r="O9" s="284"/>
      <c r="R9" s="283">
        <f>SUMIFS($J:$J,$K:$K,R$4)</f>
        <v>12010455.367484022</v>
      </c>
      <c r="S9" s="283">
        <f>SUMIFS($J:$J,$K:$K,S$4)</f>
        <v>438653.03346417233</v>
      </c>
      <c r="U9" s="66"/>
      <c r="X9" s="283">
        <f>SUMIFS($J:$J,$K:$K,X$4)</f>
        <v>8668582.8765799701</v>
      </c>
      <c r="Z9" s="66"/>
    </row>
    <row r="10" spans="1:28" x14ac:dyDescent="0.3">
      <c r="B10" s="144"/>
      <c r="C10" s="382" t="s">
        <v>808</v>
      </c>
      <c r="D10" s="381" t="s">
        <v>708</v>
      </c>
      <c r="E10" s="381">
        <v>0</v>
      </c>
      <c r="F10" s="381">
        <v>0</v>
      </c>
      <c r="G10" s="381">
        <v>0</v>
      </c>
      <c r="H10" s="417">
        <v>0</v>
      </c>
      <c r="J10" s="372"/>
      <c r="K10" s="372"/>
      <c r="N10" t="s">
        <v>807</v>
      </c>
      <c r="P10" s="283">
        <f>SUMIFS($J:$J,$K:$K,P$4)</f>
        <v>4267225.0358263981</v>
      </c>
      <c r="Q10" s="283">
        <f>SUMIFS($J:$J,$K:$K,Q$4)</f>
        <v>3357940.8295975383</v>
      </c>
      <c r="U10" s="66"/>
      <c r="W10" s="283">
        <f>SUMIFS($J:$J,$K:$K,W$4)</f>
        <v>5492303.7068799995</v>
      </c>
      <c r="Z10" s="66"/>
    </row>
    <row r="11" spans="1:28" x14ac:dyDescent="0.3">
      <c r="B11" s="144"/>
      <c r="C11" s="431" t="s">
        <v>784</v>
      </c>
      <c r="D11" s="430"/>
      <c r="E11" s="429">
        <v>0</v>
      </c>
      <c r="F11" s="429">
        <v>0</v>
      </c>
      <c r="G11" s="429">
        <v>0</v>
      </c>
      <c r="H11" s="428">
        <v>0</v>
      </c>
      <c r="J11" s="372"/>
      <c r="K11" s="372"/>
      <c r="N11" s="320" t="s">
        <v>115</v>
      </c>
      <c r="O11" s="95"/>
      <c r="P11" s="95"/>
      <c r="Q11" s="95"/>
      <c r="R11" s="95"/>
      <c r="S11" s="95"/>
      <c r="T11" s="95"/>
      <c r="U11" s="427"/>
      <c r="V11" s="95"/>
      <c r="W11" s="95"/>
      <c r="X11" s="95"/>
      <c r="Y11" s="95"/>
      <c r="Z11" s="427"/>
      <c r="AA11" s="426">
        <f>SUMIFS($J:$J,$K:$K,AA$4)</f>
        <v>7915899.9920000006</v>
      </c>
      <c r="AB11" s="426">
        <f>SUMIFS($J:$J,$K:$K,AB$4)</f>
        <v>15487578.808564706</v>
      </c>
    </row>
    <row r="12" spans="1:28" x14ac:dyDescent="0.3">
      <c r="B12" s="144"/>
      <c r="C12" s="144"/>
      <c r="D12" s="144"/>
      <c r="E12" s="144"/>
      <c r="F12" s="144"/>
      <c r="G12" s="144"/>
      <c r="H12" s="144"/>
      <c r="J12" s="372"/>
      <c r="K12" s="372"/>
      <c r="N12" s="67" t="s">
        <v>806</v>
      </c>
      <c r="O12" s="285">
        <f t="shared" ref="O12:AB12" si="0">SUM(O6:O11)</f>
        <v>35624642.904105201</v>
      </c>
      <c r="P12" s="285">
        <f>SUM(P6:P11)</f>
        <v>4267225.0358263981</v>
      </c>
      <c r="Q12" s="285">
        <f t="shared" si="0"/>
        <v>3357940.8295975383</v>
      </c>
      <c r="R12" s="285">
        <f t="shared" si="0"/>
        <v>12010455.367484022</v>
      </c>
      <c r="S12" s="285">
        <f t="shared" si="0"/>
        <v>438653.03346417233</v>
      </c>
      <c r="T12" s="285">
        <f t="shared" si="0"/>
        <v>4346727.0540352575</v>
      </c>
      <c r="U12" s="425">
        <f>SUM(U6:U11)</f>
        <v>41452703.660773665</v>
      </c>
      <c r="V12" s="327">
        <f t="shared" si="0"/>
        <v>24995804.759888195</v>
      </c>
      <c r="W12" s="327">
        <f t="shared" si="0"/>
        <v>5492303.7068799995</v>
      </c>
      <c r="X12" s="327">
        <f t="shared" si="0"/>
        <v>8668582.8765799701</v>
      </c>
      <c r="Y12" s="327">
        <f t="shared" si="0"/>
        <v>2407738.1420440264</v>
      </c>
      <c r="Z12" s="424">
        <f t="shared" si="0"/>
        <v>23354024.245304406</v>
      </c>
      <c r="AA12" s="327">
        <f>SUM(AA6:AA11)</f>
        <v>7915899.9920000006</v>
      </c>
      <c r="AB12" s="327">
        <f t="shared" si="0"/>
        <v>15487578.808564706</v>
      </c>
    </row>
    <row r="13" spans="1:28" ht="18" thickBot="1" x14ac:dyDescent="0.4">
      <c r="B13" s="3" t="s">
        <v>805</v>
      </c>
      <c r="C13" s="144"/>
      <c r="D13" s="144"/>
      <c r="E13" s="144"/>
      <c r="F13" s="144"/>
      <c r="G13" s="144"/>
      <c r="H13" s="144"/>
      <c r="J13" s="372"/>
      <c r="K13" s="372"/>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 thickTop="1" x14ac:dyDescent="0.3">
      <c r="B14" s="144"/>
      <c r="C14" s="387" t="s">
        <v>788</v>
      </c>
      <c r="D14" s="386" t="s">
        <v>712</v>
      </c>
      <c r="E14" s="386" t="s">
        <v>760</v>
      </c>
      <c r="F14" s="386" t="s">
        <v>759</v>
      </c>
      <c r="G14" s="386" t="s">
        <v>758</v>
      </c>
      <c r="H14" s="385" t="s">
        <v>757</v>
      </c>
      <c r="J14" s="372"/>
      <c r="K14" s="372"/>
      <c r="AA14" s="2">
        <v>4.1120000000000001</v>
      </c>
      <c r="AB14" s="2" t="s">
        <v>1030</v>
      </c>
    </row>
    <row r="15" spans="1:28" x14ac:dyDescent="0.3">
      <c r="B15" s="144"/>
      <c r="C15" s="382" t="s">
        <v>804</v>
      </c>
      <c r="D15" s="381" t="s">
        <v>708</v>
      </c>
      <c r="E15" s="423">
        <v>297960.76243634277</v>
      </c>
      <c r="F15" s="423">
        <v>327574</v>
      </c>
      <c r="G15" s="423">
        <v>320398</v>
      </c>
      <c r="H15" s="422">
        <v>337095</v>
      </c>
      <c r="J15" s="372"/>
      <c r="K15" s="372"/>
      <c r="N15" s="504" t="s">
        <v>1031</v>
      </c>
      <c r="O15" s="505">
        <f>SUM(O12:P12,R12,S12,T12)</f>
        <v>56687703.394915044</v>
      </c>
      <c r="P15" s="506">
        <f>O15/(SUM(O16,O15))</f>
        <v>0.55850863167727294</v>
      </c>
      <c r="Q15" s="53"/>
      <c r="R15" s="311">
        <f>SUM(O13,R13,S13,T13)</f>
        <v>71.178100000000001</v>
      </c>
      <c r="S15" s="507">
        <f>R15/(SUM(R15,R16))</f>
        <v>0.57073795388429693</v>
      </c>
      <c r="AA15" s="2">
        <v>3.2094</v>
      </c>
      <c r="AB15" s="2" t="s">
        <v>1029</v>
      </c>
    </row>
    <row r="16" spans="1:28" x14ac:dyDescent="0.3">
      <c r="B16" s="144"/>
      <c r="C16" s="382" t="s">
        <v>786</v>
      </c>
      <c r="D16" s="381" t="s">
        <v>708</v>
      </c>
      <c r="E16" s="381">
        <v>0</v>
      </c>
      <c r="F16" s="381">
        <v>0</v>
      </c>
      <c r="G16" s="381">
        <v>0</v>
      </c>
      <c r="H16" s="417">
        <v>0</v>
      </c>
      <c r="J16" s="372"/>
      <c r="K16" s="372"/>
      <c r="N16" s="508" t="s">
        <v>1032</v>
      </c>
      <c r="O16" s="509">
        <f>U12+Q12</f>
        <v>44810644.490371205</v>
      </c>
      <c r="P16" s="510">
        <f>1-P15</f>
        <v>0.44149136832272706</v>
      </c>
      <c r="Q16" s="59"/>
      <c r="R16" s="511">
        <f>SUM(Q13,U13)</f>
        <v>53.534300000000002</v>
      </c>
      <c r="S16" s="512">
        <f>1-S15</f>
        <v>0.42926204611570307</v>
      </c>
    </row>
    <row r="17" spans="1:24" x14ac:dyDescent="0.3">
      <c r="B17" s="144"/>
      <c r="C17" s="378" t="s">
        <v>803</v>
      </c>
      <c r="D17" s="377" t="s">
        <v>708</v>
      </c>
      <c r="E17" s="377">
        <v>0</v>
      </c>
      <c r="F17" s="377">
        <v>0</v>
      </c>
      <c r="G17" s="377">
        <v>0</v>
      </c>
      <c r="H17" s="410">
        <v>0</v>
      </c>
      <c r="J17" s="372"/>
      <c r="K17" s="372"/>
      <c r="N17" s="67"/>
    </row>
    <row r="18" spans="1:24" x14ac:dyDescent="0.3">
      <c r="B18" s="144"/>
      <c r="C18" s="144"/>
      <c r="D18" s="144"/>
      <c r="E18" s="144"/>
      <c r="F18" s="144"/>
      <c r="G18" s="144"/>
      <c r="H18" s="144"/>
      <c r="J18" s="372"/>
      <c r="K18" s="372"/>
      <c r="P18" t="s">
        <v>37</v>
      </c>
      <c r="Q18" t="s">
        <v>38</v>
      </c>
      <c r="R18" t="s">
        <v>39</v>
      </c>
      <c r="S18" t="s">
        <v>101</v>
      </c>
      <c r="T18" t="s">
        <v>40</v>
      </c>
      <c r="U18" t="s">
        <v>43</v>
      </c>
      <c r="V18" t="s">
        <v>802</v>
      </c>
    </row>
    <row r="19" spans="1:24" x14ac:dyDescent="0.3">
      <c r="J19" s="372"/>
      <c r="K19" s="372"/>
      <c r="N19" s="67" t="s">
        <v>801</v>
      </c>
      <c r="O19" s="322">
        <f>SUM(P19:T19)</f>
        <v>101498347.88528626</v>
      </c>
      <c r="P19" s="307">
        <f>SUM(O12:P12,R12)</f>
        <v>51902323.307415619</v>
      </c>
      <c r="Q19" s="288">
        <f>Q12</f>
        <v>3357940.8295975383</v>
      </c>
      <c r="R19" s="288">
        <f>T12</f>
        <v>4346727.0540352575</v>
      </c>
      <c r="S19" s="288">
        <f>U12</f>
        <v>41452703.660773665</v>
      </c>
      <c r="T19" s="288">
        <f>S12</f>
        <v>438653.03346417233</v>
      </c>
      <c r="X19" s="322">
        <f>SUM(V12:Z12)</f>
        <v>64918453.730696589</v>
      </c>
    </row>
    <row r="20" spans="1:24" x14ac:dyDescent="0.3">
      <c r="J20" s="372"/>
      <c r="K20" s="372"/>
      <c r="O20" s="312">
        <f>SUM(O13:U13)</f>
        <v>124.7124</v>
      </c>
      <c r="X20" s="313">
        <f>SUM(V13:Z13)</f>
        <v>60.350700000000003</v>
      </c>
    </row>
    <row r="21" spans="1:24" ht="18" x14ac:dyDescent="0.35">
      <c r="A21" s="375" t="s">
        <v>800</v>
      </c>
      <c r="B21" s="59"/>
      <c r="C21" s="59"/>
      <c r="D21" s="59"/>
      <c r="E21" s="59"/>
      <c r="F21" s="59"/>
      <c r="G21" s="59"/>
      <c r="H21" s="59"/>
      <c r="I21" s="59"/>
      <c r="J21" s="374"/>
      <c r="K21" s="372"/>
    </row>
    <row r="22" spans="1:24" x14ac:dyDescent="0.3">
      <c r="J22" s="372"/>
      <c r="K22" s="372"/>
      <c r="P22" t="s">
        <v>799</v>
      </c>
      <c r="Q22" t="s">
        <v>798</v>
      </c>
    </row>
    <row r="23" spans="1:24" x14ac:dyDescent="0.3">
      <c r="J23" s="372"/>
      <c r="K23" s="372"/>
      <c r="N23" s="67" t="s">
        <v>797</v>
      </c>
      <c r="O23" s="322">
        <f>SUM(V12:Z12)</f>
        <v>64918453.730696589</v>
      </c>
      <c r="P23" s="288">
        <f>AB11</f>
        <v>15487578.808564706</v>
      </c>
      <c r="Q23" s="288">
        <f>O23-P23</f>
        <v>49430874.922131881</v>
      </c>
    </row>
    <row r="24" spans="1:24" x14ac:dyDescent="0.3">
      <c r="B24" s="393" t="s">
        <v>731</v>
      </c>
      <c r="C24" s="144"/>
      <c r="D24" s="144"/>
      <c r="E24" s="144"/>
      <c r="F24" s="144"/>
      <c r="G24" s="144"/>
      <c r="H24" s="144"/>
      <c r="I24" s="144"/>
      <c r="J24" s="372"/>
      <c r="K24" s="372"/>
    </row>
    <row r="25" spans="1:24" x14ac:dyDescent="0.3">
      <c r="B25" s="393"/>
      <c r="C25" s="144"/>
      <c r="D25" s="144"/>
      <c r="E25" s="144"/>
      <c r="F25" s="144"/>
      <c r="G25" s="391" t="s">
        <v>716</v>
      </c>
      <c r="H25" s="389">
        <v>0.8</v>
      </c>
      <c r="I25" s="144"/>
      <c r="J25" s="372"/>
      <c r="K25" s="372"/>
    </row>
    <row r="26" spans="1:24" x14ac:dyDescent="0.3">
      <c r="B26" s="393"/>
      <c r="C26" s="144"/>
      <c r="D26" s="144"/>
      <c r="E26" s="144"/>
      <c r="F26" s="144"/>
      <c r="G26" s="391" t="s">
        <v>715</v>
      </c>
      <c r="H26" s="388">
        <v>98.426950564133548</v>
      </c>
      <c r="I26" s="144"/>
      <c r="J26" s="372"/>
      <c r="K26" s="372"/>
      <c r="P26" t="s">
        <v>37</v>
      </c>
      <c r="Q26" t="s">
        <v>38</v>
      </c>
      <c r="R26" t="s">
        <v>39</v>
      </c>
      <c r="S26" t="s">
        <v>101</v>
      </c>
      <c r="T26" t="s">
        <v>40</v>
      </c>
      <c r="U26" t="s">
        <v>43</v>
      </c>
      <c r="V26" t="s">
        <v>542</v>
      </c>
    </row>
    <row r="27" spans="1:24" x14ac:dyDescent="0.3">
      <c r="B27" s="144"/>
      <c r="C27" s="387" t="s">
        <v>692</v>
      </c>
      <c r="D27" s="386" t="s">
        <v>712</v>
      </c>
      <c r="E27" s="386" t="s">
        <v>760</v>
      </c>
      <c r="F27" s="386" t="s">
        <v>759</v>
      </c>
      <c r="G27" s="386" t="s">
        <v>758</v>
      </c>
      <c r="H27" s="385">
        <v>2013</v>
      </c>
      <c r="I27" s="144"/>
      <c r="J27" s="372"/>
      <c r="K27" s="372"/>
      <c r="N27" t="s">
        <v>70</v>
      </c>
      <c r="O27" t="s">
        <v>38</v>
      </c>
      <c r="Q27" s="288">
        <f>Q10</f>
        <v>3357940.8295975383</v>
      </c>
      <c r="U27" s="284">
        <f>W10*(Q10/SUM(P10:Q10))</f>
        <v>2418679.3036871068</v>
      </c>
    </row>
    <row r="28" spans="1:24" x14ac:dyDescent="0.3">
      <c r="B28" s="144"/>
      <c r="C28" s="382" t="s">
        <v>687</v>
      </c>
      <c r="D28" s="381" t="s">
        <v>313</v>
      </c>
      <c r="E28" s="383">
        <v>0.68</v>
      </c>
      <c r="F28" s="383">
        <v>0.68</v>
      </c>
      <c r="G28" s="383">
        <v>0.68</v>
      </c>
      <c r="H28" s="383">
        <v>0.68</v>
      </c>
      <c r="I28" s="407" t="s">
        <v>750</v>
      </c>
      <c r="J28" s="372"/>
      <c r="K28" s="372"/>
      <c r="N28" s="144" t="s">
        <v>64</v>
      </c>
      <c r="O28" t="s">
        <v>37</v>
      </c>
      <c r="P28" s="288">
        <f>O6+P10</f>
        <v>39891867.939931601</v>
      </c>
      <c r="U28" s="307">
        <f>V6+W10-U27</f>
        <v>28069429.163081087</v>
      </c>
    </row>
    <row r="29" spans="1:24" x14ac:dyDescent="0.3">
      <c r="B29" s="144"/>
      <c r="C29" s="382" t="s">
        <v>691</v>
      </c>
      <c r="D29" s="381" t="s">
        <v>708</v>
      </c>
      <c r="E29" s="397">
        <v>4461454.8755085832</v>
      </c>
      <c r="F29" s="397">
        <v>4205965.92</v>
      </c>
      <c r="G29" s="397">
        <v>3003272.4899999998</v>
      </c>
      <c r="H29" s="397">
        <v>2936329.3638585508</v>
      </c>
      <c r="I29" s="407" t="s">
        <v>753</v>
      </c>
      <c r="J29" s="373">
        <f>H29</f>
        <v>2936329.3638585508</v>
      </c>
      <c r="K29" s="372" t="s">
        <v>690</v>
      </c>
      <c r="N29" s="144" t="s">
        <v>72</v>
      </c>
      <c r="O29" t="s">
        <v>113</v>
      </c>
      <c r="P29" s="288">
        <f>R9</f>
        <v>12010455.367484022</v>
      </c>
      <c r="T29" s="288">
        <f>S9</f>
        <v>438653.03346417233</v>
      </c>
      <c r="U29" s="288">
        <f>X9</f>
        <v>8668582.8765799701</v>
      </c>
    </row>
    <row r="30" spans="1:24" x14ac:dyDescent="0.3">
      <c r="B30" s="144"/>
      <c r="C30" s="378" t="s">
        <v>684</v>
      </c>
      <c r="D30" s="377" t="s">
        <v>708</v>
      </c>
      <c r="E30" s="396">
        <v>3033789.3153458368</v>
      </c>
      <c r="F30" s="396">
        <v>2860056.8256000001</v>
      </c>
      <c r="G30" s="396">
        <v>2042225.2932</v>
      </c>
      <c r="H30" s="396">
        <v>1996703.9674238146</v>
      </c>
      <c r="I30" s="144"/>
      <c r="J30" s="373">
        <f>H30</f>
        <v>1996703.9674238146</v>
      </c>
      <c r="K30" s="372" t="s">
        <v>689</v>
      </c>
      <c r="N30" s="144" t="s">
        <v>66</v>
      </c>
      <c r="O30" t="s">
        <v>39</v>
      </c>
      <c r="R30" s="288">
        <f>T8</f>
        <v>4346727.0540352575</v>
      </c>
      <c r="U30" s="288">
        <f>Y8</f>
        <v>2407738.1420440264</v>
      </c>
    </row>
    <row r="31" spans="1:24" x14ac:dyDescent="0.3">
      <c r="B31" s="144"/>
      <c r="C31" s="144"/>
      <c r="D31" s="144"/>
      <c r="E31" s="144"/>
      <c r="F31" s="144"/>
      <c r="G31" s="144"/>
      <c r="H31" s="144"/>
      <c r="I31" s="144"/>
      <c r="J31" s="372"/>
      <c r="K31" s="372"/>
      <c r="N31" s="144" t="s">
        <v>68</v>
      </c>
      <c r="O31" t="s">
        <v>101</v>
      </c>
      <c r="S31" s="288">
        <f>U7</f>
        <v>41452703.660773665</v>
      </c>
      <c r="U31" s="288">
        <f>Z7</f>
        <v>23354024.245304406</v>
      </c>
    </row>
    <row r="32" spans="1:24" x14ac:dyDescent="0.3">
      <c r="B32" s="144"/>
      <c r="C32" s="144"/>
      <c r="D32" s="144"/>
      <c r="E32" s="144"/>
      <c r="F32" s="144"/>
      <c r="G32" s="391" t="s">
        <v>716</v>
      </c>
      <c r="H32" s="389">
        <v>0.8</v>
      </c>
      <c r="I32" s="144"/>
      <c r="J32" s="372"/>
      <c r="K32" s="372"/>
      <c r="N32" s="144" t="s">
        <v>194</v>
      </c>
      <c r="O32" t="s">
        <v>597</v>
      </c>
    </row>
    <row r="33" spans="1:30" x14ac:dyDescent="0.3">
      <c r="B33" s="144"/>
      <c r="C33" s="144"/>
      <c r="D33" s="144"/>
      <c r="E33" s="144"/>
      <c r="F33" s="144"/>
      <c r="G33" s="391" t="s">
        <v>715</v>
      </c>
      <c r="H33" s="388">
        <v>2.8946312037705888</v>
      </c>
      <c r="I33" s="144"/>
      <c r="J33" s="372"/>
      <c r="K33" s="372"/>
      <c r="N33" s="144" t="s">
        <v>62</v>
      </c>
      <c r="O33" t="s">
        <v>596</v>
      </c>
      <c r="U33" s="288">
        <f>AB11</f>
        <v>15487578.808564706</v>
      </c>
      <c r="V33" s="288">
        <f>AA12</f>
        <v>7915899.9920000006</v>
      </c>
    </row>
    <row r="34" spans="1:30" x14ac:dyDescent="0.3">
      <c r="B34" s="144"/>
      <c r="C34" s="387" t="s">
        <v>791</v>
      </c>
      <c r="D34" s="386" t="s">
        <v>712</v>
      </c>
      <c r="E34" s="386" t="s">
        <v>760</v>
      </c>
      <c r="F34" s="386" t="s">
        <v>759</v>
      </c>
      <c r="G34" s="386" t="s">
        <v>758</v>
      </c>
      <c r="H34" s="385" t="s">
        <v>757</v>
      </c>
      <c r="I34" s="144"/>
      <c r="J34" s="372"/>
      <c r="K34" s="372"/>
    </row>
    <row r="35" spans="1:30" x14ac:dyDescent="0.3">
      <c r="B35" s="144"/>
      <c r="C35" s="382" t="s">
        <v>748</v>
      </c>
      <c r="D35" s="381" t="s">
        <v>313</v>
      </c>
      <c r="E35" s="381">
        <v>0.65</v>
      </c>
      <c r="F35" s="381">
        <v>0.65</v>
      </c>
      <c r="G35" s="381">
        <v>0.65</v>
      </c>
      <c r="H35" s="381">
        <v>0.65</v>
      </c>
      <c r="I35" s="395" t="s">
        <v>750</v>
      </c>
      <c r="J35" s="372"/>
      <c r="K35" s="372"/>
    </row>
    <row r="36" spans="1:30" x14ac:dyDescent="0.3">
      <c r="B36" s="144"/>
      <c r="C36" s="382" t="s">
        <v>746</v>
      </c>
      <c r="D36" s="381" t="s">
        <v>708</v>
      </c>
      <c r="E36" s="397">
        <v>121629.95334192704</v>
      </c>
      <c r="F36" s="397">
        <v>152717.40344532597</v>
      </c>
      <c r="G36" s="397">
        <v>62705.281891304345</v>
      </c>
      <c r="H36" s="419">
        <v>0</v>
      </c>
      <c r="I36" s="144"/>
      <c r="J36" s="373">
        <f>G36</f>
        <v>62705.281891304345</v>
      </c>
      <c r="K36" s="372" t="s">
        <v>744</v>
      </c>
    </row>
    <row r="37" spans="1:30" x14ac:dyDescent="0.3">
      <c r="B37" s="144"/>
      <c r="C37" s="378" t="s">
        <v>684</v>
      </c>
      <c r="D37" s="377" t="s">
        <v>708</v>
      </c>
      <c r="E37" s="396">
        <v>79059.469672252584</v>
      </c>
      <c r="F37" s="396">
        <v>99266.312239461884</v>
      </c>
      <c r="G37" s="396">
        <v>40758.433229347822</v>
      </c>
      <c r="H37" s="420">
        <v>0</v>
      </c>
      <c r="I37" s="144"/>
      <c r="J37" s="373">
        <f>G37</f>
        <v>40758.433229347822</v>
      </c>
      <c r="K37" s="372" t="s">
        <v>742</v>
      </c>
      <c r="N37" s="532" t="s">
        <v>1076</v>
      </c>
    </row>
    <row r="38" spans="1:30" x14ac:dyDescent="0.3">
      <c r="B38" s="144"/>
      <c r="C38" s="144"/>
      <c r="D38" s="144"/>
      <c r="E38" s="144"/>
      <c r="F38" s="144"/>
      <c r="G38" s="144"/>
      <c r="H38" s="144"/>
      <c r="I38" s="144"/>
      <c r="J38" s="372"/>
      <c r="K38" s="372"/>
    </row>
    <row r="39" spans="1:30" x14ac:dyDescent="0.3">
      <c r="B39" s="144"/>
      <c r="C39" s="406" t="s">
        <v>739</v>
      </c>
      <c r="D39" s="406" t="s">
        <v>708</v>
      </c>
      <c r="E39" s="405">
        <v>3112848.7850180892</v>
      </c>
      <c r="F39" s="405">
        <v>2959323.1378394621</v>
      </c>
      <c r="G39" s="405">
        <v>2082983.7264293479</v>
      </c>
      <c r="H39" s="405">
        <v>1996703.9674238099</v>
      </c>
      <c r="I39" s="144"/>
      <c r="J39" s="372"/>
      <c r="K39" s="372"/>
      <c r="N39" t="s">
        <v>279</v>
      </c>
      <c r="O39" t="s">
        <v>1088</v>
      </c>
      <c r="P39" s="533"/>
      <c r="Q39" s="533"/>
      <c r="R39" s="533"/>
      <c r="S39" s="533"/>
      <c r="T39" s="533"/>
      <c r="U39" s="533"/>
      <c r="V39" s="533"/>
      <c r="W39" s="533"/>
      <c r="X39" s="533"/>
      <c r="Y39" s="533"/>
      <c r="Z39" s="533"/>
      <c r="AA39" s="533"/>
      <c r="AB39" s="533"/>
      <c r="AC39" s="533"/>
      <c r="AD39" s="288"/>
    </row>
    <row r="40" spans="1:30" x14ac:dyDescent="0.3">
      <c r="J40" s="372"/>
      <c r="K40" s="372"/>
      <c r="N40" t="s">
        <v>1077</v>
      </c>
      <c r="O40" s="533">
        <v>1738331699</v>
      </c>
    </row>
    <row r="41" spans="1:30" x14ac:dyDescent="0.3">
      <c r="J41" s="372"/>
      <c r="K41" s="372"/>
      <c r="N41" t="s">
        <v>1078</v>
      </c>
      <c r="O41" s="533">
        <v>1604967063</v>
      </c>
    </row>
    <row r="42" spans="1:30" x14ac:dyDescent="0.3">
      <c r="J42" s="372"/>
      <c r="K42" s="372"/>
      <c r="N42" t="s">
        <v>1079</v>
      </c>
      <c r="O42" s="533">
        <v>1625179739</v>
      </c>
    </row>
    <row r="43" spans="1:30" ht="18" x14ac:dyDescent="0.35">
      <c r="A43" s="375" t="s">
        <v>796</v>
      </c>
      <c r="B43" s="59"/>
      <c r="C43" s="59"/>
      <c r="D43" s="59"/>
      <c r="E43" s="59"/>
      <c r="F43" s="59"/>
      <c r="G43" s="59"/>
      <c r="H43" s="59"/>
      <c r="I43" s="59"/>
      <c r="J43" s="374"/>
      <c r="K43" s="372"/>
      <c r="N43" t="s">
        <v>1080</v>
      </c>
      <c r="O43" s="533">
        <v>1518181176</v>
      </c>
    </row>
    <row r="44" spans="1:30" x14ac:dyDescent="0.3">
      <c r="J44" s="372"/>
      <c r="K44" s="372"/>
      <c r="N44" t="s">
        <v>760</v>
      </c>
      <c r="O44" s="533">
        <v>1433813959</v>
      </c>
    </row>
    <row r="45" spans="1:30" x14ac:dyDescent="0.3">
      <c r="B45" s="393" t="s">
        <v>731</v>
      </c>
      <c r="J45" s="372"/>
      <c r="K45" s="372"/>
      <c r="N45" t="s">
        <v>759</v>
      </c>
      <c r="O45" s="533">
        <v>1581520308</v>
      </c>
    </row>
    <row r="46" spans="1:30" x14ac:dyDescent="0.3">
      <c r="B46" s="144"/>
      <c r="C46" s="144"/>
      <c r="D46" s="144"/>
      <c r="E46" s="144"/>
      <c r="F46" s="144"/>
      <c r="G46" s="391" t="s">
        <v>716</v>
      </c>
      <c r="H46" s="389">
        <v>0.8</v>
      </c>
      <c r="I46" s="144"/>
      <c r="J46" s="372"/>
      <c r="K46" s="372"/>
      <c r="N46" t="s">
        <v>758</v>
      </c>
      <c r="O46" s="533">
        <v>1459185469.8503332</v>
      </c>
    </row>
    <row r="47" spans="1:30" x14ac:dyDescent="0.3">
      <c r="B47" s="144"/>
      <c r="C47" s="144"/>
      <c r="D47" s="144"/>
      <c r="E47" s="144"/>
      <c r="F47" s="144"/>
      <c r="G47" s="391" t="s">
        <v>715</v>
      </c>
      <c r="H47" s="388">
        <v>52.101626139339139</v>
      </c>
      <c r="I47" s="395"/>
      <c r="J47" s="372"/>
      <c r="K47" s="372"/>
      <c r="N47" t="s">
        <v>757</v>
      </c>
      <c r="O47" s="533">
        <v>1222220626</v>
      </c>
    </row>
    <row r="48" spans="1:30" x14ac:dyDescent="0.3">
      <c r="B48" s="144"/>
      <c r="C48" s="387" t="s">
        <v>692</v>
      </c>
      <c r="D48" s="386" t="s">
        <v>712</v>
      </c>
      <c r="E48" s="386" t="s">
        <v>760</v>
      </c>
      <c r="F48" s="386" t="s">
        <v>759</v>
      </c>
      <c r="G48" s="386" t="s">
        <v>758</v>
      </c>
      <c r="H48" s="385">
        <v>2013</v>
      </c>
      <c r="I48" s="144"/>
      <c r="J48" s="372"/>
      <c r="K48" s="372"/>
      <c r="N48" t="s">
        <v>1081</v>
      </c>
      <c r="O48" s="533">
        <v>1226985238</v>
      </c>
    </row>
    <row r="49" spans="1:15" x14ac:dyDescent="0.3">
      <c r="B49" s="144"/>
      <c r="C49" s="382" t="s">
        <v>687</v>
      </c>
      <c r="D49" s="381" t="s">
        <v>313</v>
      </c>
      <c r="E49" s="383">
        <v>0.66</v>
      </c>
      <c r="F49" s="383">
        <v>0.6244282200519562</v>
      </c>
      <c r="G49" s="383">
        <v>0.68893381579403112</v>
      </c>
      <c r="H49" s="421">
        <v>0.66</v>
      </c>
      <c r="I49" s="407" t="s">
        <v>750</v>
      </c>
      <c r="J49" s="372"/>
      <c r="K49" s="372"/>
      <c r="N49" t="s">
        <v>1082</v>
      </c>
      <c r="O49" s="533">
        <v>1254506280</v>
      </c>
    </row>
    <row r="50" spans="1:15" x14ac:dyDescent="0.3">
      <c r="B50" s="144"/>
      <c r="C50" s="382" t="s">
        <v>691</v>
      </c>
      <c r="D50" s="381" t="s">
        <v>708</v>
      </c>
      <c r="E50" s="397">
        <v>2212540</v>
      </c>
      <c r="F50" s="397">
        <v>1683977.1115999997</v>
      </c>
      <c r="G50" s="397">
        <v>2028828.216</v>
      </c>
      <c r="H50" s="419">
        <v>2042906.7080796042</v>
      </c>
      <c r="I50" s="407" t="s">
        <v>753</v>
      </c>
      <c r="J50" s="373">
        <f>H50</f>
        <v>2042906.7080796042</v>
      </c>
      <c r="K50" s="372" t="s">
        <v>690</v>
      </c>
      <c r="N50" t="s">
        <v>1083</v>
      </c>
      <c r="O50" s="533">
        <v>1301620896</v>
      </c>
    </row>
    <row r="51" spans="1:15" x14ac:dyDescent="0.3">
      <c r="B51" s="144"/>
      <c r="C51" s="378" t="s">
        <v>684</v>
      </c>
      <c r="D51" s="377" t="s">
        <v>708</v>
      </c>
      <c r="E51" s="396">
        <v>1460276.4000000001</v>
      </c>
      <c r="F51" s="396">
        <v>1051522.8304046222</v>
      </c>
      <c r="G51" s="396">
        <v>1397728.3644394767</v>
      </c>
      <c r="H51" s="420">
        <v>1348318.4273325389</v>
      </c>
      <c r="I51" s="144"/>
      <c r="J51" s="373">
        <f>H51</f>
        <v>1348318.4273325389</v>
      </c>
      <c r="K51" s="372" t="s">
        <v>689</v>
      </c>
      <c r="N51" t="s">
        <v>1084</v>
      </c>
      <c r="O51" s="533">
        <v>1107332072</v>
      </c>
    </row>
    <row r="52" spans="1:15" x14ac:dyDescent="0.3">
      <c r="B52" s="144"/>
      <c r="C52" s="144"/>
      <c r="D52" s="144"/>
      <c r="E52" s="144"/>
      <c r="F52" s="144"/>
      <c r="G52" s="144"/>
      <c r="H52" s="144"/>
      <c r="I52" s="144"/>
      <c r="J52" s="372"/>
      <c r="K52" s="372"/>
      <c r="N52" t="s">
        <v>1085</v>
      </c>
      <c r="O52" s="533">
        <v>1100299977</v>
      </c>
    </row>
    <row r="53" spans="1:15" x14ac:dyDescent="0.3">
      <c r="B53" s="144"/>
      <c r="C53" s="144"/>
      <c r="D53" s="144"/>
      <c r="E53" s="144"/>
      <c r="F53" s="144"/>
      <c r="G53" s="391" t="s">
        <v>716</v>
      </c>
      <c r="H53" s="389">
        <v>0.8</v>
      </c>
      <c r="I53" s="144"/>
      <c r="J53" s="372"/>
      <c r="K53" s="372"/>
      <c r="N53" t="s">
        <v>1086</v>
      </c>
      <c r="O53" s="533">
        <v>1130022943</v>
      </c>
    </row>
    <row r="54" spans="1:15" x14ac:dyDescent="0.3">
      <c r="B54" s="144"/>
      <c r="C54" s="144"/>
      <c r="D54" s="144"/>
      <c r="E54" s="144"/>
      <c r="F54" s="144"/>
      <c r="G54" s="391" t="s">
        <v>715</v>
      </c>
      <c r="H54" s="388">
        <v>0.82164562786308082</v>
      </c>
      <c r="I54" s="395"/>
      <c r="J54" s="372"/>
      <c r="K54" s="372"/>
      <c r="N54" t="s">
        <v>1087</v>
      </c>
      <c r="O54" s="533">
        <v>720022666</v>
      </c>
    </row>
    <row r="55" spans="1:15" x14ac:dyDescent="0.3">
      <c r="B55" s="144"/>
      <c r="C55" s="387" t="s">
        <v>791</v>
      </c>
      <c r="D55" s="386" t="s">
        <v>712</v>
      </c>
      <c r="E55" s="386" t="s">
        <v>760</v>
      </c>
      <c r="F55" s="386" t="s">
        <v>759</v>
      </c>
      <c r="G55" s="386" t="s">
        <v>758</v>
      </c>
      <c r="H55" s="385" t="s">
        <v>757</v>
      </c>
      <c r="I55" s="144"/>
      <c r="J55" s="372"/>
      <c r="K55" s="372"/>
    </row>
    <row r="56" spans="1:15" x14ac:dyDescent="0.3">
      <c r="B56" s="144"/>
      <c r="C56" s="382" t="s">
        <v>748</v>
      </c>
      <c r="D56" s="381" t="s">
        <v>313</v>
      </c>
      <c r="E56" s="381">
        <v>0.65</v>
      </c>
      <c r="F56" s="381">
        <v>0.55000000000000004</v>
      </c>
      <c r="G56" s="381">
        <v>0.55000000000000004</v>
      </c>
      <c r="H56" s="417">
        <v>0.65</v>
      </c>
      <c r="I56" s="395" t="s">
        <v>750</v>
      </c>
      <c r="J56" s="372"/>
      <c r="K56" s="372"/>
    </row>
    <row r="57" spans="1:15" x14ac:dyDescent="0.3">
      <c r="B57" s="144"/>
      <c r="C57" s="382" t="s">
        <v>746</v>
      </c>
      <c r="D57" s="381" t="s">
        <v>708</v>
      </c>
      <c r="E57" s="397">
        <v>51897.161602409644</v>
      </c>
      <c r="F57" s="397">
        <v>27765.762900686772</v>
      </c>
      <c r="G57" s="397">
        <v>28726.610110042155</v>
      </c>
      <c r="H57" s="419">
        <v>27865.496411478773</v>
      </c>
      <c r="I57" s="144"/>
      <c r="J57" s="373">
        <f>H57</f>
        <v>27865.496411478773</v>
      </c>
      <c r="K57" s="372" t="s">
        <v>744</v>
      </c>
    </row>
    <row r="58" spans="1:15" x14ac:dyDescent="0.3">
      <c r="B58" s="144"/>
      <c r="C58" s="378" t="s">
        <v>684</v>
      </c>
      <c r="D58" s="377" t="s">
        <v>708</v>
      </c>
      <c r="E58" s="396">
        <v>33733.155041566271</v>
      </c>
      <c r="F58" s="396">
        <v>15271.169595377725</v>
      </c>
      <c r="G58" s="396">
        <v>15799.635560523186</v>
      </c>
      <c r="H58" s="396">
        <v>18112.572667461201</v>
      </c>
      <c r="I58" s="144"/>
      <c r="J58" s="373">
        <f>H58</f>
        <v>18112.572667461201</v>
      </c>
      <c r="K58" s="372" t="s">
        <v>742</v>
      </c>
    </row>
    <row r="59" spans="1:15" x14ac:dyDescent="0.3">
      <c r="B59" s="144"/>
      <c r="C59" s="144"/>
      <c r="D59" s="144"/>
      <c r="E59" s="144"/>
      <c r="F59" s="144"/>
      <c r="G59" s="144"/>
      <c r="H59" s="144"/>
      <c r="I59" s="144"/>
      <c r="J59" s="372"/>
      <c r="K59" s="372"/>
    </row>
    <row r="60" spans="1:15" x14ac:dyDescent="0.3">
      <c r="B60" s="144"/>
      <c r="C60" s="406" t="s">
        <v>739</v>
      </c>
      <c r="D60" s="406" t="s">
        <v>708</v>
      </c>
      <c r="E60" s="405">
        <v>1494009.5550415665</v>
      </c>
      <c r="F60" s="405">
        <v>1066794</v>
      </c>
      <c r="G60" s="405">
        <v>1413528</v>
      </c>
      <c r="H60" s="405">
        <v>1366431</v>
      </c>
      <c r="I60" s="144"/>
      <c r="J60" s="372"/>
      <c r="K60" s="372"/>
    </row>
    <row r="61" spans="1:15" x14ac:dyDescent="0.3">
      <c r="J61" s="372"/>
      <c r="K61" s="372"/>
    </row>
    <row r="62" spans="1:15" x14ac:dyDescent="0.3">
      <c r="J62" s="372"/>
      <c r="K62" s="372"/>
    </row>
    <row r="63" spans="1:15" x14ac:dyDescent="0.3">
      <c r="J63" s="372"/>
      <c r="K63" s="372"/>
    </row>
    <row r="64" spans="1:15" ht="18" x14ac:dyDescent="0.35">
      <c r="A64" s="375" t="s">
        <v>795</v>
      </c>
      <c r="B64" s="59"/>
      <c r="C64" s="59"/>
      <c r="D64" s="59"/>
      <c r="E64" s="59"/>
      <c r="F64" s="59"/>
      <c r="G64" s="59"/>
      <c r="H64" s="59"/>
      <c r="I64" s="59"/>
      <c r="J64" s="374"/>
      <c r="K64" s="372"/>
    </row>
    <row r="65" spans="2:11" x14ac:dyDescent="0.3">
      <c r="J65" s="372"/>
      <c r="K65" s="372"/>
    </row>
    <row r="66" spans="2:11" x14ac:dyDescent="0.3">
      <c r="J66" s="372"/>
      <c r="K66" s="372"/>
    </row>
    <row r="67" spans="2:11" x14ac:dyDescent="0.3">
      <c r="B67" s="393" t="s">
        <v>731</v>
      </c>
      <c r="C67" s="144"/>
      <c r="D67" s="144"/>
      <c r="E67" s="144"/>
      <c r="F67" s="144"/>
      <c r="G67" s="144"/>
      <c r="H67" s="144"/>
      <c r="I67" s="144"/>
      <c r="J67" s="372"/>
      <c r="K67" s="372"/>
    </row>
    <row r="68" spans="2:11" x14ac:dyDescent="0.3">
      <c r="B68" s="144"/>
      <c r="C68" s="144"/>
      <c r="D68" s="144"/>
      <c r="E68" s="144"/>
      <c r="F68" s="144"/>
      <c r="G68" s="391" t="s">
        <v>716</v>
      </c>
      <c r="H68" s="389">
        <v>0.8</v>
      </c>
      <c r="I68" s="144"/>
      <c r="J68" s="372"/>
      <c r="K68" s="372"/>
    </row>
    <row r="69" spans="2:11" x14ac:dyDescent="0.3">
      <c r="B69" s="144"/>
      <c r="C69" s="144"/>
      <c r="D69" s="144"/>
      <c r="E69" s="144"/>
      <c r="F69" s="144"/>
      <c r="G69" s="391" t="s">
        <v>715</v>
      </c>
      <c r="H69" s="388">
        <v>94.930149766705057</v>
      </c>
      <c r="I69" s="395"/>
      <c r="J69" s="372"/>
      <c r="K69" s="372"/>
    </row>
    <row r="70" spans="2:11" x14ac:dyDescent="0.3">
      <c r="B70" s="144"/>
      <c r="C70" s="387" t="s">
        <v>692</v>
      </c>
      <c r="D70" s="386" t="s">
        <v>712</v>
      </c>
      <c r="E70" s="386" t="s">
        <v>760</v>
      </c>
      <c r="F70" s="386" t="s">
        <v>759</v>
      </c>
      <c r="G70" s="386" t="s">
        <v>758</v>
      </c>
      <c r="H70" s="385">
        <v>2013</v>
      </c>
      <c r="I70" s="144"/>
      <c r="J70" s="372"/>
      <c r="K70" s="372"/>
    </row>
    <row r="71" spans="2:11" x14ac:dyDescent="0.3">
      <c r="B71" s="144"/>
      <c r="C71" s="382" t="s">
        <v>687</v>
      </c>
      <c r="D71" s="381" t="s">
        <v>313</v>
      </c>
      <c r="E71" s="383">
        <v>0.76</v>
      </c>
      <c r="F71" s="383">
        <v>0.76</v>
      </c>
      <c r="G71" s="383">
        <v>0.76</v>
      </c>
      <c r="H71" s="383">
        <v>0.76</v>
      </c>
      <c r="I71" s="407" t="s">
        <v>750</v>
      </c>
      <c r="J71" s="372"/>
      <c r="K71" s="372"/>
    </row>
    <row r="72" spans="2:11" x14ac:dyDescent="0.3">
      <c r="B72" s="144"/>
      <c r="C72" s="382" t="s">
        <v>730</v>
      </c>
      <c r="D72" s="381"/>
      <c r="E72" s="383">
        <v>0.09</v>
      </c>
      <c r="F72" s="383">
        <v>0.09</v>
      </c>
      <c r="G72" s="383">
        <v>0.09</v>
      </c>
      <c r="H72" s="383">
        <v>0.09</v>
      </c>
      <c r="I72" s="407"/>
      <c r="J72" s="372"/>
      <c r="K72" s="372"/>
    </row>
    <row r="73" spans="2:11" x14ac:dyDescent="0.3">
      <c r="B73" s="144"/>
      <c r="C73" s="382" t="s">
        <v>691</v>
      </c>
      <c r="D73" s="381" t="s">
        <v>708</v>
      </c>
      <c r="E73" s="397">
        <v>3402442.7</v>
      </c>
      <c r="F73" s="397">
        <v>4056044.2</v>
      </c>
      <c r="G73" s="397">
        <v>3523075.08</v>
      </c>
      <c r="H73" s="397">
        <v>2870223.806201553</v>
      </c>
      <c r="I73" s="407" t="s">
        <v>779</v>
      </c>
      <c r="J73" s="373">
        <f>H73</f>
        <v>2870223.806201553</v>
      </c>
      <c r="K73" s="372" t="s">
        <v>690</v>
      </c>
    </row>
    <row r="74" spans="2:11" x14ac:dyDescent="0.3">
      <c r="B74" s="144"/>
      <c r="C74" s="378" t="s">
        <v>684</v>
      </c>
      <c r="D74" s="377" t="s">
        <v>708</v>
      </c>
      <c r="E74" s="396">
        <v>2353129.3713199999</v>
      </c>
      <c r="F74" s="396">
        <v>2805160.1687200004</v>
      </c>
      <c r="G74" s="396">
        <v>2436558.7253280003</v>
      </c>
      <c r="H74" s="396">
        <v>1985046.7843689942</v>
      </c>
      <c r="I74" s="144"/>
      <c r="J74" s="373">
        <f>H74</f>
        <v>1985046.7843689942</v>
      </c>
      <c r="K74" s="372" t="s">
        <v>689</v>
      </c>
    </row>
    <row r="75" spans="2:11" x14ac:dyDescent="0.3">
      <c r="B75" s="144"/>
      <c r="C75" s="144"/>
      <c r="D75" s="144"/>
      <c r="E75" s="144"/>
      <c r="F75" s="144"/>
      <c r="G75" s="144"/>
      <c r="H75" s="144"/>
      <c r="I75" s="144"/>
      <c r="J75" s="372"/>
      <c r="K75" s="372"/>
    </row>
    <row r="76" spans="2:11" x14ac:dyDescent="0.3">
      <c r="B76" s="144"/>
      <c r="C76" s="144"/>
      <c r="D76" s="144"/>
      <c r="E76" s="144"/>
      <c r="F76" s="144"/>
      <c r="G76" s="391" t="s">
        <v>716</v>
      </c>
      <c r="H76" s="389">
        <v>0.8</v>
      </c>
      <c r="I76" s="144"/>
      <c r="J76" s="372"/>
      <c r="K76" s="372"/>
    </row>
    <row r="77" spans="2:11" x14ac:dyDescent="0.3">
      <c r="B77" s="144"/>
      <c r="C77" s="144"/>
      <c r="D77" s="144"/>
      <c r="E77" s="144"/>
      <c r="F77" s="144"/>
      <c r="G77" s="391" t="s">
        <v>715</v>
      </c>
      <c r="H77" s="388">
        <v>40.621079679661989</v>
      </c>
      <c r="I77" s="395"/>
      <c r="J77" s="372"/>
      <c r="K77" s="372"/>
    </row>
    <row r="78" spans="2:11" x14ac:dyDescent="0.3">
      <c r="B78" s="144"/>
      <c r="C78" s="387" t="s">
        <v>794</v>
      </c>
      <c r="D78" s="386" t="s">
        <v>712</v>
      </c>
      <c r="E78" s="386" t="s">
        <v>760</v>
      </c>
      <c r="F78" s="386" t="s">
        <v>759</v>
      </c>
      <c r="G78" s="386" t="s">
        <v>758</v>
      </c>
      <c r="H78" s="385">
        <v>2013</v>
      </c>
      <c r="I78" s="144"/>
      <c r="J78" s="372"/>
      <c r="K78" s="372"/>
    </row>
    <row r="79" spans="2:11" x14ac:dyDescent="0.3">
      <c r="B79" s="144"/>
      <c r="C79" s="382" t="s">
        <v>687</v>
      </c>
      <c r="D79" s="381" t="s">
        <v>313</v>
      </c>
      <c r="E79" s="383">
        <v>0.87</v>
      </c>
      <c r="F79" s="383">
        <v>0.87</v>
      </c>
      <c r="G79" s="383">
        <v>0.87</v>
      </c>
      <c r="H79" s="383">
        <v>0.87</v>
      </c>
      <c r="I79" s="407" t="s">
        <v>750</v>
      </c>
      <c r="J79" s="372"/>
      <c r="K79" s="372"/>
    </row>
    <row r="80" spans="2:11" x14ac:dyDescent="0.3">
      <c r="B80" s="144"/>
      <c r="C80" s="382" t="s">
        <v>730</v>
      </c>
      <c r="D80" s="381"/>
      <c r="E80" s="383">
        <v>0.03</v>
      </c>
      <c r="F80" s="383">
        <v>0.03</v>
      </c>
      <c r="G80" s="383">
        <v>0.03</v>
      </c>
      <c r="H80" s="383">
        <v>0.03</v>
      </c>
      <c r="I80" s="407"/>
      <c r="J80" s="372"/>
      <c r="K80" s="372"/>
    </row>
    <row r="81" spans="2:11" x14ac:dyDescent="0.3">
      <c r="B81" s="144"/>
      <c r="C81" s="382" t="s">
        <v>793</v>
      </c>
      <c r="D81" s="381" t="s">
        <v>708</v>
      </c>
      <c r="E81" s="397">
        <v>1598054</v>
      </c>
      <c r="F81" s="397">
        <v>1570979</v>
      </c>
      <c r="G81" s="397">
        <v>930468.55000000016</v>
      </c>
      <c r="H81" s="397">
        <v>758046.00313310395</v>
      </c>
      <c r="I81" s="407" t="s">
        <v>792</v>
      </c>
      <c r="J81" s="373">
        <f>H81</f>
        <v>758046.00313310395</v>
      </c>
      <c r="K81" s="372" t="s">
        <v>685</v>
      </c>
    </row>
    <row r="82" spans="2:11" x14ac:dyDescent="0.3">
      <c r="B82" s="144"/>
      <c r="C82" s="378" t="s">
        <v>684</v>
      </c>
      <c r="D82" s="377" t="s">
        <v>708</v>
      </c>
      <c r="E82" s="396">
        <v>1348597.7705999999</v>
      </c>
      <c r="F82" s="396">
        <v>1325749.1780999999</v>
      </c>
      <c r="G82" s="396">
        <v>785222.40934500005</v>
      </c>
      <c r="H82" s="396">
        <v>639715.02204402641</v>
      </c>
      <c r="I82" s="144"/>
      <c r="J82" s="373">
        <f>H82</f>
        <v>639715.02204402641</v>
      </c>
      <c r="K82" s="372" t="s">
        <v>683</v>
      </c>
    </row>
    <row r="83" spans="2:11" x14ac:dyDescent="0.3">
      <c r="B83" s="144"/>
      <c r="C83" s="144"/>
      <c r="D83" s="144"/>
      <c r="E83" s="144"/>
      <c r="F83" s="144"/>
      <c r="G83" s="144"/>
      <c r="H83" s="144"/>
      <c r="I83" s="144"/>
      <c r="J83" s="372"/>
      <c r="K83" s="372"/>
    </row>
    <row r="84" spans="2:11" x14ac:dyDescent="0.3">
      <c r="B84" s="144"/>
      <c r="C84" s="144"/>
      <c r="D84" s="144"/>
      <c r="E84" s="144"/>
      <c r="F84" s="144"/>
      <c r="G84" s="391" t="s">
        <v>716</v>
      </c>
      <c r="H84" s="389">
        <v>0.8</v>
      </c>
      <c r="I84" s="144"/>
      <c r="J84" s="372"/>
      <c r="K84" s="372"/>
    </row>
    <row r="85" spans="2:11" x14ac:dyDescent="0.3">
      <c r="B85" s="144"/>
      <c r="C85" s="144"/>
      <c r="D85" s="144"/>
      <c r="E85" s="144"/>
      <c r="F85" s="144"/>
      <c r="G85" s="391" t="s">
        <v>715</v>
      </c>
      <c r="H85" s="388">
        <v>51.596057415445898</v>
      </c>
      <c r="I85" s="395"/>
      <c r="J85" s="372"/>
      <c r="K85" s="372"/>
    </row>
    <row r="86" spans="2:11" x14ac:dyDescent="0.3">
      <c r="B86" s="144"/>
      <c r="C86" s="387" t="s">
        <v>764</v>
      </c>
      <c r="D86" s="386" t="s">
        <v>712</v>
      </c>
      <c r="E86" s="386" t="s">
        <v>760</v>
      </c>
      <c r="F86" s="386" t="s">
        <v>759</v>
      </c>
      <c r="G86" s="386" t="s">
        <v>758</v>
      </c>
      <c r="H86" s="385" t="s">
        <v>757</v>
      </c>
      <c r="I86" s="144"/>
      <c r="J86" s="372"/>
      <c r="K86" s="372"/>
    </row>
    <row r="87" spans="2:11" x14ac:dyDescent="0.3">
      <c r="B87" s="144"/>
      <c r="C87" s="382" t="s">
        <v>748</v>
      </c>
      <c r="D87" s="381" t="s">
        <v>313</v>
      </c>
      <c r="E87" s="381">
        <v>0.64</v>
      </c>
      <c r="F87" s="381">
        <v>0.64</v>
      </c>
      <c r="G87" s="381">
        <v>0.64</v>
      </c>
      <c r="H87" s="381">
        <v>0.64</v>
      </c>
      <c r="I87" s="395" t="s">
        <v>750</v>
      </c>
      <c r="J87" s="372"/>
      <c r="K87" s="372"/>
    </row>
    <row r="88" spans="2:11" x14ac:dyDescent="0.3">
      <c r="B88" s="144"/>
      <c r="C88" s="382" t="s">
        <v>730</v>
      </c>
      <c r="D88" s="381"/>
      <c r="E88" s="381">
        <v>0.12</v>
      </c>
      <c r="F88" s="381">
        <v>0.12</v>
      </c>
      <c r="G88" s="381">
        <v>0.12</v>
      </c>
      <c r="H88" s="381">
        <v>0.12</v>
      </c>
      <c r="I88" s="395"/>
      <c r="J88" s="372"/>
      <c r="K88" s="372"/>
    </row>
    <row r="89" spans="2:11" x14ac:dyDescent="0.3">
      <c r="B89" s="144"/>
      <c r="C89" s="382" t="s">
        <v>746</v>
      </c>
      <c r="D89" s="381" t="s">
        <v>708</v>
      </c>
      <c r="E89" s="397">
        <v>3289235.79006</v>
      </c>
      <c r="F89" s="397">
        <v>3621636.0093100006</v>
      </c>
      <c r="G89" s="397">
        <v>1286280.3082425999</v>
      </c>
      <c r="H89" s="397">
        <v>1047923.2711004791</v>
      </c>
      <c r="I89" s="395"/>
      <c r="J89" s="373">
        <f>H89</f>
        <v>1047923.2711004791</v>
      </c>
      <c r="K89" s="372" t="s">
        <v>744</v>
      </c>
    </row>
    <row r="90" spans="2:11" x14ac:dyDescent="0.3">
      <c r="B90" s="144"/>
      <c r="C90" s="378" t="s">
        <v>684</v>
      </c>
      <c r="D90" s="377" t="s">
        <v>708</v>
      </c>
      <c r="E90" s="396">
        <v>1852497.5969617921</v>
      </c>
      <c r="F90" s="396">
        <v>2039705.4004433921</v>
      </c>
      <c r="G90" s="396">
        <v>724433.06960223231</v>
      </c>
      <c r="H90" s="396">
        <v>590190.38628378976</v>
      </c>
      <c r="I90" s="144"/>
      <c r="J90" s="373">
        <f>H90</f>
        <v>590190.38628378976</v>
      </c>
      <c r="K90" s="372" t="s">
        <v>742</v>
      </c>
    </row>
    <row r="91" spans="2:11" x14ac:dyDescent="0.3">
      <c r="B91" s="144"/>
      <c r="C91" s="144"/>
      <c r="D91" s="144"/>
      <c r="E91" s="144"/>
      <c r="F91" s="144"/>
      <c r="G91" s="144"/>
      <c r="H91" s="144"/>
      <c r="I91" s="144"/>
      <c r="J91" s="372"/>
      <c r="K91" s="372"/>
    </row>
    <row r="92" spans="2:11" x14ac:dyDescent="0.3">
      <c r="B92" s="144"/>
      <c r="C92" s="144"/>
      <c r="D92" s="144"/>
      <c r="E92" s="144"/>
      <c r="F92" s="144"/>
      <c r="G92" s="391" t="s">
        <v>716</v>
      </c>
      <c r="H92" s="389">
        <v>0.8</v>
      </c>
      <c r="I92" s="144"/>
      <c r="J92" s="372"/>
      <c r="K92" s="372"/>
    </row>
    <row r="93" spans="2:11" x14ac:dyDescent="0.3">
      <c r="B93" s="144"/>
      <c r="C93" s="144"/>
      <c r="D93" s="144"/>
      <c r="E93" s="144"/>
      <c r="F93" s="144"/>
      <c r="G93" s="391" t="s">
        <v>715</v>
      </c>
      <c r="H93" s="388">
        <v>1.4694607956710189E-2</v>
      </c>
      <c r="I93" s="395"/>
      <c r="J93" s="372"/>
      <c r="K93" s="372"/>
    </row>
    <row r="94" spans="2:11" x14ac:dyDescent="0.3">
      <c r="B94" s="144"/>
      <c r="C94" s="387" t="s">
        <v>791</v>
      </c>
      <c r="D94" s="386" t="s">
        <v>712</v>
      </c>
      <c r="E94" s="386" t="s">
        <v>760</v>
      </c>
      <c r="F94" s="386" t="s">
        <v>759</v>
      </c>
      <c r="G94" s="386" t="s">
        <v>758</v>
      </c>
      <c r="H94" s="385" t="s">
        <v>757</v>
      </c>
      <c r="I94" s="144"/>
      <c r="J94" s="372"/>
      <c r="K94" s="372"/>
    </row>
    <row r="95" spans="2:11" x14ac:dyDescent="0.3">
      <c r="B95" s="144"/>
      <c r="C95" s="382" t="s">
        <v>748</v>
      </c>
      <c r="D95" s="381" t="s">
        <v>313</v>
      </c>
      <c r="E95" s="381">
        <v>0.65</v>
      </c>
      <c r="F95" s="381">
        <v>0.65</v>
      </c>
      <c r="G95" s="381">
        <v>0.65</v>
      </c>
      <c r="H95" s="381">
        <v>0.65</v>
      </c>
      <c r="I95" s="395" t="s">
        <v>750</v>
      </c>
      <c r="J95" s="372"/>
      <c r="K95" s="372"/>
    </row>
    <row r="96" spans="2:11" x14ac:dyDescent="0.3">
      <c r="B96" s="144"/>
      <c r="C96" s="382" t="s">
        <v>730</v>
      </c>
      <c r="D96" s="381"/>
      <c r="E96" s="381">
        <v>0.12</v>
      </c>
      <c r="F96" s="381">
        <v>0.12</v>
      </c>
      <c r="G96" s="381">
        <v>0.12</v>
      </c>
      <c r="H96" s="381">
        <v>0.12</v>
      </c>
      <c r="I96" s="395"/>
      <c r="J96" s="372"/>
      <c r="K96" s="372"/>
    </row>
    <row r="97" spans="2:11" x14ac:dyDescent="0.3">
      <c r="B97" s="144"/>
      <c r="C97" s="382" t="s">
        <v>746</v>
      </c>
      <c r="D97" s="381" t="s">
        <v>708</v>
      </c>
      <c r="E97" s="397">
        <v>2592.4987777499996</v>
      </c>
      <c r="F97" s="397">
        <v>0</v>
      </c>
      <c r="G97" s="397">
        <v>0</v>
      </c>
      <c r="H97" s="419">
        <v>0</v>
      </c>
      <c r="I97" s="395" t="s">
        <v>790</v>
      </c>
      <c r="J97" s="372"/>
      <c r="K97" s="372" t="s">
        <v>744</v>
      </c>
    </row>
    <row r="98" spans="2:11" x14ac:dyDescent="0.3">
      <c r="B98" s="144"/>
      <c r="C98" s="378" t="s">
        <v>684</v>
      </c>
      <c r="D98" s="377" t="s">
        <v>708</v>
      </c>
      <c r="E98" s="396">
        <v>1482.9093008729999</v>
      </c>
      <c r="F98" s="396">
        <v>0</v>
      </c>
      <c r="G98" s="396">
        <v>0</v>
      </c>
      <c r="H98" s="396">
        <v>0</v>
      </c>
      <c r="I98" s="144"/>
      <c r="J98" s="372"/>
      <c r="K98" s="372" t="s">
        <v>742</v>
      </c>
    </row>
    <row r="99" spans="2:11" x14ac:dyDescent="0.3">
      <c r="B99" s="144"/>
      <c r="C99" s="144"/>
      <c r="D99" s="144"/>
      <c r="E99" s="144"/>
      <c r="F99" s="144"/>
      <c r="G99" s="144"/>
      <c r="H99" s="144"/>
      <c r="I99" s="144"/>
      <c r="J99" s="372"/>
      <c r="K99" s="372"/>
    </row>
    <row r="100" spans="2:11" x14ac:dyDescent="0.3">
      <c r="B100" s="144"/>
      <c r="C100" s="406" t="s">
        <v>739</v>
      </c>
      <c r="D100" s="406" t="s">
        <v>708</v>
      </c>
      <c r="E100" s="405">
        <v>5555707.648182665</v>
      </c>
      <c r="F100" s="405">
        <v>6170614.7472633924</v>
      </c>
      <c r="G100" s="405">
        <v>3946214.2042752327</v>
      </c>
      <c r="H100" s="405">
        <v>3214952.1926968102</v>
      </c>
      <c r="I100" s="144"/>
      <c r="J100" s="372"/>
      <c r="K100" s="372"/>
    </row>
    <row r="101" spans="2:11" x14ac:dyDescent="0.3">
      <c r="J101" s="372"/>
      <c r="K101" s="372"/>
    </row>
    <row r="102" spans="2:11" x14ac:dyDescent="0.3">
      <c r="J102" s="372"/>
      <c r="K102" s="372"/>
    </row>
    <row r="103" spans="2:11" x14ac:dyDescent="0.3">
      <c r="J103" s="372"/>
      <c r="K103" s="372"/>
    </row>
    <row r="104" spans="2:11" x14ac:dyDescent="0.3">
      <c r="B104" s="393" t="s">
        <v>789</v>
      </c>
      <c r="J104" s="372"/>
      <c r="K104" s="372"/>
    </row>
    <row r="105" spans="2:11" x14ac:dyDescent="0.3">
      <c r="C105" s="144"/>
      <c r="D105" s="144"/>
      <c r="E105" s="144"/>
      <c r="F105" s="144"/>
      <c r="G105" s="144"/>
      <c r="H105" s="144"/>
      <c r="I105" s="144"/>
      <c r="J105" s="372"/>
      <c r="K105" s="372"/>
    </row>
    <row r="106" spans="2:11" x14ac:dyDescent="0.3">
      <c r="B106" s="144"/>
      <c r="C106" s="387" t="s">
        <v>788</v>
      </c>
      <c r="D106" s="386" t="s">
        <v>712</v>
      </c>
      <c r="E106" s="386" t="s">
        <v>760</v>
      </c>
      <c r="F106" s="386" t="s">
        <v>759</v>
      </c>
      <c r="G106" s="386" t="s">
        <v>758</v>
      </c>
      <c r="H106" s="385" t="s">
        <v>757</v>
      </c>
      <c r="I106" s="144"/>
      <c r="J106" s="372"/>
      <c r="K106" s="372"/>
    </row>
    <row r="107" spans="2:11" x14ac:dyDescent="0.3">
      <c r="B107" s="144"/>
      <c r="C107" s="382" t="s">
        <v>787</v>
      </c>
      <c r="D107" s="381" t="s">
        <v>708</v>
      </c>
      <c r="E107" s="418">
        <v>1401719.7486415613</v>
      </c>
      <c r="F107" s="381">
        <v>1333671</v>
      </c>
      <c r="G107" s="381">
        <v>1131103</v>
      </c>
      <c r="H107" s="417">
        <v>862495</v>
      </c>
      <c r="I107" s="144"/>
      <c r="J107" s="372"/>
      <c r="K107" s="372"/>
    </row>
    <row r="108" spans="2:11" x14ac:dyDescent="0.3">
      <c r="B108" s="144"/>
      <c r="C108" s="378" t="s">
        <v>786</v>
      </c>
      <c r="D108" s="377" t="s">
        <v>708</v>
      </c>
      <c r="E108" s="416">
        <v>275430.12335843872</v>
      </c>
      <c r="F108" s="377">
        <v>282190</v>
      </c>
      <c r="G108" s="377">
        <v>157926</v>
      </c>
      <c r="H108" s="410">
        <v>2038</v>
      </c>
      <c r="I108" s="407" t="s">
        <v>785</v>
      </c>
      <c r="J108" s="372">
        <f>H108</f>
        <v>2038</v>
      </c>
      <c r="K108" s="372" t="s">
        <v>707</v>
      </c>
    </row>
    <row r="109" spans="2:11" x14ac:dyDescent="0.3">
      <c r="B109" s="144"/>
      <c r="C109" s="395" t="s">
        <v>784</v>
      </c>
      <c r="D109" s="395"/>
      <c r="E109" s="415">
        <v>0.16422511068136594</v>
      </c>
      <c r="F109" s="415">
        <v>0.17463754617507324</v>
      </c>
      <c r="G109" s="414">
        <v>0.12251546366814446</v>
      </c>
      <c r="H109" s="414">
        <v>2.357342056347184E-3</v>
      </c>
      <c r="I109" s="407"/>
      <c r="J109" s="372"/>
      <c r="K109" s="372"/>
    </row>
    <row r="110" spans="2:11" x14ac:dyDescent="0.3">
      <c r="J110" s="372"/>
      <c r="K110" s="372"/>
    </row>
    <row r="111" spans="2:11" x14ac:dyDescent="0.3">
      <c r="J111" s="372"/>
      <c r="K111" s="372"/>
    </row>
    <row r="112" spans="2:11" x14ac:dyDescent="0.3">
      <c r="J112" s="372"/>
      <c r="K112" s="372"/>
    </row>
    <row r="113" spans="1:14" ht="18" x14ac:dyDescent="0.35">
      <c r="A113" s="375" t="s">
        <v>783</v>
      </c>
      <c r="B113" s="59"/>
      <c r="C113" s="59"/>
      <c r="D113" s="59"/>
      <c r="E113" s="59"/>
      <c r="F113" s="59"/>
      <c r="G113" s="59"/>
      <c r="H113" s="59"/>
      <c r="I113" s="59"/>
      <c r="J113" s="374"/>
      <c r="K113" s="372"/>
    </row>
    <row r="114" spans="1:14" x14ac:dyDescent="0.3">
      <c r="J114" s="372"/>
      <c r="K114" s="372"/>
    </row>
    <row r="115" spans="1:14" x14ac:dyDescent="0.3">
      <c r="J115" s="372"/>
      <c r="K115" s="372"/>
    </row>
    <row r="116" spans="1:14" x14ac:dyDescent="0.3">
      <c r="B116" s="393" t="s">
        <v>731</v>
      </c>
      <c r="C116" s="144"/>
      <c r="D116" s="144"/>
      <c r="E116" s="144"/>
      <c r="F116" s="144"/>
      <c r="G116" s="144"/>
      <c r="H116" s="144"/>
      <c r="I116" s="407"/>
      <c r="J116" s="372"/>
      <c r="K116" s="372"/>
    </row>
    <row r="117" spans="1:14" x14ac:dyDescent="0.3">
      <c r="B117" s="144"/>
      <c r="C117" s="144"/>
      <c r="D117" s="144"/>
      <c r="E117" s="144"/>
      <c r="F117" s="144"/>
      <c r="G117" s="391" t="s">
        <v>716</v>
      </c>
      <c r="H117" s="389">
        <v>0.8</v>
      </c>
      <c r="I117" s="407"/>
      <c r="J117" s="372"/>
      <c r="K117" s="372"/>
    </row>
    <row r="118" spans="1:14" x14ac:dyDescent="0.3">
      <c r="B118" s="144"/>
      <c r="C118" s="144"/>
      <c r="D118" s="144"/>
      <c r="E118" s="144"/>
      <c r="F118" s="144"/>
      <c r="G118" s="391" t="s">
        <v>715</v>
      </c>
      <c r="H118" s="388">
        <v>343.78104978142369</v>
      </c>
      <c r="I118" s="407"/>
      <c r="J118" s="372"/>
      <c r="K118" s="372"/>
    </row>
    <row r="119" spans="1:14" x14ac:dyDescent="0.3">
      <c r="B119" s="144"/>
      <c r="C119" s="387" t="s">
        <v>782</v>
      </c>
      <c r="D119" s="386" t="s">
        <v>712</v>
      </c>
      <c r="E119" s="386" t="s">
        <v>760</v>
      </c>
      <c r="F119" s="386" t="s">
        <v>759</v>
      </c>
      <c r="G119" s="386" t="s">
        <v>758</v>
      </c>
      <c r="H119" s="385">
        <v>2013</v>
      </c>
      <c r="I119" s="407"/>
      <c r="J119" s="372"/>
      <c r="K119" s="372"/>
    </row>
    <row r="120" spans="1:14" x14ac:dyDescent="0.3">
      <c r="B120" s="144"/>
      <c r="C120" s="382" t="s">
        <v>781</v>
      </c>
      <c r="D120" s="381" t="s">
        <v>313</v>
      </c>
      <c r="E120" s="383">
        <v>0.76</v>
      </c>
      <c r="F120" s="383">
        <v>0.76</v>
      </c>
      <c r="G120" s="383">
        <v>0.76</v>
      </c>
      <c r="H120" s="383">
        <v>0.76</v>
      </c>
      <c r="I120" s="407" t="s">
        <v>750</v>
      </c>
      <c r="J120" s="372"/>
      <c r="K120" s="372"/>
    </row>
    <row r="121" spans="1:14" x14ac:dyDescent="0.3">
      <c r="B121" s="144"/>
      <c r="C121" s="382" t="s">
        <v>780</v>
      </c>
      <c r="D121" s="381"/>
      <c r="E121" s="383">
        <v>0.09</v>
      </c>
      <c r="F121" s="383">
        <v>0.09</v>
      </c>
      <c r="G121" s="383">
        <v>0.09</v>
      </c>
      <c r="H121" s="383">
        <v>0.09</v>
      </c>
      <c r="I121" s="407" t="s">
        <v>756</v>
      </c>
      <c r="J121" s="372"/>
      <c r="K121" s="372"/>
      <c r="N121" s="264" t="s">
        <v>940</v>
      </c>
    </row>
    <row r="122" spans="1:14" x14ac:dyDescent="0.3">
      <c r="B122" s="144"/>
      <c r="C122" s="382" t="s">
        <v>691</v>
      </c>
      <c r="D122" s="381" t="s">
        <v>708</v>
      </c>
      <c r="E122" s="397">
        <v>11272133.299999999</v>
      </c>
      <c r="F122" s="397">
        <v>12636797.5255</v>
      </c>
      <c r="G122" s="397">
        <v>12007844.75512773</v>
      </c>
      <c r="H122" s="397">
        <v>12010455.367484022</v>
      </c>
      <c r="I122" s="407" t="s">
        <v>779</v>
      </c>
      <c r="J122" s="372">
        <f>H122</f>
        <v>12010455.367484022</v>
      </c>
      <c r="K122" s="372" t="s">
        <v>778</v>
      </c>
      <c r="N122" t="s">
        <v>939</v>
      </c>
    </row>
    <row r="123" spans="1:14" x14ac:dyDescent="0.3">
      <c r="B123" s="144"/>
      <c r="C123" s="382" t="s">
        <v>777</v>
      </c>
      <c r="D123" s="381"/>
      <c r="E123" s="398">
        <v>0.86</v>
      </c>
      <c r="F123" s="398">
        <v>0.86</v>
      </c>
      <c r="G123" s="398">
        <v>0.86</v>
      </c>
      <c r="H123" s="398">
        <v>0.86</v>
      </c>
      <c r="I123" s="407" t="s">
        <v>756</v>
      </c>
      <c r="J123" s="372"/>
      <c r="K123" s="372"/>
      <c r="N123" t="s">
        <v>941</v>
      </c>
    </row>
    <row r="124" spans="1:14" x14ac:dyDescent="0.3">
      <c r="B124" s="144"/>
      <c r="C124" s="382" t="s">
        <v>776</v>
      </c>
      <c r="D124" s="381"/>
      <c r="E124" s="398">
        <v>0.04</v>
      </c>
      <c r="F124" s="398">
        <v>0.04</v>
      </c>
      <c r="G124" s="398">
        <v>0.04</v>
      </c>
      <c r="H124" s="398">
        <v>0.04</v>
      </c>
      <c r="I124" s="407" t="s">
        <v>756</v>
      </c>
      <c r="J124" s="372"/>
      <c r="K124" s="372"/>
    </row>
    <row r="125" spans="1:14" x14ac:dyDescent="0.3">
      <c r="B125" s="144"/>
      <c r="C125" s="382" t="s">
        <v>775</v>
      </c>
      <c r="D125" s="381"/>
      <c r="E125" s="397">
        <v>544009.67450000008</v>
      </c>
      <c r="F125" s="397">
        <v>451672.61749999999</v>
      </c>
      <c r="G125" s="397">
        <v>438557.68711848865</v>
      </c>
      <c r="H125" s="397">
        <v>438653.03346417233</v>
      </c>
      <c r="I125" s="407" t="s">
        <v>774</v>
      </c>
      <c r="J125" s="372">
        <f>H125</f>
        <v>438653.03346417233</v>
      </c>
      <c r="K125" s="372" t="s">
        <v>773</v>
      </c>
      <c r="N125" s="264" t="s">
        <v>942</v>
      </c>
    </row>
    <row r="126" spans="1:14" x14ac:dyDescent="0.3">
      <c r="B126" s="144"/>
      <c r="C126" s="378" t="s">
        <v>684</v>
      </c>
      <c r="D126" s="377" t="s">
        <v>708</v>
      </c>
      <c r="E126" s="396">
        <v>8244941.7775471993</v>
      </c>
      <c r="F126" s="396">
        <v>9112510.0816437993</v>
      </c>
      <c r="G126" s="396">
        <v>8666698.659131363</v>
      </c>
      <c r="H126" s="396">
        <v>8668582.8765799701</v>
      </c>
      <c r="I126" s="407"/>
      <c r="J126" s="372">
        <f>H126</f>
        <v>8668582.8765799701</v>
      </c>
      <c r="K126" s="372" t="s">
        <v>772</v>
      </c>
      <c r="N126" t="s">
        <v>943</v>
      </c>
    </row>
    <row r="127" spans="1:14" x14ac:dyDescent="0.3">
      <c r="B127" s="144"/>
      <c r="C127" s="144"/>
      <c r="D127" s="144"/>
      <c r="E127" s="144"/>
      <c r="F127" s="144"/>
      <c r="G127" s="144"/>
      <c r="H127" s="144"/>
      <c r="I127" s="407"/>
      <c r="J127" s="372"/>
      <c r="K127" s="372"/>
    </row>
    <row r="128" spans="1:14" x14ac:dyDescent="0.3">
      <c r="B128" s="144"/>
      <c r="C128" s="144"/>
      <c r="D128" s="144"/>
      <c r="E128" s="144"/>
      <c r="F128" s="144"/>
      <c r="G128" s="391" t="s">
        <v>716</v>
      </c>
      <c r="H128" s="389">
        <v>0.8</v>
      </c>
      <c r="I128" s="407"/>
      <c r="J128" s="372"/>
      <c r="K128" s="372"/>
      <c r="N128" s="264" t="s">
        <v>944</v>
      </c>
    </row>
    <row r="129" spans="2:19" x14ac:dyDescent="0.3">
      <c r="B129" s="144"/>
      <c r="C129" s="144"/>
      <c r="D129" s="144"/>
      <c r="E129" s="144"/>
      <c r="F129" s="144"/>
      <c r="G129" s="391" t="s">
        <v>715</v>
      </c>
      <c r="H129" s="388">
        <v>189.08937837462079</v>
      </c>
      <c r="I129" s="407"/>
      <c r="J129" s="372"/>
      <c r="K129" s="372"/>
    </row>
    <row r="130" spans="2:19" x14ac:dyDescent="0.3">
      <c r="B130" s="144"/>
      <c r="C130" s="387" t="s">
        <v>764</v>
      </c>
      <c r="D130" s="386" t="s">
        <v>712</v>
      </c>
      <c r="E130" s="386" t="s">
        <v>760</v>
      </c>
      <c r="F130" s="386" t="s">
        <v>759</v>
      </c>
      <c r="G130" s="386" t="s">
        <v>758</v>
      </c>
      <c r="H130" s="385" t="s">
        <v>757</v>
      </c>
      <c r="I130" s="407"/>
      <c r="J130" s="372"/>
      <c r="K130" s="372"/>
      <c r="O130" s="67">
        <v>2018</v>
      </c>
      <c r="P130" s="67">
        <v>2019</v>
      </c>
      <c r="Q130" s="67">
        <f>P130+1</f>
        <v>2020</v>
      </c>
      <c r="R130" s="67">
        <f t="shared" ref="R130:S130" si="1">Q130+1</f>
        <v>2021</v>
      </c>
      <c r="S130" s="67">
        <f t="shared" si="1"/>
        <v>2022</v>
      </c>
    </row>
    <row r="131" spans="2:19" x14ac:dyDescent="0.3">
      <c r="B131" s="144"/>
      <c r="C131" s="382" t="s">
        <v>748</v>
      </c>
      <c r="D131" s="381" t="s">
        <v>313</v>
      </c>
      <c r="E131" s="381">
        <v>0.64</v>
      </c>
      <c r="F131" s="381">
        <v>0.64</v>
      </c>
      <c r="G131" s="381">
        <v>0.64</v>
      </c>
      <c r="H131" s="381">
        <v>0.64</v>
      </c>
      <c r="I131" s="407" t="s">
        <v>756</v>
      </c>
      <c r="J131" s="372"/>
      <c r="K131" s="372"/>
      <c r="N131" t="s">
        <v>945</v>
      </c>
      <c r="O131">
        <v>0.69</v>
      </c>
      <c r="P131">
        <v>0.66</v>
      </c>
      <c r="Q131">
        <v>0.7</v>
      </c>
      <c r="R131">
        <v>0.68</v>
      </c>
      <c r="S131">
        <v>0.61</v>
      </c>
    </row>
    <row r="132" spans="2:19" x14ac:dyDescent="0.3">
      <c r="B132" s="144"/>
      <c r="C132" s="382" t="s">
        <v>730</v>
      </c>
      <c r="D132" s="381"/>
      <c r="E132" s="381">
        <v>0.12</v>
      </c>
      <c r="F132" s="381">
        <v>0.12</v>
      </c>
      <c r="G132" s="381">
        <v>0.12</v>
      </c>
      <c r="H132" s="381">
        <v>0.12</v>
      </c>
      <c r="I132" s="407" t="s">
        <v>756</v>
      </c>
      <c r="J132" s="372"/>
      <c r="K132" s="372"/>
      <c r="N132" t="s">
        <v>946</v>
      </c>
      <c r="O132">
        <v>50.3</v>
      </c>
      <c r="P132">
        <v>51.7</v>
      </c>
      <c r="Q132">
        <v>53.1</v>
      </c>
      <c r="R132">
        <v>53.7</v>
      </c>
      <c r="S132">
        <v>53.9</v>
      </c>
    </row>
    <row r="133" spans="2:19" x14ac:dyDescent="0.3">
      <c r="B133" s="144"/>
      <c r="C133" s="382" t="s">
        <v>746</v>
      </c>
      <c r="D133" s="381" t="s">
        <v>708</v>
      </c>
      <c r="E133" s="397">
        <v>7057065.0869999994</v>
      </c>
      <c r="F133" s="397">
        <v>8195138.3452538997</v>
      </c>
      <c r="G133" s="397">
        <v>8781806.180084452</v>
      </c>
      <c r="H133" s="397">
        <v>9847369.0036959779</v>
      </c>
      <c r="I133" s="407" t="s">
        <v>771</v>
      </c>
      <c r="J133" s="373">
        <f>H133</f>
        <v>9847369.0036959779</v>
      </c>
      <c r="K133" s="372" t="s">
        <v>744</v>
      </c>
      <c r="N133" t="s">
        <v>965</v>
      </c>
      <c r="O133">
        <v>22.5</v>
      </c>
      <c r="P133">
        <v>22.1</v>
      </c>
      <c r="Q133">
        <v>23.7</v>
      </c>
      <c r="R133">
        <v>22.3</v>
      </c>
      <c r="S133">
        <v>22.1</v>
      </c>
    </row>
    <row r="134" spans="2:19" x14ac:dyDescent="0.3">
      <c r="B134" s="144"/>
      <c r="C134" s="378" t="s">
        <v>684</v>
      </c>
      <c r="D134" s="377" t="s">
        <v>708</v>
      </c>
      <c r="E134" s="396">
        <v>3974539.0569984</v>
      </c>
      <c r="F134" s="396">
        <v>4615501.9160469966</v>
      </c>
      <c r="G134" s="396">
        <v>4945913.2406235635</v>
      </c>
      <c r="H134" s="396">
        <v>5546038.2228815751</v>
      </c>
      <c r="I134" s="407"/>
      <c r="J134" s="373">
        <f>H134</f>
        <v>5546038.2228815751</v>
      </c>
      <c r="K134" s="372" t="s">
        <v>742</v>
      </c>
      <c r="N134" t="s">
        <v>966</v>
      </c>
      <c r="O134">
        <v>22.82</v>
      </c>
      <c r="P134">
        <v>0.27</v>
      </c>
      <c r="Q134">
        <v>0.43</v>
      </c>
      <c r="R134">
        <v>1.56</v>
      </c>
      <c r="S134">
        <v>0.22</v>
      </c>
    </row>
    <row r="135" spans="2:19" x14ac:dyDescent="0.3">
      <c r="B135" s="144"/>
      <c r="C135" s="144"/>
      <c r="D135" s="144"/>
      <c r="E135" s="144"/>
      <c r="F135" s="144"/>
      <c r="G135" s="144"/>
      <c r="H135" s="144"/>
      <c r="I135" s="407"/>
      <c r="J135" s="372"/>
      <c r="K135" s="372"/>
      <c r="N135" t="s">
        <v>967</v>
      </c>
      <c r="O135">
        <v>42</v>
      </c>
      <c r="P135">
        <v>42.5</v>
      </c>
      <c r="Q135">
        <v>45.2</v>
      </c>
      <c r="R135">
        <v>43</v>
      </c>
      <c r="S135">
        <v>43</v>
      </c>
    </row>
    <row r="136" spans="2:19" x14ac:dyDescent="0.3">
      <c r="J136" s="372"/>
      <c r="K136" s="372"/>
      <c r="N136" t="s">
        <v>946</v>
      </c>
      <c r="O136">
        <v>50.3</v>
      </c>
      <c r="P136">
        <v>51.7</v>
      </c>
      <c r="Q136">
        <v>53.1</v>
      </c>
      <c r="R136">
        <v>53.7</v>
      </c>
      <c r="S136">
        <v>53.9</v>
      </c>
    </row>
    <row r="137" spans="2:19" x14ac:dyDescent="0.3">
      <c r="B137" s="393" t="s">
        <v>717</v>
      </c>
      <c r="C137" s="144"/>
      <c r="D137" s="144"/>
      <c r="E137" s="144"/>
      <c r="F137" s="144"/>
      <c r="G137" s="144"/>
      <c r="H137" s="144"/>
      <c r="I137" s="407"/>
      <c r="J137" s="372"/>
      <c r="K137" s="372"/>
    </row>
    <row r="138" spans="2:19" x14ac:dyDescent="0.3">
      <c r="B138" s="393"/>
      <c r="C138" s="144"/>
      <c r="D138" s="144"/>
      <c r="E138" s="144"/>
      <c r="F138" s="144"/>
      <c r="G138" s="391" t="s">
        <v>716</v>
      </c>
      <c r="H138" s="389">
        <v>0.71</v>
      </c>
      <c r="I138" s="407"/>
      <c r="J138" s="372"/>
      <c r="K138" s="372"/>
    </row>
    <row r="139" spans="2:19" x14ac:dyDescent="0.3">
      <c r="B139" s="144"/>
      <c r="C139" s="144"/>
      <c r="D139" s="144"/>
      <c r="E139" s="144"/>
      <c r="F139" s="144"/>
      <c r="G139" s="391" t="s">
        <v>715</v>
      </c>
      <c r="H139" s="388">
        <v>114.57807947111007</v>
      </c>
      <c r="I139" s="407"/>
      <c r="J139" s="372"/>
      <c r="K139" s="372"/>
    </row>
    <row r="140" spans="2:19" x14ac:dyDescent="0.3">
      <c r="B140" s="144"/>
      <c r="C140" s="387" t="s">
        <v>761</v>
      </c>
      <c r="D140" s="386" t="s">
        <v>712</v>
      </c>
      <c r="E140" s="386" t="s">
        <v>760</v>
      </c>
      <c r="F140" s="386" t="s">
        <v>759</v>
      </c>
      <c r="G140" s="386" t="s">
        <v>758</v>
      </c>
      <c r="H140" s="385" t="s">
        <v>757</v>
      </c>
      <c r="I140" s="407"/>
      <c r="J140" s="372"/>
      <c r="K140" s="372"/>
      <c r="N140" s="494" t="s">
        <v>947</v>
      </c>
      <c r="S140" s="67" t="s">
        <v>315</v>
      </c>
    </row>
    <row r="141" spans="2:19" x14ac:dyDescent="0.3">
      <c r="B141" s="144"/>
      <c r="C141" s="382" t="s">
        <v>687</v>
      </c>
      <c r="D141" s="381" t="s">
        <v>708</v>
      </c>
      <c r="E141" s="381">
        <v>0.85</v>
      </c>
      <c r="F141" s="381">
        <v>0.85</v>
      </c>
      <c r="G141" s="381">
        <v>0.85</v>
      </c>
      <c r="H141" s="381">
        <v>0.85</v>
      </c>
      <c r="I141" s="407" t="s">
        <v>756</v>
      </c>
      <c r="J141" s="372"/>
      <c r="K141" s="372"/>
      <c r="N141" t="s">
        <v>948</v>
      </c>
      <c r="S141">
        <v>66.5</v>
      </c>
    </row>
    <row r="142" spans="2:19" x14ac:dyDescent="0.3">
      <c r="B142" s="144"/>
      <c r="C142" s="382" t="s">
        <v>711</v>
      </c>
      <c r="D142" s="381" t="s">
        <v>708</v>
      </c>
      <c r="E142" s="380">
        <v>2820889.9439183902</v>
      </c>
      <c r="F142" s="380">
        <v>3048277.6470588236</v>
      </c>
      <c r="G142" s="380">
        <v>3198320</v>
      </c>
      <c r="H142" s="390">
        <v>3005300</v>
      </c>
      <c r="I142" s="407"/>
      <c r="J142" s="413">
        <f>H142</f>
        <v>3005300</v>
      </c>
      <c r="K142" s="372" t="s">
        <v>710</v>
      </c>
      <c r="N142" t="s">
        <v>955</v>
      </c>
      <c r="S142">
        <v>9</v>
      </c>
    </row>
    <row r="143" spans="2:19" x14ac:dyDescent="0.3">
      <c r="B143" s="144"/>
      <c r="C143" s="378" t="s">
        <v>709</v>
      </c>
      <c r="D143" s="377" t="s">
        <v>708</v>
      </c>
      <c r="E143" s="411">
        <v>2397756.4523306317</v>
      </c>
      <c r="F143" s="377">
        <v>2591036</v>
      </c>
      <c r="G143" s="377">
        <v>2718572</v>
      </c>
      <c r="H143" s="410">
        <v>2554505</v>
      </c>
      <c r="I143" s="407"/>
      <c r="J143" s="372">
        <f>H143</f>
        <v>2554505</v>
      </c>
      <c r="K143" s="372" t="s">
        <v>707</v>
      </c>
      <c r="N143" t="s">
        <v>949</v>
      </c>
      <c r="S143">
        <v>0.6</v>
      </c>
    </row>
    <row r="144" spans="2:19" x14ac:dyDescent="0.3">
      <c r="J144" s="372"/>
      <c r="K144" s="372"/>
      <c r="N144" t="s">
        <v>950</v>
      </c>
      <c r="S144">
        <v>0.2</v>
      </c>
    </row>
    <row r="145" spans="1:19" x14ac:dyDescent="0.3">
      <c r="J145" s="372"/>
      <c r="K145" s="372"/>
      <c r="N145" t="s">
        <v>951</v>
      </c>
      <c r="S145">
        <v>0.7</v>
      </c>
    </row>
    <row r="146" spans="1:19" x14ac:dyDescent="0.3">
      <c r="J146" s="372"/>
      <c r="K146" s="372"/>
      <c r="N146" t="s">
        <v>952</v>
      </c>
      <c r="S146">
        <v>5.8</v>
      </c>
    </row>
    <row r="147" spans="1:19" ht="18" x14ac:dyDescent="0.35">
      <c r="A147" s="375" t="s">
        <v>770</v>
      </c>
      <c r="B147" s="59"/>
      <c r="C147" s="59"/>
      <c r="D147" s="59"/>
      <c r="E147" s="59"/>
      <c r="F147" s="59"/>
      <c r="G147" s="59"/>
      <c r="H147" s="59"/>
      <c r="I147" s="59"/>
      <c r="J147" s="374"/>
      <c r="K147" s="372"/>
      <c r="N147" t="s">
        <v>953</v>
      </c>
      <c r="S147">
        <v>17.2</v>
      </c>
    </row>
    <row r="148" spans="1:19" x14ac:dyDescent="0.3">
      <c r="J148" s="372"/>
      <c r="K148" s="372"/>
      <c r="N148" t="s">
        <v>954</v>
      </c>
      <c r="S148">
        <v>0.03</v>
      </c>
    </row>
    <row r="149" spans="1:19" x14ac:dyDescent="0.3">
      <c r="J149" s="372"/>
      <c r="K149" s="372"/>
    </row>
    <row r="150" spans="1:19" x14ac:dyDescent="0.3">
      <c r="B150" s="393" t="s">
        <v>731</v>
      </c>
      <c r="C150" s="144"/>
      <c r="D150" s="144"/>
      <c r="E150" s="144"/>
      <c r="F150" s="144"/>
      <c r="G150" s="391" t="s">
        <v>716</v>
      </c>
      <c r="H150" s="389">
        <v>0.8</v>
      </c>
      <c r="I150" s="407"/>
      <c r="J150" s="372"/>
      <c r="K150" s="372"/>
      <c r="N150" s="494" t="s">
        <v>956</v>
      </c>
      <c r="S150" s="67" t="s">
        <v>315</v>
      </c>
    </row>
    <row r="151" spans="1:19" x14ac:dyDescent="0.3">
      <c r="B151" s="144"/>
      <c r="C151" s="144"/>
      <c r="D151" s="144"/>
      <c r="E151" s="144"/>
      <c r="F151" s="144"/>
      <c r="G151" s="391" t="s">
        <v>715</v>
      </c>
      <c r="H151" s="388">
        <v>160.73325533507196</v>
      </c>
      <c r="I151" s="407"/>
      <c r="J151" s="372"/>
      <c r="K151" s="372"/>
      <c r="N151" t="s">
        <v>957</v>
      </c>
      <c r="S151">
        <v>15.8</v>
      </c>
    </row>
    <row r="152" spans="1:19" x14ac:dyDescent="0.3">
      <c r="B152" s="144"/>
      <c r="C152" s="387" t="s">
        <v>692</v>
      </c>
      <c r="D152" s="386" t="s">
        <v>712</v>
      </c>
      <c r="E152" s="386" t="s">
        <v>760</v>
      </c>
      <c r="F152" s="386" t="s">
        <v>759</v>
      </c>
      <c r="G152" s="386" t="s">
        <v>758</v>
      </c>
      <c r="H152" s="385">
        <v>2013</v>
      </c>
      <c r="I152" s="407"/>
      <c r="J152" s="372"/>
      <c r="K152" s="372"/>
      <c r="N152" t="s">
        <v>958</v>
      </c>
      <c r="S152">
        <v>13.9</v>
      </c>
    </row>
    <row r="153" spans="1:19" x14ac:dyDescent="0.3">
      <c r="B153" s="144"/>
      <c r="C153" s="382" t="s">
        <v>687</v>
      </c>
      <c r="D153" s="381" t="s">
        <v>313</v>
      </c>
      <c r="E153" s="383">
        <v>0.76</v>
      </c>
      <c r="F153" s="383">
        <v>0.76</v>
      </c>
      <c r="G153" s="383">
        <v>0.76</v>
      </c>
      <c r="H153" s="383">
        <v>0.76</v>
      </c>
      <c r="I153" s="407" t="s">
        <v>750</v>
      </c>
      <c r="J153" s="372"/>
      <c r="K153" s="372"/>
      <c r="N153" t="s">
        <v>959</v>
      </c>
      <c r="S153">
        <v>13</v>
      </c>
    </row>
    <row r="154" spans="1:19" x14ac:dyDescent="0.3">
      <c r="B154" s="144"/>
      <c r="C154" s="382" t="s">
        <v>730</v>
      </c>
      <c r="D154" s="381"/>
      <c r="E154" s="383">
        <v>0.09</v>
      </c>
      <c r="F154" s="383">
        <v>0.09</v>
      </c>
      <c r="G154" s="383">
        <v>0.09</v>
      </c>
      <c r="H154" s="383">
        <v>0.09</v>
      </c>
      <c r="I154" s="407" t="s">
        <v>756</v>
      </c>
      <c r="J154" s="372"/>
      <c r="K154" s="372"/>
      <c r="N154" t="s">
        <v>960</v>
      </c>
      <c r="S154">
        <v>2.7</v>
      </c>
    </row>
    <row r="155" spans="1:19" x14ac:dyDescent="0.3">
      <c r="B155" s="144"/>
      <c r="C155" s="382" t="s">
        <v>691</v>
      </c>
      <c r="D155" s="381" t="s">
        <v>708</v>
      </c>
      <c r="E155" s="397">
        <v>5818299.9299999997</v>
      </c>
      <c r="F155" s="397">
        <v>6030824.0747152073</v>
      </c>
      <c r="G155" s="397">
        <v>5756219.5167677626</v>
      </c>
      <c r="H155" s="397">
        <v>5848139.1401565</v>
      </c>
      <c r="I155" s="407" t="s">
        <v>769</v>
      </c>
      <c r="J155" s="372">
        <f>H155</f>
        <v>5848139.1401565</v>
      </c>
      <c r="K155" s="372" t="s">
        <v>690</v>
      </c>
      <c r="N155" t="s">
        <v>961</v>
      </c>
      <c r="S155">
        <v>36.299999999999997</v>
      </c>
    </row>
    <row r="156" spans="1:19" x14ac:dyDescent="0.3">
      <c r="B156" s="144"/>
      <c r="C156" s="378" t="s">
        <v>684</v>
      </c>
      <c r="D156" s="377" t="s">
        <v>708</v>
      </c>
      <c r="E156" s="396">
        <v>4023936.231588</v>
      </c>
      <c r="F156" s="396">
        <v>4170917.9300730373</v>
      </c>
      <c r="G156" s="396">
        <v>3981001.4177965848</v>
      </c>
      <c r="H156" s="396">
        <v>4044573.0293322355</v>
      </c>
      <c r="I156" s="407" t="s">
        <v>762</v>
      </c>
      <c r="J156" s="372">
        <f>H156</f>
        <v>4044573.0293322355</v>
      </c>
      <c r="K156" s="372" t="s">
        <v>689</v>
      </c>
      <c r="N156" t="s">
        <v>962</v>
      </c>
      <c r="S156">
        <v>4.9000000000000004</v>
      </c>
    </row>
    <row r="157" spans="1:19" x14ac:dyDescent="0.3">
      <c r="B157" s="144"/>
      <c r="C157" s="144"/>
      <c r="D157" s="144"/>
      <c r="E157" s="144"/>
      <c r="F157" s="144"/>
      <c r="G157" s="144"/>
      <c r="H157" s="144"/>
      <c r="I157" s="407"/>
      <c r="J157" s="372"/>
      <c r="K157" s="372"/>
      <c r="N157" t="s">
        <v>952</v>
      </c>
      <c r="S157">
        <v>3.2</v>
      </c>
    </row>
    <row r="158" spans="1:19" x14ac:dyDescent="0.3">
      <c r="B158" s="144"/>
      <c r="C158" s="144"/>
      <c r="D158" s="144"/>
      <c r="E158" s="144"/>
      <c r="F158" s="144"/>
      <c r="G158" s="391" t="s">
        <v>716</v>
      </c>
      <c r="H158" s="389">
        <v>0.8</v>
      </c>
      <c r="I158" s="407"/>
      <c r="J158" s="372"/>
      <c r="K158" s="372"/>
      <c r="N158" t="s">
        <v>963</v>
      </c>
      <c r="S158">
        <v>9.4</v>
      </c>
    </row>
    <row r="159" spans="1:19" x14ac:dyDescent="0.3">
      <c r="B159" s="144"/>
      <c r="C159" s="144"/>
      <c r="D159" s="144"/>
      <c r="E159" s="144"/>
      <c r="F159" s="144"/>
      <c r="G159" s="391" t="s">
        <v>715</v>
      </c>
      <c r="H159" s="388">
        <v>153.90743012943881</v>
      </c>
      <c r="I159" s="407"/>
      <c r="J159" s="372"/>
      <c r="K159" s="372"/>
      <c r="N159" t="s">
        <v>964</v>
      </c>
      <c r="S159">
        <v>0.8</v>
      </c>
    </row>
    <row r="160" spans="1:19" x14ac:dyDescent="0.3">
      <c r="B160" s="144"/>
      <c r="C160" s="387" t="s">
        <v>768</v>
      </c>
      <c r="D160" s="386" t="s">
        <v>712</v>
      </c>
      <c r="E160" s="386" t="s">
        <v>760</v>
      </c>
      <c r="F160" s="386" t="s">
        <v>759</v>
      </c>
      <c r="G160" s="386" t="s">
        <v>758</v>
      </c>
      <c r="H160" s="385" t="s">
        <v>757</v>
      </c>
      <c r="I160" s="407" t="s">
        <v>767</v>
      </c>
      <c r="J160" s="372"/>
      <c r="K160" s="372"/>
    </row>
    <row r="161" spans="2:11" x14ac:dyDescent="0.3">
      <c r="B161" s="144"/>
      <c r="C161" s="382" t="s">
        <v>748</v>
      </c>
      <c r="D161" s="381" t="s">
        <v>313</v>
      </c>
      <c r="E161" s="381">
        <v>0.64</v>
      </c>
      <c r="F161" s="381">
        <v>0.64</v>
      </c>
      <c r="G161" s="381">
        <v>0.64</v>
      </c>
      <c r="H161" s="381">
        <v>0.64</v>
      </c>
      <c r="I161" s="407" t="s">
        <v>750</v>
      </c>
      <c r="J161" s="372"/>
      <c r="K161" s="372"/>
    </row>
    <row r="162" spans="2:11" x14ac:dyDescent="0.3">
      <c r="B162" s="144"/>
      <c r="C162" s="382" t="s">
        <v>730</v>
      </c>
      <c r="D162" s="381"/>
      <c r="E162" s="381">
        <v>0.12</v>
      </c>
      <c r="F162" s="381">
        <v>0.12</v>
      </c>
      <c r="G162" s="381">
        <v>0.12</v>
      </c>
      <c r="H162" s="381">
        <v>0.12</v>
      </c>
      <c r="I162" s="407"/>
      <c r="J162" s="372"/>
      <c r="K162" s="372"/>
    </row>
    <row r="163" spans="2:11" x14ac:dyDescent="0.3">
      <c r="B163" s="144"/>
      <c r="C163" s="382" t="s">
        <v>766</v>
      </c>
      <c r="D163" s="381" t="s">
        <v>708</v>
      </c>
      <c r="E163" s="397">
        <v>7009020.5561358221</v>
      </c>
      <c r="F163" s="397">
        <v>6866688.9228567379</v>
      </c>
      <c r="G163" s="397">
        <v>6658451.5412803637</v>
      </c>
      <c r="H163" s="397">
        <v>7043252.142011066</v>
      </c>
      <c r="I163" s="407" t="s">
        <v>762</v>
      </c>
      <c r="J163" s="372">
        <f>H163</f>
        <v>7043252.142011066</v>
      </c>
      <c r="K163" s="372" t="s">
        <v>744</v>
      </c>
    </row>
    <row r="164" spans="2:11" x14ac:dyDescent="0.3">
      <c r="B164" s="144"/>
      <c r="C164" s="378" t="s">
        <v>684</v>
      </c>
      <c r="D164" s="377" t="s">
        <v>708</v>
      </c>
      <c r="E164" s="396">
        <v>3947480.3772156946</v>
      </c>
      <c r="F164" s="396">
        <v>3867319.2013529148</v>
      </c>
      <c r="G164" s="396">
        <v>3750039.908049101</v>
      </c>
      <c r="H164" s="396">
        <v>3966759.6063806321</v>
      </c>
      <c r="I164" s="407" t="s">
        <v>765</v>
      </c>
      <c r="J164" s="372">
        <f>H164</f>
        <v>3966759.6063806321</v>
      </c>
      <c r="K164" s="372" t="s">
        <v>742</v>
      </c>
    </row>
    <row r="165" spans="2:11" x14ac:dyDescent="0.3">
      <c r="B165" s="144"/>
      <c r="C165" s="144"/>
      <c r="D165" s="144"/>
      <c r="E165" s="144"/>
      <c r="F165" s="144"/>
      <c r="G165" s="144"/>
      <c r="H165" s="144"/>
      <c r="I165" s="407"/>
      <c r="J165" s="372"/>
      <c r="K165" s="372"/>
    </row>
    <row r="166" spans="2:11" x14ac:dyDescent="0.3">
      <c r="B166" s="144"/>
      <c r="C166" s="144"/>
      <c r="D166" s="144"/>
      <c r="E166" s="144"/>
      <c r="F166" s="144"/>
      <c r="G166" s="391" t="s">
        <v>716</v>
      </c>
      <c r="H166" s="389">
        <v>0.8</v>
      </c>
      <c r="I166" s="407"/>
      <c r="J166" s="372"/>
      <c r="K166" s="372"/>
    </row>
    <row r="167" spans="2:11" x14ac:dyDescent="0.3">
      <c r="B167" s="144"/>
      <c r="C167" s="144"/>
      <c r="D167" s="144"/>
      <c r="E167" s="144"/>
      <c r="F167" s="144"/>
      <c r="G167" s="391" t="s">
        <v>715</v>
      </c>
      <c r="H167" s="388">
        <v>204.38044249759145</v>
      </c>
      <c r="I167" s="407"/>
      <c r="J167" s="372"/>
      <c r="K167" s="372"/>
    </row>
    <row r="168" spans="2:11" x14ac:dyDescent="0.3">
      <c r="B168" s="144"/>
      <c r="C168" s="387" t="s">
        <v>764</v>
      </c>
      <c r="D168" s="386" t="s">
        <v>712</v>
      </c>
      <c r="E168" s="386" t="s">
        <v>760</v>
      </c>
      <c r="F168" s="386" t="s">
        <v>759</v>
      </c>
      <c r="G168" s="386" t="s">
        <v>758</v>
      </c>
      <c r="H168" s="385" t="s">
        <v>757</v>
      </c>
      <c r="I168" s="407"/>
      <c r="J168" s="372"/>
      <c r="K168" s="372"/>
    </row>
    <row r="169" spans="2:11" x14ac:dyDescent="0.3">
      <c r="B169" s="144"/>
      <c r="C169" s="382" t="s">
        <v>748</v>
      </c>
      <c r="D169" s="381" t="s">
        <v>313</v>
      </c>
      <c r="E169" s="381">
        <v>0.64</v>
      </c>
      <c r="F169" s="381">
        <v>0.64</v>
      </c>
      <c r="G169" s="381">
        <v>0.64</v>
      </c>
      <c r="H169" s="381">
        <v>0.64</v>
      </c>
      <c r="I169" s="407" t="s">
        <v>756</v>
      </c>
      <c r="J169" s="372"/>
      <c r="K169" s="372"/>
    </row>
    <row r="170" spans="2:11" x14ac:dyDescent="0.3">
      <c r="B170" s="144"/>
      <c r="C170" s="382" t="s">
        <v>730</v>
      </c>
      <c r="D170" s="381"/>
      <c r="E170" s="381">
        <v>0.12</v>
      </c>
      <c r="F170" s="381">
        <v>0.12</v>
      </c>
      <c r="G170" s="381">
        <v>0.12</v>
      </c>
      <c r="H170" s="381">
        <v>0.12</v>
      </c>
      <c r="I170" s="407" t="s">
        <v>756</v>
      </c>
      <c r="J170" s="372"/>
      <c r="K170" s="372"/>
    </row>
    <row r="171" spans="2:11" x14ac:dyDescent="0.3">
      <c r="B171" s="144"/>
      <c r="C171" s="382" t="s">
        <v>746</v>
      </c>
      <c r="D171" s="381" t="s">
        <v>708</v>
      </c>
      <c r="E171" s="397">
        <v>7798546.8000000007</v>
      </c>
      <c r="F171" s="397">
        <v>9565291.9798333328</v>
      </c>
      <c r="G171" s="397">
        <v>9552439.9965717439</v>
      </c>
      <c r="H171" s="397">
        <v>9704980.5111179017</v>
      </c>
      <c r="I171" s="407" t="s">
        <v>763</v>
      </c>
      <c r="J171" s="372">
        <f>H171</f>
        <v>9704980.5111179017</v>
      </c>
      <c r="K171" s="372" t="s">
        <v>744</v>
      </c>
    </row>
    <row r="172" spans="2:11" x14ac:dyDescent="0.3">
      <c r="B172" s="144"/>
      <c r="C172" s="378" t="s">
        <v>684</v>
      </c>
      <c r="D172" s="377" t="s">
        <v>708</v>
      </c>
      <c r="E172" s="396">
        <v>4392141.5577600002</v>
      </c>
      <c r="F172" s="396">
        <v>5387172.443042133</v>
      </c>
      <c r="G172" s="396">
        <v>5379934.2060692068</v>
      </c>
      <c r="H172" s="396">
        <v>5465845.0238616019</v>
      </c>
      <c r="I172" s="407" t="s">
        <v>762</v>
      </c>
      <c r="J172" s="372">
        <f>H172</f>
        <v>5465845.0238616019</v>
      </c>
      <c r="K172" s="372" t="s">
        <v>742</v>
      </c>
    </row>
    <row r="173" spans="2:11" x14ac:dyDescent="0.3">
      <c r="J173" s="372"/>
      <c r="K173" s="372"/>
    </row>
    <row r="174" spans="2:11" x14ac:dyDescent="0.3">
      <c r="J174" s="372"/>
      <c r="K174" s="372"/>
    </row>
    <row r="175" spans="2:11" x14ac:dyDescent="0.3">
      <c r="B175" s="393" t="s">
        <v>717</v>
      </c>
      <c r="C175" s="144"/>
      <c r="D175" s="144"/>
      <c r="E175" s="144"/>
      <c r="F175" s="144"/>
      <c r="G175" s="391" t="s">
        <v>716</v>
      </c>
      <c r="H175" s="389">
        <v>0.95</v>
      </c>
      <c r="I175" s="407"/>
      <c r="J175" s="372"/>
      <c r="K175" s="372"/>
    </row>
    <row r="176" spans="2:11" x14ac:dyDescent="0.3">
      <c r="B176" s="144"/>
      <c r="C176" s="144"/>
      <c r="D176" s="144"/>
      <c r="E176" s="144"/>
      <c r="F176" s="144"/>
      <c r="G176" s="391" t="s">
        <v>715</v>
      </c>
      <c r="H176" s="388">
        <v>46</v>
      </c>
      <c r="I176" s="407"/>
      <c r="J176" s="372"/>
      <c r="K176" s="372"/>
    </row>
    <row r="177" spans="1:14" x14ac:dyDescent="0.3">
      <c r="B177" s="144"/>
      <c r="C177" s="412" t="s">
        <v>761</v>
      </c>
      <c r="D177" s="386" t="s">
        <v>712</v>
      </c>
      <c r="E177" s="386" t="s">
        <v>760</v>
      </c>
      <c r="F177" s="386" t="s">
        <v>759</v>
      </c>
      <c r="G177" s="386" t="s">
        <v>758</v>
      </c>
      <c r="H177" s="385" t="s">
        <v>757</v>
      </c>
      <c r="I177" s="407"/>
      <c r="J177" s="372"/>
      <c r="K177" s="372"/>
    </row>
    <row r="178" spans="1:14" x14ac:dyDescent="0.3">
      <c r="B178" s="144"/>
      <c r="C178" s="382" t="s">
        <v>687</v>
      </c>
      <c r="D178" s="381" t="s">
        <v>708</v>
      </c>
      <c r="E178" s="381">
        <v>0.85</v>
      </c>
      <c r="F178" s="381">
        <v>0.85</v>
      </c>
      <c r="G178" s="381">
        <v>0.85</v>
      </c>
      <c r="H178" s="381">
        <v>0.85</v>
      </c>
      <c r="I178" s="407" t="s">
        <v>756</v>
      </c>
      <c r="J178" s="372"/>
      <c r="K178" s="372"/>
    </row>
    <row r="179" spans="1:14" x14ac:dyDescent="0.3">
      <c r="B179" s="144"/>
      <c r="C179" s="382" t="s">
        <v>711</v>
      </c>
      <c r="D179" s="381" t="s">
        <v>708</v>
      </c>
      <c r="E179" s="380">
        <v>1358217.6605165105</v>
      </c>
      <c r="F179" s="380">
        <v>1474868.2352941176</v>
      </c>
      <c r="G179" s="380">
        <v>1621768.2352941176</v>
      </c>
      <c r="H179" s="390">
        <v>1724169.411764706</v>
      </c>
      <c r="I179" s="407"/>
      <c r="J179" s="372">
        <f>H179</f>
        <v>1724169.411764706</v>
      </c>
      <c r="K179" s="372" t="s">
        <v>710</v>
      </c>
    </row>
    <row r="180" spans="1:14" x14ac:dyDescent="0.3">
      <c r="B180" s="144"/>
      <c r="C180" s="378" t="s">
        <v>709</v>
      </c>
      <c r="D180" s="377" t="s">
        <v>708</v>
      </c>
      <c r="E180" s="411">
        <v>1154485.0114390338</v>
      </c>
      <c r="F180" s="377">
        <v>1253638</v>
      </c>
      <c r="G180" s="377">
        <v>1378503</v>
      </c>
      <c r="H180" s="410">
        <v>1465544</v>
      </c>
      <c r="I180" s="407"/>
      <c r="J180" s="372">
        <f>H180</f>
        <v>1465544</v>
      </c>
      <c r="K180" s="372" t="s">
        <v>707</v>
      </c>
    </row>
    <row r="181" spans="1:14" x14ac:dyDescent="0.3">
      <c r="J181" s="372"/>
      <c r="K181" s="372"/>
    </row>
    <row r="182" spans="1:14" x14ac:dyDescent="0.3">
      <c r="H182" s="284"/>
      <c r="J182" s="372"/>
      <c r="K182" s="372"/>
    </row>
    <row r="183" spans="1:14" x14ac:dyDescent="0.3">
      <c r="H183" s="86"/>
      <c r="J183" s="372"/>
      <c r="K183" s="372"/>
    </row>
    <row r="184" spans="1:14" x14ac:dyDescent="0.3">
      <c r="J184" s="372"/>
      <c r="K184" s="372"/>
    </row>
    <row r="185" spans="1:14" x14ac:dyDescent="0.3">
      <c r="J185" s="372"/>
      <c r="K185" s="372"/>
    </row>
    <row r="186" spans="1:14" x14ac:dyDescent="0.3">
      <c r="J186" s="372"/>
      <c r="K186" s="372"/>
    </row>
    <row r="187" spans="1:14" x14ac:dyDescent="0.3">
      <c r="J187" s="372"/>
      <c r="K187" s="372"/>
    </row>
    <row r="188" spans="1:14" ht="18" x14ac:dyDescent="0.35">
      <c r="A188" s="375" t="s">
        <v>755</v>
      </c>
      <c r="B188" s="59"/>
      <c r="C188" s="59"/>
      <c r="D188" s="59"/>
      <c r="E188" s="59"/>
      <c r="F188" s="59"/>
      <c r="G188" s="59"/>
      <c r="H188" s="59"/>
      <c r="I188" s="59"/>
      <c r="J188" s="374"/>
      <c r="K188" s="372"/>
    </row>
    <row r="189" spans="1:14" ht="14.25" customHeight="1" x14ac:dyDescent="0.35">
      <c r="A189" s="409"/>
      <c r="J189" s="372"/>
      <c r="K189" s="372"/>
    </row>
    <row r="190" spans="1:14" ht="14.25" customHeight="1" x14ac:dyDescent="0.35">
      <c r="A190" s="409"/>
      <c r="J190" s="372"/>
      <c r="K190" s="372"/>
    </row>
    <row r="191" spans="1:14" ht="14.25" customHeight="1" x14ac:dyDescent="0.3">
      <c r="B191" s="393" t="s">
        <v>754</v>
      </c>
      <c r="D191" s="144"/>
      <c r="E191" s="144"/>
      <c r="F191" s="144"/>
      <c r="G191" s="144"/>
      <c r="H191" s="144"/>
      <c r="I191" s="144"/>
      <c r="J191" s="404"/>
      <c r="K191" s="372"/>
      <c r="N191" s="264" t="s">
        <v>936</v>
      </c>
    </row>
    <row r="192" spans="1:14" x14ac:dyDescent="0.3">
      <c r="B192" s="393"/>
      <c r="D192" s="144"/>
      <c r="E192" s="144"/>
      <c r="F192" s="391" t="s">
        <v>716</v>
      </c>
      <c r="G192" s="389">
        <v>0.8</v>
      </c>
      <c r="H192" s="389"/>
      <c r="J192" s="404"/>
      <c r="K192" s="372"/>
    </row>
    <row r="193" spans="2:21" x14ac:dyDescent="0.3">
      <c r="B193" s="393"/>
      <c r="C193" s="144"/>
      <c r="D193" s="144"/>
      <c r="E193" s="144"/>
      <c r="F193" s="391" t="s">
        <v>715</v>
      </c>
      <c r="G193" s="388">
        <v>174.06911164308525</v>
      </c>
      <c r="H193" s="388"/>
      <c r="J193" s="404"/>
      <c r="K193" s="372"/>
      <c r="N193" s="313" t="s">
        <v>1028</v>
      </c>
    </row>
    <row r="194" spans="2:21" x14ac:dyDescent="0.3">
      <c r="B194" s="144"/>
      <c r="C194" s="387" t="s">
        <v>692</v>
      </c>
      <c r="D194" s="386" t="s">
        <v>712</v>
      </c>
      <c r="E194" s="386">
        <v>2006</v>
      </c>
      <c r="F194" s="386">
        <v>2007</v>
      </c>
      <c r="G194" s="385">
        <v>2010</v>
      </c>
      <c r="H194" s="384">
        <v>2014</v>
      </c>
      <c r="J194" s="404"/>
      <c r="K194" s="372"/>
      <c r="N194" s="2"/>
      <c r="O194" s="2"/>
      <c r="P194" s="2">
        <v>2018</v>
      </c>
      <c r="Q194" s="2">
        <f>P194+1</f>
        <v>2019</v>
      </c>
      <c r="R194" s="2">
        <f t="shared" ref="R194:S194" si="2">Q194+1</f>
        <v>2020</v>
      </c>
      <c r="S194" s="2">
        <f t="shared" si="2"/>
        <v>2021</v>
      </c>
      <c r="T194" s="2">
        <f>S194+1</f>
        <v>2022</v>
      </c>
      <c r="U194" s="2"/>
    </row>
    <row r="195" spans="2:21" x14ac:dyDescent="0.3">
      <c r="B195" s="144"/>
      <c r="C195" s="382" t="s">
        <v>687</v>
      </c>
      <c r="D195" s="381" t="s">
        <v>313</v>
      </c>
      <c r="E195" s="383">
        <v>0.75</v>
      </c>
      <c r="F195" s="383">
        <v>0.75</v>
      </c>
      <c r="G195" s="383">
        <v>0.75</v>
      </c>
      <c r="H195" s="383">
        <v>0.75</v>
      </c>
      <c r="I195" s="407" t="s">
        <v>750</v>
      </c>
      <c r="J195" s="372"/>
      <c r="K195" s="372"/>
      <c r="N195" s="2"/>
      <c r="O195" s="2"/>
      <c r="P195" s="2"/>
      <c r="Q195" s="2"/>
      <c r="R195" s="2"/>
      <c r="S195" s="2"/>
      <c r="T195" s="2"/>
      <c r="U195" s="2"/>
    </row>
    <row r="196" spans="2:21" x14ac:dyDescent="0.3">
      <c r="B196" s="144"/>
      <c r="C196" s="382" t="s">
        <v>730</v>
      </c>
      <c r="D196" s="381"/>
      <c r="E196" s="383">
        <v>0.09</v>
      </c>
      <c r="F196" s="383">
        <v>0.09</v>
      </c>
      <c r="G196" s="383">
        <v>0.09</v>
      </c>
      <c r="H196" s="383">
        <v>0.09</v>
      </c>
      <c r="I196" s="407"/>
      <c r="J196" s="372"/>
      <c r="K196" s="372"/>
      <c r="N196" s="313" t="s">
        <v>971</v>
      </c>
      <c r="O196" s="496" t="s">
        <v>80</v>
      </c>
      <c r="P196" s="2"/>
      <c r="Q196" s="2"/>
      <c r="R196" s="2"/>
      <c r="S196" s="2"/>
      <c r="T196" s="2"/>
      <c r="U196" s="2"/>
    </row>
    <row r="197" spans="2:21" x14ac:dyDescent="0.3">
      <c r="B197" s="144"/>
      <c r="C197" s="382" t="s">
        <v>691</v>
      </c>
      <c r="D197" s="381" t="s">
        <v>708</v>
      </c>
      <c r="E197" s="397">
        <v>5719425.8948940849</v>
      </c>
      <c r="F197" s="397">
        <v>6434512.533071165</v>
      </c>
      <c r="G197" s="397">
        <v>6434512.533071165</v>
      </c>
      <c r="H197" s="397">
        <v>6434512.533071165</v>
      </c>
      <c r="I197" s="407" t="s">
        <v>753</v>
      </c>
      <c r="J197" s="372">
        <f>H197</f>
        <v>6434512.533071165</v>
      </c>
      <c r="K197" s="372" t="s">
        <v>690</v>
      </c>
      <c r="N197" s="497" t="s">
        <v>36</v>
      </c>
      <c r="O197" s="2"/>
      <c r="P197" s="2"/>
      <c r="Q197" s="2"/>
      <c r="R197" s="2"/>
      <c r="S197" s="2"/>
      <c r="T197" s="2"/>
      <c r="U197" s="2"/>
    </row>
    <row r="198" spans="2:21" x14ac:dyDescent="0.3">
      <c r="B198" s="144"/>
      <c r="C198" s="378" t="s">
        <v>684</v>
      </c>
      <c r="D198" s="377" t="s">
        <v>708</v>
      </c>
      <c r="E198" s="396">
        <v>3903508.1732652127</v>
      </c>
      <c r="F198" s="396">
        <v>4391554.8038210701</v>
      </c>
      <c r="G198" s="396">
        <v>4391554.8038210701</v>
      </c>
      <c r="H198" s="396">
        <v>4391554.8038210701</v>
      </c>
      <c r="I198" s="407"/>
      <c r="J198" s="372">
        <f>H198</f>
        <v>4391554.8038210701</v>
      </c>
      <c r="K198" s="372" t="s">
        <v>689</v>
      </c>
      <c r="N198" s="2" t="s">
        <v>968</v>
      </c>
      <c r="O198" s="2" t="s">
        <v>315</v>
      </c>
      <c r="P198" s="2">
        <v>100.2</v>
      </c>
      <c r="Q198" s="2">
        <v>102.1</v>
      </c>
      <c r="R198" s="2">
        <v>83.7</v>
      </c>
      <c r="S198" s="2">
        <v>78.099999999999994</v>
      </c>
      <c r="T198" s="2">
        <v>80.599999999999994</v>
      </c>
      <c r="U198" s="2"/>
    </row>
    <row r="199" spans="2:21" x14ac:dyDescent="0.3">
      <c r="B199" s="144"/>
      <c r="C199" s="144"/>
      <c r="D199" s="144"/>
      <c r="E199" s="144"/>
      <c r="F199" s="144"/>
      <c r="G199" s="144"/>
      <c r="H199" s="144"/>
      <c r="I199" s="407"/>
      <c r="J199" s="372"/>
      <c r="K199" s="372"/>
      <c r="N199" s="2" t="s">
        <v>969</v>
      </c>
      <c r="O199" s="2" t="s">
        <v>315</v>
      </c>
      <c r="P199" s="2">
        <v>17.5</v>
      </c>
      <c r="Q199" s="2">
        <v>14.9</v>
      </c>
      <c r="R199" s="2">
        <v>20.100000000000001</v>
      </c>
      <c r="S199" s="2">
        <v>25.2</v>
      </c>
      <c r="T199" s="2">
        <v>2.9</v>
      </c>
      <c r="U199" s="2"/>
    </row>
    <row r="200" spans="2:21" x14ac:dyDescent="0.3">
      <c r="B200" s="144"/>
      <c r="C200" s="144"/>
      <c r="D200" s="144"/>
      <c r="E200" s="144"/>
      <c r="F200" s="391" t="s">
        <v>716</v>
      </c>
      <c r="G200" s="389">
        <v>0.96</v>
      </c>
      <c r="H200" s="389"/>
      <c r="I200" s="407"/>
      <c r="J200" s="372"/>
      <c r="K200" s="372"/>
      <c r="N200" s="2" t="s">
        <v>970</v>
      </c>
      <c r="O200" s="2" t="s">
        <v>315</v>
      </c>
      <c r="P200" s="2">
        <v>17.7</v>
      </c>
      <c r="Q200" s="2">
        <v>17</v>
      </c>
      <c r="R200" s="2">
        <v>3.7</v>
      </c>
      <c r="S200" s="2">
        <v>3.3</v>
      </c>
      <c r="T200" s="2">
        <v>3.5</v>
      </c>
      <c r="U200" s="2"/>
    </row>
    <row r="201" spans="2:21" x14ac:dyDescent="0.3">
      <c r="B201" s="144"/>
      <c r="C201" s="144"/>
      <c r="D201" s="144"/>
      <c r="E201" s="144"/>
      <c r="F201" s="391" t="s">
        <v>715</v>
      </c>
      <c r="G201" s="388">
        <v>100</v>
      </c>
      <c r="H201" s="388"/>
      <c r="I201" s="407"/>
      <c r="J201" s="372"/>
      <c r="K201" s="372"/>
      <c r="N201" s="2"/>
      <c r="O201" s="2"/>
      <c r="P201" s="2"/>
      <c r="Q201" s="2"/>
      <c r="R201" s="2"/>
      <c r="S201" s="2"/>
      <c r="T201" s="2"/>
      <c r="U201" s="2"/>
    </row>
    <row r="202" spans="2:21" x14ac:dyDescent="0.3">
      <c r="B202" s="144"/>
      <c r="C202" s="387" t="s">
        <v>752</v>
      </c>
      <c r="D202" s="386" t="s">
        <v>712</v>
      </c>
      <c r="E202" s="386">
        <v>2006</v>
      </c>
      <c r="F202" s="386">
        <v>2007</v>
      </c>
      <c r="G202" s="385">
        <v>2010</v>
      </c>
      <c r="H202" s="384">
        <v>2014</v>
      </c>
      <c r="I202" s="407"/>
      <c r="J202" s="372"/>
      <c r="K202" s="372"/>
      <c r="N202" s="497" t="s">
        <v>972</v>
      </c>
      <c r="O202" s="2"/>
      <c r="P202" s="2"/>
      <c r="Q202" s="2"/>
      <c r="R202" s="2"/>
      <c r="S202" s="2"/>
      <c r="T202" s="2"/>
      <c r="U202" s="2"/>
    </row>
    <row r="203" spans="2:21" x14ac:dyDescent="0.3">
      <c r="B203" s="144"/>
      <c r="C203" s="382" t="s">
        <v>687</v>
      </c>
      <c r="D203" s="381" t="s">
        <v>313</v>
      </c>
      <c r="E203" s="383">
        <v>0.76987516979281956</v>
      </c>
      <c r="F203" s="383">
        <v>0.76987516979281956</v>
      </c>
      <c r="G203" s="383">
        <v>0.76987516979281956</v>
      </c>
      <c r="H203" s="383">
        <v>0.76987516979281956</v>
      </c>
      <c r="I203" s="407"/>
      <c r="J203" s="372"/>
      <c r="K203" s="372"/>
      <c r="N203" s="2" t="s">
        <v>973</v>
      </c>
      <c r="O203" s="2" t="s">
        <v>21</v>
      </c>
      <c r="P203" s="2">
        <v>84.3</v>
      </c>
      <c r="Q203" s="2">
        <v>86.4</v>
      </c>
      <c r="R203" s="2">
        <v>70.599999999999994</v>
      </c>
      <c r="S203" s="2">
        <v>62.6</v>
      </c>
      <c r="T203" s="2">
        <v>64.900000000000006</v>
      </c>
      <c r="U203" s="2"/>
    </row>
    <row r="204" spans="2:21" x14ac:dyDescent="0.3">
      <c r="B204" s="144"/>
      <c r="C204" s="382" t="s">
        <v>691</v>
      </c>
      <c r="D204" s="381" t="s">
        <v>708</v>
      </c>
      <c r="E204" s="397">
        <v>2157406.3195876288</v>
      </c>
      <c r="F204" s="397">
        <v>2157406.3195876288</v>
      </c>
      <c r="G204" s="397">
        <v>2157406.3195876288</v>
      </c>
      <c r="H204" s="397">
        <v>2157406.3195876288</v>
      </c>
      <c r="I204" s="407"/>
      <c r="J204" s="372">
        <f>H204</f>
        <v>2157406.3195876288</v>
      </c>
      <c r="K204" s="372" t="s">
        <v>727</v>
      </c>
      <c r="N204" s="2" t="s">
        <v>974</v>
      </c>
      <c r="O204" s="2" t="s">
        <v>21</v>
      </c>
      <c r="P204" s="2">
        <v>70.3</v>
      </c>
      <c r="Q204" s="2">
        <v>71.3</v>
      </c>
      <c r="R204" s="2">
        <v>35.4</v>
      </c>
      <c r="S204" s="2">
        <v>35.200000000000003</v>
      </c>
      <c r="T204" s="2">
        <v>34.799999999999997</v>
      </c>
      <c r="U204" s="2"/>
    </row>
    <row r="205" spans="2:21" x14ac:dyDescent="0.3">
      <c r="B205" s="144"/>
      <c r="C205" s="382" t="s">
        <v>751</v>
      </c>
      <c r="D205" s="381"/>
      <c r="E205" s="397">
        <v>1677900</v>
      </c>
      <c r="F205" s="397">
        <v>1677900</v>
      </c>
      <c r="G205" s="397">
        <v>1677900</v>
      </c>
      <c r="H205" s="397">
        <v>1677900</v>
      </c>
      <c r="I205" s="407"/>
      <c r="J205" s="372">
        <f>H205</f>
        <v>1677900</v>
      </c>
      <c r="K205" s="372" t="s">
        <v>724</v>
      </c>
      <c r="N205" s="2"/>
      <c r="O205" s="2"/>
      <c r="P205" s="2"/>
      <c r="Q205" s="2"/>
      <c r="R205" s="2"/>
      <c r="S205" s="2"/>
      <c r="T205" s="2"/>
      <c r="U205" s="2"/>
    </row>
    <row r="206" spans="2:21" x14ac:dyDescent="0.3">
      <c r="B206" s="144"/>
      <c r="C206" s="378" t="s">
        <v>684</v>
      </c>
      <c r="D206" s="377" t="s">
        <v>708</v>
      </c>
      <c r="E206" s="396">
        <v>2952707.1039999998</v>
      </c>
      <c r="F206" s="396">
        <v>2952707.1039999998</v>
      </c>
      <c r="G206" s="396">
        <v>2952707.1039999998</v>
      </c>
      <c r="H206" s="396">
        <v>2952707.1039999998</v>
      </c>
      <c r="I206" s="407"/>
      <c r="J206" s="372">
        <f>H206</f>
        <v>2952707.1039999998</v>
      </c>
      <c r="K206" s="372" t="s">
        <v>722</v>
      </c>
      <c r="N206" s="497" t="s">
        <v>975</v>
      </c>
      <c r="O206" s="2"/>
      <c r="P206" s="2"/>
      <c r="Q206" s="2"/>
      <c r="R206" s="2"/>
      <c r="S206" s="2"/>
      <c r="T206" s="2"/>
      <c r="U206" s="2"/>
    </row>
    <row r="207" spans="2:21" x14ac:dyDescent="0.3">
      <c r="B207" s="144"/>
      <c r="C207" s="144"/>
      <c r="D207" s="144"/>
      <c r="E207" s="144"/>
      <c r="F207" s="144"/>
      <c r="G207" s="144"/>
      <c r="H207" s="144"/>
      <c r="I207" s="407"/>
      <c r="J207" s="372"/>
      <c r="K207" s="372"/>
      <c r="N207" s="2" t="s">
        <v>976</v>
      </c>
      <c r="O207" s="2" t="s">
        <v>21</v>
      </c>
      <c r="P207" s="498">
        <v>7.0449270000000004</v>
      </c>
      <c r="Q207" s="498">
        <v>6.92394</v>
      </c>
      <c r="R207" s="498">
        <v>5.1689090000000002</v>
      </c>
      <c r="S207" s="498">
        <v>5.5497860000000001</v>
      </c>
      <c r="T207" s="498">
        <v>5.7710460000000001</v>
      </c>
      <c r="U207" s="2"/>
    </row>
    <row r="208" spans="2:21" x14ac:dyDescent="0.3">
      <c r="B208" s="144"/>
      <c r="C208" s="144"/>
      <c r="D208" s="144"/>
      <c r="E208" s="144"/>
      <c r="F208" s="391" t="s">
        <v>716</v>
      </c>
      <c r="G208" s="389">
        <v>0.7</v>
      </c>
      <c r="H208" s="389"/>
      <c r="I208" s="407" t="s">
        <v>750</v>
      </c>
      <c r="J208" s="372"/>
      <c r="K208" s="372"/>
      <c r="N208" s="2" t="s">
        <v>977</v>
      </c>
      <c r="O208" s="2" t="s">
        <v>21</v>
      </c>
      <c r="P208" s="498">
        <v>2.8362750000000001</v>
      </c>
      <c r="Q208" s="498">
        <v>3.2546979999999999</v>
      </c>
      <c r="R208" s="498">
        <v>3.1434120000000001</v>
      </c>
      <c r="S208" s="498">
        <v>3.1507670000000001</v>
      </c>
      <c r="T208" s="498">
        <v>2.85318</v>
      </c>
      <c r="U208" s="2"/>
    </row>
    <row r="209" spans="2:21" x14ac:dyDescent="0.3">
      <c r="B209" s="144"/>
      <c r="C209" s="144"/>
      <c r="D209" s="144"/>
      <c r="E209" s="144"/>
      <c r="F209" s="391" t="s">
        <v>715</v>
      </c>
      <c r="G209" s="388">
        <v>350</v>
      </c>
      <c r="H209" s="388"/>
      <c r="I209" s="407"/>
      <c r="J209" s="372"/>
      <c r="K209" s="372"/>
      <c r="N209" s="2" t="s">
        <v>978</v>
      </c>
      <c r="O209" s="2" t="s">
        <v>21</v>
      </c>
      <c r="P209" s="498">
        <v>0.86376399999999998</v>
      </c>
      <c r="Q209" s="498">
        <v>1.209792</v>
      </c>
      <c r="R209" s="498">
        <v>0.487566</v>
      </c>
      <c r="S209" s="498">
        <v>0.59330000000000005</v>
      </c>
      <c r="T209" s="498">
        <v>0.74548099999999995</v>
      </c>
      <c r="U209" s="2"/>
    </row>
    <row r="210" spans="2:21" x14ac:dyDescent="0.3">
      <c r="B210" s="144"/>
      <c r="C210" s="387" t="s">
        <v>749</v>
      </c>
      <c r="D210" s="386" t="s">
        <v>712</v>
      </c>
      <c r="E210" s="386">
        <v>2006</v>
      </c>
      <c r="F210" s="386">
        <v>2007</v>
      </c>
      <c r="G210" s="385">
        <v>2010</v>
      </c>
      <c r="H210" s="384">
        <v>2014</v>
      </c>
      <c r="I210" s="407"/>
      <c r="J210" s="372"/>
      <c r="K210" s="372"/>
      <c r="N210" s="2" t="s">
        <v>554</v>
      </c>
      <c r="O210" s="2" t="s">
        <v>21</v>
      </c>
      <c r="P210" s="498">
        <v>46.785316999999999</v>
      </c>
      <c r="Q210" s="498">
        <v>46.035921999999999</v>
      </c>
      <c r="R210" s="498">
        <v>12.204065999999999</v>
      </c>
      <c r="S210" s="498">
        <v>11.86947</v>
      </c>
      <c r="T210" s="498">
        <v>10.97556</v>
      </c>
      <c r="U210" s="2"/>
    </row>
    <row r="211" spans="2:21" x14ac:dyDescent="0.3">
      <c r="B211" s="144"/>
      <c r="C211" s="382" t="s">
        <v>748</v>
      </c>
      <c r="D211" s="381" t="s">
        <v>313</v>
      </c>
      <c r="E211" s="381">
        <v>0.64</v>
      </c>
      <c r="F211" s="381">
        <v>0.64</v>
      </c>
      <c r="G211" s="381">
        <v>0.64</v>
      </c>
      <c r="H211" s="381">
        <v>0.64</v>
      </c>
      <c r="I211" s="407" t="s">
        <v>747</v>
      </c>
      <c r="J211" s="372"/>
      <c r="K211" s="372"/>
      <c r="N211" s="2" t="s">
        <v>960</v>
      </c>
      <c r="O211" s="2" t="s">
        <v>21</v>
      </c>
      <c r="P211" s="498">
        <v>0.74852700000000005</v>
      </c>
      <c r="Q211" s="498">
        <v>1.6870750000000001</v>
      </c>
      <c r="R211" s="498">
        <v>1.5898000000000001</v>
      </c>
      <c r="S211" s="498">
        <v>1.5795809999999999</v>
      </c>
      <c r="T211" s="498">
        <v>1.929252</v>
      </c>
      <c r="U211" s="2"/>
    </row>
    <row r="212" spans="2:21" x14ac:dyDescent="0.3">
      <c r="B212" s="144"/>
      <c r="C212" s="382" t="s">
        <v>730</v>
      </c>
      <c r="D212" s="381"/>
      <c r="E212" s="381">
        <v>0.12</v>
      </c>
      <c r="F212" s="381">
        <v>0.12</v>
      </c>
      <c r="G212" s="381">
        <v>0.12</v>
      </c>
      <c r="H212" s="381">
        <v>0.12</v>
      </c>
      <c r="I212" s="407"/>
      <c r="J212" s="372"/>
      <c r="K212" s="372"/>
      <c r="N212" s="2"/>
      <c r="O212" s="2"/>
      <c r="P212" s="2"/>
      <c r="Q212" s="2"/>
      <c r="R212" s="2"/>
      <c r="S212" s="2"/>
      <c r="T212" s="2"/>
      <c r="U212" s="2"/>
    </row>
    <row r="213" spans="2:21" x14ac:dyDescent="0.3">
      <c r="B213" s="144"/>
      <c r="C213" s="382" t="s">
        <v>746</v>
      </c>
      <c r="D213" s="381" t="s">
        <v>708</v>
      </c>
      <c r="E213" s="397">
        <v>13718607.954545453</v>
      </c>
      <c r="F213" s="397">
        <v>13718607.954545453</v>
      </c>
      <c r="G213" s="397">
        <v>13718607.954545453</v>
      </c>
      <c r="H213" s="397">
        <v>13718607.954545453</v>
      </c>
      <c r="I213" s="407" t="s">
        <v>745</v>
      </c>
      <c r="J213" s="372">
        <f>H213</f>
        <v>13718607.954545453</v>
      </c>
      <c r="K213" s="372" t="s">
        <v>744</v>
      </c>
      <c r="N213" s="497" t="s">
        <v>979</v>
      </c>
      <c r="O213" s="2"/>
      <c r="P213" s="2"/>
      <c r="Q213" s="2"/>
      <c r="R213" s="2"/>
      <c r="S213" s="2"/>
      <c r="T213" s="2"/>
      <c r="U213" s="2"/>
    </row>
    <row r="214" spans="2:21" x14ac:dyDescent="0.3">
      <c r="B214" s="144"/>
      <c r="C214" s="378" t="s">
        <v>684</v>
      </c>
      <c r="D214" s="377" t="s">
        <v>708</v>
      </c>
      <c r="E214" s="396">
        <v>7726319.9999999991</v>
      </c>
      <c r="F214" s="396">
        <v>7726319.9999999991</v>
      </c>
      <c r="G214" s="396">
        <v>7726319.9999999991</v>
      </c>
      <c r="H214" s="396">
        <v>7726319.9999999991</v>
      </c>
      <c r="I214" s="407" t="s">
        <v>743</v>
      </c>
      <c r="J214" s="372">
        <f>H214</f>
        <v>7726319.9999999991</v>
      </c>
      <c r="K214" s="372" t="s">
        <v>742</v>
      </c>
      <c r="N214" s="2" t="s">
        <v>980</v>
      </c>
      <c r="O214" s="2" t="s">
        <v>21</v>
      </c>
      <c r="P214" s="498">
        <v>13.939473</v>
      </c>
      <c r="Q214" s="498">
        <v>14.087187</v>
      </c>
      <c r="R214" s="498">
        <v>14.532957</v>
      </c>
      <c r="S214" s="498">
        <v>14.224401</v>
      </c>
      <c r="T214" s="498">
        <v>14.182872</v>
      </c>
      <c r="U214" s="2"/>
    </row>
    <row r="215" spans="2:21" x14ac:dyDescent="0.3">
      <c r="B215" s="144"/>
      <c r="C215" s="144"/>
      <c r="D215" s="144"/>
      <c r="E215" s="144"/>
      <c r="F215" s="144"/>
      <c r="G215" s="144"/>
      <c r="H215" s="144"/>
      <c r="I215" s="407"/>
      <c r="J215" s="372"/>
      <c r="K215" s="372"/>
      <c r="N215" s="2" t="s">
        <v>981</v>
      </c>
      <c r="O215" s="2" t="s">
        <v>21</v>
      </c>
      <c r="P215" s="498">
        <v>71.468423000000001</v>
      </c>
      <c r="Q215" s="498">
        <v>72.833264999999997</v>
      </c>
      <c r="R215" s="498">
        <v>60.311248999999997</v>
      </c>
      <c r="S215" s="498">
        <v>52.531374</v>
      </c>
      <c r="T215" s="498">
        <v>54.969430000000003</v>
      </c>
      <c r="U215" s="2"/>
    </row>
    <row r="216" spans="2:21" x14ac:dyDescent="0.3">
      <c r="B216" s="144"/>
      <c r="C216" s="395" t="s">
        <v>741</v>
      </c>
      <c r="D216" s="395" t="s">
        <v>740</v>
      </c>
      <c r="E216" s="144"/>
      <c r="F216" s="144"/>
      <c r="G216" s="408">
        <v>19.16006697562214</v>
      </c>
      <c r="H216" s="144"/>
      <c r="I216" s="407"/>
      <c r="J216" s="372"/>
      <c r="K216" s="372"/>
      <c r="N216" s="2" t="s">
        <v>982</v>
      </c>
      <c r="O216" s="2" t="s">
        <v>21</v>
      </c>
      <c r="P216" s="498">
        <v>9.8723039999999997</v>
      </c>
      <c r="Q216" s="498">
        <v>10.029633</v>
      </c>
      <c r="R216" s="498">
        <v>7.5589120000000003</v>
      </c>
      <c r="S216" s="498">
        <v>7.4652960000000004</v>
      </c>
      <c r="T216" s="498">
        <v>8.2836049999999997</v>
      </c>
      <c r="U216" s="2"/>
    </row>
    <row r="217" spans="2:21" x14ac:dyDescent="0.3">
      <c r="B217" s="144"/>
      <c r="C217" s="144"/>
      <c r="D217" s="144"/>
      <c r="E217" s="144"/>
      <c r="F217" s="144"/>
      <c r="G217" s="144"/>
      <c r="H217" s="144"/>
      <c r="J217" s="404"/>
      <c r="K217" s="372"/>
      <c r="N217" s="2" t="s">
        <v>983</v>
      </c>
      <c r="O217" s="2" t="s">
        <v>21</v>
      </c>
      <c r="P217" s="498">
        <v>3.312916</v>
      </c>
      <c r="Q217" s="498">
        <v>3.8585919999999998</v>
      </c>
      <c r="R217" s="498">
        <v>2.9926889999999999</v>
      </c>
      <c r="S217" s="498">
        <v>2.8991739999999999</v>
      </c>
      <c r="T217" s="498">
        <v>1.935789</v>
      </c>
      <c r="U217" s="2"/>
    </row>
    <row r="218" spans="2:21" x14ac:dyDescent="0.3">
      <c r="B218" s="144"/>
      <c r="C218" s="406" t="s">
        <v>739</v>
      </c>
      <c r="D218" s="406" t="s">
        <v>708</v>
      </c>
      <c r="E218" s="405">
        <v>14582535.277265212</v>
      </c>
      <c r="F218" s="405">
        <v>15070581.907821069</v>
      </c>
      <c r="G218" s="405">
        <v>15070581.907821069</v>
      </c>
      <c r="H218" s="405">
        <v>15070581.907821069</v>
      </c>
      <c r="J218" s="404"/>
      <c r="K218" s="372"/>
      <c r="N218" s="2"/>
      <c r="O218" s="2"/>
      <c r="P218" s="2"/>
      <c r="Q218" s="2"/>
      <c r="R218" s="2"/>
      <c r="S218" s="2"/>
      <c r="T218" s="2"/>
      <c r="U218" s="2"/>
    </row>
    <row r="219" spans="2:21" x14ac:dyDescent="0.3">
      <c r="J219" s="372"/>
      <c r="K219" s="372"/>
      <c r="N219" s="313" t="s">
        <v>984</v>
      </c>
      <c r="O219" s="2"/>
      <c r="P219" s="2"/>
      <c r="Q219" s="2"/>
      <c r="R219" s="2"/>
      <c r="S219" s="2"/>
      <c r="T219" s="2"/>
      <c r="U219" s="2"/>
    </row>
    <row r="220" spans="2:21" x14ac:dyDescent="0.3">
      <c r="J220" s="372"/>
      <c r="K220" s="372"/>
      <c r="N220" s="497" t="s">
        <v>985</v>
      </c>
      <c r="O220" s="2"/>
      <c r="P220" s="313"/>
      <c r="Q220" s="313"/>
      <c r="R220" s="313"/>
      <c r="S220" s="313"/>
      <c r="T220" s="313"/>
      <c r="U220" s="2"/>
    </row>
    <row r="221" spans="2:21" x14ac:dyDescent="0.3">
      <c r="B221" s="393" t="s">
        <v>717</v>
      </c>
      <c r="C221" s="144"/>
      <c r="D221" s="144"/>
      <c r="E221" s="144"/>
      <c r="F221" s="144"/>
      <c r="G221" s="144"/>
      <c r="H221" s="144"/>
      <c r="J221" s="372"/>
      <c r="K221" s="372"/>
      <c r="N221" s="2" t="s">
        <v>948</v>
      </c>
      <c r="O221" s="2" t="s">
        <v>315</v>
      </c>
      <c r="P221" s="2">
        <v>46.2</v>
      </c>
      <c r="Q221" s="2">
        <v>46.2</v>
      </c>
      <c r="R221" s="2">
        <v>56.9</v>
      </c>
      <c r="S221" s="2">
        <v>53.7</v>
      </c>
      <c r="T221" s="2">
        <v>55.1</v>
      </c>
      <c r="U221" s="2"/>
    </row>
    <row r="222" spans="2:21" x14ac:dyDescent="0.3">
      <c r="B222" s="393"/>
      <c r="C222" s="144"/>
      <c r="D222" s="144"/>
      <c r="E222" s="144"/>
      <c r="F222" s="144"/>
      <c r="G222" s="391" t="s">
        <v>716</v>
      </c>
      <c r="H222" s="389">
        <v>0.8</v>
      </c>
      <c r="J222" s="372"/>
      <c r="K222" s="372"/>
      <c r="N222" s="2" t="s">
        <v>986</v>
      </c>
      <c r="O222" s="2" t="s">
        <v>315</v>
      </c>
      <c r="P222" s="2">
        <v>9.1999999999999993</v>
      </c>
      <c r="Q222" s="2">
        <v>9.1</v>
      </c>
      <c r="R222" s="2">
        <v>14</v>
      </c>
      <c r="S222" s="2">
        <v>14.9</v>
      </c>
      <c r="T222" s="2">
        <v>14.5</v>
      </c>
      <c r="U222" s="2"/>
    </row>
    <row r="223" spans="2:21" x14ac:dyDescent="0.3">
      <c r="B223" s="144"/>
      <c r="C223" s="144"/>
      <c r="D223" s="144"/>
      <c r="E223" s="144"/>
      <c r="F223" s="144"/>
      <c r="G223" s="391" t="s">
        <v>715</v>
      </c>
      <c r="H223" s="388">
        <v>27</v>
      </c>
      <c r="J223" s="372"/>
      <c r="K223" s="372"/>
      <c r="N223" s="2" t="s">
        <v>982</v>
      </c>
      <c r="O223" s="2" t="s">
        <v>315</v>
      </c>
      <c r="P223" s="2">
        <v>6.4</v>
      </c>
      <c r="Q223" s="2">
        <v>6.4</v>
      </c>
      <c r="R223" s="2">
        <v>7.1</v>
      </c>
      <c r="S223" s="2">
        <v>7.6</v>
      </c>
      <c r="T223" s="2">
        <v>8.3000000000000007</v>
      </c>
      <c r="U223" s="2"/>
    </row>
    <row r="224" spans="2:21" x14ac:dyDescent="0.3">
      <c r="B224" s="144"/>
      <c r="C224" s="387" t="s">
        <v>738</v>
      </c>
      <c r="D224" s="386" t="s">
        <v>712</v>
      </c>
      <c r="E224" s="386">
        <v>2006</v>
      </c>
      <c r="F224" s="386">
        <v>2007</v>
      </c>
      <c r="G224" s="385">
        <v>2010</v>
      </c>
      <c r="H224" s="384">
        <v>2014</v>
      </c>
      <c r="J224" s="372"/>
      <c r="K224" s="372"/>
      <c r="N224" s="2" t="s">
        <v>987</v>
      </c>
      <c r="O224" s="2" t="s">
        <v>315</v>
      </c>
      <c r="P224" s="2">
        <v>1.9</v>
      </c>
      <c r="Q224" s="2">
        <v>2.2999999999999998</v>
      </c>
      <c r="R224" s="2">
        <v>2.5</v>
      </c>
      <c r="S224" s="2">
        <v>2.6</v>
      </c>
      <c r="T224" s="2">
        <v>1.6</v>
      </c>
      <c r="U224" s="2"/>
    </row>
    <row r="225" spans="2:21" x14ac:dyDescent="0.3">
      <c r="B225" s="144"/>
      <c r="C225" s="382" t="s">
        <v>687</v>
      </c>
      <c r="D225" s="381" t="s">
        <v>708</v>
      </c>
      <c r="E225" s="381">
        <v>0.54</v>
      </c>
      <c r="F225" s="381">
        <v>0.54</v>
      </c>
      <c r="G225" s="381">
        <v>0.54</v>
      </c>
      <c r="H225" s="381">
        <v>0.54</v>
      </c>
      <c r="J225" s="372"/>
      <c r="K225" s="372"/>
      <c r="N225" s="499" t="s">
        <v>989</v>
      </c>
      <c r="O225" s="500"/>
      <c r="P225" s="707">
        <f>SUM(P221:P224)/100</f>
        <v>0.63700000000000001</v>
      </c>
      <c r="Q225" s="707">
        <f>SUM(Q221:Q224)/100</f>
        <v>0.64</v>
      </c>
      <c r="R225" s="707">
        <f>SUM(R221:R224)/100</f>
        <v>0.80500000000000005</v>
      </c>
      <c r="S225" s="707">
        <f>SUM(S221:S224)/100</f>
        <v>0.78799999999999992</v>
      </c>
      <c r="T225" s="707">
        <f>SUM(T221:T224)/100</f>
        <v>0.79499999999999982</v>
      </c>
      <c r="U225" s="2"/>
    </row>
    <row r="226" spans="2:21" x14ac:dyDescent="0.3">
      <c r="B226" s="144"/>
      <c r="C226" s="382" t="s">
        <v>737</v>
      </c>
      <c r="D226" s="381" t="s">
        <v>708</v>
      </c>
      <c r="E226" s="390">
        <v>1261440</v>
      </c>
      <c r="F226" s="390">
        <v>1261440</v>
      </c>
      <c r="G226" s="390">
        <v>1261440</v>
      </c>
      <c r="H226" s="403">
        <v>1261440</v>
      </c>
      <c r="J226" s="372">
        <f>H226</f>
        <v>1261440</v>
      </c>
      <c r="K226" s="372" t="s">
        <v>685</v>
      </c>
      <c r="N226" s="2"/>
      <c r="O226" s="2"/>
      <c r="P226" s="2"/>
      <c r="Q226" s="2"/>
      <c r="R226" s="2"/>
      <c r="S226" s="2"/>
      <c r="T226" s="2"/>
      <c r="U226" s="706">
        <f>(SUM(P225:T225)/5)</f>
        <v>0.73299999999999998</v>
      </c>
    </row>
    <row r="227" spans="2:21" x14ac:dyDescent="0.3">
      <c r="B227" s="144"/>
      <c r="C227" s="378" t="s">
        <v>709</v>
      </c>
      <c r="D227" s="377" t="s">
        <v>708</v>
      </c>
      <c r="E227" s="376">
        <v>681177.60000000009</v>
      </c>
      <c r="F227" s="376">
        <v>681177.60000000009</v>
      </c>
      <c r="G227" s="376">
        <v>681177.60000000009</v>
      </c>
      <c r="H227" s="376">
        <v>681177.60000000009</v>
      </c>
      <c r="J227" s="372">
        <f>H227</f>
        <v>681177.60000000009</v>
      </c>
      <c r="K227" s="372" t="s">
        <v>736</v>
      </c>
      <c r="N227" s="2"/>
      <c r="O227" s="2"/>
      <c r="P227" s="2"/>
      <c r="Q227" s="2"/>
      <c r="R227" s="2"/>
      <c r="S227" s="2"/>
      <c r="T227" s="2"/>
      <c r="U227" s="2"/>
    </row>
    <row r="228" spans="2:21" x14ac:dyDescent="0.3">
      <c r="B228" s="144"/>
      <c r="C228" s="144"/>
      <c r="D228" s="144"/>
      <c r="E228" s="144"/>
      <c r="F228" s="144"/>
      <c r="G228" s="144"/>
      <c r="H228" s="144"/>
      <c r="J228" s="372"/>
      <c r="K228" s="372"/>
      <c r="N228" s="497" t="s">
        <v>988</v>
      </c>
      <c r="O228" s="2"/>
      <c r="P228" s="2"/>
      <c r="Q228" s="2"/>
      <c r="R228" s="2"/>
      <c r="S228" s="2"/>
      <c r="T228" s="2"/>
      <c r="U228" s="2"/>
    </row>
    <row r="229" spans="2:21" x14ac:dyDescent="0.3">
      <c r="B229" s="144"/>
      <c r="C229" s="144"/>
      <c r="D229" s="144"/>
      <c r="E229" s="144"/>
      <c r="F229" s="144"/>
      <c r="G229" s="391" t="s">
        <v>716</v>
      </c>
      <c r="H229" s="389">
        <v>0.8</v>
      </c>
      <c r="J229" s="372"/>
      <c r="K229" s="372"/>
      <c r="N229" s="2" t="s">
        <v>554</v>
      </c>
      <c r="O229" s="2" t="s">
        <v>315</v>
      </c>
      <c r="P229" s="2">
        <v>29.2</v>
      </c>
      <c r="Q229" s="2">
        <v>28.2</v>
      </c>
      <c r="R229" s="2">
        <v>10.199999999999999</v>
      </c>
      <c r="S229" s="2">
        <v>10.7</v>
      </c>
      <c r="T229" s="2">
        <v>9.6999999999999993</v>
      </c>
      <c r="U229" s="2"/>
    </row>
    <row r="230" spans="2:21" x14ac:dyDescent="0.3">
      <c r="B230" s="144"/>
      <c r="C230" s="144"/>
      <c r="D230" s="144"/>
      <c r="E230" s="144"/>
      <c r="F230" s="144"/>
      <c r="G230" s="391" t="s">
        <v>715</v>
      </c>
      <c r="H230" s="388">
        <v>38</v>
      </c>
      <c r="J230" s="372"/>
      <c r="K230" s="372"/>
      <c r="N230" s="2" t="s">
        <v>976</v>
      </c>
      <c r="O230" s="2" t="s">
        <v>315</v>
      </c>
      <c r="P230" s="2">
        <v>4.5999999999999996</v>
      </c>
      <c r="Q230" s="2">
        <v>4.4000000000000004</v>
      </c>
      <c r="R230" s="2">
        <v>4.9000000000000004</v>
      </c>
      <c r="S230" s="2">
        <v>5.7</v>
      </c>
      <c r="T230" s="2">
        <v>5.8</v>
      </c>
      <c r="U230" s="2"/>
    </row>
    <row r="231" spans="2:21" x14ac:dyDescent="0.3">
      <c r="B231" s="144"/>
      <c r="C231" s="387" t="s">
        <v>735</v>
      </c>
      <c r="D231" s="386" t="s">
        <v>712</v>
      </c>
      <c r="E231" s="386">
        <v>2006</v>
      </c>
      <c r="F231" s="386">
        <v>2007</v>
      </c>
      <c r="G231" s="385">
        <v>2010</v>
      </c>
      <c r="H231" s="384">
        <v>2014</v>
      </c>
      <c r="J231" s="372"/>
      <c r="K231" s="372"/>
      <c r="N231" s="2" t="s">
        <v>977</v>
      </c>
      <c r="O231" s="2" t="s">
        <v>315</v>
      </c>
      <c r="P231" s="2">
        <v>1.8</v>
      </c>
      <c r="Q231" s="2">
        <v>2.1</v>
      </c>
      <c r="R231" s="2">
        <v>3</v>
      </c>
      <c r="S231" s="2">
        <v>3.2</v>
      </c>
      <c r="T231" s="2">
        <v>2.9</v>
      </c>
      <c r="U231" s="2"/>
    </row>
    <row r="232" spans="2:21" x14ac:dyDescent="0.3">
      <c r="B232" s="144"/>
      <c r="C232" s="382" t="s">
        <v>687</v>
      </c>
      <c r="D232" s="381" t="s">
        <v>708</v>
      </c>
      <c r="E232" s="381">
        <v>0.9</v>
      </c>
      <c r="F232" s="381">
        <v>0.9</v>
      </c>
      <c r="G232" s="381">
        <v>0.9</v>
      </c>
      <c r="H232" s="381">
        <v>0.9</v>
      </c>
      <c r="J232" s="372"/>
      <c r="K232" s="372"/>
      <c r="N232" s="2" t="s">
        <v>960</v>
      </c>
      <c r="O232" s="2" t="s">
        <v>315</v>
      </c>
      <c r="P232" s="2">
        <v>0.6</v>
      </c>
      <c r="Q232" s="2">
        <v>1.4</v>
      </c>
      <c r="R232" s="2">
        <v>1.4</v>
      </c>
      <c r="S232" s="2">
        <v>1.6</v>
      </c>
      <c r="T232" s="2">
        <v>2</v>
      </c>
      <c r="U232" s="2"/>
    </row>
    <row r="233" spans="2:21" x14ac:dyDescent="0.3">
      <c r="B233" s="144"/>
      <c r="C233" s="382" t="s">
        <v>711</v>
      </c>
      <c r="D233" s="381" t="s">
        <v>708</v>
      </c>
      <c r="E233" s="390">
        <v>1065216</v>
      </c>
      <c r="F233" s="390">
        <v>1065216</v>
      </c>
      <c r="G233" s="390">
        <v>1065216</v>
      </c>
      <c r="H233" s="390">
        <v>1065216</v>
      </c>
      <c r="J233" s="372">
        <f>H233</f>
        <v>1065216</v>
      </c>
      <c r="K233" s="372" t="s">
        <v>710</v>
      </c>
      <c r="N233" s="499" t="s">
        <v>990</v>
      </c>
      <c r="O233" s="311"/>
      <c r="P233" s="501">
        <f>SUM(P229:P232)</f>
        <v>36.199999999999996</v>
      </c>
      <c r="Q233" s="501">
        <f t="shared" ref="Q233:T233" si="3">SUM(Q229:Q232)</f>
        <v>36.1</v>
      </c>
      <c r="R233" s="501">
        <f t="shared" si="3"/>
        <v>19.5</v>
      </c>
      <c r="S233" s="501">
        <f t="shared" si="3"/>
        <v>21.2</v>
      </c>
      <c r="T233" s="501">
        <f t="shared" si="3"/>
        <v>20.399999999999999</v>
      </c>
      <c r="U233" s="2"/>
    </row>
    <row r="234" spans="2:21" x14ac:dyDescent="0.3">
      <c r="B234" s="144"/>
      <c r="C234" s="378" t="s">
        <v>709</v>
      </c>
      <c r="D234" s="377" t="s">
        <v>708</v>
      </c>
      <c r="E234" s="376">
        <v>958694.40000000002</v>
      </c>
      <c r="F234" s="376">
        <v>958694.40000000002</v>
      </c>
      <c r="G234" s="376">
        <v>958694.40000000002</v>
      </c>
      <c r="H234" s="376">
        <v>958694.40000000002</v>
      </c>
      <c r="J234" s="372">
        <f>H234</f>
        <v>958694.40000000002</v>
      </c>
      <c r="K234" s="372" t="s">
        <v>707</v>
      </c>
      <c r="N234" s="2"/>
      <c r="O234" s="2"/>
      <c r="P234" s="2"/>
      <c r="Q234" s="2"/>
      <c r="R234" s="2"/>
      <c r="S234" s="2"/>
      <c r="T234" s="2"/>
      <c r="U234" s="2"/>
    </row>
    <row r="235" spans="2:21" x14ac:dyDescent="0.3">
      <c r="B235" s="144"/>
      <c r="C235" s="144"/>
      <c r="D235" s="144"/>
      <c r="E235" s="144"/>
      <c r="F235" s="144"/>
      <c r="G235" s="144"/>
      <c r="H235" s="144"/>
      <c r="J235" s="372"/>
      <c r="K235" s="372"/>
      <c r="N235" s="497" t="s">
        <v>991</v>
      </c>
      <c r="O235" s="2"/>
      <c r="P235" s="2"/>
      <c r="Q235" s="2"/>
      <c r="R235" s="2"/>
      <c r="S235" s="2"/>
      <c r="T235" s="2"/>
      <c r="U235" s="2"/>
    </row>
    <row r="236" spans="2:21" x14ac:dyDescent="0.3">
      <c r="B236" s="144"/>
      <c r="C236" s="144"/>
      <c r="D236" s="144"/>
      <c r="E236" s="144"/>
      <c r="F236" s="144"/>
      <c r="G236" s="391" t="s">
        <v>716</v>
      </c>
      <c r="H236" s="389">
        <v>0.8</v>
      </c>
      <c r="J236" s="372"/>
      <c r="K236" s="372"/>
      <c r="N236" s="2" t="s">
        <v>992</v>
      </c>
      <c r="O236" s="2" t="s">
        <v>608</v>
      </c>
      <c r="P236" s="2">
        <v>3.97</v>
      </c>
      <c r="Q236" s="2">
        <v>3.97</v>
      </c>
      <c r="R236" s="2">
        <v>3.68</v>
      </c>
      <c r="S236" s="2">
        <v>3.32</v>
      </c>
      <c r="T236" s="2">
        <v>3.38</v>
      </c>
      <c r="U236" s="2"/>
    </row>
    <row r="237" spans="2:21" x14ac:dyDescent="0.3">
      <c r="B237" s="144"/>
      <c r="C237" s="144"/>
      <c r="D237" s="144"/>
      <c r="E237" s="144"/>
      <c r="F237" s="144"/>
      <c r="G237" s="391" t="s">
        <v>715</v>
      </c>
      <c r="H237" s="388">
        <v>34.299999999999997</v>
      </c>
      <c r="J237" s="372"/>
      <c r="K237" s="372"/>
      <c r="N237" s="2" t="s">
        <v>993</v>
      </c>
      <c r="O237" s="2" t="s">
        <v>608</v>
      </c>
      <c r="P237" s="2">
        <v>12.67</v>
      </c>
      <c r="Q237" s="2">
        <v>12.28</v>
      </c>
      <c r="R237" s="2">
        <v>11.4</v>
      </c>
      <c r="S237" s="2">
        <v>11.09</v>
      </c>
      <c r="T237" s="2">
        <v>11.33</v>
      </c>
      <c r="U237" s="2"/>
    </row>
    <row r="238" spans="2:21" x14ac:dyDescent="0.3">
      <c r="B238" s="144"/>
      <c r="C238" s="387" t="s">
        <v>734</v>
      </c>
      <c r="D238" s="386" t="s">
        <v>712</v>
      </c>
      <c r="E238" s="386">
        <v>2006</v>
      </c>
      <c r="F238" s="386">
        <v>2007</v>
      </c>
      <c r="G238" s="385">
        <v>2010</v>
      </c>
      <c r="H238" s="384">
        <v>2014</v>
      </c>
      <c r="J238" s="372"/>
      <c r="K238" s="372"/>
      <c r="N238" s="502" t="s">
        <v>994</v>
      </c>
      <c r="O238" s="502"/>
      <c r="P238" s="502">
        <f>SUM(P236:P237)</f>
        <v>16.64</v>
      </c>
      <c r="Q238" s="502">
        <f t="shared" ref="Q238:T238" si="4">SUM(Q236:Q237)</f>
        <v>16.25</v>
      </c>
      <c r="R238" s="502">
        <f t="shared" si="4"/>
        <v>15.08</v>
      </c>
      <c r="S238" s="502">
        <f t="shared" si="4"/>
        <v>14.41</v>
      </c>
      <c r="T238" s="502">
        <f t="shared" si="4"/>
        <v>14.71</v>
      </c>
      <c r="U238" s="2"/>
    </row>
    <row r="239" spans="2:21" x14ac:dyDescent="0.3">
      <c r="B239" s="144"/>
      <c r="C239" s="382" t="s">
        <v>687</v>
      </c>
      <c r="D239" s="381" t="s">
        <v>708</v>
      </c>
      <c r="E239" s="381">
        <v>0.9</v>
      </c>
      <c r="F239" s="381">
        <v>0.9</v>
      </c>
      <c r="G239" s="381">
        <v>0.9</v>
      </c>
      <c r="H239" s="381">
        <v>0.9</v>
      </c>
      <c r="J239" s="372"/>
      <c r="K239" s="372"/>
      <c r="N239" s="2"/>
      <c r="O239" s="2"/>
      <c r="P239" s="2"/>
      <c r="Q239" s="2"/>
      <c r="R239" s="2"/>
      <c r="S239" s="2"/>
      <c r="T239" s="2"/>
      <c r="U239" s="2">
        <f>SUM(P238:T238)/5</f>
        <v>15.418000000000001</v>
      </c>
    </row>
    <row r="240" spans="2:21" x14ac:dyDescent="0.3">
      <c r="B240" s="144"/>
      <c r="C240" s="382" t="s">
        <v>711</v>
      </c>
      <c r="D240" s="381" t="s">
        <v>708</v>
      </c>
      <c r="E240" s="390">
        <v>961497.59999999986</v>
      </c>
      <c r="F240" s="390">
        <v>961497.59999999986</v>
      </c>
      <c r="G240" s="390">
        <v>961497.59999999986</v>
      </c>
      <c r="H240" s="390">
        <v>961497.59999999986</v>
      </c>
      <c r="J240" s="372">
        <f>H240</f>
        <v>961497.59999999986</v>
      </c>
      <c r="K240" s="372" t="s">
        <v>710</v>
      </c>
      <c r="N240" s="497" t="s">
        <v>1001</v>
      </c>
      <c r="O240" s="2"/>
      <c r="P240" s="2"/>
      <c r="Q240" s="2"/>
      <c r="R240" s="2"/>
      <c r="S240" s="2"/>
      <c r="T240" s="2"/>
      <c r="U240" s="2"/>
    </row>
    <row r="241" spans="1:21" x14ac:dyDescent="0.3">
      <c r="B241" s="144"/>
      <c r="C241" s="378" t="s">
        <v>709</v>
      </c>
      <c r="D241" s="377" t="s">
        <v>708</v>
      </c>
      <c r="E241" s="376">
        <v>865347.83999999985</v>
      </c>
      <c r="F241" s="376">
        <v>865347.83999999985</v>
      </c>
      <c r="G241" s="376">
        <v>865347.83999999985</v>
      </c>
      <c r="H241" s="376">
        <v>865347.83999999985</v>
      </c>
      <c r="J241" s="372">
        <f>H241</f>
        <v>865347.83999999985</v>
      </c>
      <c r="K241" s="372" t="s">
        <v>707</v>
      </c>
      <c r="N241" s="2" t="s">
        <v>995</v>
      </c>
      <c r="O241" s="2" t="s">
        <v>21</v>
      </c>
      <c r="P241" s="498">
        <v>4.2508499999999998</v>
      </c>
      <c r="Q241" s="498">
        <v>3.6238600000000001</v>
      </c>
      <c r="R241" s="498">
        <v>3.468404</v>
      </c>
      <c r="S241" s="498">
        <v>4.4922610000000001</v>
      </c>
      <c r="T241" s="498">
        <v>4.1433499999999999</v>
      </c>
      <c r="U241" s="2"/>
    </row>
    <row r="242" spans="1:21" x14ac:dyDescent="0.3">
      <c r="B242" s="144"/>
      <c r="C242" s="144"/>
      <c r="D242" s="144"/>
      <c r="E242" s="144"/>
      <c r="F242" s="144"/>
      <c r="G242" s="144"/>
      <c r="H242" s="144"/>
      <c r="J242" s="372"/>
      <c r="K242" s="372"/>
      <c r="N242" s="2" t="s">
        <v>982</v>
      </c>
      <c r="O242" s="2" t="s">
        <v>21</v>
      </c>
      <c r="P242" s="498">
        <v>84.334768999999994</v>
      </c>
      <c r="Q242" s="498">
        <v>86.413614999999993</v>
      </c>
      <c r="R242" s="498">
        <v>70.563074999999998</v>
      </c>
      <c r="S242" s="498">
        <v>62.588574999999999</v>
      </c>
      <c r="T242" s="498">
        <v>64.881724000000006</v>
      </c>
      <c r="U242" s="2"/>
    </row>
    <row r="243" spans="1:21" x14ac:dyDescent="0.3">
      <c r="B243" s="144"/>
      <c r="C243" s="144"/>
      <c r="D243" s="144"/>
      <c r="E243" s="144"/>
      <c r="F243" s="144"/>
      <c r="G243" s="391" t="s">
        <v>716</v>
      </c>
      <c r="H243" s="389">
        <v>0.8</v>
      </c>
      <c r="J243" s="372"/>
      <c r="K243" s="372"/>
      <c r="N243" s="2" t="s">
        <v>996</v>
      </c>
      <c r="O243" s="2" t="s">
        <v>21</v>
      </c>
      <c r="P243" s="498">
        <v>14.258347000000001</v>
      </c>
      <c r="Q243" s="498">
        <v>14.393349000000001</v>
      </c>
      <c r="R243" s="498">
        <v>14.828654999999999</v>
      </c>
      <c r="S243" s="498">
        <v>14.531364</v>
      </c>
      <c r="T243" s="498">
        <v>14.489712000000001</v>
      </c>
      <c r="U243" s="2"/>
    </row>
    <row r="244" spans="1:21" x14ac:dyDescent="0.3">
      <c r="B244" s="144"/>
      <c r="C244" s="144"/>
      <c r="D244" s="144"/>
      <c r="E244" s="144"/>
      <c r="F244" s="144"/>
      <c r="G244" s="391" t="s">
        <v>715</v>
      </c>
      <c r="H244" s="388">
        <v>47</v>
      </c>
      <c r="J244" s="372"/>
      <c r="K244" s="372"/>
      <c r="N244" s="2" t="s">
        <v>997</v>
      </c>
      <c r="O244" s="2" t="s">
        <v>21</v>
      </c>
      <c r="P244" s="498">
        <v>55.999985000000002</v>
      </c>
      <c r="Q244" s="498">
        <v>56.902394000000001</v>
      </c>
      <c r="R244" s="498">
        <v>20.594612999999999</v>
      </c>
      <c r="S244" s="498">
        <v>20.704626000000001</v>
      </c>
      <c r="T244" s="498">
        <v>20.316738000000001</v>
      </c>
      <c r="U244" s="2"/>
    </row>
    <row r="245" spans="1:21" x14ac:dyDescent="0.3">
      <c r="B245" s="144"/>
      <c r="C245" s="387" t="s">
        <v>733</v>
      </c>
      <c r="D245" s="386" t="s">
        <v>712</v>
      </c>
      <c r="E245" s="386"/>
      <c r="F245" s="386"/>
      <c r="G245" s="385">
        <v>2010</v>
      </c>
      <c r="H245" s="384">
        <v>2014</v>
      </c>
      <c r="J245" s="372"/>
      <c r="K245" s="372"/>
      <c r="N245" s="2" t="s">
        <v>998</v>
      </c>
      <c r="O245" s="2" t="s">
        <v>21</v>
      </c>
      <c r="P245" s="498">
        <v>8.3544999999999994E-2</v>
      </c>
      <c r="Q245" s="498">
        <v>7.3088E-2</v>
      </c>
      <c r="R245" s="498">
        <v>0</v>
      </c>
      <c r="S245" s="498">
        <v>0</v>
      </c>
      <c r="T245" s="498">
        <v>0</v>
      </c>
      <c r="U245" s="2"/>
    </row>
    <row r="246" spans="1:21" x14ac:dyDescent="0.3">
      <c r="B246" s="144"/>
      <c r="C246" s="382" t="s">
        <v>687</v>
      </c>
      <c r="D246" s="381" t="s">
        <v>708</v>
      </c>
      <c r="E246" s="381"/>
      <c r="F246" s="381"/>
      <c r="G246" s="381"/>
      <c r="H246" s="381">
        <v>0.3</v>
      </c>
      <c r="J246" s="372"/>
      <c r="K246" s="372"/>
      <c r="N246" s="2" t="s">
        <v>999</v>
      </c>
      <c r="O246" s="2" t="s">
        <v>21</v>
      </c>
      <c r="P246" s="498">
        <v>-10.198309</v>
      </c>
      <c r="Q246" s="498">
        <v>-9.8355149999999991</v>
      </c>
      <c r="R246" s="498">
        <v>-2.9725670000000002</v>
      </c>
      <c r="S246" s="498">
        <v>-2.8461310000000002</v>
      </c>
      <c r="T246" s="498">
        <v>-3.0220880000000001</v>
      </c>
      <c r="U246" s="2"/>
    </row>
    <row r="247" spans="1:21" x14ac:dyDescent="0.3">
      <c r="B247" s="144"/>
      <c r="C247" s="382" t="s">
        <v>711</v>
      </c>
      <c r="D247" s="381" t="s">
        <v>708</v>
      </c>
      <c r="E247" s="380"/>
      <c r="F247" s="380"/>
      <c r="G247" s="380"/>
      <c r="H247" s="390">
        <v>3952512.0000000005</v>
      </c>
      <c r="J247" s="372">
        <f>H247</f>
        <v>3952512.0000000005</v>
      </c>
      <c r="K247" s="372" t="s">
        <v>710</v>
      </c>
      <c r="N247" s="502" t="s">
        <v>1005</v>
      </c>
      <c r="O247" s="502" t="s">
        <v>21</v>
      </c>
      <c r="P247" s="503">
        <f>SUM(P241:P246)</f>
        <v>148.729187</v>
      </c>
      <c r="Q247" s="503">
        <f t="shared" ref="Q247:T247" si="5">SUM(Q241:Q246)</f>
        <v>151.57079100000001</v>
      </c>
      <c r="R247" s="503">
        <f t="shared" si="5"/>
        <v>106.48218</v>
      </c>
      <c r="S247" s="503">
        <f t="shared" si="5"/>
        <v>99.470695000000006</v>
      </c>
      <c r="T247" s="503">
        <f t="shared" si="5"/>
        <v>100.80943600000001</v>
      </c>
      <c r="U247" s="2"/>
    </row>
    <row r="248" spans="1:21" x14ac:dyDescent="0.3">
      <c r="B248" s="144"/>
      <c r="C248" s="378" t="s">
        <v>709</v>
      </c>
      <c r="D248" s="377" t="s">
        <v>708</v>
      </c>
      <c r="E248" s="376"/>
      <c r="F248" s="376"/>
      <c r="G248" s="376"/>
      <c r="H248" s="376">
        <v>1185753.6000000001</v>
      </c>
      <c r="J248" s="372">
        <f>H248</f>
        <v>1185753.6000000001</v>
      </c>
      <c r="K248" s="372" t="s">
        <v>707</v>
      </c>
      <c r="N248" s="2"/>
      <c r="O248" s="2"/>
      <c r="P248" s="498"/>
      <c r="Q248" s="498"/>
      <c r="R248" s="498"/>
      <c r="S248" s="498"/>
      <c r="T248" s="498"/>
      <c r="U248" s="2"/>
    </row>
    <row r="249" spans="1:21" x14ac:dyDescent="0.3">
      <c r="J249" s="372"/>
      <c r="K249" s="372"/>
      <c r="N249" s="497" t="s">
        <v>1000</v>
      </c>
      <c r="O249" s="2"/>
      <c r="P249" s="498"/>
      <c r="Q249" s="498"/>
      <c r="R249" s="498"/>
      <c r="S249" s="498"/>
      <c r="T249" s="498"/>
      <c r="U249" s="2"/>
    </row>
    <row r="250" spans="1:21" x14ac:dyDescent="0.3">
      <c r="J250" s="372"/>
      <c r="K250" s="372"/>
      <c r="N250" s="2" t="s">
        <v>1002</v>
      </c>
      <c r="O250" s="2" t="s">
        <v>21</v>
      </c>
      <c r="P250" s="498">
        <v>1.9483790000000001</v>
      </c>
      <c r="Q250" s="498">
        <v>1.886083</v>
      </c>
      <c r="R250" s="498">
        <v>1.7271000000000001</v>
      </c>
      <c r="S250" s="498">
        <v>1.76444</v>
      </c>
      <c r="T250" s="498">
        <v>1.6075349999999999</v>
      </c>
      <c r="U250" s="2"/>
    </row>
    <row r="251" spans="1:21" ht="18" x14ac:dyDescent="0.35">
      <c r="A251" s="375" t="s">
        <v>732</v>
      </c>
      <c r="B251" s="59"/>
      <c r="C251" s="59"/>
      <c r="D251" s="59"/>
      <c r="E251" s="59"/>
      <c r="F251" s="59"/>
      <c r="G251" s="59"/>
      <c r="H251" s="59"/>
      <c r="I251" s="59"/>
      <c r="J251" s="374"/>
      <c r="K251" s="372"/>
      <c r="N251" s="2" t="s">
        <v>997</v>
      </c>
      <c r="O251" s="2" t="s">
        <v>21</v>
      </c>
      <c r="P251" s="498">
        <v>2.2788249999999999</v>
      </c>
      <c r="Q251" s="498">
        <v>2.2090329999999998</v>
      </c>
      <c r="R251" s="498">
        <v>1.9991399999999999</v>
      </c>
      <c r="S251" s="498">
        <v>2.0382790000000002</v>
      </c>
      <c r="T251" s="498">
        <v>1.957781</v>
      </c>
      <c r="U251" s="2"/>
    </row>
    <row r="252" spans="1:21" ht="14.25" customHeight="1" x14ac:dyDescent="0.3">
      <c r="J252" s="372"/>
      <c r="K252" s="372"/>
      <c r="N252" s="2" t="s">
        <v>986</v>
      </c>
      <c r="O252" s="2" t="s">
        <v>21</v>
      </c>
      <c r="P252" s="498"/>
      <c r="Q252" s="498"/>
      <c r="R252" s="498"/>
      <c r="S252" s="498">
        <v>5.0500000000000002E-4</v>
      </c>
      <c r="T252" s="498">
        <v>260</v>
      </c>
      <c r="U252" s="2"/>
    </row>
    <row r="253" spans="1:21" x14ac:dyDescent="0.3">
      <c r="B253" s="393" t="s">
        <v>731</v>
      </c>
      <c r="D253" s="144"/>
      <c r="E253" s="144"/>
      <c r="F253" s="144"/>
      <c r="G253" s="144"/>
      <c r="H253" s="144"/>
      <c r="I253" s="144"/>
      <c r="J253" s="392"/>
      <c r="K253" s="372"/>
      <c r="N253" s="2" t="s">
        <v>1003</v>
      </c>
      <c r="O253" s="2" t="s">
        <v>21</v>
      </c>
      <c r="P253" s="498">
        <v>0.182561</v>
      </c>
      <c r="Q253" s="498">
        <v>0.19547200000000001</v>
      </c>
      <c r="R253" s="498">
        <v>0.20389099999999999</v>
      </c>
      <c r="S253" s="498">
        <v>0.231658</v>
      </c>
      <c r="T253" s="498">
        <v>0.20106399999999999</v>
      </c>
      <c r="U253" s="2"/>
    </row>
    <row r="254" spans="1:21" x14ac:dyDescent="0.3">
      <c r="B254" s="144"/>
      <c r="C254" s="144"/>
      <c r="D254" s="144"/>
      <c r="E254" s="144"/>
      <c r="F254" s="144"/>
      <c r="G254" s="391" t="s">
        <v>716</v>
      </c>
      <c r="H254" s="389">
        <v>0.96</v>
      </c>
      <c r="I254" s="389"/>
      <c r="J254" s="372"/>
      <c r="K254" s="372"/>
      <c r="N254" s="502" t="s">
        <v>1006</v>
      </c>
      <c r="O254" s="502" t="s">
        <v>21</v>
      </c>
      <c r="P254" s="503">
        <f>SUM(P250:P253)</f>
        <v>4.4097650000000002</v>
      </c>
      <c r="Q254" s="503">
        <f t="shared" ref="Q254:T254" si="6">SUM(Q250:Q253)</f>
        <v>4.2905879999999996</v>
      </c>
      <c r="R254" s="503">
        <f t="shared" si="6"/>
        <v>3.9301309999999998</v>
      </c>
      <c r="S254" s="503">
        <f t="shared" si="6"/>
        <v>4.0348820000000005</v>
      </c>
      <c r="T254" s="503">
        <f t="shared" si="6"/>
        <v>263.76637999999997</v>
      </c>
      <c r="U254" s="2"/>
    </row>
    <row r="255" spans="1:21" x14ac:dyDescent="0.3">
      <c r="B255" s="144"/>
      <c r="C255" s="144"/>
      <c r="D255" s="144"/>
      <c r="E255" s="144"/>
      <c r="F255" s="144"/>
      <c r="G255" s="391" t="s">
        <v>715</v>
      </c>
      <c r="H255" s="388">
        <v>158.45038888888891</v>
      </c>
      <c r="I255" s="388"/>
      <c r="J255" s="372"/>
      <c r="K255" s="372"/>
      <c r="N255" s="2"/>
      <c r="O255" s="2"/>
      <c r="P255" s="2"/>
      <c r="Q255" s="2"/>
      <c r="R255" s="2"/>
      <c r="S255" s="2"/>
      <c r="T255" s="2"/>
      <c r="U255" s="2"/>
    </row>
    <row r="256" spans="1:21" x14ac:dyDescent="0.3">
      <c r="B256" s="144"/>
      <c r="C256" s="387" t="s">
        <v>692</v>
      </c>
      <c r="D256" s="386" t="s">
        <v>712</v>
      </c>
      <c r="E256" s="386"/>
      <c r="F256" s="386">
        <v>2006</v>
      </c>
      <c r="G256" s="386">
        <v>2007</v>
      </c>
      <c r="H256" s="385">
        <v>2010</v>
      </c>
      <c r="I256" s="384">
        <v>2014</v>
      </c>
      <c r="J256" s="372"/>
      <c r="K256" s="372"/>
      <c r="N256" s="313" t="s">
        <v>1004</v>
      </c>
      <c r="O256" s="2"/>
      <c r="P256" s="2">
        <v>2</v>
      </c>
      <c r="Q256" s="2">
        <v>9</v>
      </c>
      <c r="R256" s="2">
        <v>5</v>
      </c>
      <c r="S256" s="2">
        <v>43</v>
      </c>
      <c r="T256" s="2">
        <v>60</v>
      </c>
      <c r="U256" s="2"/>
    </row>
    <row r="257" spans="2:21" x14ac:dyDescent="0.3">
      <c r="B257" s="144"/>
      <c r="C257" s="382" t="s">
        <v>687</v>
      </c>
      <c r="D257" s="381" t="s">
        <v>313</v>
      </c>
      <c r="E257" s="383"/>
      <c r="F257" s="383">
        <v>0.75</v>
      </c>
      <c r="G257" s="383">
        <v>0.75</v>
      </c>
      <c r="H257" s="383">
        <v>0.75</v>
      </c>
      <c r="I257" s="383">
        <v>0.75</v>
      </c>
      <c r="J257" s="372"/>
      <c r="K257" s="372"/>
      <c r="N257" s="2"/>
      <c r="O257" s="2"/>
      <c r="P257" s="2"/>
      <c r="Q257" s="2"/>
      <c r="R257" s="2"/>
      <c r="S257" s="2"/>
      <c r="T257" s="2"/>
      <c r="U257" s="2"/>
    </row>
    <row r="258" spans="2:21" x14ac:dyDescent="0.3">
      <c r="B258" s="144"/>
      <c r="C258" s="382" t="s">
        <v>730</v>
      </c>
      <c r="D258" s="381"/>
      <c r="E258" s="383"/>
      <c r="F258" s="383">
        <v>0.09</v>
      </c>
      <c r="G258" s="383">
        <v>0.09</v>
      </c>
      <c r="H258" s="383">
        <v>0.09</v>
      </c>
      <c r="I258" s="383">
        <v>0.09</v>
      </c>
      <c r="J258" s="372"/>
      <c r="K258" s="372"/>
      <c r="N258" s="2"/>
      <c r="O258" s="2"/>
      <c r="P258" s="2"/>
      <c r="Q258" s="2"/>
      <c r="R258" s="2"/>
      <c r="S258" s="2"/>
      <c r="T258" s="2"/>
      <c r="U258" s="2"/>
    </row>
    <row r="259" spans="2:21" x14ac:dyDescent="0.3">
      <c r="B259" s="144"/>
      <c r="C259" s="382" t="s">
        <v>691</v>
      </c>
      <c r="D259" s="381" t="s">
        <v>708</v>
      </c>
      <c r="E259" s="397"/>
      <c r="F259" s="397">
        <v>7028594.586725275</v>
      </c>
      <c r="G259" s="397">
        <v>7028594.586725275</v>
      </c>
      <c r="H259" s="397">
        <v>7028594.586725275</v>
      </c>
      <c r="I259" s="397">
        <v>7028594.586725275</v>
      </c>
      <c r="J259" s="372">
        <f>H259</f>
        <v>7028594.586725275</v>
      </c>
      <c r="K259" s="372" t="s">
        <v>690</v>
      </c>
      <c r="N259" s="497" t="s">
        <v>1017</v>
      </c>
      <c r="O259" s="2"/>
      <c r="P259" s="2"/>
      <c r="Q259" s="2"/>
      <c r="R259" s="2"/>
      <c r="S259" s="2"/>
      <c r="T259" s="2"/>
      <c r="U259" s="2"/>
    </row>
    <row r="260" spans="2:21" x14ac:dyDescent="0.3">
      <c r="B260" s="144"/>
      <c r="C260" s="378" t="s">
        <v>684</v>
      </c>
      <c r="D260" s="377" t="s">
        <v>708</v>
      </c>
      <c r="E260" s="396"/>
      <c r="F260" s="396">
        <v>4797015.8054400003</v>
      </c>
      <c r="G260" s="396">
        <v>4797015.8054400003</v>
      </c>
      <c r="H260" s="396">
        <v>4797015.8054400003</v>
      </c>
      <c r="I260" s="396">
        <v>4797015.8054400003</v>
      </c>
      <c r="J260" s="372">
        <f>H260</f>
        <v>4797015.8054400003</v>
      </c>
      <c r="K260" s="372" t="s">
        <v>689</v>
      </c>
      <c r="N260" s="313" t="s">
        <v>1016</v>
      </c>
      <c r="O260" s="2"/>
      <c r="P260" s="2"/>
      <c r="Q260" s="2"/>
      <c r="R260" s="2"/>
      <c r="S260" s="2"/>
      <c r="T260" s="2"/>
      <c r="U260" s="2"/>
    </row>
    <row r="261" spans="2:21" x14ac:dyDescent="0.3">
      <c r="B261" s="144"/>
      <c r="C261" s="144"/>
      <c r="D261" s="144"/>
      <c r="E261" s="144"/>
      <c r="F261" s="144"/>
      <c r="G261" s="144"/>
      <c r="H261" s="144"/>
      <c r="I261" s="144"/>
      <c r="J261" s="372"/>
      <c r="K261" s="372"/>
      <c r="N261" s="2" t="s">
        <v>1007</v>
      </c>
      <c r="O261" s="2" t="s">
        <v>1015</v>
      </c>
      <c r="P261" s="2"/>
      <c r="Q261" s="2"/>
      <c r="R261" s="2"/>
      <c r="S261" s="2"/>
      <c r="T261" s="2"/>
      <c r="U261" s="2"/>
    </row>
    <row r="262" spans="2:21" x14ac:dyDescent="0.3">
      <c r="B262" s="144"/>
      <c r="C262" s="402"/>
      <c r="D262" s="402"/>
      <c r="E262" s="401"/>
      <c r="F262" s="144"/>
      <c r="G262" s="400"/>
      <c r="H262" s="395"/>
      <c r="I262" s="144"/>
      <c r="J262" s="372"/>
      <c r="K262" s="372"/>
      <c r="N262" s="2" t="s">
        <v>1008</v>
      </c>
      <c r="O262" s="2" t="s">
        <v>1015</v>
      </c>
      <c r="P262" s="2"/>
      <c r="Q262" s="2"/>
      <c r="R262" s="2"/>
      <c r="S262" s="2"/>
      <c r="T262" s="2"/>
      <c r="U262" s="2"/>
    </row>
    <row r="263" spans="2:21" x14ac:dyDescent="0.3">
      <c r="B263" s="144"/>
      <c r="C263" s="144"/>
      <c r="D263" s="144"/>
      <c r="E263" s="144"/>
      <c r="F263" s="144"/>
      <c r="G263" s="391" t="s">
        <v>716</v>
      </c>
      <c r="H263" s="389">
        <v>0.96</v>
      </c>
      <c r="I263" s="389"/>
      <c r="J263" s="372"/>
      <c r="K263" s="372"/>
      <c r="N263" s="2" t="s">
        <v>1009</v>
      </c>
      <c r="O263" s="2" t="s">
        <v>1015</v>
      </c>
      <c r="P263" s="2"/>
      <c r="Q263" s="2"/>
      <c r="R263" s="2"/>
      <c r="S263" s="2"/>
      <c r="T263" s="2"/>
      <c r="U263" s="2"/>
    </row>
    <row r="264" spans="2:21" x14ac:dyDescent="0.3">
      <c r="B264" s="144"/>
      <c r="C264" s="144"/>
      <c r="D264" s="144"/>
      <c r="E264" s="144"/>
      <c r="F264" s="144"/>
      <c r="G264" s="391" t="s">
        <v>715</v>
      </c>
      <c r="H264" s="388">
        <v>83.885499999999993</v>
      </c>
      <c r="I264" s="388"/>
      <c r="J264" s="372"/>
      <c r="K264" s="372"/>
      <c r="N264" s="2" t="s">
        <v>1010</v>
      </c>
      <c r="O264" s="2" t="s">
        <v>1015</v>
      </c>
      <c r="P264" s="2"/>
      <c r="Q264" s="2"/>
      <c r="R264" s="2"/>
      <c r="S264" s="2"/>
      <c r="T264" s="2"/>
      <c r="U264" s="2"/>
    </row>
    <row r="265" spans="2:21" x14ac:dyDescent="0.3">
      <c r="C265" s="387" t="s">
        <v>729</v>
      </c>
      <c r="D265" s="386" t="s">
        <v>712</v>
      </c>
      <c r="E265" s="386" t="s">
        <v>728</v>
      </c>
      <c r="F265" s="386">
        <v>2006</v>
      </c>
      <c r="G265" s="386">
        <v>2007</v>
      </c>
      <c r="H265" s="385">
        <v>2010</v>
      </c>
      <c r="I265" s="384">
        <v>2014</v>
      </c>
      <c r="J265" s="372"/>
      <c r="K265" s="372"/>
      <c r="N265" s="2"/>
      <c r="O265" s="2"/>
      <c r="P265" s="2"/>
      <c r="Q265" s="2"/>
      <c r="R265" s="2"/>
      <c r="S265" s="2"/>
      <c r="T265" s="2"/>
      <c r="U265" s="2"/>
    </row>
    <row r="266" spans="2:21" x14ac:dyDescent="0.3">
      <c r="C266" s="382" t="s">
        <v>687</v>
      </c>
      <c r="D266" s="381" t="s">
        <v>313</v>
      </c>
      <c r="E266" s="383"/>
      <c r="F266" s="383"/>
      <c r="G266" s="383"/>
      <c r="H266" s="383">
        <v>0.65</v>
      </c>
      <c r="I266" s="383">
        <v>0.65</v>
      </c>
      <c r="J266" s="372"/>
      <c r="K266" s="372"/>
      <c r="N266" s="313" t="s">
        <v>1014</v>
      </c>
      <c r="O266" s="2"/>
      <c r="P266" s="2"/>
      <c r="Q266" s="2"/>
      <c r="R266" s="2"/>
      <c r="S266" s="2"/>
      <c r="T266" s="2"/>
      <c r="U266" s="2"/>
    </row>
    <row r="267" spans="2:21" x14ac:dyDescent="0.3">
      <c r="C267" s="382" t="s">
        <v>691</v>
      </c>
      <c r="D267" s="381" t="s">
        <v>708</v>
      </c>
      <c r="E267" s="398">
        <v>0.54</v>
      </c>
      <c r="F267" s="397"/>
      <c r="G267" s="397"/>
      <c r="H267" s="397">
        <v>2109818.7162387692</v>
      </c>
      <c r="I267" s="397">
        <v>2109818.7162387692</v>
      </c>
      <c r="J267" s="373">
        <f>I267</f>
        <v>2109818.7162387692</v>
      </c>
      <c r="K267" s="372" t="s">
        <v>727</v>
      </c>
      <c r="N267" s="2" t="s">
        <v>1011</v>
      </c>
      <c r="O267" s="2" t="s">
        <v>1015</v>
      </c>
      <c r="P267" s="2"/>
      <c r="Q267" s="2"/>
      <c r="R267" s="2"/>
      <c r="S267" s="2"/>
      <c r="T267" s="2"/>
      <c r="U267" s="2"/>
    </row>
    <row r="268" spans="2:21" x14ac:dyDescent="0.3">
      <c r="C268" s="382" t="s">
        <v>726</v>
      </c>
      <c r="D268" s="381"/>
      <c r="E268" s="398">
        <v>0.13</v>
      </c>
      <c r="F268" s="397"/>
      <c r="G268" s="397"/>
      <c r="H268" s="397">
        <v>507919.32057599997</v>
      </c>
      <c r="I268" s="397">
        <v>507919.32057599997</v>
      </c>
      <c r="J268" s="373">
        <f>I268</f>
        <v>507919.32057599997</v>
      </c>
      <c r="K268" s="372" t="s">
        <v>724</v>
      </c>
      <c r="N268" s="2" t="s">
        <v>1012</v>
      </c>
      <c r="O268" s="2" t="s">
        <v>1015</v>
      </c>
      <c r="P268" s="2"/>
      <c r="Q268" s="2"/>
      <c r="R268" s="2"/>
      <c r="S268" s="2"/>
      <c r="T268" s="2"/>
      <c r="U268" s="2"/>
    </row>
    <row r="269" spans="2:21" x14ac:dyDescent="0.3">
      <c r="C269" s="382" t="s">
        <v>725</v>
      </c>
      <c r="D269" s="381"/>
      <c r="E269" s="399">
        <v>0.30000000000000004</v>
      </c>
      <c r="F269" s="397"/>
      <c r="G269" s="397"/>
      <c r="H269" s="397">
        <v>1172121.5090215385</v>
      </c>
      <c r="I269" s="397">
        <v>1172121.5090215385</v>
      </c>
      <c r="J269" s="373">
        <f>I269</f>
        <v>1172121.5090215385</v>
      </c>
      <c r="K269" s="372" t="s">
        <v>724</v>
      </c>
      <c r="N269" s="2" t="s">
        <v>1013</v>
      </c>
      <c r="O269" s="2" t="s">
        <v>1015</v>
      </c>
      <c r="P269" s="2"/>
      <c r="Q269" s="2"/>
      <c r="R269" s="2"/>
      <c r="S269" s="2"/>
      <c r="T269" s="2"/>
      <c r="U269" s="2"/>
    </row>
    <row r="270" spans="2:21" x14ac:dyDescent="0.3">
      <c r="C270" s="382" t="s">
        <v>723</v>
      </c>
      <c r="D270" s="381"/>
      <c r="E270" s="398">
        <v>0.03</v>
      </c>
      <c r="F270" s="397"/>
      <c r="G270" s="397"/>
      <c r="H270" s="397">
        <v>117212.15090215382</v>
      </c>
      <c r="I270" s="397">
        <v>117212.15090215382</v>
      </c>
      <c r="J270" s="373">
        <f>I270</f>
        <v>117212.15090215382</v>
      </c>
      <c r="K270" s="372" t="s">
        <v>685</v>
      </c>
      <c r="N270" s="2"/>
      <c r="O270" s="2"/>
      <c r="P270" s="2"/>
      <c r="Q270" s="2"/>
      <c r="R270" s="2"/>
      <c r="S270" s="2"/>
      <c r="T270" s="2"/>
      <c r="U270" s="2"/>
    </row>
    <row r="271" spans="2:21" x14ac:dyDescent="0.3">
      <c r="C271" s="378" t="s">
        <v>684</v>
      </c>
      <c r="D271" s="377" t="s">
        <v>708</v>
      </c>
      <c r="E271" s="396"/>
      <c r="F271" s="396"/>
      <c r="G271" s="396"/>
      <c r="H271" s="396">
        <v>2539596.6028799997</v>
      </c>
      <c r="I271" s="396">
        <v>2539596.6028799997</v>
      </c>
      <c r="J271" s="373">
        <f>I271</f>
        <v>2539596.6028799997</v>
      </c>
      <c r="K271" s="372" t="s">
        <v>722</v>
      </c>
      <c r="N271" s="497" t="s">
        <v>1018</v>
      </c>
      <c r="O271" s="2"/>
      <c r="P271" s="2"/>
      <c r="Q271" s="2"/>
      <c r="R271" s="2"/>
      <c r="S271" s="2"/>
      <c r="T271" s="2"/>
      <c r="U271" s="2"/>
    </row>
    <row r="272" spans="2:21" x14ac:dyDescent="0.3">
      <c r="C272" s="395"/>
      <c r="D272" s="395"/>
      <c r="E272" s="394"/>
      <c r="F272" s="394"/>
      <c r="G272" s="394"/>
      <c r="H272" s="394"/>
      <c r="I272" s="394"/>
      <c r="J272" s="372"/>
      <c r="K272" s="372"/>
      <c r="N272" s="313" t="s">
        <v>1019</v>
      </c>
      <c r="O272" s="2"/>
      <c r="P272" s="2"/>
      <c r="Q272" s="2"/>
      <c r="R272" s="2"/>
      <c r="S272" s="2"/>
      <c r="T272" s="2"/>
      <c r="U272" s="2"/>
    </row>
    <row r="273" spans="2:21" x14ac:dyDescent="0.3">
      <c r="B273" s="393" t="s">
        <v>721</v>
      </c>
      <c r="C273" s="395"/>
      <c r="D273" s="395"/>
      <c r="E273" s="394"/>
      <c r="F273" s="394"/>
      <c r="G273" s="394"/>
      <c r="H273" s="394"/>
      <c r="I273" s="394"/>
      <c r="J273" s="372"/>
      <c r="K273" s="372"/>
      <c r="N273" s="2" t="s">
        <v>1020</v>
      </c>
      <c r="O273" s="2" t="s">
        <v>1015</v>
      </c>
      <c r="P273" s="2"/>
      <c r="Q273" s="2"/>
      <c r="R273" s="2"/>
      <c r="S273" s="2"/>
      <c r="T273" s="2"/>
      <c r="U273" s="2"/>
    </row>
    <row r="274" spans="2:21" x14ac:dyDescent="0.3">
      <c r="C274" s="395"/>
      <c r="D274" s="395"/>
      <c r="E274" s="394"/>
      <c r="F274" s="394"/>
      <c r="G274" s="394"/>
      <c r="H274" s="385">
        <v>2010</v>
      </c>
      <c r="I274" s="384">
        <v>2014</v>
      </c>
      <c r="J274" s="372"/>
      <c r="K274" s="372"/>
      <c r="N274" s="2" t="s">
        <v>1021</v>
      </c>
      <c r="O274" s="2" t="s">
        <v>1015</v>
      </c>
      <c r="P274" s="2"/>
      <c r="Q274" s="2"/>
      <c r="R274" s="2"/>
      <c r="S274" s="2"/>
      <c r="T274" s="2"/>
      <c r="U274" s="2"/>
    </row>
    <row r="275" spans="2:21" x14ac:dyDescent="0.3">
      <c r="C275" s="395" t="s">
        <v>720</v>
      </c>
      <c r="D275" s="395"/>
      <c r="E275" s="394"/>
      <c r="F275" s="394"/>
      <c r="G275" s="394"/>
      <c r="H275" s="394">
        <f>H271+H260</f>
        <v>7336612.4083200004</v>
      </c>
      <c r="I275" s="394">
        <f>I271+I260</f>
        <v>7336612.4083200004</v>
      </c>
      <c r="J275" s="372"/>
      <c r="K275" s="372"/>
      <c r="N275" s="2" t="s">
        <v>1022</v>
      </c>
      <c r="O275" s="2" t="s">
        <v>1015</v>
      </c>
      <c r="P275" s="2"/>
      <c r="Q275" s="2"/>
      <c r="R275" s="2"/>
      <c r="S275" s="2"/>
      <c r="T275" s="2"/>
      <c r="U275" s="2"/>
    </row>
    <row r="276" spans="2:21" x14ac:dyDescent="0.3">
      <c r="C276" s="395" t="s">
        <v>719</v>
      </c>
      <c r="D276" s="395"/>
      <c r="E276" s="394"/>
      <c r="F276" s="394"/>
      <c r="G276" s="394"/>
      <c r="H276" s="394">
        <f>H284+H291</f>
        <v>4778883.7968000006</v>
      </c>
      <c r="I276" s="394">
        <f>I284+I291</f>
        <v>4778883.7968000006</v>
      </c>
      <c r="J276" s="372"/>
      <c r="K276" s="372"/>
      <c r="N276" s="2" t="s">
        <v>1023</v>
      </c>
      <c r="O276" s="2" t="s">
        <v>1015</v>
      </c>
      <c r="P276" s="2"/>
      <c r="Q276" s="2"/>
      <c r="R276" s="2"/>
      <c r="S276" s="2"/>
      <c r="T276" s="2"/>
      <c r="U276" s="2"/>
    </row>
    <row r="277" spans="2:21" x14ac:dyDescent="0.3">
      <c r="C277" t="s">
        <v>718</v>
      </c>
      <c r="H277" s="394">
        <f>H275-H276</f>
        <v>2557728.6115199998</v>
      </c>
      <c r="I277" s="394">
        <f>I275-I276</f>
        <v>2557728.6115199998</v>
      </c>
      <c r="J277" s="372"/>
      <c r="K277" s="372"/>
      <c r="N277" s="2" t="s">
        <v>1024</v>
      </c>
      <c r="O277" s="2" t="s">
        <v>1015</v>
      </c>
      <c r="P277" s="2"/>
      <c r="Q277" s="2"/>
      <c r="R277" s="2"/>
      <c r="S277" s="2"/>
      <c r="T277" s="2"/>
      <c r="U277" s="2"/>
    </row>
    <row r="278" spans="2:21" x14ac:dyDescent="0.3">
      <c r="J278" s="372"/>
      <c r="K278" s="372"/>
      <c r="N278" s="2" t="s">
        <v>1025</v>
      </c>
      <c r="O278" s="2" t="s">
        <v>1015</v>
      </c>
      <c r="P278" s="2"/>
      <c r="Q278" s="2"/>
      <c r="R278" s="2"/>
      <c r="S278" s="2"/>
      <c r="T278" s="2"/>
      <c r="U278" s="2"/>
    </row>
    <row r="279" spans="2:21" x14ac:dyDescent="0.3">
      <c r="B279" s="393" t="s">
        <v>717</v>
      </c>
      <c r="D279" s="144"/>
      <c r="E279" s="144"/>
      <c r="F279" s="144"/>
      <c r="G279" s="144"/>
      <c r="H279" s="144"/>
      <c r="I279" s="144"/>
      <c r="J279" s="392"/>
      <c r="K279" s="372"/>
      <c r="N279" s="2" t="s">
        <v>552</v>
      </c>
      <c r="O279" s="2" t="s">
        <v>1015</v>
      </c>
      <c r="P279" s="2"/>
      <c r="Q279" s="2"/>
      <c r="R279" s="2"/>
      <c r="S279" s="2"/>
      <c r="T279" s="2"/>
      <c r="U279" s="2"/>
    </row>
    <row r="280" spans="2:21" x14ac:dyDescent="0.3">
      <c r="C280" s="144"/>
      <c r="D280" s="144"/>
      <c r="E280" s="144"/>
      <c r="F280" s="144"/>
      <c r="G280" s="144"/>
      <c r="H280" s="391" t="s">
        <v>716</v>
      </c>
      <c r="I280" s="389">
        <v>0.8</v>
      </c>
      <c r="J280" s="372"/>
      <c r="K280" s="372"/>
      <c r="N280" s="313" t="s">
        <v>617</v>
      </c>
      <c r="O280" s="2"/>
      <c r="P280" s="2"/>
      <c r="Q280" s="2"/>
      <c r="R280" s="2"/>
      <c r="S280" s="2"/>
      <c r="T280" s="2"/>
      <c r="U280" s="2"/>
    </row>
    <row r="281" spans="2:21" x14ac:dyDescent="0.3">
      <c r="C281" s="144"/>
      <c r="D281" s="144"/>
      <c r="E281" s="144"/>
      <c r="F281" s="144"/>
      <c r="G281" s="144"/>
      <c r="H281" s="391" t="s">
        <v>715</v>
      </c>
      <c r="I281" s="388">
        <v>9</v>
      </c>
      <c r="J281" s="372"/>
      <c r="K281" s="372"/>
      <c r="N281" s="2"/>
      <c r="O281" s="2"/>
      <c r="P281" s="2"/>
      <c r="Q281" s="2"/>
      <c r="R281" s="2"/>
      <c r="S281" s="2"/>
      <c r="T281" s="2"/>
      <c r="U281" s="2"/>
    </row>
    <row r="282" spans="2:21" x14ac:dyDescent="0.3">
      <c r="C282" s="387" t="s">
        <v>714</v>
      </c>
      <c r="D282" s="386" t="s">
        <v>712</v>
      </c>
      <c r="E282" s="386"/>
      <c r="F282" s="386">
        <v>2006</v>
      </c>
      <c r="G282" s="386">
        <v>2007</v>
      </c>
      <c r="H282" s="385">
        <v>2010</v>
      </c>
      <c r="I282" s="384">
        <v>2014</v>
      </c>
      <c r="J282" s="372"/>
      <c r="K282" s="372"/>
      <c r="N282" s="2"/>
      <c r="O282" s="2"/>
      <c r="P282" s="2"/>
      <c r="Q282" s="2"/>
      <c r="R282" s="2"/>
      <c r="S282" s="2"/>
      <c r="T282" s="2"/>
      <c r="U282" s="2"/>
    </row>
    <row r="283" spans="2:21" x14ac:dyDescent="0.3">
      <c r="C283" s="382" t="s">
        <v>687</v>
      </c>
      <c r="D283" s="381" t="s">
        <v>708</v>
      </c>
      <c r="E283" s="381"/>
      <c r="F283" s="381">
        <v>0.9</v>
      </c>
      <c r="G283" s="381">
        <v>0.9</v>
      </c>
      <c r="H283" s="381">
        <v>0.9</v>
      </c>
      <c r="I283" s="381">
        <v>0.9</v>
      </c>
      <c r="J283" s="372"/>
      <c r="K283" s="372"/>
      <c r="N283" s="2"/>
      <c r="O283" s="2"/>
      <c r="P283" s="2"/>
      <c r="Q283" s="2"/>
      <c r="R283" s="2"/>
      <c r="S283" s="2"/>
      <c r="T283" s="2"/>
      <c r="U283" s="2"/>
    </row>
    <row r="284" spans="2:21" x14ac:dyDescent="0.3">
      <c r="C284" s="382" t="s">
        <v>711</v>
      </c>
      <c r="D284" s="381" t="s">
        <v>708</v>
      </c>
      <c r="E284" s="380"/>
      <c r="F284" s="390">
        <v>252288</v>
      </c>
      <c r="G284" s="390">
        <v>252288</v>
      </c>
      <c r="H284" s="390">
        <v>252288</v>
      </c>
      <c r="I284" s="390">
        <v>252288</v>
      </c>
      <c r="J284" s="372">
        <f>H284</f>
        <v>252288</v>
      </c>
      <c r="K284" s="372" t="s">
        <v>710</v>
      </c>
      <c r="N284" s="2"/>
      <c r="O284" s="2"/>
      <c r="P284" s="2"/>
      <c r="Q284" s="2"/>
      <c r="R284" s="2"/>
      <c r="S284" s="2"/>
      <c r="T284" s="2"/>
      <c r="U284" s="2"/>
    </row>
    <row r="285" spans="2:21" x14ac:dyDescent="0.3">
      <c r="C285" s="378" t="s">
        <v>709</v>
      </c>
      <c r="D285" s="377" t="s">
        <v>708</v>
      </c>
      <c r="E285" s="376"/>
      <c r="F285" s="376">
        <v>227059.20000000001</v>
      </c>
      <c r="G285" s="376">
        <v>227059.20000000001</v>
      </c>
      <c r="H285" s="376">
        <v>227059.20000000001</v>
      </c>
      <c r="I285" s="376">
        <v>227059.20000000001</v>
      </c>
      <c r="J285" s="372">
        <f>H285</f>
        <v>227059.20000000001</v>
      </c>
      <c r="K285" s="372" t="s">
        <v>707</v>
      </c>
    </row>
    <row r="286" spans="2:21" x14ac:dyDescent="0.3">
      <c r="C286" s="144"/>
      <c r="D286" s="144"/>
      <c r="E286" s="144"/>
      <c r="F286" s="144"/>
      <c r="G286" s="144"/>
      <c r="H286" s="144"/>
      <c r="I286" s="144"/>
      <c r="J286" s="372"/>
      <c r="K286" s="372"/>
    </row>
    <row r="287" spans="2:21" x14ac:dyDescent="0.3">
      <c r="C287" s="144"/>
      <c r="D287" s="144"/>
      <c r="E287" s="144"/>
      <c r="F287" s="144"/>
      <c r="G287" s="144"/>
      <c r="H287" s="144"/>
      <c r="I287" s="389">
        <v>0.96</v>
      </c>
      <c r="J287" s="372"/>
      <c r="K287" s="372"/>
    </row>
    <row r="288" spans="2:21" x14ac:dyDescent="0.3">
      <c r="C288" s="144"/>
      <c r="D288" s="144"/>
      <c r="E288" s="144"/>
      <c r="F288" s="144"/>
      <c r="G288" s="144"/>
      <c r="H288" s="144"/>
      <c r="I288" s="388">
        <v>21.7</v>
      </c>
      <c r="J288" s="372"/>
      <c r="K288" s="372"/>
    </row>
    <row r="289" spans="1:14" x14ac:dyDescent="0.3">
      <c r="C289" s="387" t="s">
        <v>713</v>
      </c>
      <c r="D289" s="386" t="s">
        <v>712</v>
      </c>
      <c r="E289" s="386"/>
      <c r="F289" s="386">
        <v>2006</v>
      </c>
      <c r="G289" s="386">
        <v>2007</v>
      </c>
      <c r="H289" s="385">
        <v>2010</v>
      </c>
      <c r="I289" s="384">
        <v>2014</v>
      </c>
      <c r="J289" s="372"/>
      <c r="K289" s="372"/>
    </row>
    <row r="290" spans="1:14" x14ac:dyDescent="0.3">
      <c r="C290" s="382" t="s">
        <v>687</v>
      </c>
      <c r="D290" s="381" t="s">
        <v>708</v>
      </c>
      <c r="E290" s="381"/>
      <c r="F290" s="383">
        <v>0.14513289489298453</v>
      </c>
      <c r="G290" s="383">
        <v>0.14513289489298453</v>
      </c>
      <c r="H290" s="383">
        <v>0.14513289489298453</v>
      </c>
      <c r="I290" s="383">
        <v>0.14513289489298453</v>
      </c>
      <c r="J290" s="372"/>
      <c r="K290" s="372"/>
    </row>
    <row r="291" spans="1:14" x14ac:dyDescent="0.3">
      <c r="C291" s="382" t="s">
        <v>711</v>
      </c>
      <c r="D291" s="381" t="s">
        <v>708</v>
      </c>
      <c r="E291" s="380"/>
      <c r="F291" s="379">
        <v>4526595.7968000006</v>
      </c>
      <c r="G291" s="379">
        <v>4526595.7968000006</v>
      </c>
      <c r="H291" s="379">
        <v>4526595.7968000006</v>
      </c>
      <c r="I291" s="379">
        <v>4526595.7968000006</v>
      </c>
      <c r="J291" s="372">
        <f>H291</f>
        <v>4526595.7968000006</v>
      </c>
      <c r="K291" s="372" t="s">
        <v>710</v>
      </c>
    </row>
    <row r="292" spans="1:14" x14ac:dyDescent="0.3">
      <c r="C292" s="378" t="s">
        <v>709</v>
      </c>
      <c r="D292" s="377" t="s">
        <v>708</v>
      </c>
      <c r="E292" s="376"/>
      <c r="F292" s="376">
        <v>656957.95200000005</v>
      </c>
      <c r="G292" s="376">
        <v>656957.95200000005</v>
      </c>
      <c r="H292" s="376">
        <v>656957.95200000005</v>
      </c>
      <c r="I292" s="376">
        <v>656957.95200000005</v>
      </c>
      <c r="J292" s="372">
        <f>H292</f>
        <v>656957.95200000005</v>
      </c>
      <c r="K292" s="372" t="s">
        <v>707</v>
      </c>
    </row>
    <row r="293" spans="1:14" x14ac:dyDescent="0.3">
      <c r="J293" s="372"/>
      <c r="K293" s="372"/>
    </row>
    <row r="294" spans="1:14" x14ac:dyDescent="0.3">
      <c r="J294" s="372"/>
      <c r="K294" s="372"/>
    </row>
    <row r="295" spans="1:14" ht="18" x14ac:dyDescent="0.35">
      <c r="A295" s="375" t="s">
        <v>706</v>
      </c>
      <c r="B295" s="59"/>
      <c r="C295" s="59"/>
      <c r="D295" s="59"/>
      <c r="E295" s="59"/>
      <c r="F295" s="59"/>
      <c r="G295" s="59"/>
      <c r="H295" s="59"/>
      <c r="I295" s="59"/>
      <c r="J295" s="374"/>
      <c r="K295" s="372"/>
    </row>
    <row r="296" spans="1:14" x14ac:dyDescent="0.3">
      <c r="J296" s="372"/>
      <c r="K296" s="372"/>
    </row>
    <row r="297" spans="1:14" ht="28.8" x14ac:dyDescent="0.3">
      <c r="D297" s="271" t="s">
        <v>705</v>
      </c>
      <c r="E297" s="271" t="s">
        <v>704</v>
      </c>
      <c r="F297" s="271" t="s">
        <v>703</v>
      </c>
      <c r="G297" s="271" t="s">
        <v>702</v>
      </c>
      <c r="H297" s="271" t="s">
        <v>701</v>
      </c>
      <c r="I297" s="271" t="s">
        <v>700</v>
      </c>
      <c r="J297" s="372"/>
      <c r="K297" s="372"/>
    </row>
    <row r="298" spans="1:14" x14ac:dyDescent="0.3">
      <c r="B298" s="67" t="s">
        <v>692</v>
      </c>
      <c r="C298" t="s">
        <v>687</v>
      </c>
      <c r="F298">
        <v>0.76</v>
      </c>
      <c r="G298">
        <v>0.76</v>
      </c>
      <c r="H298">
        <v>0.76</v>
      </c>
      <c r="J298" s="372"/>
      <c r="K298" s="372"/>
      <c r="N298" s="264" t="s">
        <v>1026</v>
      </c>
    </row>
    <row r="299" spans="1:14" x14ac:dyDescent="0.3">
      <c r="C299" t="s">
        <v>691</v>
      </c>
      <c r="F299" s="284">
        <v>293663.92999470653</v>
      </c>
      <c r="G299" s="284">
        <v>127679.9695629159</v>
      </c>
      <c r="H299" s="284">
        <v>319199.92390728969</v>
      </c>
      <c r="I299" s="284">
        <f>SUM(F299:H299)</f>
        <v>740543.82346491213</v>
      </c>
      <c r="J299" s="372">
        <f>H299</f>
        <v>319199.92390728969</v>
      </c>
      <c r="K299" s="372" t="s">
        <v>690</v>
      </c>
    </row>
    <row r="300" spans="1:14" x14ac:dyDescent="0.3">
      <c r="C300" t="s">
        <v>684</v>
      </c>
      <c r="F300" s="284">
        <v>223184.58679597697</v>
      </c>
      <c r="G300" s="284">
        <v>97036.776867816079</v>
      </c>
      <c r="H300" s="284">
        <v>242591.94216954018</v>
      </c>
      <c r="I300" s="284">
        <f>SUM(F300:H300)</f>
        <v>562813.30583333329</v>
      </c>
      <c r="J300" s="372">
        <f>H300</f>
        <v>242591.94216954018</v>
      </c>
      <c r="K300" s="372" t="s">
        <v>689</v>
      </c>
    </row>
    <row r="301" spans="1:14" x14ac:dyDescent="0.3">
      <c r="J301" s="372"/>
      <c r="K301" s="372"/>
    </row>
    <row r="302" spans="1:14" x14ac:dyDescent="0.3">
      <c r="B302" s="67" t="s">
        <v>688</v>
      </c>
      <c r="C302" t="s">
        <v>687</v>
      </c>
      <c r="D302">
        <v>0.8</v>
      </c>
      <c r="E302">
        <v>0.8</v>
      </c>
      <c r="J302" s="372"/>
      <c r="K302" s="372"/>
    </row>
    <row r="303" spans="1:14" x14ac:dyDescent="0.3">
      <c r="C303" t="s">
        <v>686</v>
      </c>
      <c r="D303" s="284">
        <v>461849.71052631579</v>
      </c>
      <c r="E303" s="284">
        <v>1293179.1894736844</v>
      </c>
      <c r="I303" s="284">
        <f>SUM(D303:F303)</f>
        <v>1755028.9000000001</v>
      </c>
      <c r="J303" s="373">
        <f>I303</f>
        <v>1755028.9000000001</v>
      </c>
      <c r="K303" s="372" t="s">
        <v>685</v>
      </c>
    </row>
    <row r="304" spans="1:14" x14ac:dyDescent="0.3">
      <c r="C304" t="s">
        <v>684</v>
      </c>
      <c r="D304" s="284">
        <v>369479.76842105266</v>
      </c>
      <c r="E304" s="284">
        <v>1034543.3515789475</v>
      </c>
      <c r="I304" s="284">
        <f>SUM(D304:F304)</f>
        <v>1404023.12</v>
      </c>
      <c r="J304" s="373">
        <f>I304</f>
        <v>1404023.12</v>
      </c>
      <c r="K304" s="372" t="s">
        <v>683</v>
      </c>
    </row>
    <row r="305" spans="1:19" x14ac:dyDescent="0.3">
      <c r="J305" s="372"/>
      <c r="K305" s="372"/>
    </row>
    <row r="306" spans="1:19" x14ac:dyDescent="0.3">
      <c r="J306" s="372"/>
      <c r="K306" s="372"/>
    </row>
    <row r="307" spans="1:19" ht="18" x14ac:dyDescent="0.35">
      <c r="A307" s="375" t="s">
        <v>699</v>
      </c>
      <c r="B307" s="59"/>
      <c r="C307" s="59"/>
      <c r="D307" s="59"/>
      <c r="E307" s="59"/>
      <c r="F307" s="59"/>
      <c r="G307" s="59"/>
      <c r="H307" s="59"/>
      <c r="I307" s="59"/>
      <c r="J307" s="374"/>
      <c r="K307" s="372"/>
    </row>
    <row r="308" spans="1:19" x14ac:dyDescent="0.3">
      <c r="J308" s="372"/>
      <c r="K308" s="372"/>
    </row>
    <row r="309" spans="1:19" x14ac:dyDescent="0.3">
      <c r="J309" s="372"/>
      <c r="K309" s="372"/>
      <c r="N309" s="264" t="s">
        <v>938</v>
      </c>
    </row>
    <row r="310" spans="1:19" x14ac:dyDescent="0.3">
      <c r="B310" t="s">
        <v>698</v>
      </c>
      <c r="D310" s="67" t="s">
        <v>697</v>
      </c>
      <c r="E310" s="67" t="s">
        <v>696</v>
      </c>
      <c r="F310" s="67" t="s">
        <v>695</v>
      </c>
      <c r="G310" s="67" t="s">
        <v>694</v>
      </c>
      <c r="J310" s="372"/>
      <c r="K310" s="372"/>
      <c r="N310" s="264" t="s">
        <v>937</v>
      </c>
    </row>
    <row r="311" spans="1:19" x14ac:dyDescent="0.3">
      <c r="B311" t="s">
        <v>489</v>
      </c>
      <c r="D311" s="67" t="s">
        <v>453</v>
      </c>
      <c r="E311" s="67" t="s">
        <v>453</v>
      </c>
      <c r="F311" s="67" t="s">
        <v>453</v>
      </c>
      <c r="G311" s="67" t="s">
        <v>693</v>
      </c>
      <c r="J311" s="372"/>
      <c r="K311" s="372"/>
    </row>
    <row r="312" spans="1:19" x14ac:dyDescent="0.3">
      <c r="J312" s="372"/>
      <c r="K312" s="372"/>
    </row>
    <row r="313" spans="1:19" x14ac:dyDescent="0.3">
      <c r="B313" s="67" t="s">
        <v>692</v>
      </c>
      <c r="J313" s="372"/>
      <c r="K313" s="372"/>
      <c r="N313" t="s">
        <v>922</v>
      </c>
      <c r="O313" t="s">
        <v>578</v>
      </c>
      <c r="P313" t="s">
        <v>925</v>
      </c>
      <c r="Q313" t="s">
        <v>926</v>
      </c>
    </row>
    <row r="314" spans="1:19" x14ac:dyDescent="0.3">
      <c r="C314" t="s">
        <v>687</v>
      </c>
      <c r="D314">
        <v>0.76</v>
      </c>
      <c r="E314">
        <v>0.76</v>
      </c>
      <c r="F314">
        <v>0.76</v>
      </c>
      <c r="J314" s="372"/>
      <c r="K314" s="372"/>
      <c r="O314" t="s">
        <v>923</v>
      </c>
      <c r="P314" t="s">
        <v>924</v>
      </c>
      <c r="Q314" t="s">
        <v>927</v>
      </c>
    </row>
    <row r="315" spans="1:19" x14ac:dyDescent="0.3">
      <c r="C315" t="s">
        <v>691</v>
      </c>
      <c r="D315" s="284">
        <v>1315789.4736842106</v>
      </c>
      <c r="E315" s="284">
        <v>4763157.8947368423</v>
      </c>
      <c r="F315" s="284">
        <v>2065789.4736842106</v>
      </c>
      <c r="G315" s="284"/>
      <c r="I315" s="284">
        <f>SUM(D315:G315)</f>
        <v>8144736.8421052629</v>
      </c>
      <c r="J315" s="373">
        <f>I315</f>
        <v>8144736.8421052629</v>
      </c>
      <c r="K315" s="372" t="s">
        <v>690</v>
      </c>
      <c r="N315">
        <v>2020</v>
      </c>
      <c r="O315">
        <v>6.38</v>
      </c>
      <c r="P315">
        <v>0.90600000000000003</v>
      </c>
      <c r="Q315">
        <v>4.5999999999999996</v>
      </c>
      <c r="S315">
        <f>P315*O315</f>
        <v>5.7802800000000003</v>
      </c>
    </row>
    <row r="316" spans="1:19" x14ac:dyDescent="0.3">
      <c r="C316" t="s">
        <v>684</v>
      </c>
      <c r="D316" s="284">
        <v>1000000</v>
      </c>
      <c r="E316" s="284">
        <v>3620000</v>
      </c>
      <c r="F316" s="284">
        <v>1570000</v>
      </c>
      <c r="G316" s="284"/>
      <c r="I316" s="284">
        <f>SUM(D316:G316)</f>
        <v>6190000</v>
      </c>
      <c r="J316" s="373">
        <f>I316</f>
        <v>6190000</v>
      </c>
      <c r="K316" s="372" t="s">
        <v>689</v>
      </c>
      <c r="N316">
        <v>2021</v>
      </c>
      <c r="O316">
        <v>6.1</v>
      </c>
      <c r="P316">
        <v>0.86699999999999999</v>
      </c>
      <c r="S316">
        <f>P316*O316</f>
        <v>5.2886999999999995</v>
      </c>
    </row>
    <row r="317" spans="1:19" x14ac:dyDescent="0.3">
      <c r="J317" s="372"/>
      <c r="K317" s="372"/>
    </row>
    <row r="318" spans="1:19" x14ac:dyDescent="0.3">
      <c r="B318" s="67" t="s">
        <v>688</v>
      </c>
      <c r="J318" s="372"/>
      <c r="K318" s="372"/>
    </row>
    <row r="319" spans="1:19" x14ac:dyDescent="0.3">
      <c r="C319" t="s">
        <v>687</v>
      </c>
      <c r="G319">
        <v>0.8</v>
      </c>
      <c r="J319" s="372"/>
      <c r="K319" s="372"/>
      <c r="N319" t="s">
        <v>928</v>
      </c>
    </row>
    <row r="320" spans="1:19" x14ac:dyDescent="0.3">
      <c r="C320" t="s">
        <v>686</v>
      </c>
      <c r="F320" s="284"/>
      <c r="G320" s="284">
        <v>455000</v>
      </c>
      <c r="I320" s="284">
        <f>SUM(D320:G320)</f>
        <v>455000</v>
      </c>
      <c r="J320" s="373">
        <f>I320</f>
        <v>455000</v>
      </c>
      <c r="K320" s="372" t="s">
        <v>685</v>
      </c>
      <c r="N320" t="s">
        <v>929</v>
      </c>
    </row>
    <row r="321" spans="3:14" x14ac:dyDescent="0.3">
      <c r="C321" t="s">
        <v>684</v>
      </c>
      <c r="F321" s="86"/>
      <c r="G321" s="284">
        <v>364000</v>
      </c>
      <c r="I321" s="284">
        <f>SUM(D321:G321)</f>
        <v>364000</v>
      </c>
      <c r="J321" s="373">
        <f>I321</f>
        <v>364000</v>
      </c>
      <c r="K321" s="372" t="s">
        <v>683</v>
      </c>
      <c r="N321" t="s">
        <v>930</v>
      </c>
    </row>
    <row r="322" spans="3:14" x14ac:dyDescent="0.3">
      <c r="N322" t="s">
        <v>931</v>
      </c>
    </row>
    <row r="323" spans="3:14" x14ac:dyDescent="0.3">
      <c r="N323" t="s">
        <v>932</v>
      </c>
    </row>
    <row r="324" spans="3:14" x14ac:dyDescent="0.3">
      <c r="N324" t="s">
        <v>933</v>
      </c>
    </row>
    <row r="325" spans="3:14" x14ac:dyDescent="0.3">
      <c r="N325" t="s">
        <v>934</v>
      </c>
    </row>
    <row r="326" spans="3:14" x14ac:dyDescent="0.3">
      <c r="G326" s="276"/>
      <c r="N326" t="s">
        <v>935</v>
      </c>
    </row>
  </sheetData>
  <mergeCells count="3">
    <mergeCell ref="O3:U3"/>
    <mergeCell ref="V3:Z3"/>
    <mergeCell ref="AA3:AB3"/>
  </mergeCells>
  <phoneticPr fontId="88"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4.4" x14ac:dyDescent="0.3"/>
  <cols>
    <col min="1" max="1" width="15" customWidth="1"/>
    <col min="2" max="2" width="12" customWidth="1"/>
    <col min="3" max="3" width="23.6640625" customWidth="1"/>
    <col min="4" max="4" width="25" customWidth="1"/>
  </cols>
  <sheetData>
    <row r="5" spans="1:5" x14ac:dyDescent="0.3">
      <c r="A5" s="1" t="s">
        <v>0</v>
      </c>
      <c r="B5" s="1">
        <v>0</v>
      </c>
    </row>
    <row r="6" spans="1:5" x14ac:dyDescent="0.3">
      <c r="B6" s="1">
        <v>0</v>
      </c>
      <c r="C6" s="1" t="s">
        <v>1</v>
      </c>
    </row>
    <row r="7" spans="1:5" x14ac:dyDescent="0.3">
      <c r="B7" s="1">
        <v>1</v>
      </c>
      <c r="C7" s="1" t="s">
        <v>2</v>
      </c>
    </row>
    <row r="10" spans="1:5" x14ac:dyDescent="0.3">
      <c r="A10" s="1" t="s">
        <v>3</v>
      </c>
      <c r="B10" s="2">
        <v>1</v>
      </c>
      <c r="C10" s="1" t="s">
        <v>4</v>
      </c>
    </row>
    <row r="11" spans="1:5" x14ac:dyDescent="0.3">
      <c r="A11" s="1" t="s">
        <v>5</v>
      </c>
      <c r="B11" s="2">
        <v>1.3094103081137336</v>
      </c>
    </row>
    <row r="13" spans="1:5" ht="18" thickBot="1" x14ac:dyDescent="0.4">
      <c r="B13" s="3" t="s">
        <v>6</v>
      </c>
      <c r="C13" s="3"/>
      <c r="D13" s="3"/>
      <c r="E13" s="4" t="s">
        <v>7</v>
      </c>
    </row>
    <row r="14" spans="1:5" ht="15" thickTop="1" x14ac:dyDescent="0.3"/>
    <row r="15" spans="1:5" x14ac:dyDescent="0.3">
      <c r="B15" s="4" t="s">
        <v>8</v>
      </c>
      <c r="C15" s="4" t="s">
        <v>9</v>
      </c>
      <c r="D15" s="4" t="s">
        <v>10</v>
      </c>
    </row>
    <row r="16" spans="1:5" x14ac:dyDescent="0.3">
      <c r="B16" s="4" t="s">
        <v>11</v>
      </c>
      <c r="C16" s="4" t="s">
        <v>12</v>
      </c>
      <c r="D16" s="123"/>
      <c r="E16" s="5">
        <v>1</v>
      </c>
    </row>
    <row r="17" spans="4:5" x14ac:dyDescent="0.3">
      <c r="D17" s="159" t="s">
        <v>229</v>
      </c>
      <c r="E17" s="158">
        <f>$E$16</f>
        <v>1</v>
      </c>
    </row>
    <row r="18" spans="4:5" x14ac:dyDescent="0.3">
      <c r="D18" s="159" t="s">
        <v>230</v>
      </c>
      <c r="E18" s="158">
        <f>E16</f>
        <v>1</v>
      </c>
    </row>
    <row r="19" spans="4:5" x14ac:dyDescent="0.3">
      <c r="D19" s="159" t="s">
        <v>231</v>
      </c>
      <c r="E19" s="158">
        <f>E16</f>
        <v>1</v>
      </c>
    </row>
    <row r="20" spans="4:5" x14ac:dyDescent="0.3">
      <c r="D20" s="160" t="s">
        <v>232</v>
      </c>
      <c r="E20" s="158">
        <f>E16</f>
        <v>1</v>
      </c>
    </row>
    <row r="21" spans="4:5" x14ac:dyDescent="0.3">
      <c r="D21" s="160" t="s">
        <v>233</v>
      </c>
      <c r="E21" s="158">
        <f>E16</f>
        <v>1</v>
      </c>
    </row>
    <row r="22" spans="4:5" x14ac:dyDescent="0.3">
      <c r="D22" s="123"/>
      <c r="E22" s="123"/>
    </row>
    <row r="23" spans="4:5" x14ac:dyDescent="0.3">
      <c r="D23" s="123"/>
    </row>
    <row r="24" spans="4:5" x14ac:dyDescent="0.3">
      <c r="D24" s="123"/>
    </row>
    <row r="25" spans="4:5" x14ac:dyDescent="0.3">
      <c r="D25" s="123"/>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X1" zoomScale="90" zoomScaleNormal="90" workbookViewId="0">
      <selection activeCell="Z18" sqref="Z18"/>
    </sheetView>
  </sheetViews>
  <sheetFormatPr defaultColWidth="8.88671875" defaultRowHeight="14.4" x14ac:dyDescent="0.3"/>
  <cols>
    <col min="1" max="1" width="18.6640625" customWidth="1"/>
    <col min="2" max="2" width="22" customWidth="1"/>
    <col min="3" max="3" width="13.5546875" customWidth="1"/>
    <col min="4" max="4" width="20.6640625" customWidth="1"/>
    <col min="5" max="5" width="22.6640625" customWidth="1"/>
    <col min="6" max="6" width="13" customWidth="1"/>
    <col min="7" max="7" width="15.33203125" customWidth="1"/>
    <col min="8" max="8" width="22.6640625" style="50" customWidth="1"/>
    <col min="9" max="9" width="23.6640625" customWidth="1"/>
    <col min="10" max="10" width="6.88671875" customWidth="1"/>
    <col min="11" max="15" width="9.109375" customWidth="1"/>
    <col min="17" max="17" width="19.6640625" customWidth="1"/>
    <col min="18" max="18" width="14.5546875" customWidth="1"/>
    <col min="19" max="19" width="14.6640625" customWidth="1"/>
    <col min="21" max="21" width="21.5546875" customWidth="1"/>
    <col min="22" max="22" width="18" customWidth="1"/>
    <col min="23" max="24" width="18.5546875" customWidth="1"/>
    <col min="25" max="25" width="14" customWidth="1"/>
    <col min="26" max="26" width="27.6640625" customWidth="1"/>
    <col min="27" max="27" width="19.21875" customWidth="1"/>
    <col min="28" max="28" width="15.44140625" customWidth="1"/>
    <col min="29" max="29" width="14.5546875" bestFit="1" customWidth="1"/>
    <col min="34" max="34" width="17.5546875" customWidth="1"/>
  </cols>
  <sheetData>
    <row r="1" spans="1:40" ht="17.399999999999999" x14ac:dyDescent="0.35">
      <c r="A1" s="49" t="s">
        <v>82</v>
      </c>
      <c r="B1" s="49"/>
      <c r="R1" s="51" t="s">
        <v>83</v>
      </c>
    </row>
    <row r="2" spans="1:40" ht="27" customHeight="1" thickBot="1" x14ac:dyDescent="0.35">
      <c r="A2" s="52"/>
      <c r="B2" s="53"/>
      <c r="C2" s="54" t="s">
        <v>84</v>
      </c>
      <c r="E2" s="53"/>
      <c r="F2" s="53"/>
      <c r="G2" s="55"/>
      <c r="H2" s="54" t="s">
        <v>85</v>
      </c>
      <c r="J2" s="53"/>
      <c r="K2" s="53"/>
      <c r="L2" s="55"/>
      <c r="R2" s="770" t="s">
        <v>86</v>
      </c>
      <c r="S2" s="770"/>
      <c r="T2" s="770"/>
      <c r="U2" s="770"/>
      <c r="V2" s="770"/>
      <c r="W2" s="770"/>
    </row>
    <row r="3" spans="1:40" x14ac:dyDescent="0.3">
      <c r="A3" s="56" t="s">
        <v>87</v>
      </c>
      <c r="B3" s="57" t="s">
        <v>88</v>
      </c>
      <c r="C3" s="56" t="s">
        <v>89</v>
      </c>
      <c r="D3" s="57" t="s">
        <v>90</v>
      </c>
      <c r="E3" s="57" t="s">
        <v>91</v>
      </c>
      <c r="F3" s="57" t="s">
        <v>92</v>
      </c>
      <c r="G3" s="58" t="s">
        <v>93</v>
      </c>
      <c r="H3" s="56" t="s">
        <v>89</v>
      </c>
      <c r="I3" s="57" t="s">
        <v>90</v>
      </c>
      <c r="J3" s="57" t="s">
        <v>91</v>
      </c>
      <c r="K3" s="57" t="s">
        <v>92</v>
      </c>
      <c r="L3" s="58" t="s">
        <v>93</v>
      </c>
      <c r="M3" s="59" t="s">
        <v>94</v>
      </c>
    </row>
    <row r="4" spans="1:40" x14ac:dyDescent="0.3">
      <c r="A4" t="str">
        <f>RES!AE2</f>
        <v>IPPPAP</v>
      </c>
      <c r="B4" t="str">
        <f>RES!AE3</f>
        <v>Paper</v>
      </c>
      <c r="C4" t="str">
        <f>RES!AC34</f>
        <v>IPPPAP-E</v>
      </c>
      <c r="D4" t="str">
        <f>RES!AC30</f>
        <v>Paper - Mill</v>
      </c>
      <c r="E4" s="4" t="s">
        <v>95</v>
      </c>
      <c r="F4" s="60"/>
      <c r="G4" s="61" t="s">
        <v>96</v>
      </c>
      <c r="H4"/>
      <c r="J4" s="4" t="s">
        <v>95</v>
      </c>
      <c r="K4" s="62">
        <f>F4</f>
        <v>0</v>
      </c>
      <c r="R4" s="63" t="s">
        <v>48</v>
      </c>
      <c r="S4" s="63" t="s">
        <v>24</v>
      </c>
      <c r="T4" s="63" t="s">
        <v>25</v>
      </c>
      <c r="U4" s="63" t="s">
        <v>27</v>
      </c>
      <c r="V4" s="63" t="str">
        <f>'ITEMS_Comm_BASE_JM '!B14</f>
        <v>IPPOHF</v>
      </c>
      <c r="W4" s="63" t="s">
        <v>29</v>
      </c>
      <c r="X4" s="63" t="s">
        <v>22</v>
      </c>
      <c r="Y4" s="63" t="s">
        <v>30</v>
      </c>
      <c r="Z4" s="63" t="s">
        <v>31</v>
      </c>
      <c r="AA4" s="63" t="s">
        <v>32</v>
      </c>
      <c r="AB4" s="63" t="s">
        <v>28</v>
      </c>
    </row>
    <row r="5" spans="1:40" x14ac:dyDescent="0.3">
      <c r="E5" s="4"/>
      <c r="F5" s="62"/>
      <c r="G5" s="64"/>
      <c r="H5" t="str">
        <f>RES!U2</f>
        <v>IPPPULP</v>
      </c>
      <c r="I5" t="str">
        <f>RES!U3</f>
        <v>Pulp</v>
      </c>
      <c r="J5" s="4" t="s">
        <v>21</v>
      </c>
      <c r="K5" s="62">
        <f>P27</f>
        <v>0</v>
      </c>
      <c r="R5" s="65" t="s">
        <v>97</v>
      </c>
      <c r="X5" s="66"/>
      <c r="Y5" s="67" t="s">
        <v>98</v>
      </c>
      <c r="AC5" s="68" t="s">
        <v>99</v>
      </c>
      <c r="AI5" s="68" t="s">
        <v>99</v>
      </c>
    </row>
    <row r="6" spans="1:40" x14ac:dyDescent="0.3">
      <c r="B6" s="66"/>
      <c r="E6" s="4"/>
      <c r="F6" s="69"/>
      <c r="G6" s="66"/>
      <c r="H6" s="50" t="str">
        <f>RES!O2</f>
        <v>IPPSTM</v>
      </c>
      <c r="I6" s="50" t="str">
        <f>RES!O3</f>
        <v>Steam</v>
      </c>
      <c r="J6" s="4" t="s">
        <v>21</v>
      </c>
      <c r="K6" s="70">
        <f>M30</f>
        <v>0</v>
      </c>
      <c r="M6" s="4"/>
      <c r="R6" s="68" t="s">
        <v>21</v>
      </c>
      <c r="S6" s="71"/>
      <c r="T6" s="71"/>
      <c r="U6" s="71"/>
      <c r="V6" s="71"/>
      <c r="W6" s="71"/>
      <c r="X6" s="72"/>
      <c r="Y6" s="67" t="s">
        <v>100</v>
      </c>
    </row>
    <row r="7" spans="1:40" x14ac:dyDescent="0.3">
      <c r="B7" s="66"/>
      <c r="E7" s="4"/>
      <c r="F7" s="69"/>
      <c r="G7" s="66"/>
      <c r="H7" s="50" t="str">
        <f>RES!D2</f>
        <v>IPPELC</v>
      </c>
      <c r="I7" s="50" t="str">
        <f>RES!D3</f>
        <v>Electricity</v>
      </c>
      <c r="J7" s="4" t="s">
        <v>21</v>
      </c>
      <c r="K7" s="70">
        <f>M29</f>
        <v>0</v>
      </c>
      <c r="L7" s="73"/>
      <c r="R7" s="74" t="s">
        <v>37</v>
      </c>
      <c r="S7" s="74" t="s">
        <v>38</v>
      </c>
      <c r="T7" s="74" t="s">
        <v>39</v>
      </c>
      <c r="U7" s="74" t="s">
        <v>101</v>
      </c>
      <c r="V7" s="74" t="s">
        <v>40</v>
      </c>
      <c r="W7" s="74" t="s">
        <v>43</v>
      </c>
      <c r="X7" s="75" t="s">
        <v>36</v>
      </c>
      <c r="Y7" s="74" t="s">
        <v>44</v>
      </c>
      <c r="Z7" s="74" t="s">
        <v>102</v>
      </c>
      <c r="AA7" s="74" t="s">
        <v>46</v>
      </c>
      <c r="AB7" s="74" t="s">
        <v>103</v>
      </c>
      <c r="AD7" s="67" t="s">
        <v>104</v>
      </c>
      <c r="AE7" s="67" t="s">
        <v>105</v>
      </c>
      <c r="AF7" s="67" t="s">
        <v>106</v>
      </c>
      <c r="AH7" t="s">
        <v>108</v>
      </c>
      <c r="AJ7" s="67" t="s">
        <v>104</v>
      </c>
      <c r="AK7" s="67" t="s">
        <v>105</v>
      </c>
      <c r="AL7" s="67" t="s">
        <v>106</v>
      </c>
      <c r="AN7" s="67" t="s">
        <v>1352</v>
      </c>
    </row>
    <row r="8" spans="1:40" x14ac:dyDescent="0.3">
      <c r="B8" s="66"/>
      <c r="G8" s="66"/>
      <c r="J8" s="4" t="s">
        <v>21</v>
      </c>
      <c r="K8" s="70">
        <f>M28*3.6/1000</f>
        <v>0</v>
      </c>
      <c r="M8" s="4"/>
      <c r="N8" s="63" t="s">
        <v>54</v>
      </c>
      <c r="P8" s="763" t="s">
        <v>107</v>
      </c>
      <c r="Q8" t="s">
        <v>108</v>
      </c>
      <c r="R8" s="436">
        <v>-3.9072860628300039</v>
      </c>
      <c r="S8" s="71">
        <v>0</v>
      </c>
      <c r="T8" s="71">
        <v>0</v>
      </c>
      <c r="U8" s="434">
        <f>U17/-2</f>
        <v>20.694999189441177</v>
      </c>
      <c r="V8" s="71">
        <v>0</v>
      </c>
      <c r="W8" s="71">
        <v>-15.571684162160752</v>
      </c>
      <c r="X8" s="72">
        <v>-4.0962432350873064</v>
      </c>
      <c r="Y8" s="77">
        <f>Y24*(W21/SUM(W21:W22))/1000000</f>
        <v>0.75391051253118579</v>
      </c>
      <c r="Z8" s="77">
        <v>0</v>
      </c>
      <c r="AA8" s="77">
        <v>0</v>
      </c>
      <c r="AB8" s="77">
        <v>0</v>
      </c>
      <c r="AC8" s="78">
        <f>Y8*AE8/AF8</f>
        <v>1.0643442529852034</v>
      </c>
      <c r="AE8" s="77">
        <v>1.2</v>
      </c>
      <c r="AF8" s="79">
        <v>0.85</v>
      </c>
      <c r="AH8" t="s">
        <v>109</v>
      </c>
      <c r="AI8" s="86"/>
      <c r="AJ8">
        <v>1.2</v>
      </c>
      <c r="AK8" s="77">
        <v>0.85</v>
      </c>
      <c r="AL8" s="79">
        <v>0.85</v>
      </c>
      <c r="AN8" s="137">
        <f>Y8/(SUM($Y$8:$Y$11))</f>
        <v>0.34578292552914086</v>
      </c>
    </row>
    <row r="9" spans="1:40" x14ac:dyDescent="0.3">
      <c r="A9" t="str">
        <f>RES!AD2</f>
        <v>IPPPULPD</v>
      </c>
      <c r="B9" t="str">
        <f>RES!AD3</f>
        <v>Disolving pulp</v>
      </c>
      <c r="C9" t="str">
        <f>RES!T24</f>
        <v>IPPDIS-E</v>
      </c>
      <c r="D9" s="66" t="str">
        <f>RES!T20</f>
        <v>Pulping - Dissolving</v>
      </c>
      <c r="G9" s="66"/>
      <c r="H9"/>
      <c r="M9" s="4"/>
      <c r="N9" s="63" t="s">
        <v>50</v>
      </c>
      <c r="P9" s="763"/>
      <c r="Q9" t="s">
        <v>109</v>
      </c>
      <c r="R9" s="436">
        <v>0</v>
      </c>
      <c r="S9" s="71">
        <v>0</v>
      </c>
      <c r="T9" s="71">
        <v>0</v>
      </c>
      <c r="U9" s="71">
        <v>0</v>
      </c>
      <c r="V9" s="71">
        <v>0</v>
      </c>
      <c r="W9" s="71">
        <v>-1.5088494475463996</v>
      </c>
      <c r="X9" s="72">
        <v>-3.3219956263134764</v>
      </c>
      <c r="Y9" s="77">
        <f>Y24/1000000-Y8</f>
        <v>0.20838948746881425</v>
      </c>
      <c r="Z9" s="77">
        <v>0</v>
      </c>
      <c r="AA9" s="77">
        <v>0</v>
      </c>
      <c r="AB9" s="77">
        <v>0</v>
      </c>
      <c r="AC9" s="78">
        <f>Y9*AE9/AF9</f>
        <v>0.29419692348538479</v>
      </c>
      <c r="AE9" s="77">
        <v>1.2</v>
      </c>
      <c r="AF9" s="79">
        <v>0.85</v>
      </c>
      <c r="AH9" t="s">
        <v>110</v>
      </c>
      <c r="AI9" s="86"/>
      <c r="AJ9">
        <v>1.2</v>
      </c>
      <c r="AK9" s="77">
        <v>0.85</v>
      </c>
      <c r="AL9" s="79">
        <v>0.85</v>
      </c>
      <c r="AN9" s="137">
        <f t="shared" ref="AN9" si="0">Y9/(SUM($Y$8:$Y$11))</f>
        <v>9.5578355028580586E-2</v>
      </c>
    </row>
    <row r="10" spans="1:40" x14ac:dyDescent="0.3">
      <c r="B10" s="66"/>
      <c r="G10" s="66"/>
      <c r="H10" t="str">
        <f>RES!D2</f>
        <v>IPPELC</v>
      </c>
      <c r="I10" t="str">
        <f>RES!D3</f>
        <v>Electricity</v>
      </c>
      <c r="M10" s="4"/>
      <c r="N10" s="63" t="s">
        <v>56</v>
      </c>
      <c r="P10" s="763"/>
      <c r="Q10" t="s">
        <v>110</v>
      </c>
      <c r="R10" s="436">
        <v>-2.2739198333299058</v>
      </c>
      <c r="S10" s="71">
        <v>0</v>
      </c>
      <c r="T10" s="71">
        <v>0</v>
      </c>
      <c r="U10" s="434">
        <f>U8</f>
        <v>20.694999189441177</v>
      </c>
      <c r="V10" s="71">
        <v>0</v>
      </c>
      <c r="W10" s="71">
        <v>-8.7661257342863053</v>
      </c>
      <c r="X10" s="72">
        <v>-2.182041855046879</v>
      </c>
      <c r="Y10" s="77">
        <v>0</v>
      </c>
      <c r="Z10" s="77">
        <v>0.65910719806663931</v>
      </c>
      <c r="AA10" s="77">
        <v>0</v>
      </c>
      <c r="AB10" s="77">
        <v>0</v>
      </c>
      <c r="AC10" s="78">
        <f>Z10*AE10/AF10</f>
        <v>0.9305042796234908</v>
      </c>
      <c r="AE10" s="77">
        <v>1.2</v>
      </c>
      <c r="AF10" s="79">
        <v>0.85</v>
      </c>
      <c r="AH10" t="s">
        <v>111</v>
      </c>
      <c r="AI10" s="86"/>
      <c r="AJ10">
        <v>1.2</v>
      </c>
      <c r="AK10" s="77">
        <v>0.85</v>
      </c>
      <c r="AL10" s="79">
        <v>0.85</v>
      </c>
      <c r="AN10" s="137"/>
    </row>
    <row r="11" spans="1:40" x14ac:dyDescent="0.3">
      <c r="B11" s="66"/>
      <c r="G11" s="66"/>
      <c r="H11" s="50" t="str">
        <f>RES!O2</f>
        <v>IPPSTM</v>
      </c>
      <c r="I11" s="50" t="str">
        <f>RES!O3</f>
        <v>Steam</v>
      </c>
      <c r="M11" s="4"/>
      <c r="N11" s="63" t="s">
        <v>59</v>
      </c>
      <c r="P11" s="763"/>
      <c r="Q11" t="s">
        <v>111</v>
      </c>
      <c r="R11" s="436">
        <v>0</v>
      </c>
      <c r="S11" s="71">
        <v>0</v>
      </c>
      <c r="T11" s="71">
        <v>0</v>
      </c>
      <c r="U11" s="71">
        <v>0</v>
      </c>
      <c r="V11" s="71">
        <v>0</v>
      </c>
      <c r="W11" s="71">
        <v>-1.2646455556165346</v>
      </c>
      <c r="X11" s="72">
        <v>-0.76882593042915948</v>
      </c>
      <c r="Y11" s="77">
        <f>Y23/1000000</f>
        <v>1.218</v>
      </c>
      <c r="Z11" s="77">
        <v>0</v>
      </c>
      <c r="AA11" s="77">
        <v>0</v>
      </c>
      <c r="AB11" s="77">
        <f>-Y22/1000000</f>
        <v>-1.8140000000000001</v>
      </c>
      <c r="AC11" s="78">
        <f>Y11*AE11/AF11</f>
        <v>1.719529411764706</v>
      </c>
      <c r="AE11" s="77">
        <v>1.2</v>
      </c>
      <c r="AF11" s="79">
        <v>0.85</v>
      </c>
      <c r="AH11" s="80" t="s">
        <v>46</v>
      </c>
      <c r="AI11" s="86"/>
      <c r="AJ11">
        <v>1.2</v>
      </c>
      <c r="AK11" s="77">
        <v>0.85</v>
      </c>
      <c r="AL11" s="79">
        <v>0.85</v>
      </c>
      <c r="AN11" s="137">
        <f>Y11/(SUM($Y$8:$Y$11))</f>
        <v>0.55863871944227861</v>
      </c>
    </row>
    <row r="12" spans="1:40" x14ac:dyDescent="0.3">
      <c r="B12" s="66"/>
      <c r="G12" s="66"/>
      <c r="M12" s="4"/>
      <c r="N12" s="63" t="s">
        <v>60</v>
      </c>
      <c r="P12" s="764"/>
      <c r="Q12" s="80" t="s">
        <v>46</v>
      </c>
      <c r="R12" s="435">
        <v>-1.962054</v>
      </c>
      <c r="S12" s="71">
        <v>0</v>
      </c>
      <c r="T12" s="71">
        <v>0</v>
      </c>
      <c r="U12" s="71">
        <v>0</v>
      </c>
      <c r="V12" s="71">
        <v>0</v>
      </c>
      <c r="W12" s="71">
        <v>-23.108636000000001</v>
      </c>
      <c r="X12" s="72">
        <v>-5.5127933451231801</v>
      </c>
      <c r="Y12" s="77">
        <f>-Y25/1000000</f>
        <v>-2.1802999999999999</v>
      </c>
      <c r="Z12" s="77">
        <v>0</v>
      </c>
      <c r="AA12" s="77">
        <v>2.1800600000000001</v>
      </c>
      <c r="AB12" s="77">
        <v>0</v>
      </c>
      <c r="AC12" s="78">
        <f>AA12*AE12/AF12</f>
        <v>3.0777317647058822</v>
      </c>
      <c r="AE12" s="77">
        <v>1.2</v>
      </c>
      <c r="AF12" s="79">
        <v>0.85</v>
      </c>
      <c r="AH12" s="53" t="s">
        <v>38</v>
      </c>
      <c r="AI12" s="86"/>
      <c r="AJ12">
        <v>1.2</v>
      </c>
      <c r="AK12" s="77">
        <v>0.85</v>
      </c>
      <c r="AL12" s="79">
        <v>0.85</v>
      </c>
    </row>
    <row r="13" spans="1:40" x14ac:dyDescent="0.3">
      <c r="A13" t="str">
        <f>RES!U2</f>
        <v>IPPPULP</v>
      </c>
      <c r="B13" t="str">
        <f>RES!U3</f>
        <v>Pulp</v>
      </c>
      <c r="C13" t="str">
        <f>RES!T31</f>
        <v>IPPREC-E</v>
      </c>
      <c r="D13" t="str">
        <f>RES!T27</f>
        <v>Paper - Recovery Mill</v>
      </c>
      <c r="G13" s="66"/>
      <c r="H13"/>
      <c r="M13" s="4"/>
      <c r="N13" s="63" t="s">
        <v>70</v>
      </c>
      <c r="P13" s="765" t="s">
        <v>112</v>
      </c>
      <c r="Q13" s="53" t="s">
        <v>38</v>
      </c>
      <c r="R13" s="82">
        <v>0</v>
      </c>
      <c r="S13" s="287">
        <f>'CHP &amp; Boiler summary'!Q27/1000000</f>
        <v>3.3579408295975384</v>
      </c>
      <c r="T13" s="82">
        <v>0</v>
      </c>
      <c r="U13" s="82">
        <v>0</v>
      </c>
      <c r="V13" s="82">
        <v>0</v>
      </c>
      <c r="W13" s="83">
        <v>2.2000000000000002</v>
      </c>
      <c r="X13" s="84">
        <v>0</v>
      </c>
      <c r="AC13" s="85">
        <f>(W13/AD13)*AE13</f>
        <v>3.3579408295975384</v>
      </c>
      <c r="AD13" s="86">
        <f>W13/SUM(R13:V13)</f>
        <v>0.65516342057274379</v>
      </c>
      <c r="AE13" s="77">
        <v>1</v>
      </c>
      <c r="AH13" t="s">
        <v>37</v>
      </c>
      <c r="AI13">
        <v>-0.65516342057274379</v>
      </c>
      <c r="AJ13" s="86">
        <v>1</v>
      </c>
      <c r="AK13" s="77"/>
    </row>
    <row r="14" spans="1:40" x14ac:dyDescent="0.3">
      <c r="B14" s="66"/>
      <c r="G14" s="66"/>
      <c r="H14" t="str">
        <f>RES!J2</f>
        <v>IPPREC</v>
      </c>
      <c r="I14" t="str">
        <f>RES!J3</f>
        <v>Recycled paper</v>
      </c>
      <c r="M14" s="4"/>
      <c r="N14" s="63" t="s">
        <v>64</v>
      </c>
      <c r="P14" s="766"/>
      <c r="Q14" t="s">
        <v>37</v>
      </c>
      <c r="R14" s="87">
        <v>-45.42</v>
      </c>
      <c r="S14" s="71">
        <v>0</v>
      </c>
      <c r="T14" s="71">
        <v>0</v>
      </c>
      <c r="U14" s="71">
        <v>0</v>
      </c>
      <c r="V14" s="71">
        <v>0</v>
      </c>
      <c r="W14" s="88">
        <v>15</v>
      </c>
      <c r="X14" s="72">
        <v>0</v>
      </c>
      <c r="AC14" s="85">
        <f>(W14/AD14)*AE14</f>
        <v>45.42</v>
      </c>
      <c r="AD14" s="86">
        <f>-W14/SUM(R14:V14)</f>
        <v>0.33025099075297226</v>
      </c>
      <c r="AE14" s="77">
        <v>1</v>
      </c>
      <c r="AH14" t="s">
        <v>113</v>
      </c>
      <c r="AI14">
        <v>0.33025099075297226</v>
      </c>
      <c r="AJ14" s="86">
        <v>1</v>
      </c>
      <c r="AK14" s="77"/>
    </row>
    <row r="15" spans="1:40" x14ac:dyDescent="0.3">
      <c r="B15" s="66"/>
      <c r="G15" s="66"/>
      <c r="H15" t="str">
        <f>RES!O2</f>
        <v>IPPSTM</v>
      </c>
      <c r="I15" t="str">
        <f>RES!O3</f>
        <v>Steam</v>
      </c>
      <c r="M15" s="4"/>
      <c r="N15" s="63" t="s">
        <v>72</v>
      </c>
      <c r="P15" s="766"/>
      <c r="Q15" t="s">
        <v>113</v>
      </c>
      <c r="R15" s="71">
        <f>-'CHP &amp; Boiler summary'!P29/1000000</f>
        <v>-12.010455367484022</v>
      </c>
      <c r="S15" s="71">
        <v>0</v>
      </c>
      <c r="T15" s="71">
        <v>0</v>
      </c>
      <c r="U15" s="71">
        <v>0</v>
      </c>
      <c r="V15" s="71">
        <f>-'CHP &amp; Boiler summary'!T8/10000000</f>
        <v>-0.43467270540352576</v>
      </c>
      <c r="W15" s="88">
        <v>6</v>
      </c>
      <c r="X15" s="72">
        <v>0</v>
      </c>
      <c r="AC15" s="85">
        <f>(W15/AD15)*AE15</f>
        <v>12.445128072887549</v>
      </c>
      <c r="AD15" s="86">
        <f>W15/SUM(R15:V15)*-1</f>
        <v>0.48211637235548876</v>
      </c>
      <c r="AE15" s="77">
        <v>1</v>
      </c>
      <c r="AH15" t="s">
        <v>39</v>
      </c>
      <c r="AI15">
        <v>-0.48211637235548876</v>
      </c>
      <c r="AJ15" s="86">
        <v>1</v>
      </c>
      <c r="AK15" s="77"/>
    </row>
    <row r="16" spans="1:40" x14ac:dyDescent="0.3">
      <c r="B16" s="66"/>
      <c r="G16" s="66"/>
      <c r="M16" s="4"/>
      <c r="N16" s="63" t="s">
        <v>66</v>
      </c>
      <c r="P16" s="766"/>
      <c r="Q16" t="s">
        <v>39</v>
      </c>
      <c r="R16" s="71">
        <v>0</v>
      </c>
      <c r="S16" s="71">
        <v>0</v>
      </c>
      <c r="T16" s="71">
        <v>-4.3467270540352576</v>
      </c>
      <c r="U16" s="71">
        <v>0</v>
      </c>
      <c r="V16" s="71">
        <v>0</v>
      </c>
      <c r="W16" s="88">
        <v>2.4077381420440265</v>
      </c>
      <c r="X16" s="72">
        <v>0</v>
      </c>
      <c r="AC16" s="651">
        <f>(W16/AD16)*AE16</f>
        <v>4.3467270540352576</v>
      </c>
      <c r="AD16" s="86">
        <f>W16/SUM(R16:V16)*-1</f>
        <v>0.55391979116996026</v>
      </c>
      <c r="AE16" s="77">
        <v>1</v>
      </c>
      <c r="AH16" s="80" t="s">
        <v>101</v>
      </c>
      <c r="AI16">
        <v>-0.5642397862379761</v>
      </c>
      <c r="AJ16" s="86">
        <v>1</v>
      </c>
      <c r="AK16" s="77"/>
    </row>
    <row r="17" spans="2:37" x14ac:dyDescent="0.3">
      <c r="B17" s="66"/>
      <c r="G17" s="66"/>
      <c r="M17" s="4"/>
      <c r="N17" s="63" t="s">
        <v>68</v>
      </c>
      <c r="P17" s="766"/>
      <c r="Q17" s="80" t="s">
        <v>101</v>
      </c>
      <c r="R17" s="81">
        <v>0</v>
      </c>
      <c r="S17" s="81">
        <v>0</v>
      </c>
      <c r="T17" s="81">
        <v>0</v>
      </c>
      <c r="U17" s="435">
        <v>-41.389998378882353</v>
      </c>
      <c r="V17" s="81">
        <v>0</v>
      </c>
      <c r="W17" s="89">
        <v>25</v>
      </c>
      <c r="X17" s="90">
        <v>0</v>
      </c>
      <c r="AC17" s="85">
        <f>(W17/AD17)*AE17</f>
        <v>41.389998378882353</v>
      </c>
      <c r="AD17" s="86">
        <f>-W17/SUM(R17:V17)</f>
        <v>0.60401065424431821</v>
      </c>
      <c r="AE17" s="77">
        <v>1</v>
      </c>
      <c r="AH17" s="91" t="s">
        <v>114</v>
      </c>
      <c r="AI17">
        <v>0.60401065424431821</v>
      </c>
      <c r="AJ17" s="86">
        <v>1</v>
      </c>
      <c r="AK17" s="77"/>
    </row>
    <row r="18" spans="2:37" x14ac:dyDescent="0.3">
      <c r="B18" s="66"/>
      <c r="G18" s="66"/>
      <c r="H18"/>
      <c r="M18" s="4"/>
      <c r="P18" s="767"/>
      <c r="Q18" s="91" t="s">
        <v>114</v>
      </c>
      <c r="R18" s="92">
        <v>-50.479140103840102</v>
      </c>
      <c r="S18" s="92">
        <v>-3.3579408295975384</v>
      </c>
      <c r="T18" s="92">
        <v>-2.0194860031331041</v>
      </c>
      <c r="U18" s="92">
        <v>-41.389998378882353</v>
      </c>
      <c r="V18" s="92">
        <v>-0.43865303346417234</v>
      </c>
      <c r="W18" s="92"/>
      <c r="X18" s="93">
        <v>0</v>
      </c>
      <c r="Y18" s="86">
        <f>SUM(Y8:Y12)</f>
        <v>0</v>
      </c>
      <c r="AH18" s="95"/>
    </row>
    <row r="19" spans="2:37" x14ac:dyDescent="0.3">
      <c r="B19" s="66"/>
      <c r="G19" s="66"/>
      <c r="H19"/>
      <c r="M19" s="4"/>
      <c r="P19" s="94" t="s">
        <v>115</v>
      </c>
      <c r="Q19" s="95"/>
      <c r="R19" s="95">
        <v>0</v>
      </c>
      <c r="S19" s="95">
        <v>0</v>
      </c>
      <c r="T19" s="95">
        <v>0</v>
      </c>
      <c r="U19" s="95">
        <v>0</v>
      </c>
      <c r="V19" s="95">
        <v>0</v>
      </c>
      <c r="W19" s="96">
        <v>-15.487578808564701</v>
      </c>
      <c r="X19" s="97">
        <v>7.9158999920000008</v>
      </c>
      <c r="AC19" s="85">
        <f>(X19/AD19)*AE19</f>
        <v>11.175388224000002</v>
      </c>
      <c r="AD19">
        <v>0.85</v>
      </c>
      <c r="AE19" s="77">
        <v>1.2</v>
      </c>
      <c r="AI19">
        <v>0.85</v>
      </c>
      <c r="AJ19">
        <v>1.2</v>
      </c>
      <c r="AK19" s="77"/>
    </row>
    <row r="20" spans="2:37" x14ac:dyDescent="0.3">
      <c r="B20" s="66"/>
      <c r="G20" s="66"/>
      <c r="H20"/>
      <c r="M20" s="4"/>
      <c r="R20" s="437">
        <f>'CHP &amp; Boiler summary'!P19/1000000</f>
        <v>51.902323307415621</v>
      </c>
      <c r="W20" s="436">
        <f>'CHP &amp; Boiler summary'!AB12/1000000</f>
        <v>15.487578808564706</v>
      </c>
      <c r="X20" s="438">
        <f>'CHP &amp; Boiler summary'!AA12/1000000</f>
        <v>7.9158999920000008</v>
      </c>
    </row>
    <row r="21" spans="2:37" x14ac:dyDescent="0.3">
      <c r="B21" s="66"/>
      <c r="C21" t="str">
        <f>RES!T11</f>
        <v>IPPMCH-E</v>
      </c>
      <c r="G21" s="66"/>
      <c r="H21"/>
      <c r="M21" s="4"/>
      <c r="V21" t="s">
        <v>108</v>
      </c>
      <c r="W21" s="77">
        <v>1.1492017831853001</v>
      </c>
      <c r="X21" s="71"/>
      <c r="Y21" s="86"/>
    </row>
    <row r="22" spans="2:37" x14ac:dyDescent="0.3">
      <c r="B22" s="66"/>
      <c r="G22" s="66"/>
      <c r="H22"/>
      <c r="M22" s="4"/>
      <c r="Q22" t="s">
        <v>1283</v>
      </c>
      <c r="U22" s="71">
        <f>SUM(R8:X12)</f>
        <v>-32.855102408887547</v>
      </c>
      <c r="V22" t="s">
        <v>109</v>
      </c>
      <c r="W22" s="77">
        <v>0.31765251527292626</v>
      </c>
      <c r="Y22" s="98">
        <f>'Students report revision'!K104</f>
        <v>1814000</v>
      </c>
      <c r="Z22" s="99" t="s">
        <v>116</v>
      </c>
      <c r="AA22" s="53"/>
      <c r="AB22" s="100">
        <f>Y22/(Y22+Y23)</f>
        <v>0.59828496042216361</v>
      </c>
    </row>
    <row r="23" spans="2:37" x14ac:dyDescent="0.3">
      <c r="B23" s="66"/>
      <c r="C23" t="str">
        <f>RES!T31</f>
        <v>IPPREC-E</v>
      </c>
      <c r="G23" s="66"/>
      <c r="H23"/>
      <c r="M23" s="4"/>
      <c r="Q23" t="s">
        <v>1284</v>
      </c>
      <c r="U23" s="71">
        <f>SUM(R18:V18)</f>
        <v>-97.685218348917275</v>
      </c>
      <c r="Y23" s="101">
        <f>'Students report revision'!K105</f>
        <v>1218000</v>
      </c>
      <c r="Z23" s="102" t="s">
        <v>117</v>
      </c>
      <c r="AB23" s="103"/>
    </row>
    <row r="24" spans="2:37" x14ac:dyDescent="0.3">
      <c r="B24" s="66"/>
      <c r="G24" s="66"/>
      <c r="H24"/>
      <c r="Y24" s="101">
        <f>'Students report revision'!K103</f>
        <v>962300</v>
      </c>
      <c r="Z24" s="4" t="s">
        <v>118</v>
      </c>
      <c r="AB24" s="104">
        <f>Y24/Y25</f>
        <v>0.44136128055772139</v>
      </c>
    </row>
    <row r="25" spans="2:37" x14ac:dyDescent="0.3">
      <c r="H25"/>
      <c r="M25" s="4"/>
      <c r="R25" s="4"/>
      <c r="S25" s="4"/>
      <c r="T25" s="4"/>
      <c r="U25" s="4"/>
      <c r="V25" s="71">
        <f>SUM(W13:W17)</f>
        <v>50.607738142044028</v>
      </c>
      <c r="W25" s="4" t="s">
        <v>119</v>
      </c>
      <c r="Y25" s="105">
        <f>Y24+Y23</f>
        <v>2180300</v>
      </c>
      <c r="Z25" s="106" t="s">
        <v>120</v>
      </c>
      <c r="AA25" s="59"/>
      <c r="AB25" s="107"/>
    </row>
    <row r="26" spans="2:37" x14ac:dyDescent="0.3">
      <c r="H26"/>
      <c r="K26" s="4"/>
      <c r="Q26" s="4"/>
      <c r="R26" s="650">
        <f>SUM(R8:R17)</f>
        <v>-65.573715263643933</v>
      </c>
      <c r="V26" s="71">
        <f>SUM(W8:W12)</f>
        <v>-50.219940899609995</v>
      </c>
      <c r="W26" s="4" t="s">
        <v>121</v>
      </c>
    </row>
    <row r="27" spans="2:37" x14ac:dyDescent="0.3">
      <c r="H27"/>
      <c r="Q27" s="4"/>
      <c r="V27" s="71">
        <f>SUM(V25:V26)</f>
        <v>0.3877972424340328</v>
      </c>
      <c r="X27" t="s">
        <v>1413</v>
      </c>
    </row>
    <row r="28" spans="2:37" x14ac:dyDescent="0.3">
      <c r="H28"/>
      <c r="Q28" s="4"/>
      <c r="Y28" s="701" t="s">
        <v>38</v>
      </c>
      <c r="Z28" s="701" t="s">
        <v>1411</v>
      </c>
      <c r="AA28" s="701" t="s">
        <v>1412</v>
      </c>
      <c r="AB28" s="701" t="s">
        <v>102</v>
      </c>
      <c r="AC28" s="701" t="str">
        <f>Q11</f>
        <v>Recovered paper</v>
      </c>
      <c r="AD28" s="701" t="s">
        <v>112</v>
      </c>
    </row>
    <row r="29" spans="2:37" x14ac:dyDescent="0.3">
      <c r="H29"/>
      <c r="M29" s="4"/>
      <c r="Q29" s="4" t="s">
        <v>1362</v>
      </c>
      <c r="R29" s="62">
        <f>R15/(SUM(R15,V15))</f>
        <v>0.9650728620181509</v>
      </c>
      <c r="X29" t="s">
        <v>1416</v>
      </c>
      <c r="Y29" s="702">
        <f>SUM(S18,U18)</f>
        <v>-44.747939208479892</v>
      </c>
      <c r="Z29" s="650">
        <f>Y9</f>
        <v>0.20838948746881425</v>
      </c>
      <c r="AA29" s="703">
        <f>Y8</f>
        <v>0.75391051253118579</v>
      </c>
      <c r="AB29" s="703">
        <f>Z10</f>
        <v>0.65910719806663931</v>
      </c>
      <c r="AC29" s="703">
        <f>Y11</f>
        <v>1.218</v>
      </c>
      <c r="AD29" s="703"/>
    </row>
    <row r="30" spans="2:37" x14ac:dyDescent="0.3">
      <c r="H30"/>
      <c r="W30" s="771" t="s">
        <v>122</v>
      </c>
      <c r="X30" t="s">
        <v>1417</v>
      </c>
      <c r="Y30" s="705"/>
      <c r="Z30" s="704">
        <f>(Methodology!G9*'TNAPP Energy Intensity (OLD) '!E67)/10^6</f>
        <v>4.0295746294443999</v>
      </c>
      <c r="AA30" s="703">
        <f>(Methodology!G8*(SUM('TNAPP Energy Intensity (OLD) '!E66:F66))/10^6)</f>
        <v>22.58719330393636</v>
      </c>
      <c r="AB30" s="703">
        <f>(Methodology!G10*SUM('TNAPP Energy Intensity (OLD) '!E68:F68))/10^6</f>
        <v>12.695775577735454</v>
      </c>
      <c r="AC30" s="703">
        <f>(Methodology!G11*SUM('TNAPP Energy Intensity (OLD) '!E69:F69))/10^6</f>
        <v>1.8480294914586182</v>
      </c>
      <c r="AD30" s="701"/>
    </row>
    <row r="31" spans="2:37" ht="28.8" x14ac:dyDescent="0.3">
      <c r="H31"/>
      <c r="M31" s="4"/>
      <c r="W31" s="772"/>
      <c r="X31" s="270" t="s">
        <v>1415</v>
      </c>
      <c r="Y31" s="701"/>
      <c r="Z31" s="708">
        <f>Z30/Z29</f>
        <v>19.336746197657551</v>
      </c>
      <c r="AA31" s="708">
        <f t="shared" ref="AA31:AC31" si="1">AA30/AA29</f>
        <v>29.960045560449764</v>
      </c>
      <c r="AB31" s="708">
        <f t="shared" si="1"/>
        <v>19.262080000000001</v>
      </c>
      <c r="AC31" s="708">
        <f t="shared" si="1"/>
        <v>1.5172655923305569</v>
      </c>
      <c r="AD31" s="701"/>
    </row>
    <row r="32" spans="2:37" x14ac:dyDescent="0.3">
      <c r="H32"/>
      <c r="W32" s="772"/>
      <c r="Z32" s="650"/>
    </row>
    <row r="33" spans="2:23" x14ac:dyDescent="0.3">
      <c r="H33"/>
      <c r="M33" s="4"/>
      <c r="W33" s="772"/>
    </row>
    <row r="34" spans="2:23" ht="15" customHeight="1" x14ac:dyDescent="0.3">
      <c r="H34"/>
      <c r="M34" s="4"/>
      <c r="W34" s="772"/>
    </row>
    <row r="35" spans="2:23" x14ac:dyDescent="0.3">
      <c r="H35"/>
      <c r="M35" s="4"/>
    </row>
    <row r="36" spans="2:23" x14ac:dyDescent="0.3">
      <c r="H36"/>
      <c r="M36" s="4"/>
    </row>
    <row r="37" spans="2:23" x14ac:dyDescent="0.3">
      <c r="H37"/>
      <c r="M37" s="4"/>
    </row>
    <row r="38" spans="2:23" x14ac:dyDescent="0.3">
      <c r="H38"/>
      <c r="M38" s="4"/>
    </row>
    <row r="39" spans="2:23" x14ac:dyDescent="0.3">
      <c r="H39"/>
      <c r="M39" s="4"/>
    </row>
    <row r="40" spans="2:23" ht="20.399999999999999" thickBot="1" x14ac:dyDescent="0.45">
      <c r="B40" s="513" t="s">
        <v>1033</v>
      </c>
      <c r="C40" s="454" t="s">
        <v>1034</v>
      </c>
      <c r="D40" s="454"/>
      <c r="E40" s="454"/>
      <c r="F40" s="454"/>
      <c r="G40" s="454"/>
      <c r="H40" s="514" t="s">
        <v>1035</v>
      </c>
      <c r="I40" s="515"/>
      <c r="J40" s="515"/>
      <c r="K40" s="515"/>
      <c r="L40" s="515"/>
      <c r="M40" s="515"/>
      <c r="N40" s="515"/>
      <c r="O40" s="515"/>
      <c r="P40" s="515"/>
      <c r="Q40" s="515"/>
      <c r="R40" s="515"/>
      <c r="S40" s="515"/>
      <c r="T40" s="515"/>
    </row>
    <row r="41" spans="2:23" ht="61.2" thickTop="1" x14ac:dyDescent="0.3">
      <c r="B41" s="515" t="s">
        <v>1036</v>
      </c>
      <c r="C41" s="516" t="s">
        <v>1037</v>
      </c>
      <c r="D41" s="517" t="s">
        <v>1038</v>
      </c>
      <c r="E41" s="517" t="s">
        <v>1039</v>
      </c>
      <c r="F41" s="517" t="s">
        <v>1040</v>
      </c>
      <c r="G41" s="517" t="s">
        <v>1041</v>
      </c>
      <c r="H41" s="518" t="s">
        <v>1042</v>
      </c>
      <c r="I41" s="517" t="s">
        <v>1043</v>
      </c>
      <c r="J41" s="519" t="s">
        <v>1044</v>
      </c>
      <c r="K41" s="519" t="s">
        <v>1045</v>
      </c>
      <c r="L41" s="519" t="s">
        <v>1046</v>
      </c>
      <c r="M41" s="519" t="s">
        <v>1047</v>
      </c>
      <c r="N41" s="519" t="s">
        <v>1048</v>
      </c>
      <c r="O41" s="519" t="s">
        <v>1049</v>
      </c>
      <c r="P41" s="519" t="s">
        <v>1050</v>
      </c>
      <c r="Q41" s="519" t="s">
        <v>1051</v>
      </c>
      <c r="R41" s="515" t="s">
        <v>1052</v>
      </c>
      <c r="S41" s="515"/>
      <c r="T41" s="515"/>
    </row>
    <row r="42" spans="2:23" ht="35.4" x14ac:dyDescent="0.3">
      <c r="B42" s="515" t="s">
        <v>1053</v>
      </c>
      <c r="C42" s="520" t="s">
        <v>1054</v>
      </c>
      <c r="D42" s="520" t="s">
        <v>1055</v>
      </c>
      <c r="E42" s="521" t="s">
        <v>1056</v>
      </c>
      <c r="F42" s="521" t="s">
        <v>1057</v>
      </c>
      <c r="G42" s="521" t="s">
        <v>1058</v>
      </c>
      <c r="H42" s="522" t="s">
        <v>1059</v>
      </c>
      <c r="I42" s="523">
        <v>2017</v>
      </c>
      <c r="J42" s="524">
        <v>75</v>
      </c>
      <c r="K42" s="524">
        <v>830203.11260369548</v>
      </c>
      <c r="L42" s="524">
        <v>0</v>
      </c>
      <c r="M42" s="524">
        <v>830203.11260369548</v>
      </c>
      <c r="N42" s="524">
        <v>138922.29478763984</v>
      </c>
      <c r="O42" s="524">
        <v>969125.40739133535</v>
      </c>
      <c r="P42" s="524">
        <v>781865.4529336954</v>
      </c>
      <c r="Q42" s="524">
        <v>187731.61095399997</v>
      </c>
      <c r="R42" s="525">
        <v>1.2636272642369795</v>
      </c>
      <c r="S42" s="515"/>
      <c r="T42" s="526">
        <v>48337.659670000081</v>
      </c>
    </row>
    <row r="43" spans="2:23" ht="24" x14ac:dyDescent="0.3">
      <c r="B43" s="515" t="s">
        <v>1053</v>
      </c>
      <c r="C43" s="520" t="s">
        <v>1060</v>
      </c>
      <c r="D43" s="520" t="s">
        <v>1061</v>
      </c>
      <c r="E43" s="521" t="s">
        <v>1056</v>
      </c>
      <c r="F43" s="521" t="s">
        <v>1062</v>
      </c>
      <c r="G43" s="521" t="s">
        <v>1063</v>
      </c>
      <c r="H43" s="522" t="s">
        <v>1059</v>
      </c>
      <c r="I43" s="523">
        <v>2017</v>
      </c>
      <c r="J43" s="524">
        <v>5.0999999999999996</v>
      </c>
      <c r="K43" s="524">
        <v>10391</v>
      </c>
      <c r="L43" s="524">
        <v>0</v>
      </c>
      <c r="M43" s="524">
        <v>10391</v>
      </c>
      <c r="N43" s="524">
        <v>83507</v>
      </c>
      <c r="O43" s="524">
        <v>0</v>
      </c>
      <c r="P43" s="524">
        <v>93898</v>
      </c>
      <c r="Q43" s="524">
        <v>0</v>
      </c>
      <c r="R43" s="525">
        <v>0.23258572835526906</v>
      </c>
      <c r="S43" s="515"/>
      <c r="T43" s="526">
        <v>-83507</v>
      </c>
    </row>
    <row r="44" spans="2:23" ht="31.5" customHeight="1" x14ac:dyDescent="0.3">
      <c r="B44" s="515" t="s">
        <v>1053</v>
      </c>
      <c r="C44" s="520" t="s">
        <v>1064</v>
      </c>
      <c r="D44" s="520" t="s">
        <v>1065</v>
      </c>
      <c r="E44" s="521" t="s">
        <v>1056</v>
      </c>
      <c r="F44" s="521" t="s">
        <v>1066</v>
      </c>
      <c r="G44" s="521" t="s">
        <v>1067</v>
      </c>
      <c r="H44" s="522" t="s">
        <v>1059</v>
      </c>
      <c r="I44" s="523">
        <v>2017</v>
      </c>
      <c r="J44" s="527">
        <v>2</v>
      </c>
      <c r="K44" s="524">
        <v>228123.61000000002</v>
      </c>
      <c r="L44" s="524">
        <v>1331.0726400000001</v>
      </c>
      <c r="M44" s="524">
        <v>226792.53736000002</v>
      </c>
      <c r="N44" s="524">
        <v>317983.06100000005</v>
      </c>
      <c r="O44" s="524">
        <v>0</v>
      </c>
      <c r="P44" s="524">
        <v>546106.67099999997</v>
      </c>
      <c r="Q44" s="524">
        <v>8360.9599999999991</v>
      </c>
      <c r="R44" s="525">
        <v>12.944779529680366</v>
      </c>
      <c r="S44" s="515"/>
      <c r="T44" s="526">
        <v>-317983.06099999999</v>
      </c>
    </row>
    <row r="45" spans="2:23" ht="24" x14ac:dyDescent="0.3">
      <c r="B45" s="515" t="s">
        <v>1053</v>
      </c>
      <c r="C45" s="520" t="s">
        <v>1064</v>
      </c>
      <c r="D45" s="520" t="s">
        <v>1065</v>
      </c>
      <c r="E45" s="521" t="s">
        <v>1056</v>
      </c>
      <c r="F45" s="521" t="s">
        <v>1068</v>
      </c>
      <c r="G45" s="521" t="s">
        <v>1067</v>
      </c>
      <c r="H45" s="522" t="s">
        <v>1059</v>
      </c>
      <c r="I45" s="523">
        <v>2017</v>
      </c>
      <c r="J45" s="527">
        <v>2</v>
      </c>
      <c r="K45" s="524">
        <v>852887.00635199994</v>
      </c>
      <c r="L45" s="524">
        <v>0</v>
      </c>
      <c r="M45" s="524">
        <v>852887.00635199994</v>
      </c>
      <c r="N45" s="524">
        <v>26616.463369999972</v>
      </c>
      <c r="O45" s="524">
        <v>56998.388558999904</v>
      </c>
      <c r="P45" s="524">
        <v>822505.08116300008</v>
      </c>
      <c r="Q45" s="524">
        <v>87478.294413999916</v>
      </c>
      <c r="R45" s="525">
        <v>48.680765202739721</v>
      </c>
      <c r="S45" s="515"/>
      <c r="T45" s="526">
        <v>30381.925188999856</v>
      </c>
    </row>
    <row r="46" spans="2:23" x14ac:dyDescent="0.3">
      <c r="B46" s="515"/>
      <c r="C46" s="515"/>
      <c r="D46" s="515"/>
      <c r="E46" s="515"/>
      <c r="F46" s="515"/>
      <c r="G46" s="515"/>
      <c r="H46" s="515"/>
      <c r="I46" s="515"/>
      <c r="J46" s="515"/>
      <c r="K46" s="515"/>
      <c r="L46" s="515"/>
      <c r="M46" s="515"/>
      <c r="N46" s="515"/>
      <c r="O46" s="515"/>
      <c r="P46" s="515"/>
      <c r="Q46" s="515"/>
      <c r="R46" s="515"/>
      <c r="S46" s="515"/>
      <c r="T46" s="515"/>
    </row>
    <row r="47" spans="2:23" x14ac:dyDescent="0.3">
      <c r="B47" s="515" t="s">
        <v>1036</v>
      </c>
      <c r="C47" s="515"/>
      <c r="D47" s="515"/>
      <c r="E47" s="515"/>
      <c r="F47" s="515"/>
      <c r="G47" s="515"/>
      <c r="H47" s="515"/>
      <c r="I47" s="515"/>
      <c r="J47" s="515"/>
      <c r="K47" s="515"/>
      <c r="L47" s="515"/>
      <c r="M47" s="515"/>
      <c r="N47" s="515"/>
      <c r="O47" s="515"/>
      <c r="P47" s="515"/>
      <c r="Q47" s="515"/>
      <c r="R47" s="515"/>
      <c r="S47" s="515"/>
      <c r="T47" s="515"/>
    </row>
    <row r="48" spans="2:23" x14ac:dyDescent="0.3">
      <c r="B48" s="515" t="s">
        <v>1053</v>
      </c>
      <c r="C48" s="515"/>
      <c r="D48" s="515"/>
      <c r="E48" s="515"/>
      <c r="F48" s="515"/>
      <c r="G48" s="8" t="s">
        <v>38</v>
      </c>
      <c r="H48" s="515"/>
      <c r="I48" s="515"/>
      <c r="J48" s="515">
        <v>0.8</v>
      </c>
      <c r="K48" s="515"/>
      <c r="L48" s="515"/>
      <c r="M48" s="528">
        <v>6714</v>
      </c>
      <c r="N48" s="515"/>
      <c r="O48" s="528"/>
      <c r="P48" s="515"/>
      <c r="Q48" s="515"/>
      <c r="R48" s="525">
        <v>0.95804794520547942</v>
      </c>
      <c r="S48" s="515"/>
      <c r="T48" s="515"/>
    </row>
    <row r="49" spans="1:29" x14ac:dyDescent="0.3">
      <c r="B49" s="515" t="s">
        <v>1053</v>
      </c>
      <c r="C49" s="515"/>
      <c r="D49" s="515"/>
      <c r="E49" s="515"/>
      <c r="F49" s="515"/>
      <c r="G49" s="8" t="s">
        <v>1069</v>
      </c>
      <c r="H49" s="515"/>
      <c r="I49" s="515"/>
      <c r="J49" s="515">
        <v>27.724999999999998</v>
      </c>
      <c r="K49" s="515"/>
      <c r="L49" s="515"/>
      <c r="M49" s="528">
        <v>181970.51810732327</v>
      </c>
      <c r="N49" s="515"/>
      <c r="O49" s="528"/>
      <c r="P49" s="515"/>
      <c r="Q49" s="515"/>
      <c r="R49" s="525">
        <v>0.74924761748962732</v>
      </c>
      <c r="S49" s="515"/>
      <c r="T49" s="515"/>
    </row>
    <row r="50" spans="1:29" x14ac:dyDescent="0.3">
      <c r="B50" s="515" t="s">
        <v>1053</v>
      </c>
      <c r="C50" s="515"/>
      <c r="D50" s="515"/>
      <c r="E50" s="515"/>
      <c r="F50" s="515"/>
      <c r="G50" s="8" t="s">
        <v>949</v>
      </c>
      <c r="H50" s="515"/>
      <c r="I50" s="515"/>
      <c r="J50" s="515">
        <v>4.2</v>
      </c>
      <c r="K50" s="515"/>
      <c r="L50" s="515"/>
      <c r="M50" s="528">
        <v>19094.874970000001</v>
      </c>
      <c r="N50" s="515"/>
      <c r="O50" s="528"/>
      <c r="P50" s="515"/>
      <c r="Q50" s="515"/>
      <c r="R50" s="525">
        <v>0.51899529707545122</v>
      </c>
      <c r="S50" s="515"/>
      <c r="T50" s="515"/>
    </row>
    <row r="51" spans="1:29" x14ac:dyDescent="0.3">
      <c r="B51" s="515" t="s">
        <v>1053</v>
      </c>
      <c r="C51" s="515"/>
      <c r="D51" s="515"/>
      <c r="E51" s="515"/>
      <c r="F51" s="515"/>
      <c r="G51" s="8" t="s">
        <v>1070</v>
      </c>
      <c r="H51" s="515"/>
      <c r="I51" s="515"/>
      <c r="J51" s="515">
        <v>8</v>
      </c>
      <c r="K51" s="515"/>
      <c r="L51" s="515"/>
      <c r="M51" s="528">
        <v>31071.063999999998</v>
      </c>
      <c r="N51" s="515"/>
      <c r="O51" s="528"/>
      <c r="P51" s="515"/>
      <c r="Q51" s="515"/>
      <c r="R51" s="525">
        <v>0.44336563926940636</v>
      </c>
      <c r="S51" s="515"/>
      <c r="T51" s="515"/>
    </row>
    <row r="52" spans="1:29" x14ac:dyDescent="0.3">
      <c r="B52" s="515" t="s">
        <v>1053</v>
      </c>
      <c r="C52" s="515"/>
      <c r="D52" s="515"/>
      <c r="E52" s="515"/>
      <c r="F52" s="515"/>
      <c r="G52" s="8" t="s">
        <v>1071</v>
      </c>
      <c r="H52" s="515"/>
      <c r="I52" s="515"/>
      <c r="J52" s="515">
        <v>7</v>
      </c>
      <c r="K52" s="515"/>
      <c r="L52" s="515"/>
      <c r="M52" s="528">
        <v>71405.347999999998</v>
      </c>
      <c r="N52" s="515"/>
      <c r="O52" s="528"/>
      <c r="P52" s="515"/>
      <c r="Q52" s="515"/>
      <c r="R52" s="525">
        <v>1.1644707762557078</v>
      </c>
      <c r="S52" s="515"/>
      <c r="T52" s="515"/>
    </row>
    <row r="53" spans="1:29" x14ac:dyDescent="0.3">
      <c r="B53" s="515" t="s">
        <v>1053</v>
      </c>
      <c r="C53" s="515"/>
      <c r="D53" s="515"/>
      <c r="E53" s="515"/>
      <c r="F53" s="515"/>
      <c r="G53" s="8" t="s">
        <v>39</v>
      </c>
      <c r="H53" s="515"/>
      <c r="I53" s="515"/>
      <c r="J53" s="515">
        <v>454.94799999999998</v>
      </c>
      <c r="K53" s="515"/>
      <c r="L53" s="515"/>
      <c r="M53" s="528">
        <v>2579318.0191225121</v>
      </c>
      <c r="N53" s="515"/>
      <c r="O53" s="528"/>
      <c r="P53" s="515"/>
      <c r="Q53" s="515"/>
      <c r="R53" s="525">
        <v>0.64720077074052884</v>
      </c>
      <c r="S53" s="515"/>
      <c r="T53" s="515"/>
    </row>
    <row r="54" spans="1:29" x14ac:dyDescent="0.3">
      <c r="B54" s="515" t="s">
        <v>1053</v>
      </c>
      <c r="C54" s="515"/>
      <c r="D54" s="515"/>
      <c r="E54" s="515"/>
      <c r="F54" s="515"/>
      <c r="G54" s="8" t="s">
        <v>1058</v>
      </c>
      <c r="H54" s="515"/>
      <c r="I54" s="515"/>
      <c r="J54" s="515">
        <v>75</v>
      </c>
      <c r="K54" s="515"/>
      <c r="L54" s="515"/>
      <c r="M54" s="528">
        <v>830203.11260369548</v>
      </c>
      <c r="N54" s="515"/>
      <c r="O54" s="528"/>
      <c r="P54" s="515"/>
      <c r="Q54" s="515"/>
      <c r="R54" s="525">
        <v>1.2636272642369795</v>
      </c>
      <c r="S54" s="515"/>
      <c r="T54" s="515"/>
    </row>
    <row r="55" spans="1:29" x14ac:dyDescent="0.3">
      <c r="B55" s="515" t="s">
        <v>1053</v>
      </c>
      <c r="C55" s="515"/>
      <c r="D55" s="515"/>
      <c r="E55" s="515"/>
      <c r="F55" s="515"/>
      <c r="G55" s="8" t="s">
        <v>1063</v>
      </c>
      <c r="H55" s="515"/>
      <c r="I55" s="515"/>
      <c r="J55" s="515">
        <v>5.0999999999999996</v>
      </c>
      <c r="K55" s="515"/>
      <c r="L55" s="515"/>
      <c r="M55" s="528">
        <v>10391</v>
      </c>
      <c r="N55" s="515"/>
      <c r="O55" s="528"/>
      <c r="P55" s="515"/>
      <c r="Q55" s="515"/>
      <c r="R55" s="525">
        <v>0.23258572835526906</v>
      </c>
      <c r="S55" s="515"/>
      <c r="T55" s="515"/>
    </row>
    <row r="56" spans="1:29" x14ac:dyDescent="0.3">
      <c r="B56" s="515" t="s">
        <v>1053</v>
      </c>
      <c r="C56" s="515"/>
      <c r="D56" s="515"/>
      <c r="E56" s="515"/>
      <c r="F56" s="515"/>
      <c r="G56" s="8" t="s">
        <v>1072</v>
      </c>
      <c r="H56" s="515"/>
      <c r="I56" s="515"/>
      <c r="J56" s="515">
        <v>86</v>
      </c>
      <c r="K56" s="515"/>
      <c r="L56" s="515"/>
      <c r="M56" s="528">
        <v>317719.59999999998</v>
      </c>
      <c r="N56" s="515"/>
      <c r="O56" s="528"/>
      <c r="P56" s="515"/>
      <c r="Q56" s="515"/>
      <c r="R56" s="525">
        <v>0.42173675268132099</v>
      </c>
      <c r="S56" s="515"/>
      <c r="T56" s="515"/>
    </row>
    <row r="57" spans="1:29" x14ac:dyDescent="0.3">
      <c r="B57" s="515" t="s">
        <v>1053</v>
      </c>
      <c r="C57" s="515"/>
      <c r="D57" s="515"/>
      <c r="E57" s="515"/>
      <c r="F57" s="515"/>
      <c r="G57" s="8" t="s">
        <v>1067</v>
      </c>
      <c r="H57" s="515"/>
      <c r="I57" s="515"/>
      <c r="J57" s="515">
        <v>4</v>
      </c>
      <c r="K57" s="515"/>
      <c r="L57" s="515"/>
      <c r="M57" s="528">
        <v>1079679.5437119999</v>
      </c>
      <c r="N57" s="515"/>
      <c r="O57" s="528"/>
      <c r="P57" s="515"/>
      <c r="Q57" s="515"/>
      <c r="R57" s="525">
        <v>30.812772366210044</v>
      </c>
      <c r="S57" s="515"/>
      <c r="T57" s="515"/>
    </row>
    <row r="58" spans="1:29" x14ac:dyDescent="0.3">
      <c r="B58" s="515" t="s">
        <v>1053</v>
      </c>
      <c r="C58" s="515"/>
      <c r="D58" s="515"/>
      <c r="E58" s="515"/>
      <c r="F58" s="515"/>
      <c r="G58" s="8" t="s">
        <v>37</v>
      </c>
      <c r="H58" s="515"/>
      <c r="I58" s="515"/>
      <c r="J58" s="515">
        <v>728</v>
      </c>
      <c r="K58" s="515"/>
      <c r="L58" s="515"/>
      <c r="M58" s="528">
        <v>4470879.0155905792</v>
      </c>
      <c r="N58" s="515"/>
      <c r="O58" s="528"/>
      <c r="P58" s="515"/>
      <c r="Q58" s="515"/>
      <c r="R58" s="525">
        <v>0.70106362204428518</v>
      </c>
      <c r="S58" s="515"/>
      <c r="T58" s="515"/>
    </row>
    <row r="59" spans="1:29" x14ac:dyDescent="0.3">
      <c r="B59" s="515"/>
      <c r="C59" s="515"/>
      <c r="D59" s="515"/>
      <c r="E59" s="515"/>
      <c r="F59" s="515"/>
      <c r="G59" s="529" t="s">
        <v>1073</v>
      </c>
      <c r="H59" s="529"/>
      <c r="I59" s="529"/>
      <c r="J59" s="529">
        <v>1400.7730000000001</v>
      </c>
      <c r="K59" s="529"/>
      <c r="L59" s="529"/>
      <c r="M59" s="530">
        <v>9598446.0961061101</v>
      </c>
      <c r="N59" s="529"/>
      <c r="O59" s="530"/>
      <c r="P59" s="529"/>
      <c r="Q59" s="529"/>
      <c r="R59" s="531">
        <v>0.7822202631473103</v>
      </c>
      <c r="S59" s="515"/>
      <c r="T59" s="515"/>
    </row>
    <row r="60" spans="1:29" x14ac:dyDescent="0.3">
      <c r="B60" s="515" t="s">
        <v>1074</v>
      </c>
      <c r="C60" s="515"/>
      <c r="D60" s="515"/>
      <c r="E60" s="515"/>
      <c r="F60" s="515"/>
      <c r="G60" s="515" t="s">
        <v>37</v>
      </c>
      <c r="H60" s="515"/>
      <c r="I60" s="515"/>
      <c r="J60" s="515">
        <v>804</v>
      </c>
      <c r="K60" s="515"/>
      <c r="L60" s="515"/>
      <c r="M60" s="528">
        <v>1518942</v>
      </c>
      <c r="N60" s="515"/>
      <c r="O60" s="528"/>
      <c r="P60" s="515"/>
      <c r="Q60" s="515"/>
      <c r="R60" s="525">
        <v>0.21566567845702991</v>
      </c>
      <c r="S60" s="515"/>
      <c r="T60" s="515"/>
    </row>
    <row r="61" spans="1:29" x14ac:dyDescent="0.3">
      <c r="B61" s="515"/>
      <c r="C61" s="515"/>
      <c r="D61" s="515"/>
      <c r="E61" s="515"/>
      <c r="F61" s="515"/>
      <c r="G61" s="529" t="s">
        <v>1075</v>
      </c>
      <c r="H61" s="515"/>
      <c r="I61" s="515"/>
      <c r="J61" s="529">
        <v>2204.7730000000001</v>
      </c>
      <c r="K61" s="515"/>
      <c r="L61" s="515"/>
      <c r="M61" s="530">
        <v>11117388.09610611</v>
      </c>
      <c r="N61" s="515"/>
      <c r="O61" s="515"/>
      <c r="P61" s="515"/>
      <c r="Q61" s="515"/>
      <c r="R61" s="515"/>
      <c r="S61" s="515"/>
      <c r="T61" s="515"/>
    </row>
    <row r="62" spans="1:29" x14ac:dyDescent="0.3">
      <c r="A62" s="515"/>
      <c r="B62" s="515"/>
      <c r="C62" s="515"/>
      <c r="D62" s="515"/>
      <c r="E62" s="515"/>
      <c r="F62" s="515"/>
      <c r="G62" s="515"/>
      <c r="H62" s="515"/>
      <c r="I62" s="515"/>
      <c r="J62" s="515"/>
      <c r="K62" s="515"/>
      <c r="L62" s="515"/>
      <c r="M62" s="515"/>
      <c r="N62" s="515"/>
      <c r="O62" s="515"/>
      <c r="P62" s="515"/>
      <c r="Q62" s="515"/>
      <c r="R62" s="515"/>
      <c r="S62" s="515"/>
    </row>
    <row r="63" spans="1:29" x14ac:dyDescent="0.3">
      <c r="A63" s="515"/>
      <c r="B63" s="515"/>
      <c r="C63" s="515"/>
      <c r="D63" s="515"/>
      <c r="E63" s="515"/>
      <c r="F63" s="515"/>
      <c r="G63" s="515"/>
      <c r="H63" s="515"/>
      <c r="I63" s="515"/>
      <c r="J63" s="515"/>
      <c r="K63" s="515"/>
      <c r="L63" s="515"/>
      <c r="M63" s="515"/>
      <c r="N63" s="515"/>
      <c r="O63" s="515"/>
      <c r="P63" s="515"/>
      <c r="Q63" s="515"/>
      <c r="R63" s="515"/>
      <c r="S63" s="515"/>
    </row>
    <row r="64" spans="1:29" x14ac:dyDescent="0.3">
      <c r="A64" s="515"/>
      <c r="B64" s="515"/>
      <c r="C64" s="515"/>
      <c r="D64" s="515"/>
      <c r="E64" s="515"/>
      <c r="F64" s="515"/>
      <c r="G64" s="515"/>
      <c r="H64" s="515"/>
      <c r="I64" s="515"/>
      <c r="J64" s="515"/>
      <c r="K64" s="515"/>
      <c r="L64" s="515"/>
      <c r="M64" s="515"/>
      <c r="N64" s="515"/>
      <c r="O64" s="515"/>
      <c r="P64" s="515"/>
      <c r="Q64" s="515"/>
      <c r="R64" s="515"/>
      <c r="S64" s="515"/>
      <c r="T64" s="515"/>
      <c r="U64" s="515"/>
      <c r="V64" s="515"/>
      <c r="W64" s="515"/>
      <c r="X64" s="515"/>
      <c r="Y64" s="515"/>
      <c r="Z64" s="515"/>
      <c r="AA64" s="515"/>
      <c r="AB64" s="515"/>
      <c r="AC64" s="515"/>
    </row>
    <row r="65" spans="6:11" x14ac:dyDescent="0.3">
      <c r="H65"/>
    </row>
    <row r="66" spans="6:11" x14ac:dyDescent="0.3">
      <c r="H66"/>
    </row>
    <row r="67" spans="6:11" x14ac:dyDescent="0.3">
      <c r="H67"/>
    </row>
    <row r="68" spans="6:11" x14ac:dyDescent="0.3">
      <c r="H68"/>
    </row>
    <row r="69" spans="6:11" x14ac:dyDescent="0.3">
      <c r="F69" s="108"/>
      <c r="G69" s="515"/>
      <c r="H69" s="515"/>
      <c r="I69" s="108"/>
      <c r="J69" s="108"/>
      <c r="K69" s="108"/>
    </row>
    <row r="70" spans="6:11" x14ac:dyDescent="0.3">
      <c r="F70" s="108"/>
      <c r="G70" s="515"/>
      <c r="H70" s="515"/>
      <c r="I70" s="108"/>
      <c r="J70" s="108"/>
      <c r="K70" s="108"/>
    </row>
    <row r="71" spans="6:11" x14ac:dyDescent="0.3">
      <c r="F71" s="108"/>
      <c r="G71" s="515"/>
      <c r="H71" s="515"/>
      <c r="I71" s="108"/>
      <c r="J71" s="108"/>
      <c r="K71" s="108"/>
    </row>
    <row r="72" spans="6:11" x14ac:dyDescent="0.3">
      <c r="F72" s="108"/>
      <c r="G72" s="515"/>
      <c r="H72" s="515"/>
      <c r="I72" s="108"/>
      <c r="J72" s="108"/>
      <c r="K72" s="108"/>
    </row>
    <row r="73" spans="6:11" x14ac:dyDescent="0.3">
      <c r="G73" s="515"/>
      <c r="H73" s="515"/>
    </row>
    <row r="74" spans="6:11" x14ac:dyDescent="0.3">
      <c r="G74" s="515"/>
      <c r="H74" s="515"/>
      <c r="I74" s="108"/>
      <c r="J74" s="108"/>
      <c r="K74" s="108"/>
    </row>
    <row r="75" spans="6:11" x14ac:dyDescent="0.3">
      <c r="G75" s="515"/>
      <c r="H75" s="515"/>
    </row>
    <row r="76" spans="6:11" x14ac:dyDescent="0.3">
      <c r="G76" s="515"/>
      <c r="H76" s="515"/>
    </row>
    <row r="77" spans="6:11" x14ac:dyDescent="0.3">
      <c r="G77" s="515"/>
      <c r="H77" s="515"/>
    </row>
    <row r="78" spans="6:11" x14ac:dyDescent="0.3">
      <c r="G78" s="515"/>
      <c r="H78" s="515"/>
    </row>
    <row r="79" spans="6:11" x14ac:dyDescent="0.3">
      <c r="G79" s="515"/>
      <c r="H79" s="515"/>
    </row>
    <row r="80" spans="6:11" x14ac:dyDescent="0.3">
      <c r="G80" s="515"/>
      <c r="H80" s="515"/>
    </row>
    <row r="81" spans="7:8" x14ac:dyDescent="0.3">
      <c r="G81" s="515"/>
      <c r="H81" s="515"/>
    </row>
    <row r="82" spans="7:8" x14ac:dyDescent="0.3">
      <c r="G82" s="515"/>
      <c r="H82" s="515"/>
    </row>
    <row r="83" spans="7:8" x14ac:dyDescent="0.3">
      <c r="G83" s="515"/>
      <c r="H83" s="515"/>
    </row>
    <row r="84" spans="7:8" x14ac:dyDescent="0.3">
      <c r="G84" s="515"/>
      <c r="H84" s="515"/>
    </row>
    <row r="85" spans="7:8" x14ac:dyDescent="0.3">
      <c r="G85" s="515"/>
      <c r="H85" s="515"/>
    </row>
    <row r="86" spans="7:8" x14ac:dyDescent="0.3">
      <c r="G86" s="515"/>
      <c r="H86" s="515"/>
    </row>
    <row r="87" spans="7:8" x14ac:dyDescent="0.3">
      <c r="G87" s="515"/>
      <c r="H87" s="515"/>
    </row>
    <row r="88" spans="7:8" x14ac:dyDescent="0.3">
      <c r="G88" s="515"/>
      <c r="H88" s="515"/>
    </row>
    <row r="89" spans="7:8" x14ac:dyDescent="0.3">
      <c r="G89" s="515"/>
      <c r="H89" s="515"/>
    </row>
    <row r="90" spans="7:8" x14ac:dyDescent="0.3">
      <c r="G90" s="515"/>
      <c r="H90" s="515"/>
    </row>
    <row r="91" spans="7:8" x14ac:dyDescent="0.3">
      <c r="G91" s="515"/>
      <c r="H91" s="515"/>
    </row>
    <row r="92" spans="7:8" x14ac:dyDescent="0.3">
      <c r="G92" s="515"/>
      <c r="H92" s="515"/>
    </row>
    <row r="93" spans="7:8" x14ac:dyDescent="0.3">
      <c r="G93" s="515"/>
      <c r="H93" s="515"/>
    </row>
    <row r="94" spans="7:8" x14ac:dyDescent="0.3">
      <c r="G94" s="515"/>
      <c r="H94" s="515"/>
    </row>
    <row r="95" spans="7:8" x14ac:dyDescent="0.3">
      <c r="G95" s="515"/>
      <c r="H95" s="515"/>
    </row>
    <row r="96" spans="7:8" x14ac:dyDescent="0.3">
      <c r="G96" s="515"/>
      <c r="H96" s="515"/>
    </row>
    <row r="97" spans="7:8" x14ac:dyDescent="0.3">
      <c r="G97" s="515"/>
      <c r="H97" s="515"/>
    </row>
    <row r="98" spans="7:8" x14ac:dyDescent="0.3">
      <c r="G98" s="515"/>
      <c r="H98" s="515"/>
    </row>
    <row r="99" spans="7:8" x14ac:dyDescent="0.3">
      <c r="G99" s="515"/>
      <c r="H99" s="515"/>
    </row>
    <row r="100" spans="7:8" x14ac:dyDescent="0.3">
      <c r="G100" s="515"/>
      <c r="H100" s="515"/>
    </row>
    <row r="101" spans="7:8" x14ac:dyDescent="0.3">
      <c r="G101" s="515"/>
      <c r="H101" s="515"/>
    </row>
    <row r="102" spans="7:8" x14ac:dyDescent="0.3">
      <c r="G102" s="515"/>
      <c r="H102" s="515"/>
    </row>
    <row r="103" spans="7:8" x14ac:dyDescent="0.3">
      <c r="G103" s="515"/>
      <c r="H103" s="515"/>
    </row>
    <row r="104" spans="7:8" x14ac:dyDescent="0.3">
      <c r="G104" s="515"/>
      <c r="H104" s="515"/>
    </row>
    <row r="105" spans="7:8" x14ac:dyDescent="0.3">
      <c r="G105" s="515"/>
      <c r="H105" s="515"/>
    </row>
    <row r="106" spans="7:8" x14ac:dyDescent="0.3">
      <c r="G106" s="515"/>
      <c r="H106" s="515"/>
    </row>
    <row r="107" spans="7:8" x14ac:dyDescent="0.3">
      <c r="G107" s="515"/>
      <c r="H107" s="515"/>
    </row>
    <row r="108" spans="7:8" x14ac:dyDescent="0.3">
      <c r="G108" s="515"/>
      <c r="H108" s="515"/>
    </row>
    <row r="109" spans="7:8" x14ac:dyDescent="0.3">
      <c r="G109" s="515"/>
      <c r="H109" s="515"/>
    </row>
    <row r="110" spans="7:8" x14ac:dyDescent="0.3">
      <c r="G110" s="515"/>
      <c r="H110" s="515"/>
    </row>
    <row r="111" spans="7:8" x14ac:dyDescent="0.3">
      <c r="G111" s="515"/>
      <c r="H111" s="515"/>
    </row>
    <row r="112" spans="7:8" x14ac:dyDescent="0.3">
      <c r="G112" s="515"/>
      <c r="H112" s="515"/>
    </row>
    <row r="113" spans="7:8" x14ac:dyDescent="0.3">
      <c r="G113" s="515"/>
      <c r="H113" s="515"/>
    </row>
    <row r="114" spans="7:8" x14ac:dyDescent="0.3">
      <c r="G114" s="515"/>
      <c r="H114" s="515"/>
    </row>
    <row r="115" spans="7:8" x14ac:dyDescent="0.3">
      <c r="G115" s="515"/>
      <c r="H115" s="515"/>
    </row>
    <row r="116" spans="7:8" x14ac:dyDescent="0.3">
      <c r="G116" s="515"/>
      <c r="H116" s="515"/>
    </row>
    <row r="117" spans="7:8" x14ac:dyDescent="0.3">
      <c r="G117" s="515"/>
      <c r="H117" s="515"/>
    </row>
    <row r="118" spans="7:8" x14ac:dyDescent="0.3">
      <c r="G118" s="515"/>
      <c r="H118" s="515"/>
    </row>
    <row r="119" spans="7:8" x14ac:dyDescent="0.3">
      <c r="G119" s="515"/>
      <c r="H119" s="515"/>
    </row>
    <row r="120" spans="7:8" x14ac:dyDescent="0.3">
      <c r="G120" s="515"/>
      <c r="H120" s="515"/>
    </row>
    <row r="121" spans="7:8" x14ac:dyDescent="0.3">
      <c r="G121" s="515"/>
      <c r="H121" s="515"/>
    </row>
    <row r="122" spans="7:8" x14ac:dyDescent="0.3">
      <c r="G122" s="515"/>
      <c r="H122" s="515"/>
    </row>
    <row r="123" spans="7:8" x14ac:dyDescent="0.3">
      <c r="G123" s="515"/>
      <c r="H123" s="515"/>
    </row>
    <row r="124" spans="7:8" x14ac:dyDescent="0.3">
      <c r="G124" s="515"/>
      <c r="H124" s="515"/>
    </row>
    <row r="125" spans="7:8" x14ac:dyDescent="0.3">
      <c r="G125" s="515"/>
      <c r="H125" s="515"/>
    </row>
    <row r="126" spans="7:8" x14ac:dyDescent="0.3">
      <c r="G126" s="515"/>
      <c r="H126" s="515"/>
    </row>
    <row r="127" spans="7:8" x14ac:dyDescent="0.3">
      <c r="G127" s="515"/>
      <c r="H127" s="515"/>
    </row>
    <row r="128" spans="7:8" x14ac:dyDescent="0.3">
      <c r="G128" s="515"/>
      <c r="H128" s="515"/>
    </row>
    <row r="129" spans="7:8" x14ac:dyDescent="0.3">
      <c r="G129" s="515"/>
      <c r="H129" s="515"/>
    </row>
    <row r="130" spans="7:8" x14ac:dyDescent="0.3">
      <c r="G130" s="515"/>
      <c r="H130" s="515"/>
    </row>
    <row r="131" spans="7:8" x14ac:dyDescent="0.3">
      <c r="G131" s="515"/>
      <c r="H131" s="515"/>
    </row>
    <row r="132" spans="7:8" x14ac:dyDescent="0.3">
      <c r="G132" s="515"/>
      <c r="H132" s="515"/>
    </row>
    <row r="133" spans="7:8" x14ac:dyDescent="0.3">
      <c r="G133" s="515"/>
      <c r="H133" s="515"/>
    </row>
    <row r="134" spans="7:8" x14ac:dyDescent="0.3">
      <c r="G134" s="515"/>
      <c r="H134" s="515"/>
    </row>
    <row r="135" spans="7:8" x14ac:dyDescent="0.3">
      <c r="G135" s="515"/>
      <c r="H135" s="515"/>
    </row>
    <row r="136" spans="7:8" x14ac:dyDescent="0.3">
      <c r="G136" s="515"/>
      <c r="H136" s="515"/>
    </row>
    <row r="137" spans="7:8" x14ac:dyDescent="0.3">
      <c r="G137" s="515"/>
      <c r="H137" s="515"/>
    </row>
    <row r="138" spans="7:8" x14ac:dyDescent="0.3">
      <c r="G138" s="515"/>
      <c r="H138" s="515"/>
    </row>
    <row r="139" spans="7:8" x14ac:dyDescent="0.3">
      <c r="G139" s="515"/>
      <c r="H139" s="515"/>
    </row>
    <row r="140" spans="7:8" x14ac:dyDescent="0.3">
      <c r="G140" s="515"/>
      <c r="H140" s="515"/>
    </row>
    <row r="141" spans="7:8" x14ac:dyDescent="0.3">
      <c r="G141" s="515"/>
      <c r="H141" s="515"/>
    </row>
    <row r="142" spans="7:8" x14ac:dyDescent="0.3">
      <c r="G142" s="515"/>
      <c r="H142" s="515"/>
    </row>
    <row r="143" spans="7:8" x14ac:dyDescent="0.3">
      <c r="G143" s="515"/>
      <c r="H143" s="515"/>
    </row>
    <row r="144" spans="7:8" x14ac:dyDescent="0.3">
      <c r="G144" s="515"/>
      <c r="H144" s="515"/>
    </row>
    <row r="145" spans="7:8" x14ac:dyDescent="0.3">
      <c r="G145" s="515"/>
      <c r="H145" s="515"/>
    </row>
    <row r="146" spans="7:8" x14ac:dyDescent="0.3">
      <c r="G146" s="515"/>
      <c r="H146" s="515"/>
    </row>
    <row r="147" spans="7:8" x14ac:dyDescent="0.3">
      <c r="G147" s="515"/>
      <c r="H147" s="515"/>
    </row>
    <row r="148" spans="7:8" x14ac:dyDescent="0.3">
      <c r="G148" s="515"/>
      <c r="H148" s="515"/>
    </row>
    <row r="149" spans="7:8" x14ac:dyDescent="0.3">
      <c r="G149" s="515"/>
      <c r="H149" s="515"/>
    </row>
    <row r="150" spans="7:8" x14ac:dyDescent="0.3">
      <c r="G150" s="515"/>
      <c r="H150" s="515"/>
    </row>
    <row r="151" spans="7:8" x14ac:dyDescent="0.3">
      <c r="G151" s="515"/>
      <c r="H151" s="515"/>
    </row>
    <row r="152" spans="7:8" x14ac:dyDescent="0.3">
      <c r="G152" s="515"/>
      <c r="H152" s="515"/>
    </row>
    <row r="153" spans="7:8" x14ac:dyDescent="0.3">
      <c r="G153" s="515"/>
      <c r="H153" s="515"/>
    </row>
    <row r="154" spans="7:8" x14ac:dyDescent="0.3">
      <c r="G154" s="515"/>
      <c r="H154" s="515"/>
    </row>
    <row r="155" spans="7:8" x14ac:dyDescent="0.3">
      <c r="G155" s="515"/>
      <c r="H155" s="515"/>
    </row>
    <row r="156" spans="7:8" x14ac:dyDescent="0.3">
      <c r="G156" s="515"/>
      <c r="H156" s="515"/>
    </row>
    <row r="157" spans="7:8" x14ac:dyDescent="0.3">
      <c r="G157" s="515"/>
      <c r="H157" s="515"/>
    </row>
    <row r="158" spans="7:8" x14ac:dyDescent="0.3">
      <c r="G158" s="515"/>
      <c r="H158" s="515"/>
    </row>
    <row r="159" spans="7:8" x14ac:dyDescent="0.3">
      <c r="G159" s="515"/>
      <c r="H159" s="515"/>
    </row>
    <row r="160" spans="7:8" x14ac:dyDescent="0.3">
      <c r="G160" s="515"/>
      <c r="H160" s="515"/>
    </row>
    <row r="161" spans="7:8" x14ac:dyDescent="0.3">
      <c r="G161" s="515"/>
      <c r="H161" s="515"/>
    </row>
    <row r="162" spans="7:8" x14ac:dyDescent="0.3">
      <c r="G162" s="515"/>
      <c r="H162" s="515"/>
    </row>
    <row r="163" spans="7:8" x14ac:dyDescent="0.3">
      <c r="G163" s="515"/>
      <c r="H163" s="515"/>
    </row>
    <row r="164" spans="7:8" x14ac:dyDescent="0.3">
      <c r="G164" s="515"/>
      <c r="H164" s="515"/>
    </row>
    <row r="165" spans="7:8" x14ac:dyDescent="0.3">
      <c r="G165" s="515"/>
      <c r="H165" s="515"/>
    </row>
    <row r="166" spans="7:8" x14ac:dyDescent="0.3">
      <c r="G166" s="515"/>
      <c r="H166" s="515"/>
    </row>
    <row r="167" spans="7:8" x14ac:dyDescent="0.3">
      <c r="G167" s="515"/>
      <c r="H167" s="515"/>
    </row>
    <row r="168" spans="7:8" x14ac:dyDescent="0.3">
      <c r="G168" s="515"/>
      <c r="H168" s="515"/>
    </row>
    <row r="169" spans="7:8" x14ac:dyDescent="0.3">
      <c r="G169" s="515"/>
      <c r="H169" s="515"/>
    </row>
    <row r="170" spans="7:8" x14ac:dyDescent="0.3">
      <c r="G170" s="515"/>
      <c r="H170" s="515"/>
    </row>
    <row r="171" spans="7:8" x14ac:dyDescent="0.3">
      <c r="G171" s="515"/>
      <c r="H171" s="515"/>
    </row>
    <row r="172" spans="7:8" x14ac:dyDescent="0.3">
      <c r="G172" s="515"/>
      <c r="H172" s="515"/>
    </row>
    <row r="173" spans="7:8" x14ac:dyDescent="0.3">
      <c r="G173" s="515"/>
      <c r="H173" s="515"/>
    </row>
    <row r="174" spans="7:8" x14ac:dyDescent="0.3">
      <c r="G174" s="515"/>
      <c r="H174" s="515"/>
    </row>
    <row r="175" spans="7:8" x14ac:dyDescent="0.3">
      <c r="G175" s="515"/>
      <c r="H175" s="515"/>
    </row>
    <row r="176" spans="7:8" x14ac:dyDescent="0.3">
      <c r="G176" s="515"/>
      <c r="H176" s="515"/>
    </row>
    <row r="177" spans="7:8" x14ac:dyDescent="0.3">
      <c r="G177" s="515"/>
      <c r="H177" s="515"/>
    </row>
    <row r="178" spans="7:8" x14ac:dyDescent="0.3">
      <c r="G178" s="515"/>
      <c r="H178" s="515"/>
    </row>
    <row r="179" spans="7:8" x14ac:dyDescent="0.3">
      <c r="G179" s="515"/>
      <c r="H179" s="515"/>
    </row>
    <row r="180" spans="7:8" x14ac:dyDescent="0.3">
      <c r="G180" s="515"/>
      <c r="H180" s="515"/>
    </row>
    <row r="181" spans="7:8" x14ac:dyDescent="0.3">
      <c r="G181" s="515"/>
      <c r="H181" s="515"/>
    </row>
    <row r="182" spans="7:8" x14ac:dyDescent="0.3">
      <c r="G182" s="515"/>
      <c r="H182" s="515"/>
    </row>
    <row r="183" spans="7:8" x14ac:dyDescent="0.3">
      <c r="G183" s="515"/>
      <c r="H183" s="515"/>
    </row>
    <row r="184" spans="7:8" x14ac:dyDescent="0.3">
      <c r="G184" s="515"/>
      <c r="H184" s="515"/>
    </row>
    <row r="185" spans="7:8" x14ac:dyDescent="0.3">
      <c r="G185" s="515"/>
      <c r="H185" s="515"/>
    </row>
    <row r="186" spans="7:8" x14ac:dyDescent="0.3">
      <c r="G186" s="515"/>
      <c r="H186" s="515"/>
    </row>
    <row r="187" spans="7:8" x14ac:dyDescent="0.3">
      <c r="G187" s="515"/>
      <c r="H187" s="515"/>
    </row>
    <row r="188" spans="7:8" x14ac:dyDescent="0.3">
      <c r="G188" s="515"/>
      <c r="H188" s="515"/>
    </row>
    <row r="189" spans="7:8" x14ac:dyDescent="0.3">
      <c r="G189" s="515"/>
      <c r="H189" s="515"/>
    </row>
    <row r="190" spans="7:8" x14ac:dyDescent="0.3">
      <c r="G190" s="515"/>
      <c r="H190" s="515"/>
    </row>
    <row r="191" spans="7:8" x14ac:dyDescent="0.3">
      <c r="G191" s="515"/>
      <c r="H191" s="515"/>
    </row>
    <row r="192" spans="7:8" x14ac:dyDescent="0.3">
      <c r="G192" s="515"/>
      <c r="H192" s="515"/>
    </row>
    <row r="193" spans="7:8" x14ac:dyDescent="0.3">
      <c r="G193" s="515"/>
      <c r="H193" s="515"/>
    </row>
    <row r="194" spans="7:8" x14ac:dyDescent="0.3">
      <c r="G194" s="515"/>
      <c r="H194" s="515"/>
    </row>
    <row r="195" spans="7:8" x14ac:dyDescent="0.3">
      <c r="G195" s="515"/>
      <c r="H195" s="515"/>
    </row>
    <row r="196" spans="7:8" x14ac:dyDescent="0.3">
      <c r="G196" s="515"/>
      <c r="H196" s="515"/>
    </row>
    <row r="197" spans="7:8" x14ac:dyDescent="0.3">
      <c r="G197" s="515"/>
      <c r="H197" s="515"/>
    </row>
    <row r="198" spans="7:8" x14ac:dyDescent="0.3">
      <c r="G198" s="515"/>
      <c r="H198" s="515"/>
    </row>
    <row r="199" spans="7:8" x14ac:dyDescent="0.3">
      <c r="G199" s="515"/>
      <c r="H199" s="515"/>
    </row>
    <row r="200" spans="7:8" x14ac:dyDescent="0.3">
      <c r="G200" s="515"/>
      <c r="H200" s="515"/>
    </row>
    <row r="201" spans="7:8" x14ac:dyDescent="0.3">
      <c r="G201" s="515"/>
      <c r="H201" s="515"/>
    </row>
    <row r="202" spans="7:8" x14ac:dyDescent="0.3">
      <c r="G202" s="515"/>
      <c r="H202" s="515"/>
    </row>
    <row r="203" spans="7:8" x14ac:dyDescent="0.3">
      <c r="G203" s="515"/>
      <c r="H203" s="515"/>
    </row>
    <row r="204" spans="7:8" x14ac:dyDescent="0.3">
      <c r="G204" s="515"/>
      <c r="H204" s="515"/>
    </row>
    <row r="205" spans="7:8" x14ac:dyDescent="0.3">
      <c r="G205" s="515"/>
      <c r="H205" s="515"/>
    </row>
    <row r="206" spans="7:8" x14ac:dyDescent="0.3">
      <c r="G206" s="515"/>
      <c r="H206" s="515"/>
    </row>
    <row r="207" spans="7:8" x14ac:dyDescent="0.3">
      <c r="G207" s="515"/>
      <c r="H207" s="515"/>
    </row>
    <row r="208" spans="7:8" x14ac:dyDescent="0.3">
      <c r="G208" s="515"/>
      <c r="H208" s="515"/>
    </row>
    <row r="209" spans="7:8" x14ac:dyDescent="0.3">
      <c r="G209" s="515"/>
      <c r="H209" s="515"/>
    </row>
    <row r="210" spans="7:8" x14ac:dyDescent="0.3">
      <c r="G210" s="515"/>
      <c r="H210" s="515"/>
    </row>
    <row r="211" spans="7:8" x14ac:dyDescent="0.3">
      <c r="G211" s="515"/>
      <c r="H211" s="515"/>
    </row>
    <row r="212" spans="7:8" x14ac:dyDescent="0.3">
      <c r="G212" s="515"/>
      <c r="H212" s="515"/>
    </row>
    <row r="213" spans="7:8" x14ac:dyDescent="0.3">
      <c r="G213" s="515"/>
      <c r="H213" s="515"/>
    </row>
    <row r="214" spans="7:8" x14ac:dyDescent="0.3">
      <c r="G214" s="515"/>
      <c r="H214" s="515"/>
    </row>
    <row r="215" spans="7:8" x14ac:dyDescent="0.3">
      <c r="G215" s="515"/>
      <c r="H215" s="515"/>
    </row>
    <row r="216" spans="7:8" x14ac:dyDescent="0.3">
      <c r="G216" s="515"/>
      <c r="H216" s="515"/>
    </row>
    <row r="217" spans="7:8" x14ac:dyDescent="0.3">
      <c r="G217" s="515"/>
      <c r="H217" s="515"/>
    </row>
    <row r="218" spans="7:8" x14ac:dyDescent="0.3">
      <c r="G218" s="515"/>
      <c r="H218" s="515"/>
    </row>
    <row r="219" spans="7:8" x14ac:dyDescent="0.3">
      <c r="G219" s="515"/>
      <c r="H219" s="515"/>
    </row>
    <row r="220" spans="7:8" x14ac:dyDescent="0.3">
      <c r="G220" s="515"/>
      <c r="H220" s="515"/>
    </row>
    <row r="221" spans="7:8" x14ac:dyDescent="0.3">
      <c r="G221" s="515"/>
      <c r="H221" s="515"/>
    </row>
    <row r="222" spans="7:8" x14ac:dyDescent="0.3">
      <c r="G222" s="515"/>
      <c r="H222" s="515"/>
    </row>
    <row r="223" spans="7:8" x14ac:dyDescent="0.3">
      <c r="G223" s="515"/>
      <c r="H223" s="515"/>
    </row>
    <row r="224" spans="7:8" x14ac:dyDescent="0.3">
      <c r="G224" s="515"/>
      <c r="H224" s="515"/>
    </row>
    <row r="225" spans="7:8" x14ac:dyDescent="0.3">
      <c r="G225" s="515"/>
      <c r="H225" s="515"/>
    </row>
    <row r="226" spans="7:8" x14ac:dyDescent="0.3">
      <c r="G226" s="515"/>
      <c r="H226" s="515"/>
    </row>
    <row r="227" spans="7:8" x14ac:dyDescent="0.3">
      <c r="G227" s="515"/>
      <c r="H227" s="515"/>
    </row>
    <row r="228" spans="7:8" x14ac:dyDescent="0.3">
      <c r="G228" s="515"/>
      <c r="H228" s="515"/>
    </row>
    <row r="229" spans="7:8" x14ac:dyDescent="0.3">
      <c r="G229" s="515"/>
      <c r="H229" s="515"/>
    </row>
    <row r="230" spans="7:8" x14ac:dyDescent="0.3">
      <c r="G230" s="515"/>
      <c r="H230" s="515"/>
    </row>
    <row r="231" spans="7:8" x14ac:dyDescent="0.3">
      <c r="G231" s="515"/>
      <c r="H231" s="515"/>
    </row>
    <row r="232" spans="7:8" x14ac:dyDescent="0.3">
      <c r="G232" s="515"/>
      <c r="H232" s="515"/>
    </row>
    <row r="233" spans="7:8" x14ac:dyDescent="0.3">
      <c r="G233" s="515"/>
      <c r="H233" s="515"/>
    </row>
    <row r="234" spans="7:8" x14ac:dyDescent="0.3">
      <c r="G234" s="515"/>
      <c r="H234" s="515"/>
    </row>
    <row r="235" spans="7:8" x14ac:dyDescent="0.3">
      <c r="G235" s="515"/>
      <c r="H235" s="515"/>
    </row>
    <row r="236" spans="7:8" x14ac:dyDescent="0.3">
      <c r="G236" s="515"/>
      <c r="H236" s="515"/>
    </row>
    <row r="237" spans="7:8" x14ac:dyDescent="0.3">
      <c r="G237" s="515"/>
      <c r="H237" s="515"/>
    </row>
    <row r="238" spans="7:8" x14ac:dyDescent="0.3">
      <c r="G238" s="515"/>
      <c r="H238" s="515"/>
    </row>
    <row r="239" spans="7:8" x14ac:dyDescent="0.3">
      <c r="G239" s="515"/>
      <c r="H239" s="515"/>
    </row>
    <row r="240" spans="7:8" x14ac:dyDescent="0.3">
      <c r="G240" s="515"/>
      <c r="H240" s="515"/>
    </row>
    <row r="241" spans="7:8" x14ac:dyDescent="0.3">
      <c r="G241" s="515"/>
      <c r="H241" s="515"/>
    </row>
    <row r="242" spans="7:8" x14ac:dyDescent="0.3">
      <c r="G242" s="515"/>
      <c r="H242" s="515"/>
    </row>
    <row r="243" spans="7:8" x14ac:dyDescent="0.3">
      <c r="G243" s="515"/>
      <c r="H243" s="515"/>
    </row>
    <row r="244" spans="7:8" x14ac:dyDescent="0.3">
      <c r="G244" s="515"/>
      <c r="H244" s="515"/>
    </row>
    <row r="245" spans="7:8" x14ac:dyDescent="0.3">
      <c r="G245" s="515"/>
      <c r="H245" s="515"/>
    </row>
    <row r="246" spans="7:8" x14ac:dyDescent="0.3">
      <c r="G246" s="515"/>
      <c r="H246" s="515"/>
    </row>
    <row r="247" spans="7:8" x14ac:dyDescent="0.3">
      <c r="G247" s="515"/>
      <c r="H247" s="515"/>
    </row>
    <row r="248" spans="7:8" x14ac:dyDescent="0.3">
      <c r="G248" s="515"/>
      <c r="H248" s="515"/>
    </row>
    <row r="249" spans="7:8" x14ac:dyDescent="0.3">
      <c r="G249" s="515"/>
      <c r="H249" s="515"/>
    </row>
    <row r="250" spans="7:8" x14ac:dyDescent="0.3">
      <c r="G250" s="515"/>
      <c r="H250" s="515"/>
    </row>
    <row r="251" spans="7:8" x14ac:dyDescent="0.3">
      <c r="G251" s="515"/>
      <c r="H251" s="515"/>
    </row>
    <row r="252" spans="7:8" x14ac:dyDescent="0.3">
      <c r="G252" s="515"/>
      <c r="H252" s="515"/>
    </row>
    <row r="253" spans="7:8" x14ac:dyDescent="0.3">
      <c r="G253" s="515"/>
      <c r="H253" s="515"/>
    </row>
    <row r="254" spans="7:8" x14ac:dyDescent="0.3">
      <c r="G254" s="515"/>
      <c r="H254" s="515"/>
    </row>
    <row r="255" spans="7:8" x14ac:dyDescent="0.3">
      <c r="G255" s="515"/>
      <c r="H255" s="515"/>
    </row>
    <row r="256" spans="7:8" x14ac:dyDescent="0.3">
      <c r="G256" s="515"/>
      <c r="H256" s="515"/>
    </row>
    <row r="257" spans="7:8" x14ac:dyDescent="0.3">
      <c r="G257" s="515"/>
      <c r="H257" s="515"/>
    </row>
    <row r="258" spans="7:8" x14ac:dyDescent="0.3">
      <c r="G258" s="515"/>
      <c r="H258" s="515"/>
    </row>
    <row r="259" spans="7:8" x14ac:dyDescent="0.3">
      <c r="G259" s="515"/>
      <c r="H259" s="515"/>
    </row>
    <row r="260" spans="7:8" x14ac:dyDescent="0.3">
      <c r="G260" s="515"/>
      <c r="H260" s="515"/>
    </row>
    <row r="261" spans="7:8" x14ac:dyDescent="0.3">
      <c r="G261" s="515"/>
      <c r="H261" s="515"/>
    </row>
    <row r="262" spans="7:8" x14ac:dyDescent="0.3">
      <c r="G262" s="515"/>
      <c r="H262" s="515"/>
    </row>
    <row r="263" spans="7:8" x14ac:dyDescent="0.3">
      <c r="G263" s="515"/>
      <c r="H263" s="515"/>
    </row>
    <row r="264" spans="7:8" x14ac:dyDescent="0.3">
      <c r="G264" s="515"/>
      <c r="H264" s="515"/>
    </row>
    <row r="265" spans="7:8" x14ac:dyDescent="0.3">
      <c r="G265" s="515"/>
      <c r="H265" s="515"/>
    </row>
    <row r="266" spans="7:8" x14ac:dyDescent="0.3">
      <c r="G266" s="515"/>
      <c r="H266" s="515"/>
    </row>
    <row r="267" spans="7:8" x14ac:dyDescent="0.3">
      <c r="G267" s="515"/>
      <c r="H267" s="515"/>
    </row>
    <row r="268" spans="7:8" x14ac:dyDescent="0.3">
      <c r="G268" s="515"/>
      <c r="H268" s="515"/>
    </row>
    <row r="269" spans="7:8" x14ac:dyDescent="0.3">
      <c r="G269" s="515"/>
      <c r="H269" s="515"/>
    </row>
    <row r="270" spans="7:8" x14ac:dyDescent="0.3">
      <c r="G270" s="515"/>
      <c r="H270" s="515"/>
    </row>
    <row r="271" spans="7:8" x14ac:dyDescent="0.3">
      <c r="G271" s="515"/>
      <c r="H271" s="515"/>
    </row>
    <row r="272" spans="7:8" x14ac:dyDescent="0.3">
      <c r="G272" s="515"/>
      <c r="H272" s="515"/>
    </row>
    <row r="273" spans="7:8" x14ac:dyDescent="0.3">
      <c r="G273" s="515"/>
      <c r="H273" s="515"/>
    </row>
    <row r="274" spans="7:8" x14ac:dyDescent="0.3">
      <c r="G274" s="515"/>
      <c r="H274" s="515"/>
    </row>
    <row r="275" spans="7:8" x14ac:dyDescent="0.3">
      <c r="G275" s="515"/>
      <c r="H275" s="515"/>
    </row>
    <row r="276" spans="7:8" x14ac:dyDescent="0.3">
      <c r="G276" s="515"/>
      <c r="H276" s="515"/>
    </row>
    <row r="277" spans="7:8" x14ac:dyDescent="0.3">
      <c r="G277" s="515"/>
      <c r="H277" s="515"/>
    </row>
    <row r="278" spans="7:8" x14ac:dyDescent="0.3">
      <c r="G278" s="515"/>
      <c r="H278" s="515"/>
    </row>
    <row r="279" spans="7:8" x14ac:dyDescent="0.3">
      <c r="G279" s="515"/>
      <c r="H279" s="515"/>
    </row>
    <row r="280" spans="7:8" x14ac:dyDescent="0.3">
      <c r="G280" s="515"/>
      <c r="H280" s="515"/>
    </row>
    <row r="281" spans="7:8" x14ac:dyDescent="0.3">
      <c r="G281" s="515"/>
      <c r="H281" s="515"/>
    </row>
    <row r="282" spans="7:8" x14ac:dyDescent="0.3">
      <c r="G282" s="515"/>
      <c r="H282" s="515"/>
    </row>
    <row r="283" spans="7:8" x14ac:dyDescent="0.3">
      <c r="G283" s="515"/>
      <c r="H283" s="515"/>
    </row>
    <row r="284" spans="7:8" x14ac:dyDescent="0.3">
      <c r="G284" s="515"/>
      <c r="H284" s="515"/>
    </row>
    <row r="285" spans="7:8" x14ac:dyDescent="0.3">
      <c r="G285" s="515"/>
      <c r="H285" s="515"/>
    </row>
    <row r="286" spans="7:8" x14ac:dyDescent="0.3">
      <c r="G286" s="515"/>
      <c r="H286" s="515"/>
    </row>
    <row r="287" spans="7:8" x14ac:dyDescent="0.3">
      <c r="G287" s="515"/>
      <c r="H287" s="515"/>
    </row>
    <row r="288" spans="7:8" x14ac:dyDescent="0.3">
      <c r="G288" s="515"/>
      <c r="H288" s="515"/>
    </row>
    <row r="289" spans="7:8" x14ac:dyDescent="0.3">
      <c r="G289" s="515"/>
      <c r="H289" s="515"/>
    </row>
    <row r="290" spans="7:8" x14ac:dyDescent="0.3">
      <c r="G290" s="515"/>
      <c r="H290" s="515"/>
    </row>
    <row r="291" spans="7:8" x14ac:dyDescent="0.3">
      <c r="G291" s="515"/>
      <c r="H291" s="515"/>
    </row>
    <row r="292" spans="7:8" x14ac:dyDescent="0.3">
      <c r="G292" s="515"/>
      <c r="H292" s="515"/>
    </row>
    <row r="293" spans="7:8" x14ac:dyDescent="0.3">
      <c r="G293" s="515"/>
      <c r="H293" s="515"/>
    </row>
    <row r="294" spans="7:8" x14ac:dyDescent="0.3">
      <c r="G294" s="515"/>
      <c r="H294" s="515"/>
    </row>
    <row r="295" spans="7:8" x14ac:dyDescent="0.3">
      <c r="G295" s="515"/>
      <c r="H295" s="515"/>
    </row>
    <row r="296" spans="7:8" x14ac:dyDescent="0.3">
      <c r="G296" s="515"/>
      <c r="H296" s="515"/>
    </row>
    <row r="297" spans="7:8" x14ac:dyDescent="0.3">
      <c r="G297" s="515"/>
      <c r="H297" s="515"/>
    </row>
    <row r="298" spans="7:8" x14ac:dyDescent="0.3">
      <c r="G298" s="515"/>
      <c r="H298" s="515"/>
    </row>
    <row r="299" spans="7:8" x14ac:dyDescent="0.3">
      <c r="G299" s="515"/>
      <c r="H299" s="515"/>
    </row>
    <row r="300" spans="7:8" x14ac:dyDescent="0.3">
      <c r="G300" s="515"/>
      <c r="H300" s="515"/>
    </row>
    <row r="301" spans="7:8" x14ac:dyDescent="0.3">
      <c r="G301" s="515"/>
      <c r="H301" s="515"/>
    </row>
    <row r="302" spans="7:8" x14ac:dyDescent="0.3">
      <c r="G302" s="515"/>
      <c r="H302" s="515"/>
    </row>
    <row r="303" spans="7:8" x14ac:dyDescent="0.3">
      <c r="G303" s="515"/>
      <c r="H303" s="515"/>
    </row>
    <row r="304" spans="7:8" x14ac:dyDescent="0.3">
      <c r="G304" s="515"/>
      <c r="H304" s="515"/>
    </row>
    <row r="305" spans="7:8" x14ac:dyDescent="0.3">
      <c r="G305" s="515"/>
      <c r="H305" s="515"/>
    </row>
    <row r="306" spans="7:8" x14ac:dyDescent="0.3">
      <c r="G306" s="515"/>
      <c r="H306" s="515"/>
    </row>
    <row r="307" spans="7:8" x14ac:dyDescent="0.3">
      <c r="G307" s="515"/>
      <c r="H307" s="515"/>
    </row>
    <row r="308" spans="7:8" x14ac:dyDescent="0.3">
      <c r="G308" s="515"/>
      <c r="H308" s="515"/>
    </row>
    <row r="309" spans="7:8" x14ac:dyDescent="0.3">
      <c r="G309" s="515"/>
      <c r="H309" s="515"/>
    </row>
    <row r="310" spans="7:8" x14ac:dyDescent="0.3">
      <c r="G310" s="515"/>
      <c r="H310" s="515"/>
    </row>
    <row r="311" spans="7:8" x14ac:dyDescent="0.3">
      <c r="G311" s="515"/>
      <c r="H311" s="515"/>
    </row>
    <row r="312" spans="7:8" x14ac:dyDescent="0.3">
      <c r="G312" s="515"/>
      <c r="H312" s="515"/>
    </row>
    <row r="313" spans="7:8" x14ac:dyDescent="0.3">
      <c r="G313" s="515"/>
      <c r="H313" s="515"/>
    </row>
    <row r="314" spans="7:8" x14ac:dyDescent="0.3">
      <c r="G314" s="515"/>
      <c r="H314" s="515"/>
    </row>
    <row r="315" spans="7:8" x14ac:dyDescent="0.3">
      <c r="G315" s="515"/>
      <c r="H315" s="515"/>
    </row>
    <row r="316" spans="7:8" x14ac:dyDescent="0.3">
      <c r="G316" s="515"/>
      <c r="H316" s="515"/>
    </row>
    <row r="317" spans="7:8" x14ac:dyDescent="0.3">
      <c r="G317" s="515"/>
      <c r="H317" s="515"/>
    </row>
    <row r="318" spans="7:8" x14ac:dyDescent="0.3">
      <c r="G318" s="515"/>
      <c r="H318" s="515"/>
    </row>
    <row r="319" spans="7:8" x14ac:dyDescent="0.3">
      <c r="G319" s="515"/>
      <c r="H319" s="515"/>
    </row>
    <row r="320" spans="7:8" x14ac:dyDescent="0.3">
      <c r="G320" s="515"/>
      <c r="H320" s="515"/>
    </row>
    <row r="321" spans="7:8" x14ac:dyDescent="0.3">
      <c r="G321" s="515"/>
      <c r="H321" s="515"/>
    </row>
    <row r="322" spans="7:8" x14ac:dyDescent="0.3">
      <c r="G322" s="515"/>
      <c r="H322" s="515"/>
    </row>
    <row r="323" spans="7:8" x14ac:dyDescent="0.3">
      <c r="G323" s="515"/>
      <c r="H323" s="515"/>
    </row>
    <row r="324" spans="7:8" x14ac:dyDescent="0.3">
      <c r="G324" s="515"/>
      <c r="H324" s="515"/>
    </row>
    <row r="325" spans="7:8" x14ac:dyDescent="0.3">
      <c r="G325" s="515"/>
      <c r="H325" s="515"/>
    </row>
    <row r="326" spans="7:8" x14ac:dyDescent="0.3">
      <c r="G326" s="515"/>
      <c r="H326" s="515"/>
    </row>
    <row r="327" spans="7:8" x14ac:dyDescent="0.3">
      <c r="G327" s="515"/>
      <c r="H327" s="515"/>
    </row>
    <row r="328" spans="7:8" x14ac:dyDescent="0.3">
      <c r="G328" s="515"/>
      <c r="H328" s="515"/>
    </row>
    <row r="329" spans="7:8" x14ac:dyDescent="0.3">
      <c r="G329" s="515"/>
      <c r="H329" s="515"/>
    </row>
    <row r="330" spans="7:8" x14ac:dyDescent="0.3">
      <c r="G330" s="515"/>
      <c r="H330" s="515"/>
    </row>
    <row r="331" spans="7:8" x14ac:dyDescent="0.3">
      <c r="G331" s="515"/>
      <c r="H331" s="515"/>
    </row>
    <row r="332" spans="7:8" x14ac:dyDescent="0.3">
      <c r="G332" s="515"/>
      <c r="H332" s="515"/>
    </row>
    <row r="333" spans="7:8" x14ac:dyDescent="0.3">
      <c r="G333" s="515"/>
      <c r="H333" s="515"/>
    </row>
    <row r="334" spans="7:8" x14ac:dyDescent="0.3">
      <c r="G334" s="515"/>
      <c r="H334" s="515"/>
    </row>
    <row r="335" spans="7:8" x14ac:dyDescent="0.3">
      <c r="G335" s="515"/>
      <c r="H335" s="515"/>
    </row>
    <row r="336" spans="7:8" x14ac:dyDescent="0.3">
      <c r="G336" s="515"/>
      <c r="H336" s="515"/>
    </row>
    <row r="337" spans="7:8" x14ac:dyDescent="0.3">
      <c r="G337" s="515"/>
      <c r="H337" s="515"/>
    </row>
    <row r="338" spans="7:8" x14ac:dyDescent="0.3">
      <c r="G338" s="515"/>
      <c r="H338" s="515"/>
    </row>
    <row r="339" spans="7:8" x14ac:dyDescent="0.3">
      <c r="G339" s="515"/>
      <c r="H339" s="515"/>
    </row>
    <row r="340" spans="7:8" x14ac:dyDescent="0.3">
      <c r="G340" s="515"/>
      <c r="H340" s="515"/>
    </row>
    <row r="341" spans="7:8" x14ac:dyDescent="0.3">
      <c r="G341" s="515"/>
      <c r="H341" s="515"/>
    </row>
    <row r="342" spans="7:8" x14ac:dyDescent="0.3">
      <c r="G342" s="515"/>
      <c r="H342" s="515"/>
    </row>
    <row r="343" spans="7:8" x14ac:dyDescent="0.3">
      <c r="G343" s="515"/>
      <c r="H343" s="515"/>
    </row>
    <row r="344" spans="7:8" x14ac:dyDescent="0.3">
      <c r="G344" s="515"/>
      <c r="H344" s="515"/>
    </row>
    <row r="345" spans="7:8" x14ac:dyDescent="0.3">
      <c r="G345" s="515"/>
      <c r="H345" s="515"/>
    </row>
    <row r="346" spans="7:8" x14ac:dyDescent="0.3">
      <c r="G346" s="515"/>
      <c r="H346" s="515"/>
    </row>
    <row r="347" spans="7:8" x14ac:dyDescent="0.3">
      <c r="G347" s="515"/>
      <c r="H347" s="515"/>
    </row>
    <row r="348" spans="7:8" x14ac:dyDescent="0.3">
      <c r="G348" s="515"/>
      <c r="H348" s="515"/>
    </row>
    <row r="349" spans="7:8" x14ac:dyDescent="0.3">
      <c r="G349" s="515"/>
      <c r="H349" s="515"/>
    </row>
    <row r="350" spans="7:8" x14ac:dyDescent="0.3">
      <c r="G350" s="515"/>
      <c r="H350" s="515"/>
    </row>
    <row r="351" spans="7:8" x14ac:dyDescent="0.3">
      <c r="G351" s="515"/>
      <c r="H351" s="515"/>
    </row>
    <row r="352" spans="7:8" x14ac:dyDescent="0.3">
      <c r="G352" s="515"/>
      <c r="H352" s="515"/>
    </row>
    <row r="353" spans="7:8" x14ac:dyDescent="0.3">
      <c r="G353" s="515"/>
      <c r="H353" s="515"/>
    </row>
    <row r="354" spans="7:8" x14ac:dyDescent="0.3">
      <c r="G354" s="515"/>
      <c r="H354" s="515"/>
    </row>
    <row r="355" spans="7:8" x14ac:dyDescent="0.3">
      <c r="G355" s="515"/>
      <c r="H355" s="515"/>
    </row>
    <row r="356" spans="7:8" x14ac:dyDescent="0.3">
      <c r="G356" s="515"/>
      <c r="H356" s="515"/>
    </row>
    <row r="357" spans="7:8" x14ac:dyDescent="0.3">
      <c r="G357" s="515"/>
      <c r="H357" s="515"/>
    </row>
    <row r="358" spans="7:8" x14ac:dyDescent="0.3">
      <c r="G358" s="515"/>
      <c r="H358" s="515"/>
    </row>
    <row r="359" spans="7:8" x14ac:dyDescent="0.3">
      <c r="G359" s="515"/>
      <c r="H359" s="515"/>
    </row>
    <row r="360" spans="7:8" x14ac:dyDescent="0.3">
      <c r="G360" s="515"/>
      <c r="H360" s="515"/>
    </row>
    <row r="361" spans="7:8" x14ac:dyDescent="0.3">
      <c r="G361" s="515"/>
      <c r="H361" s="515"/>
    </row>
    <row r="362" spans="7:8" x14ac:dyDescent="0.3">
      <c r="G362" s="515"/>
      <c r="H362" s="515"/>
    </row>
    <row r="363" spans="7:8" x14ac:dyDescent="0.3">
      <c r="G363" s="515"/>
      <c r="H363" s="515"/>
    </row>
    <row r="364" spans="7:8" x14ac:dyDescent="0.3">
      <c r="G364" s="515"/>
      <c r="H364" s="515"/>
    </row>
    <row r="365" spans="7:8" x14ac:dyDescent="0.3">
      <c r="G365" s="515"/>
      <c r="H365" s="515"/>
    </row>
    <row r="366" spans="7:8" x14ac:dyDescent="0.3">
      <c r="G366" s="515"/>
      <c r="H366" s="515"/>
    </row>
    <row r="367" spans="7:8" x14ac:dyDescent="0.3">
      <c r="G367" s="515"/>
      <c r="H367" s="515"/>
    </row>
    <row r="368" spans="7:8" x14ac:dyDescent="0.3">
      <c r="G368" s="515"/>
      <c r="H368" s="515"/>
    </row>
    <row r="369" spans="7:8" x14ac:dyDescent="0.3">
      <c r="G369" s="515"/>
      <c r="H369" s="515"/>
    </row>
    <row r="370" spans="7:8" x14ac:dyDescent="0.3">
      <c r="G370" s="515"/>
      <c r="H370" s="515"/>
    </row>
    <row r="371" spans="7:8" x14ac:dyDescent="0.3">
      <c r="G371" s="515"/>
      <c r="H371" s="515"/>
    </row>
    <row r="372" spans="7:8" x14ac:dyDescent="0.3">
      <c r="G372" s="515"/>
      <c r="H372" s="515"/>
    </row>
    <row r="373" spans="7:8" x14ac:dyDescent="0.3">
      <c r="G373" s="515"/>
      <c r="H373" s="515"/>
    </row>
    <row r="374" spans="7:8" x14ac:dyDescent="0.3">
      <c r="G374" s="515"/>
      <c r="H374" s="515"/>
    </row>
    <row r="375" spans="7:8" x14ac:dyDescent="0.3">
      <c r="G375" s="515"/>
      <c r="H375" s="515"/>
    </row>
    <row r="376" spans="7:8" x14ac:dyDescent="0.3">
      <c r="G376" s="515"/>
      <c r="H376" s="515"/>
    </row>
    <row r="377" spans="7:8" x14ac:dyDescent="0.3">
      <c r="G377" s="515"/>
      <c r="H377" s="515"/>
    </row>
    <row r="378" spans="7:8" x14ac:dyDescent="0.3">
      <c r="G378" s="515"/>
      <c r="H378" s="515"/>
    </row>
    <row r="379" spans="7:8" x14ac:dyDescent="0.3">
      <c r="G379" s="515"/>
      <c r="H379" s="515"/>
    </row>
    <row r="380" spans="7:8" x14ac:dyDescent="0.3">
      <c r="G380" s="515"/>
      <c r="H380" s="515"/>
    </row>
    <row r="381" spans="7:8" x14ac:dyDescent="0.3">
      <c r="G381" s="515"/>
      <c r="H381" s="515"/>
    </row>
    <row r="382" spans="7:8" x14ac:dyDescent="0.3">
      <c r="G382" s="515"/>
      <c r="H382" s="515"/>
    </row>
    <row r="383" spans="7:8" x14ac:dyDescent="0.3">
      <c r="G383" s="515"/>
      <c r="H383" s="515"/>
    </row>
    <row r="384" spans="7:8" x14ac:dyDescent="0.3">
      <c r="G384" s="515"/>
      <c r="H384" s="515"/>
    </row>
    <row r="385" spans="7:8" x14ac:dyDescent="0.3">
      <c r="G385" s="515"/>
      <c r="H385" s="515"/>
    </row>
    <row r="386" spans="7:8" x14ac:dyDescent="0.3">
      <c r="G386" s="515"/>
      <c r="H386" s="515"/>
    </row>
    <row r="387" spans="7:8" x14ac:dyDescent="0.3">
      <c r="G387" s="515"/>
      <c r="H387" s="515"/>
    </row>
    <row r="388" spans="7:8" x14ac:dyDescent="0.3">
      <c r="G388" s="515"/>
      <c r="H388" s="515"/>
    </row>
    <row r="389" spans="7:8" x14ac:dyDescent="0.3">
      <c r="G389" s="515"/>
      <c r="H389" s="515"/>
    </row>
    <row r="390" spans="7:8" x14ac:dyDescent="0.3">
      <c r="G390" s="515"/>
      <c r="H390" s="515"/>
    </row>
    <row r="391" spans="7:8" x14ac:dyDescent="0.3">
      <c r="G391" s="515"/>
      <c r="H391" s="515"/>
    </row>
    <row r="392" spans="7:8" x14ac:dyDescent="0.3">
      <c r="G392" s="515"/>
      <c r="H392" s="515"/>
    </row>
    <row r="393" spans="7:8" x14ac:dyDescent="0.3">
      <c r="G393" s="515"/>
      <c r="H393" s="515"/>
    </row>
    <row r="394" spans="7:8" x14ac:dyDescent="0.3">
      <c r="G394" s="515"/>
      <c r="H394" s="515"/>
    </row>
    <row r="395" spans="7:8" x14ac:dyDescent="0.3">
      <c r="G395" s="515"/>
      <c r="H395" s="515"/>
    </row>
    <row r="396" spans="7:8" x14ac:dyDescent="0.3">
      <c r="G396" s="515"/>
      <c r="H396" s="515"/>
    </row>
    <row r="397" spans="7:8" x14ac:dyDescent="0.3">
      <c r="G397" s="515"/>
      <c r="H397" s="515"/>
    </row>
    <row r="398" spans="7:8" x14ac:dyDescent="0.3">
      <c r="G398" s="515"/>
      <c r="H398" s="515"/>
    </row>
    <row r="399" spans="7:8" x14ac:dyDescent="0.3">
      <c r="G399" s="515"/>
      <c r="H399" s="515"/>
    </row>
    <row r="400" spans="7:8" x14ac:dyDescent="0.3">
      <c r="G400" s="515"/>
      <c r="H400" s="515"/>
    </row>
    <row r="401" spans="7:8" x14ac:dyDescent="0.3">
      <c r="G401" s="515"/>
      <c r="H401" s="515"/>
    </row>
    <row r="402" spans="7:8" x14ac:dyDescent="0.3">
      <c r="G402" s="515"/>
      <c r="H402" s="515"/>
    </row>
    <row r="403" spans="7:8" x14ac:dyDescent="0.3">
      <c r="G403" s="515"/>
      <c r="H403" s="515"/>
    </row>
    <row r="404" spans="7:8" x14ac:dyDescent="0.3">
      <c r="G404" s="515"/>
      <c r="H404" s="515"/>
    </row>
    <row r="405" spans="7:8" x14ac:dyDescent="0.3">
      <c r="G405" s="515"/>
      <c r="H405" s="515"/>
    </row>
    <row r="406" spans="7:8" x14ac:dyDescent="0.3">
      <c r="G406" s="515"/>
      <c r="H406" s="515"/>
    </row>
    <row r="407" spans="7:8" x14ac:dyDescent="0.3">
      <c r="G407" s="515"/>
      <c r="H407" s="515"/>
    </row>
    <row r="408" spans="7:8" x14ac:dyDescent="0.3">
      <c r="G408" s="515"/>
      <c r="H408" s="515"/>
    </row>
    <row r="409" spans="7:8" x14ac:dyDescent="0.3">
      <c r="G409" s="515"/>
      <c r="H409" s="515"/>
    </row>
    <row r="410" spans="7:8" x14ac:dyDescent="0.3">
      <c r="G410" s="515"/>
      <c r="H410" s="515"/>
    </row>
    <row r="411" spans="7:8" x14ac:dyDescent="0.3">
      <c r="G411" s="515"/>
      <c r="H411" s="515"/>
    </row>
    <row r="412" spans="7:8" x14ac:dyDescent="0.3">
      <c r="G412" s="515"/>
      <c r="H412" s="515"/>
    </row>
    <row r="413" spans="7:8" x14ac:dyDescent="0.3">
      <c r="G413" s="515"/>
      <c r="H413" s="515"/>
    </row>
    <row r="414" spans="7:8" x14ac:dyDescent="0.3">
      <c r="G414" s="515"/>
      <c r="H414" s="515"/>
    </row>
    <row r="415" spans="7:8" x14ac:dyDescent="0.3">
      <c r="G415" s="515"/>
      <c r="H415" s="515"/>
    </row>
    <row r="416" spans="7:8" x14ac:dyDescent="0.3">
      <c r="G416" s="515"/>
      <c r="H416" s="515"/>
    </row>
    <row r="417" spans="7:8" x14ac:dyDescent="0.3">
      <c r="G417" s="515"/>
      <c r="H417" s="515"/>
    </row>
    <row r="418" spans="7:8" x14ac:dyDescent="0.3">
      <c r="G418" s="515"/>
      <c r="H418" s="515"/>
    </row>
    <row r="419" spans="7:8" x14ac:dyDescent="0.3">
      <c r="G419" s="515"/>
      <c r="H419" s="515"/>
    </row>
    <row r="420" spans="7:8" x14ac:dyDescent="0.3">
      <c r="G420" s="515"/>
      <c r="H420" s="515"/>
    </row>
    <row r="421" spans="7:8" x14ac:dyDescent="0.3">
      <c r="G421" s="515"/>
      <c r="H421" s="515"/>
    </row>
    <row r="422" spans="7:8" x14ac:dyDescent="0.3">
      <c r="G422" s="515"/>
      <c r="H422" s="515"/>
    </row>
    <row r="423" spans="7:8" x14ac:dyDescent="0.3">
      <c r="G423" s="515"/>
      <c r="H423" s="515"/>
    </row>
    <row r="424" spans="7:8" x14ac:dyDescent="0.3">
      <c r="G424" s="515"/>
      <c r="H424" s="515"/>
    </row>
    <row r="425" spans="7:8" x14ac:dyDescent="0.3">
      <c r="G425" s="515"/>
      <c r="H425" s="515"/>
    </row>
    <row r="426" spans="7:8" x14ac:dyDescent="0.3">
      <c r="G426" s="515"/>
      <c r="H426" s="515"/>
    </row>
    <row r="427" spans="7:8" x14ac:dyDescent="0.3">
      <c r="G427" s="515"/>
      <c r="H427" s="515"/>
    </row>
    <row r="428" spans="7:8" x14ac:dyDescent="0.3">
      <c r="G428" s="515"/>
      <c r="H428" s="515"/>
    </row>
    <row r="429" spans="7:8" x14ac:dyDescent="0.3">
      <c r="G429" s="515"/>
      <c r="H429" s="515"/>
    </row>
    <row r="430" spans="7:8" x14ac:dyDescent="0.3">
      <c r="G430" s="515"/>
      <c r="H430" s="515"/>
    </row>
    <row r="431" spans="7:8" x14ac:dyDescent="0.3">
      <c r="G431" s="515"/>
      <c r="H431" s="515"/>
    </row>
    <row r="432" spans="7:8" x14ac:dyDescent="0.3">
      <c r="G432" s="515"/>
      <c r="H432" s="515"/>
    </row>
    <row r="433" spans="7:8" x14ac:dyDescent="0.3">
      <c r="G433" s="515"/>
      <c r="H433" s="515"/>
    </row>
    <row r="434" spans="7:8" x14ac:dyDescent="0.3">
      <c r="G434" s="515"/>
      <c r="H434" s="515"/>
    </row>
    <row r="435" spans="7:8" x14ac:dyDescent="0.3">
      <c r="G435" s="515"/>
      <c r="H435" s="515"/>
    </row>
    <row r="436" spans="7:8" x14ac:dyDescent="0.3">
      <c r="G436" s="515"/>
      <c r="H436" s="515"/>
    </row>
    <row r="437" spans="7:8" x14ac:dyDescent="0.3">
      <c r="G437" s="515"/>
      <c r="H437" s="515"/>
    </row>
    <row r="438" spans="7:8" x14ac:dyDescent="0.3">
      <c r="G438" s="515"/>
      <c r="H438" s="515"/>
    </row>
    <row r="439" spans="7:8" x14ac:dyDescent="0.3">
      <c r="G439" s="515"/>
      <c r="H439" s="515"/>
    </row>
    <row r="440" spans="7:8" x14ac:dyDescent="0.3">
      <c r="G440" s="515"/>
      <c r="H440" s="515"/>
    </row>
    <row r="441" spans="7:8" x14ac:dyDescent="0.3">
      <c r="G441" s="515"/>
      <c r="H441" s="515"/>
    </row>
    <row r="442" spans="7:8" x14ac:dyDescent="0.3">
      <c r="G442" s="515"/>
      <c r="H442" s="515"/>
    </row>
    <row r="443" spans="7:8" x14ac:dyDescent="0.3">
      <c r="G443" s="515"/>
      <c r="H443" s="515"/>
    </row>
    <row r="444" spans="7:8" x14ac:dyDescent="0.3">
      <c r="G444" s="515"/>
      <c r="H444" s="515"/>
    </row>
    <row r="445" spans="7:8" x14ac:dyDescent="0.3">
      <c r="G445" s="515"/>
      <c r="H445" s="515"/>
    </row>
    <row r="446" spans="7:8" x14ac:dyDescent="0.3">
      <c r="G446" s="515"/>
      <c r="H446" s="515"/>
    </row>
    <row r="447" spans="7:8" x14ac:dyDescent="0.3">
      <c r="G447" s="515"/>
      <c r="H447" s="515"/>
    </row>
    <row r="448" spans="7:8" x14ac:dyDescent="0.3">
      <c r="G448" s="515"/>
      <c r="H448" s="515"/>
    </row>
    <row r="449" spans="7:8" x14ac:dyDescent="0.3">
      <c r="G449" s="515"/>
      <c r="H449" s="515"/>
    </row>
    <row r="450" spans="7:8" x14ac:dyDescent="0.3">
      <c r="G450" s="515"/>
      <c r="H450" s="515"/>
    </row>
    <row r="451" spans="7:8" x14ac:dyDescent="0.3">
      <c r="G451" s="515"/>
      <c r="H451" s="515"/>
    </row>
    <row r="452" spans="7:8" x14ac:dyDescent="0.3">
      <c r="G452" s="515"/>
      <c r="H452" s="515"/>
    </row>
    <row r="453" spans="7:8" x14ac:dyDescent="0.3">
      <c r="G453" s="515"/>
      <c r="H453" s="515"/>
    </row>
    <row r="454" spans="7:8" x14ac:dyDescent="0.3">
      <c r="G454" s="515"/>
      <c r="H454" s="515"/>
    </row>
    <row r="455" spans="7:8" x14ac:dyDescent="0.3">
      <c r="G455" s="515"/>
      <c r="H455" s="515"/>
    </row>
    <row r="456" spans="7:8" x14ac:dyDescent="0.3">
      <c r="G456" s="515"/>
      <c r="H456" s="515"/>
    </row>
    <row r="457" spans="7:8" x14ac:dyDescent="0.3">
      <c r="G457" s="515"/>
      <c r="H457" s="515"/>
    </row>
    <row r="458" spans="7:8" x14ac:dyDescent="0.3">
      <c r="G458" s="515"/>
      <c r="H458" s="515"/>
    </row>
    <row r="459" spans="7:8" x14ac:dyDescent="0.3">
      <c r="G459" s="515"/>
      <c r="H459" s="515"/>
    </row>
    <row r="460" spans="7:8" x14ac:dyDescent="0.3">
      <c r="G460" s="515"/>
      <c r="H460" s="515"/>
    </row>
    <row r="461" spans="7:8" x14ac:dyDescent="0.3">
      <c r="G461" s="515"/>
      <c r="H461" s="515"/>
    </row>
    <row r="462" spans="7:8" x14ac:dyDescent="0.3">
      <c r="G462" s="515"/>
      <c r="H462" s="515"/>
    </row>
    <row r="463" spans="7:8" x14ac:dyDescent="0.3">
      <c r="G463" s="515"/>
      <c r="H463" s="515"/>
    </row>
    <row r="464" spans="7:8" x14ac:dyDescent="0.3">
      <c r="G464" s="515"/>
      <c r="H464" s="515"/>
    </row>
    <row r="465" spans="7:8" x14ac:dyDescent="0.3">
      <c r="G465" s="515"/>
      <c r="H465" s="515"/>
    </row>
    <row r="466" spans="7:8" x14ac:dyDescent="0.3">
      <c r="G466" s="515"/>
      <c r="H466" s="515"/>
    </row>
    <row r="467" spans="7:8" x14ac:dyDescent="0.3">
      <c r="G467" s="515"/>
      <c r="H467" s="515"/>
    </row>
    <row r="468" spans="7:8" x14ac:dyDescent="0.3">
      <c r="G468" s="515"/>
      <c r="H468" s="515"/>
    </row>
    <row r="469" spans="7:8" x14ac:dyDescent="0.3">
      <c r="G469" s="515"/>
      <c r="H469" s="515"/>
    </row>
    <row r="470" spans="7:8" x14ac:dyDescent="0.3">
      <c r="G470" s="515"/>
      <c r="H470" s="515"/>
    </row>
    <row r="471" spans="7:8" x14ac:dyDescent="0.3">
      <c r="G471" s="515"/>
      <c r="H471" s="515"/>
    </row>
    <row r="472" spans="7:8" x14ac:dyDescent="0.3">
      <c r="G472" s="515"/>
      <c r="H472" s="515"/>
    </row>
    <row r="473" spans="7:8" x14ac:dyDescent="0.3">
      <c r="G473" s="515"/>
      <c r="H473" s="515"/>
    </row>
    <row r="474" spans="7:8" x14ac:dyDescent="0.3">
      <c r="G474" s="515"/>
      <c r="H474" s="515"/>
    </row>
    <row r="475" spans="7:8" x14ac:dyDescent="0.3">
      <c r="G475" s="515"/>
      <c r="H475" s="515"/>
    </row>
    <row r="476" spans="7:8" x14ac:dyDescent="0.3">
      <c r="G476" s="515"/>
      <c r="H476" s="515"/>
    </row>
    <row r="477" spans="7:8" x14ac:dyDescent="0.3">
      <c r="G477" s="515"/>
      <c r="H477" s="515"/>
    </row>
    <row r="478" spans="7:8" x14ac:dyDescent="0.3">
      <c r="G478" s="515"/>
      <c r="H478" s="515"/>
    </row>
    <row r="479" spans="7:8" x14ac:dyDescent="0.3">
      <c r="G479" s="515"/>
      <c r="H479" s="515"/>
    </row>
    <row r="480" spans="7:8" x14ac:dyDescent="0.3">
      <c r="G480" s="515"/>
      <c r="H480" s="515"/>
    </row>
    <row r="481" spans="7:8" x14ac:dyDescent="0.3">
      <c r="G481" s="515"/>
      <c r="H481" s="515"/>
    </row>
    <row r="482" spans="7:8" x14ac:dyDescent="0.3">
      <c r="G482" s="515"/>
      <c r="H482" s="515"/>
    </row>
    <row r="483" spans="7:8" x14ac:dyDescent="0.3">
      <c r="G483" s="515"/>
      <c r="H483" s="515"/>
    </row>
    <row r="484" spans="7:8" x14ac:dyDescent="0.3">
      <c r="G484" s="515"/>
      <c r="H484" s="515"/>
    </row>
    <row r="485" spans="7:8" x14ac:dyDescent="0.3">
      <c r="G485" s="515"/>
      <c r="H485" s="515"/>
    </row>
    <row r="486" spans="7:8" x14ac:dyDescent="0.3">
      <c r="G486" s="515"/>
      <c r="H486" s="515"/>
    </row>
    <row r="487" spans="7:8" x14ac:dyDescent="0.3">
      <c r="G487" s="515"/>
      <c r="H487" s="515"/>
    </row>
    <row r="488" spans="7:8" x14ac:dyDescent="0.3">
      <c r="G488" s="515"/>
      <c r="H488" s="515"/>
    </row>
    <row r="489" spans="7:8" x14ac:dyDescent="0.3">
      <c r="G489" s="515"/>
      <c r="H489" s="515"/>
    </row>
    <row r="490" spans="7:8" x14ac:dyDescent="0.3">
      <c r="G490" s="515"/>
      <c r="H490" s="515"/>
    </row>
    <row r="491" spans="7:8" x14ac:dyDescent="0.3">
      <c r="G491" s="515"/>
      <c r="H491" s="515"/>
    </row>
    <row r="492" spans="7:8" x14ac:dyDescent="0.3">
      <c r="G492" s="515"/>
      <c r="H492" s="515"/>
    </row>
    <row r="493" spans="7:8" x14ac:dyDescent="0.3">
      <c r="G493" s="515"/>
      <c r="H493" s="515"/>
    </row>
    <row r="494" spans="7:8" x14ac:dyDescent="0.3">
      <c r="G494" s="515"/>
      <c r="H494" s="515"/>
    </row>
    <row r="495" spans="7:8" x14ac:dyDescent="0.3">
      <c r="G495" s="515"/>
      <c r="H495" s="515"/>
    </row>
    <row r="496" spans="7:8" x14ac:dyDescent="0.3">
      <c r="G496" s="515"/>
      <c r="H496" s="515"/>
    </row>
    <row r="497" spans="7:8" x14ac:dyDescent="0.3">
      <c r="G497" s="515"/>
      <c r="H497" s="515"/>
    </row>
    <row r="498" spans="7:8" x14ac:dyDescent="0.3">
      <c r="G498" s="515"/>
      <c r="H498" s="515"/>
    </row>
    <row r="499" spans="7:8" x14ac:dyDescent="0.3">
      <c r="G499" s="515"/>
      <c r="H499" s="515"/>
    </row>
    <row r="500" spans="7:8" x14ac:dyDescent="0.3">
      <c r="G500" s="515"/>
      <c r="H500" s="515"/>
    </row>
    <row r="501" spans="7:8" x14ac:dyDescent="0.3">
      <c r="G501" s="515"/>
      <c r="H501" s="515"/>
    </row>
    <row r="502" spans="7:8" x14ac:dyDescent="0.3">
      <c r="G502" s="515"/>
      <c r="H502" s="515"/>
    </row>
    <row r="503" spans="7:8" x14ac:dyDescent="0.3">
      <c r="G503" s="515"/>
      <c r="H503" s="515"/>
    </row>
    <row r="504" spans="7:8" x14ac:dyDescent="0.3">
      <c r="G504" s="515"/>
      <c r="H504" s="515"/>
    </row>
    <row r="505" spans="7:8" x14ac:dyDescent="0.3">
      <c r="G505" s="515"/>
      <c r="H505" s="515"/>
    </row>
    <row r="506" spans="7:8" x14ac:dyDescent="0.3">
      <c r="G506" s="515"/>
      <c r="H506" s="515"/>
    </row>
    <row r="507" spans="7:8" x14ac:dyDescent="0.3">
      <c r="G507" s="515"/>
      <c r="H507" s="515"/>
    </row>
    <row r="508" spans="7:8" x14ac:dyDescent="0.3">
      <c r="G508" s="515"/>
      <c r="H508" s="515"/>
    </row>
    <row r="509" spans="7:8" x14ac:dyDescent="0.3">
      <c r="G509" s="515"/>
      <c r="H509" s="515"/>
    </row>
    <row r="510" spans="7:8" x14ac:dyDescent="0.3">
      <c r="G510" s="515"/>
      <c r="H510" s="515"/>
    </row>
    <row r="511" spans="7:8" x14ac:dyDescent="0.3">
      <c r="G511" s="515"/>
      <c r="H511" s="515"/>
    </row>
    <row r="512" spans="7:8" x14ac:dyDescent="0.3">
      <c r="G512" s="515"/>
      <c r="H512" s="515"/>
    </row>
    <row r="513" spans="7:8" x14ac:dyDescent="0.3">
      <c r="G513" s="515"/>
      <c r="H513" s="515"/>
    </row>
    <row r="514" spans="7:8" x14ac:dyDescent="0.3">
      <c r="G514" s="515"/>
      <c r="H514" s="515"/>
    </row>
    <row r="515" spans="7:8" x14ac:dyDescent="0.3">
      <c r="G515" s="515"/>
      <c r="H515" s="515"/>
    </row>
    <row r="516" spans="7:8" x14ac:dyDescent="0.3">
      <c r="G516" s="515"/>
      <c r="H516" s="515"/>
    </row>
    <row r="517" spans="7:8" x14ac:dyDescent="0.3">
      <c r="G517" s="515"/>
      <c r="H517" s="515"/>
    </row>
    <row r="518" spans="7:8" x14ac:dyDescent="0.3">
      <c r="G518" s="515"/>
      <c r="H518" s="515"/>
    </row>
    <row r="519" spans="7:8" x14ac:dyDescent="0.3">
      <c r="G519" s="515"/>
      <c r="H519" s="515"/>
    </row>
    <row r="520" spans="7:8" x14ac:dyDescent="0.3">
      <c r="G520" s="515"/>
      <c r="H520" s="515"/>
    </row>
    <row r="521" spans="7:8" x14ac:dyDescent="0.3">
      <c r="G521" s="515"/>
      <c r="H521" s="515"/>
    </row>
    <row r="522" spans="7:8" x14ac:dyDescent="0.3">
      <c r="G522" s="515"/>
      <c r="H522" s="515"/>
    </row>
    <row r="523" spans="7:8" x14ac:dyDescent="0.3">
      <c r="G523" s="515"/>
      <c r="H523" s="515"/>
    </row>
    <row r="524" spans="7:8" x14ac:dyDescent="0.3">
      <c r="G524" s="515"/>
      <c r="H524" s="515"/>
    </row>
    <row r="525" spans="7:8" x14ac:dyDescent="0.3">
      <c r="G525" s="515"/>
      <c r="H525" s="515"/>
    </row>
    <row r="526" spans="7:8" x14ac:dyDescent="0.3">
      <c r="G526" s="515"/>
      <c r="H526" s="515"/>
    </row>
    <row r="527" spans="7:8" x14ac:dyDescent="0.3">
      <c r="G527" s="515"/>
      <c r="H527" s="515"/>
    </row>
    <row r="528" spans="7:8" x14ac:dyDescent="0.3">
      <c r="G528" s="515"/>
      <c r="H528" s="515"/>
    </row>
    <row r="529" spans="7:8" x14ac:dyDescent="0.3">
      <c r="G529" s="515"/>
      <c r="H529" s="515"/>
    </row>
    <row r="530" spans="7:8" x14ac:dyDescent="0.3">
      <c r="G530" s="515"/>
      <c r="H530" s="515"/>
    </row>
    <row r="531" spans="7:8" x14ac:dyDescent="0.3">
      <c r="G531" s="515"/>
      <c r="H531" s="515"/>
    </row>
    <row r="532" spans="7:8" x14ac:dyDescent="0.3">
      <c r="G532" s="515"/>
      <c r="H532" s="515"/>
    </row>
    <row r="533" spans="7:8" x14ac:dyDescent="0.3">
      <c r="G533" s="515"/>
      <c r="H533" s="515"/>
    </row>
    <row r="534" spans="7:8" x14ac:dyDescent="0.3">
      <c r="G534" s="515"/>
      <c r="H534" s="515"/>
    </row>
    <row r="535" spans="7:8" x14ac:dyDescent="0.3">
      <c r="G535" s="515"/>
      <c r="H535" s="515"/>
    </row>
    <row r="536" spans="7:8" x14ac:dyDescent="0.3">
      <c r="G536" s="515"/>
      <c r="H536" s="515"/>
    </row>
    <row r="537" spans="7:8" x14ac:dyDescent="0.3">
      <c r="G537" s="515"/>
      <c r="H537" s="515"/>
    </row>
    <row r="538" spans="7:8" x14ac:dyDescent="0.3">
      <c r="G538" s="515"/>
      <c r="H538" s="515"/>
    </row>
    <row r="539" spans="7:8" x14ac:dyDescent="0.3">
      <c r="G539" s="515"/>
      <c r="H539" s="515"/>
    </row>
    <row r="540" spans="7:8" x14ac:dyDescent="0.3">
      <c r="G540" s="515"/>
      <c r="H540" s="515"/>
    </row>
    <row r="541" spans="7:8" x14ac:dyDescent="0.3">
      <c r="G541" s="515"/>
      <c r="H541" s="515"/>
    </row>
    <row r="542" spans="7:8" x14ac:dyDescent="0.3">
      <c r="G542" s="515"/>
      <c r="H542" s="515"/>
    </row>
    <row r="543" spans="7:8" x14ac:dyDescent="0.3">
      <c r="G543" s="515"/>
      <c r="H543" s="515"/>
    </row>
    <row r="544" spans="7:8" x14ac:dyDescent="0.3">
      <c r="G544" s="515"/>
      <c r="H544" s="515"/>
    </row>
    <row r="545" spans="7:8" x14ac:dyDescent="0.3">
      <c r="G545" s="515"/>
      <c r="H545" s="515"/>
    </row>
    <row r="546" spans="7:8" x14ac:dyDescent="0.3">
      <c r="G546" s="515"/>
      <c r="H546" s="515"/>
    </row>
    <row r="547" spans="7:8" x14ac:dyDescent="0.3">
      <c r="G547" s="515"/>
      <c r="H547" s="515"/>
    </row>
    <row r="548" spans="7:8" x14ac:dyDescent="0.3">
      <c r="G548" s="515"/>
      <c r="H548" s="515"/>
    </row>
    <row r="549" spans="7:8" x14ac:dyDescent="0.3">
      <c r="G549" s="515"/>
      <c r="H549" s="515"/>
    </row>
    <row r="550" spans="7:8" x14ac:dyDescent="0.3">
      <c r="G550" s="515"/>
      <c r="H550" s="515"/>
    </row>
    <row r="551" spans="7:8" x14ac:dyDescent="0.3">
      <c r="G551" s="515"/>
      <c r="H551" s="515"/>
    </row>
    <row r="552" spans="7:8" x14ac:dyDescent="0.3">
      <c r="G552" s="515"/>
      <c r="H552" s="515"/>
    </row>
    <row r="553" spans="7:8" x14ac:dyDescent="0.3">
      <c r="G553" s="515"/>
      <c r="H553" s="515"/>
    </row>
    <row r="554" spans="7:8" x14ac:dyDescent="0.3">
      <c r="G554" s="515"/>
      <c r="H554" s="515"/>
    </row>
    <row r="555" spans="7:8" x14ac:dyDescent="0.3">
      <c r="G555" s="515"/>
      <c r="H555" s="515"/>
    </row>
    <row r="556" spans="7:8" x14ac:dyDescent="0.3">
      <c r="G556" s="515"/>
      <c r="H556" s="515"/>
    </row>
    <row r="557" spans="7:8" x14ac:dyDescent="0.3">
      <c r="G557" s="515"/>
      <c r="H557" s="515"/>
    </row>
    <row r="558" spans="7:8" x14ac:dyDescent="0.3">
      <c r="G558" s="515"/>
      <c r="H558" s="515"/>
    </row>
    <row r="559" spans="7:8" x14ac:dyDescent="0.3">
      <c r="G559" s="515"/>
      <c r="H559" s="515"/>
    </row>
    <row r="560" spans="7:8" x14ac:dyDescent="0.3">
      <c r="G560" s="515"/>
      <c r="H560" s="515"/>
    </row>
    <row r="561" spans="7:8" x14ac:dyDescent="0.3">
      <c r="G561" s="515"/>
      <c r="H561" s="515"/>
    </row>
    <row r="562" spans="7:8" x14ac:dyDescent="0.3">
      <c r="G562" s="515"/>
      <c r="H562" s="515"/>
    </row>
    <row r="563" spans="7:8" x14ac:dyDescent="0.3">
      <c r="G563" s="515"/>
      <c r="H563" s="515"/>
    </row>
    <row r="564" spans="7:8" x14ac:dyDescent="0.3">
      <c r="G564" s="515"/>
      <c r="H564" s="515"/>
    </row>
    <row r="565" spans="7:8" x14ac:dyDescent="0.3">
      <c r="G565" s="515"/>
      <c r="H565" s="515"/>
    </row>
    <row r="566" spans="7:8" x14ac:dyDescent="0.3">
      <c r="G566" s="515"/>
      <c r="H566" s="515"/>
    </row>
    <row r="567" spans="7:8" x14ac:dyDescent="0.3">
      <c r="G567" s="515"/>
      <c r="H567" s="515"/>
    </row>
    <row r="568" spans="7:8" x14ac:dyDescent="0.3">
      <c r="G568" s="515"/>
      <c r="H568" s="515"/>
    </row>
    <row r="569" spans="7:8" x14ac:dyDescent="0.3">
      <c r="G569" s="515"/>
      <c r="H569" s="515"/>
    </row>
    <row r="570" spans="7:8" x14ac:dyDescent="0.3">
      <c r="G570" s="515"/>
      <c r="H570" s="515"/>
    </row>
    <row r="571" spans="7:8" x14ac:dyDescent="0.3">
      <c r="G571" s="515"/>
      <c r="H571" s="515"/>
    </row>
    <row r="572" spans="7:8" x14ac:dyDescent="0.3">
      <c r="G572" s="515"/>
      <c r="H572" s="515"/>
    </row>
    <row r="573" spans="7:8" x14ac:dyDescent="0.3">
      <c r="G573" s="515"/>
      <c r="H573" s="515"/>
    </row>
    <row r="574" spans="7:8" x14ac:dyDescent="0.3">
      <c r="G574" s="515"/>
      <c r="H574" s="515"/>
    </row>
    <row r="575" spans="7:8" x14ac:dyDescent="0.3">
      <c r="G575" s="515"/>
      <c r="H575" s="515"/>
    </row>
    <row r="576" spans="7:8" x14ac:dyDescent="0.3">
      <c r="G576" s="515"/>
      <c r="H576" s="515"/>
    </row>
    <row r="577" spans="7:8" x14ac:dyDescent="0.3">
      <c r="G577" s="515"/>
      <c r="H577" s="515"/>
    </row>
    <row r="578" spans="7:8" x14ac:dyDescent="0.3">
      <c r="G578" s="515"/>
      <c r="H578" s="515"/>
    </row>
    <row r="579" spans="7:8" x14ac:dyDescent="0.3">
      <c r="G579" s="515"/>
      <c r="H579" s="515"/>
    </row>
    <row r="580" spans="7:8" x14ac:dyDescent="0.3">
      <c r="G580" s="515"/>
      <c r="H580" s="515"/>
    </row>
    <row r="581" spans="7:8" x14ac:dyDescent="0.3">
      <c r="G581" s="515"/>
      <c r="H581" s="515"/>
    </row>
    <row r="582" spans="7:8" x14ac:dyDescent="0.3">
      <c r="G582" s="515"/>
      <c r="H582" s="515"/>
    </row>
    <row r="583" spans="7:8" x14ac:dyDescent="0.3">
      <c r="G583" s="515"/>
      <c r="H583" s="515"/>
    </row>
    <row r="584" spans="7:8" x14ac:dyDescent="0.3">
      <c r="G584" s="515"/>
      <c r="H584" s="515"/>
    </row>
    <row r="585" spans="7:8" x14ac:dyDescent="0.3">
      <c r="G585" s="515"/>
      <c r="H585" s="515"/>
    </row>
    <row r="586" spans="7:8" x14ac:dyDescent="0.3">
      <c r="G586" s="515"/>
      <c r="H586" s="515"/>
    </row>
    <row r="587" spans="7:8" x14ac:dyDescent="0.3">
      <c r="G587" s="515"/>
      <c r="H587" s="515"/>
    </row>
    <row r="588" spans="7:8" x14ac:dyDescent="0.3">
      <c r="G588" s="515"/>
      <c r="H588" s="515"/>
    </row>
    <row r="589" spans="7:8" x14ac:dyDescent="0.3">
      <c r="G589" s="515"/>
      <c r="H589" s="515"/>
    </row>
    <row r="590" spans="7:8" x14ac:dyDescent="0.3">
      <c r="G590" s="515"/>
      <c r="H590" s="515"/>
    </row>
    <row r="591" spans="7:8" x14ac:dyDescent="0.3">
      <c r="G591" s="515"/>
      <c r="H591" s="515"/>
    </row>
    <row r="592" spans="7:8" x14ac:dyDescent="0.3">
      <c r="G592" s="515"/>
      <c r="H592" s="515"/>
    </row>
    <row r="593" spans="7:8" x14ac:dyDescent="0.3">
      <c r="G593" s="515"/>
      <c r="H593" s="515"/>
    </row>
    <row r="594" spans="7:8" x14ac:dyDescent="0.3">
      <c r="G594" s="515"/>
      <c r="H594" s="515"/>
    </row>
    <row r="595" spans="7:8" x14ac:dyDescent="0.3">
      <c r="G595" s="515"/>
      <c r="H595" s="515"/>
    </row>
    <row r="596" spans="7:8" x14ac:dyDescent="0.3">
      <c r="G596" s="515"/>
      <c r="H596" s="515"/>
    </row>
    <row r="597" spans="7:8" x14ac:dyDescent="0.3">
      <c r="G597" s="515"/>
      <c r="H597" s="515"/>
    </row>
    <row r="598" spans="7:8" x14ac:dyDescent="0.3">
      <c r="G598" s="515"/>
      <c r="H598" s="515"/>
    </row>
    <row r="599" spans="7:8" x14ac:dyDescent="0.3">
      <c r="G599" s="515"/>
      <c r="H599" s="515"/>
    </row>
    <row r="600" spans="7:8" x14ac:dyDescent="0.3">
      <c r="G600" s="515"/>
      <c r="H600" s="515"/>
    </row>
    <row r="601" spans="7:8" x14ac:dyDescent="0.3">
      <c r="G601" s="515"/>
      <c r="H601" s="515"/>
    </row>
    <row r="602" spans="7:8" x14ac:dyDescent="0.3">
      <c r="G602" s="515"/>
      <c r="H602" s="515"/>
    </row>
    <row r="603" spans="7:8" x14ac:dyDescent="0.3">
      <c r="G603" s="515"/>
      <c r="H603" s="515"/>
    </row>
    <row r="604" spans="7:8" x14ac:dyDescent="0.3">
      <c r="G604" s="515"/>
      <c r="H604" s="515"/>
    </row>
    <row r="605" spans="7:8" x14ac:dyDescent="0.3">
      <c r="G605" s="515"/>
      <c r="H605" s="515"/>
    </row>
    <row r="606" spans="7:8" x14ac:dyDescent="0.3">
      <c r="G606" s="515"/>
      <c r="H606" s="515"/>
    </row>
    <row r="607" spans="7:8" x14ac:dyDescent="0.3">
      <c r="G607" s="515"/>
      <c r="H607" s="515"/>
    </row>
    <row r="608" spans="7:8" x14ac:dyDescent="0.3">
      <c r="G608" s="515"/>
      <c r="H608" s="515"/>
    </row>
    <row r="609" spans="7:8" x14ac:dyDescent="0.3">
      <c r="G609" s="515"/>
      <c r="H609" s="515"/>
    </row>
    <row r="610" spans="7:8" x14ac:dyDescent="0.3">
      <c r="G610" s="515"/>
      <c r="H610" s="515"/>
    </row>
    <row r="611" spans="7:8" x14ac:dyDescent="0.3">
      <c r="G611" s="515"/>
      <c r="H611" s="515"/>
    </row>
    <row r="612" spans="7:8" x14ac:dyDescent="0.3">
      <c r="G612" s="515"/>
      <c r="H612" s="515"/>
    </row>
    <row r="613" spans="7:8" x14ac:dyDescent="0.3">
      <c r="G613" s="515"/>
      <c r="H613" s="515"/>
    </row>
    <row r="614" spans="7:8" x14ac:dyDescent="0.3">
      <c r="G614" s="515"/>
      <c r="H614" s="515"/>
    </row>
    <row r="615" spans="7:8" x14ac:dyDescent="0.3">
      <c r="G615" s="515"/>
      <c r="H615" s="515"/>
    </row>
    <row r="616" spans="7:8" x14ac:dyDescent="0.3">
      <c r="G616" s="515"/>
      <c r="H616" s="515"/>
    </row>
    <row r="617" spans="7:8" x14ac:dyDescent="0.3">
      <c r="G617" s="515"/>
      <c r="H617" s="515"/>
    </row>
    <row r="618" spans="7:8" x14ac:dyDescent="0.3">
      <c r="G618" s="515"/>
      <c r="H618" s="515"/>
    </row>
    <row r="619" spans="7:8" x14ac:dyDescent="0.3">
      <c r="G619" s="515"/>
      <c r="H619" s="515"/>
    </row>
    <row r="620" spans="7:8" x14ac:dyDescent="0.3">
      <c r="G620" s="515"/>
      <c r="H620" s="515"/>
    </row>
    <row r="621" spans="7:8" x14ac:dyDescent="0.3">
      <c r="G621" s="515"/>
      <c r="H621" s="515"/>
    </row>
    <row r="622" spans="7:8" x14ac:dyDescent="0.3">
      <c r="G622" s="515"/>
      <c r="H622" s="515"/>
    </row>
    <row r="623" spans="7:8" x14ac:dyDescent="0.3">
      <c r="G623" s="515"/>
      <c r="H623" s="515"/>
    </row>
    <row r="624" spans="7:8" x14ac:dyDescent="0.3">
      <c r="G624" s="515"/>
      <c r="H624" s="515"/>
    </row>
    <row r="625" spans="7:8" x14ac:dyDescent="0.3">
      <c r="G625" s="515"/>
      <c r="H625" s="515"/>
    </row>
    <row r="626" spans="7:8" x14ac:dyDescent="0.3">
      <c r="G626" s="515"/>
      <c r="H626" s="515"/>
    </row>
    <row r="627" spans="7:8" x14ac:dyDescent="0.3">
      <c r="G627" s="515"/>
      <c r="H627" s="515"/>
    </row>
    <row r="628" spans="7:8" x14ac:dyDescent="0.3">
      <c r="G628" s="515"/>
      <c r="H628" s="515"/>
    </row>
    <row r="629" spans="7:8" x14ac:dyDescent="0.3">
      <c r="G629" s="515"/>
      <c r="H629" s="515"/>
    </row>
    <row r="630" spans="7:8" x14ac:dyDescent="0.3">
      <c r="G630" s="515"/>
      <c r="H630" s="515"/>
    </row>
    <row r="631" spans="7:8" x14ac:dyDescent="0.3">
      <c r="G631" s="515"/>
      <c r="H631" s="515"/>
    </row>
    <row r="632" spans="7:8" x14ac:dyDescent="0.3">
      <c r="G632" s="515"/>
      <c r="H632" s="515"/>
    </row>
    <row r="633" spans="7:8" x14ac:dyDescent="0.3">
      <c r="G633" s="515"/>
      <c r="H633" s="515"/>
    </row>
    <row r="634" spans="7:8" x14ac:dyDescent="0.3">
      <c r="G634" s="515"/>
      <c r="H634" s="515"/>
    </row>
    <row r="635" spans="7:8" x14ac:dyDescent="0.3">
      <c r="G635" s="515"/>
      <c r="H635" s="515"/>
    </row>
    <row r="636" spans="7:8" x14ac:dyDescent="0.3">
      <c r="G636" s="515"/>
      <c r="H636" s="515"/>
    </row>
    <row r="637" spans="7:8" x14ac:dyDescent="0.3">
      <c r="G637" s="515"/>
      <c r="H637" s="515"/>
    </row>
    <row r="638" spans="7:8" x14ac:dyDescent="0.3">
      <c r="G638" s="515"/>
      <c r="H638" s="515"/>
    </row>
    <row r="639" spans="7:8" x14ac:dyDescent="0.3">
      <c r="G639" s="515"/>
      <c r="H639" s="515"/>
    </row>
    <row r="640" spans="7:8" x14ac:dyDescent="0.3">
      <c r="G640" s="515"/>
      <c r="H640" s="515"/>
    </row>
    <row r="641" spans="7:8" x14ac:dyDescent="0.3">
      <c r="G641" s="515"/>
      <c r="H641" s="515"/>
    </row>
    <row r="642" spans="7:8" x14ac:dyDescent="0.3">
      <c r="G642" s="515"/>
      <c r="H642" s="515"/>
    </row>
    <row r="643" spans="7:8" x14ac:dyDescent="0.3">
      <c r="G643" s="515"/>
      <c r="H643" s="515"/>
    </row>
    <row r="644" spans="7:8" x14ac:dyDescent="0.3">
      <c r="G644" s="515"/>
      <c r="H644" s="515"/>
    </row>
    <row r="645" spans="7:8" x14ac:dyDescent="0.3">
      <c r="G645" s="515"/>
      <c r="H645" s="515"/>
    </row>
    <row r="646" spans="7:8" x14ac:dyDescent="0.3">
      <c r="G646" s="515"/>
      <c r="H646" s="515"/>
    </row>
    <row r="647" spans="7:8" x14ac:dyDescent="0.3">
      <c r="G647" s="515"/>
      <c r="H647" s="515"/>
    </row>
    <row r="648" spans="7:8" x14ac:dyDescent="0.3">
      <c r="G648" s="515"/>
      <c r="H648" s="515"/>
    </row>
    <row r="649" spans="7:8" x14ac:dyDescent="0.3">
      <c r="G649" s="515"/>
      <c r="H649" s="515"/>
    </row>
    <row r="650" spans="7:8" x14ac:dyDescent="0.3">
      <c r="G650" s="515"/>
      <c r="H650" s="515"/>
    </row>
    <row r="651" spans="7:8" x14ac:dyDescent="0.3">
      <c r="G651" s="515"/>
      <c r="H651" s="515"/>
    </row>
    <row r="652" spans="7:8" x14ac:dyDescent="0.3">
      <c r="G652" s="515"/>
      <c r="H652" s="515"/>
    </row>
    <row r="653" spans="7:8" x14ac:dyDescent="0.3">
      <c r="G653" s="515"/>
      <c r="H653" s="515"/>
    </row>
    <row r="654" spans="7:8" x14ac:dyDescent="0.3">
      <c r="G654" s="515"/>
      <c r="H654" s="515"/>
    </row>
    <row r="655" spans="7:8" x14ac:dyDescent="0.3">
      <c r="G655" s="515"/>
      <c r="H655" s="515"/>
    </row>
    <row r="656" spans="7:8" x14ac:dyDescent="0.3">
      <c r="G656" s="515"/>
      <c r="H656" s="515"/>
    </row>
    <row r="657" spans="7:8" x14ac:dyDescent="0.3">
      <c r="G657" s="515"/>
      <c r="H657" s="515"/>
    </row>
    <row r="658" spans="7:8" x14ac:dyDescent="0.3">
      <c r="G658" s="515"/>
      <c r="H658" s="515"/>
    </row>
    <row r="659" spans="7:8" x14ac:dyDescent="0.3">
      <c r="G659" s="515"/>
      <c r="H659" s="515"/>
    </row>
    <row r="660" spans="7:8" x14ac:dyDescent="0.3">
      <c r="G660" s="515"/>
      <c r="H660" s="515"/>
    </row>
    <row r="661" spans="7:8" x14ac:dyDescent="0.3">
      <c r="G661" s="515"/>
      <c r="H661" s="515"/>
    </row>
    <row r="662" spans="7:8" x14ac:dyDescent="0.3">
      <c r="G662" s="515"/>
      <c r="H662" s="515"/>
    </row>
    <row r="663" spans="7:8" x14ac:dyDescent="0.3">
      <c r="G663" s="515"/>
      <c r="H663" s="515"/>
    </row>
    <row r="664" spans="7:8" x14ac:dyDescent="0.3">
      <c r="G664" s="515"/>
      <c r="H664" s="515"/>
    </row>
    <row r="665" spans="7:8" x14ac:dyDescent="0.3">
      <c r="G665" s="515"/>
      <c r="H665" s="515"/>
    </row>
    <row r="666" spans="7:8" x14ac:dyDescent="0.3">
      <c r="G666" s="515"/>
      <c r="H666" s="515"/>
    </row>
    <row r="667" spans="7:8" x14ac:dyDescent="0.3">
      <c r="G667" s="515"/>
      <c r="H667" s="515"/>
    </row>
    <row r="668" spans="7:8" x14ac:dyDescent="0.3">
      <c r="G668" s="515"/>
      <c r="H668" s="515"/>
    </row>
    <row r="669" spans="7:8" x14ac:dyDescent="0.3">
      <c r="G669" s="515"/>
      <c r="H669" s="515"/>
    </row>
    <row r="670" spans="7:8" x14ac:dyDescent="0.3">
      <c r="G670" s="515"/>
      <c r="H670" s="515"/>
    </row>
    <row r="671" spans="7:8" x14ac:dyDescent="0.3">
      <c r="G671" s="515"/>
      <c r="H671" s="515"/>
    </row>
    <row r="672" spans="7:8" x14ac:dyDescent="0.3">
      <c r="G672" s="515"/>
      <c r="H672" s="515"/>
    </row>
    <row r="673" spans="7:8" x14ac:dyDescent="0.3">
      <c r="G673" s="515"/>
      <c r="H673" s="515"/>
    </row>
    <row r="674" spans="7:8" x14ac:dyDescent="0.3">
      <c r="G674" s="515"/>
      <c r="H674" s="515"/>
    </row>
    <row r="675" spans="7:8" x14ac:dyDescent="0.3">
      <c r="G675" s="515"/>
      <c r="H675" s="515"/>
    </row>
    <row r="676" spans="7:8" x14ac:dyDescent="0.3">
      <c r="G676" s="515"/>
      <c r="H676" s="515"/>
    </row>
    <row r="677" spans="7:8" x14ac:dyDescent="0.3">
      <c r="G677" s="515"/>
      <c r="H677" s="515"/>
    </row>
    <row r="678" spans="7:8" x14ac:dyDescent="0.3">
      <c r="G678" s="515"/>
      <c r="H678" s="515"/>
    </row>
    <row r="679" spans="7:8" x14ac:dyDescent="0.3">
      <c r="G679" s="515"/>
      <c r="H679" s="515"/>
    </row>
    <row r="680" spans="7:8" x14ac:dyDescent="0.3">
      <c r="G680" s="515"/>
      <c r="H680" s="515"/>
    </row>
    <row r="681" spans="7:8" x14ac:dyDescent="0.3">
      <c r="G681" s="515"/>
      <c r="H681" s="515"/>
    </row>
    <row r="682" spans="7:8" x14ac:dyDescent="0.3">
      <c r="G682" s="515"/>
      <c r="H682" s="515"/>
    </row>
    <row r="683" spans="7:8" x14ac:dyDescent="0.3">
      <c r="G683" s="515"/>
      <c r="H683" s="515"/>
    </row>
    <row r="684" spans="7:8" x14ac:dyDescent="0.3">
      <c r="G684" s="515"/>
      <c r="H684" s="515"/>
    </row>
    <row r="685" spans="7:8" x14ac:dyDescent="0.3">
      <c r="G685" s="515"/>
      <c r="H685" s="515"/>
    </row>
    <row r="686" spans="7:8" x14ac:dyDescent="0.3">
      <c r="G686" s="515"/>
      <c r="H686" s="515"/>
    </row>
    <row r="687" spans="7:8" x14ac:dyDescent="0.3">
      <c r="G687" s="515"/>
      <c r="H687" s="515"/>
    </row>
    <row r="688" spans="7:8" x14ac:dyDescent="0.3">
      <c r="G688" s="515"/>
      <c r="H688" s="515"/>
    </row>
    <row r="689" spans="7:8" x14ac:dyDescent="0.3">
      <c r="G689" s="515"/>
      <c r="H689" s="515"/>
    </row>
    <row r="690" spans="7:8" x14ac:dyDescent="0.3">
      <c r="G690" s="515"/>
      <c r="H690" s="515"/>
    </row>
    <row r="691" spans="7:8" x14ac:dyDescent="0.3">
      <c r="G691" s="515"/>
      <c r="H691" s="515"/>
    </row>
    <row r="692" spans="7:8" x14ac:dyDescent="0.3">
      <c r="G692" s="515"/>
      <c r="H692" s="515"/>
    </row>
    <row r="693" spans="7:8" x14ac:dyDescent="0.3">
      <c r="G693" s="515"/>
      <c r="H693" s="515"/>
    </row>
    <row r="694" spans="7:8" x14ac:dyDescent="0.3">
      <c r="G694" s="515"/>
      <c r="H694" s="515"/>
    </row>
    <row r="695" spans="7:8" x14ac:dyDescent="0.3">
      <c r="G695" s="515"/>
      <c r="H695" s="515"/>
    </row>
    <row r="696" spans="7:8" x14ac:dyDescent="0.3">
      <c r="G696" s="515"/>
      <c r="H696" s="515"/>
    </row>
    <row r="697" spans="7:8" x14ac:dyDescent="0.3">
      <c r="G697" s="515"/>
      <c r="H697" s="515"/>
    </row>
    <row r="698" spans="7:8" x14ac:dyDescent="0.3">
      <c r="G698" s="515"/>
      <c r="H698" s="515"/>
    </row>
    <row r="699" spans="7:8" x14ac:dyDescent="0.3">
      <c r="G699" s="515"/>
      <c r="H699" s="515"/>
    </row>
    <row r="700" spans="7:8" x14ac:dyDescent="0.3">
      <c r="G700" s="515"/>
      <c r="H700" s="515"/>
    </row>
    <row r="701" spans="7:8" x14ac:dyDescent="0.3">
      <c r="G701" s="515"/>
      <c r="H701" s="515"/>
    </row>
    <row r="702" spans="7:8" x14ac:dyDescent="0.3">
      <c r="G702" s="515"/>
      <c r="H702" s="515"/>
    </row>
    <row r="703" spans="7:8" x14ac:dyDescent="0.3">
      <c r="G703" s="515"/>
      <c r="H703" s="515"/>
    </row>
    <row r="704" spans="7:8" x14ac:dyDescent="0.3">
      <c r="G704" s="515"/>
      <c r="H704" s="515"/>
    </row>
    <row r="705" spans="7:8" x14ac:dyDescent="0.3">
      <c r="G705" s="515"/>
      <c r="H705" s="515"/>
    </row>
    <row r="706" spans="7:8" x14ac:dyDescent="0.3">
      <c r="G706" s="515"/>
      <c r="H706" s="515"/>
    </row>
    <row r="707" spans="7:8" x14ac:dyDescent="0.3">
      <c r="G707" s="515"/>
      <c r="H707" s="515"/>
    </row>
    <row r="708" spans="7:8" x14ac:dyDescent="0.3">
      <c r="G708" s="515"/>
      <c r="H708" s="515"/>
    </row>
    <row r="709" spans="7:8" x14ac:dyDescent="0.3">
      <c r="G709" s="515"/>
      <c r="H709" s="515"/>
    </row>
    <row r="710" spans="7:8" x14ac:dyDescent="0.3">
      <c r="G710" s="515"/>
      <c r="H710" s="515"/>
    </row>
    <row r="711" spans="7:8" x14ac:dyDescent="0.3">
      <c r="G711" s="515"/>
      <c r="H711" s="515"/>
    </row>
    <row r="712" spans="7:8" x14ac:dyDescent="0.3">
      <c r="G712" s="515"/>
      <c r="H712" s="515"/>
    </row>
    <row r="713" spans="7:8" x14ac:dyDescent="0.3">
      <c r="G713" s="515"/>
      <c r="H713" s="515"/>
    </row>
    <row r="714" spans="7:8" x14ac:dyDescent="0.3">
      <c r="G714" s="515"/>
      <c r="H714" s="515"/>
    </row>
    <row r="715" spans="7:8" x14ac:dyDescent="0.3">
      <c r="G715" s="515"/>
      <c r="H715" s="515"/>
    </row>
    <row r="716" spans="7:8" x14ac:dyDescent="0.3">
      <c r="G716" s="515"/>
      <c r="H716" s="515"/>
    </row>
    <row r="717" spans="7:8" x14ac:dyDescent="0.3">
      <c r="G717" s="515"/>
      <c r="H717" s="515"/>
    </row>
    <row r="718" spans="7:8" x14ac:dyDescent="0.3">
      <c r="G718" s="515"/>
      <c r="H718" s="515"/>
    </row>
    <row r="719" spans="7:8" x14ac:dyDescent="0.3">
      <c r="G719" s="515"/>
      <c r="H719" s="515"/>
    </row>
    <row r="720" spans="7:8" x14ac:dyDescent="0.3">
      <c r="G720" s="515"/>
      <c r="H720" s="515"/>
    </row>
    <row r="721" spans="7:8" x14ac:dyDescent="0.3">
      <c r="G721" s="515"/>
      <c r="H721" s="515"/>
    </row>
    <row r="722" spans="7:8" x14ac:dyDescent="0.3">
      <c r="G722" s="515"/>
      <c r="H722" s="515"/>
    </row>
    <row r="723" spans="7:8" x14ac:dyDescent="0.3">
      <c r="G723" s="515"/>
      <c r="H723" s="515"/>
    </row>
    <row r="724" spans="7:8" x14ac:dyDescent="0.3">
      <c r="G724" s="515"/>
      <c r="H724" s="515"/>
    </row>
    <row r="725" spans="7:8" x14ac:dyDescent="0.3">
      <c r="G725" s="515"/>
      <c r="H725" s="515"/>
    </row>
    <row r="726" spans="7:8" x14ac:dyDescent="0.3">
      <c r="G726" s="515"/>
      <c r="H726" s="515"/>
    </row>
    <row r="727" spans="7:8" x14ac:dyDescent="0.3">
      <c r="G727" s="515"/>
      <c r="H727" s="515"/>
    </row>
    <row r="728" spans="7:8" x14ac:dyDescent="0.3">
      <c r="G728" s="515"/>
      <c r="H728" s="515"/>
    </row>
    <row r="729" spans="7:8" x14ac:dyDescent="0.3">
      <c r="G729" s="515"/>
      <c r="H729" s="515"/>
    </row>
    <row r="730" spans="7:8" x14ac:dyDescent="0.3">
      <c r="G730" s="515"/>
      <c r="H730" s="515"/>
    </row>
    <row r="731" spans="7:8" x14ac:dyDescent="0.3">
      <c r="G731" s="515"/>
      <c r="H731" s="515"/>
    </row>
    <row r="732" spans="7:8" x14ac:dyDescent="0.3">
      <c r="G732" s="515"/>
      <c r="H732" s="515"/>
    </row>
    <row r="733" spans="7:8" x14ac:dyDescent="0.3">
      <c r="G733" s="515"/>
      <c r="H733" s="515"/>
    </row>
    <row r="734" spans="7:8" x14ac:dyDescent="0.3">
      <c r="G734" s="515"/>
      <c r="H734" s="515"/>
    </row>
    <row r="735" spans="7:8" x14ac:dyDescent="0.3">
      <c r="G735" s="515"/>
      <c r="H735" s="515"/>
    </row>
    <row r="736" spans="7:8" x14ac:dyDescent="0.3">
      <c r="G736" s="515"/>
      <c r="H736" s="515"/>
    </row>
    <row r="737" spans="7:8" x14ac:dyDescent="0.3">
      <c r="G737" s="515"/>
      <c r="H737" s="515"/>
    </row>
    <row r="738" spans="7:8" x14ac:dyDescent="0.3">
      <c r="G738" s="515"/>
      <c r="H738" s="515"/>
    </row>
    <row r="739" spans="7:8" x14ac:dyDescent="0.3">
      <c r="G739" s="515"/>
      <c r="H739" s="515"/>
    </row>
    <row r="740" spans="7:8" x14ac:dyDescent="0.3">
      <c r="G740" s="515"/>
      <c r="H740" s="515"/>
    </row>
    <row r="741" spans="7:8" x14ac:dyDescent="0.3">
      <c r="G741" s="515"/>
      <c r="H741" s="515"/>
    </row>
    <row r="742" spans="7:8" x14ac:dyDescent="0.3">
      <c r="G742" s="515"/>
      <c r="H742" s="515"/>
    </row>
    <row r="743" spans="7:8" x14ac:dyDescent="0.3">
      <c r="G743" s="515"/>
      <c r="H743" s="515"/>
    </row>
    <row r="744" spans="7:8" x14ac:dyDescent="0.3">
      <c r="G744" s="515"/>
      <c r="H744" s="515"/>
    </row>
    <row r="745" spans="7:8" x14ac:dyDescent="0.3">
      <c r="G745" s="515"/>
      <c r="H745" s="515"/>
    </row>
    <row r="746" spans="7:8" x14ac:dyDescent="0.3">
      <c r="G746" s="515"/>
      <c r="H746" s="515"/>
    </row>
    <row r="747" spans="7:8" x14ac:dyDescent="0.3">
      <c r="G747" s="515"/>
      <c r="H747" s="515"/>
    </row>
    <row r="748" spans="7:8" x14ac:dyDescent="0.3">
      <c r="G748" s="515"/>
      <c r="H748" s="515"/>
    </row>
    <row r="749" spans="7:8" x14ac:dyDescent="0.3">
      <c r="G749" s="515"/>
      <c r="H749" s="515"/>
    </row>
    <row r="750" spans="7:8" x14ac:dyDescent="0.3">
      <c r="G750" s="515"/>
      <c r="H750" s="515"/>
    </row>
    <row r="751" spans="7:8" x14ac:dyDescent="0.3">
      <c r="G751" s="515"/>
      <c r="H751" s="515"/>
    </row>
    <row r="752" spans="7:8" x14ac:dyDescent="0.3">
      <c r="G752" s="515"/>
      <c r="H752" s="515"/>
    </row>
    <row r="753" spans="7:8" x14ac:dyDescent="0.3">
      <c r="G753" s="515"/>
      <c r="H753" s="515"/>
    </row>
    <row r="754" spans="7:8" x14ac:dyDescent="0.3">
      <c r="G754" s="515"/>
      <c r="H754" s="515"/>
    </row>
    <row r="755" spans="7:8" x14ac:dyDescent="0.3">
      <c r="G755" s="515"/>
      <c r="H755" s="515"/>
    </row>
    <row r="756" spans="7:8" x14ac:dyDescent="0.3">
      <c r="G756" s="515"/>
      <c r="H756" s="515"/>
    </row>
    <row r="757" spans="7:8" x14ac:dyDescent="0.3">
      <c r="G757" s="515"/>
      <c r="H757" s="515"/>
    </row>
    <row r="758" spans="7:8" x14ac:dyDescent="0.3">
      <c r="G758" s="515"/>
      <c r="H758" s="515"/>
    </row>
    <row r="759" spans="7:8" x14ac:dyDescent="0.3">
      <c r="G759" s="515"/>
      <c r="H759" s="515"/>
    </row>
    <row r="760" spans="7:8" x14ac:dyDescent="0.3">
      <c r="G760" s="515"/>
      <c r="H760" s="515"/>
    </row>
    <row r="761" spans="7:8" x14ac:dyDescent="0.3">
      <c r="G761" s="515"/>
      <c r="H761" s="515"/>
    </row>
    <row r="762" spans="7:8" x14ac:dyDescent="0.3">
      <c r="G762" s="515"/>
      <c r="H762" s="515"/>
    </row>
    <row r="763" spans="7:8" x14ac:dyDescent="0.3">
      <c r="G763" s="515"/>
      <c r="H763" s="515"/>
    </row>
    <row r="764" spans="7:8" x14ac:dyDescent="0.3">
      <c r="G764" s="515"/>
      <c r="H764" s="515"/>
    </row>
    <row r="765" spans="7:8" x14ac:dyDescent="0.3">
      <c r="G765" s="515"/>
      <c r="H765" s="515"/>
    </row>
    <row r="766" spans="7:8" x14ac:dyDescent="0.3">
      <c r="G766" s="515"/>
      <c r="H766" s="515"/>
    </row>
    <row r="767" spans="7:8" x14ac:dyDescent="0.3">
      <c r="G767" s="515"/>
      <c r="H767" s="515"/>
    </row>
    <row r="768" spans="7:8" x14ac:dyDescent="0.3">
      <c r="G768" s="515"/>
      <c r="H768" s="515"/>
    </row>
    <row r="769" spans="7:8" x14ac:dyDescent="0.3">
      <c r="G769" s="515"/>
      <c r="H769" s="515"/>
    </row>
    <row r="770" spans="7:8" x14ac:dyDescent="0.3">
      <c r="G770" s="515"/>
      <c r="H770" s="515"/>
    </row>
    <row r="771" spans="7:8" x14ac:dyDescent="0.3">
      <c r="G771" s="515"/>
      <c r="H771" s="515"/>
    </row>
    <row r="772" spans="7:8" x14ac:dyDescent="0.3">
      <c r="G772" s="515"/>
      <c r="H772" s="515"/>
    </row>
    <row r="773" spans="7:8" x14ac:dyDescent="0.3">
      <c r="G773" s="515"/>
      <c r="H773" s="515"/>
    </row>
    <row r="774" spans="7:8" x14ac:dyDescent="0.3">
      <c r="G774" s="515"/>
      <c r="H774" s="515"/>
    </row>
    <row r="775" spans="7:8" x14ac:dyDescent="0.3">
      <c r="G775" s="515"/>
      <c r="H775" s="515"/>
    </row>
    <row r="776" spans="7:8" x14ac:dyDescent="0.3">
      <c r="G776" s="515"/>
      <c r="H776" s="515"/>
    </row>
    <row r="777" spans="7:8" x14ac:dyDescent="0.3">
      <c r="G777" s="515"/>
      <c r="H777" s="515"/>
    </row>
    <row r="778" spans="7:8" x14ac:dyDescent="0.3">
      <c r="G778" s="515"/>
      <c r="H778" s="515"/>
    </row>
    <row r="779" spans="7:8" x14ac:dyDescent="0.3">
      <c r="G779" s="515"/>
      <c r="H779" s="515"/>
    </row>
    <row r="780" spans="7:8" x14ac:dyDescent="0.3">
      <c r="G780" s="515"/>
      <c r="H780" s="515"/>
    </row>
    <row r="781" spans="7:8" x14ac:dyDescent="0.3">
      <c r="G781" s="515"/>
      <c r="H781" s="515"/>
    </row>
    <row r="782" spans="7:8" x14ac:dyDescent="0.3">
      <c r="G782" s="515"/>
      <c r="H782" s="515"/>
    </row>
    <row r="783" spans="7:8" x14ac:dyDescent="0.3">
      <c r="G783" s="515"/>
      <c r="H783" s="515"/>
    </row>
    <row r="784" spans="7:8" x14ac:dyDescent="0.3">
      <c r="G784" s="515"/>
      <c r="H784" s="515"/>
    </row>
    <row r="785" spans="7:8" x14ac:dyDescent="0.3">
      <c r="G785" s="515"/>
      <c r="H785" s="515"/>
    </row>
    <row r="786" spans="7:8" x14ac:dyDescent="0.3">
      <c r="G786" s="515"/>
      <c r="H786" s="515"/>
    </row>
    <row r="787" spans="7:8" x14ac:dyDescent="0.3">
      <c r="G787" s="515"/>
      <c r="H787" s="515"/>
    </row>
    <row r="788" spans="7:8" x14ac:dyDescent="0.3">
      <c r="G788" s="515"/>
      <c r="H788" s="515"/>
    </row>
    <row r="789" spans="7:8" x14ac:dyDescent="0.3">
      <c r="G789" s="515"/>
      <c r="H789" s="515"/>
    </row>
    <row r="790" spans="7:8" x14ac:dyDescent="0.3">
      <c r="G790" s="515"/>
      <c r="H790" s="515"/>
    </row>
    <row r="791" spans="7:8" x14ac:dyDescent="0.3">
      <c r="G791" s="515"/>
      <c r="H791" s="515"/>
    </row>
    <row r="792" spans="7:8" x14ac:dyDescent="0.3">
      <c r="G792" s="515"/>
      <c r="H792" s="515"/>
    </row>
    <row r="793" spans="7:8" x14ac:dyDescent="0.3">
      <c r="G793" s="515"/>
      <c r="H793" s="515"/>
    </row>
    <row r="794" spans="7:8" x14ac:dyDescent="0.3">
      <c r="G794" s="515"/>
      <c r="H794" s="515"/>
    </row>
    <row r="795" spans="7:8" x14ac:dyDescent="0.3">
      <c r="G795" s="515"/>
      <c r="H795" s="515"/>
    </row>
    <row r="796" spans="7:8" x14ac:dyDescent="0.3">
      <c r="G796" s="515"/>
      <c r="H796" s="515"/>
    </row>
    <row r="797" spans="7:8" x14ac:dyDescent="0.3">
      <c r="G797" s="515"/>
      <c r="H797" s="515"/>
    </row>
    <row r="798" spans="7:8" x14ac:dyDescent="0.3">
      <c r="G798" s="515"/>
      <c r="H798" s="515"/>
    </row>
    <row r="799" spans="7:8" x14ac:dyDescent="0.3">
      <c r="G799" s="515"/>
      <c r="H799" s="515"/>
    </row>
    <row r="800" spans="7:8" x14ac:dyDescent="0.3">
      <c r="G800" s="515"/>
      <c r="H800" s="515"/>
    </row>
    <row r="801" spans="7:8" x14ac:dyDescent="0.3">
      <c r="G801" s="515"/>
      <c r="H801" s="515"/>
    </row>
    <row r="802" spans="7:8" x14ac:dyDescent="0.3">
      <c r="G802" s="515"/>
      <c r="H802" s="515"/>
    </row>
    <row r="803" spans="7:8" x14ac:dyDescent="0.3">
      <c r="G803" s="515"/>
      <c r="H803" s="515"/>
    </row>
    <row r="804" spans="7:8" x14ac:dyDescent="0.3">
      <c r="G804" s="515"/>
      <c r="H804" s="515"/>
    </row>
    <row r="805" spans="7:8" x14ac:dyDescent="0.3">
      <c r="G805" s="515"/>
      <c r="H805" s="515"/>
    </row>
    <row r="806" spans="7:8" x14ac:dyDescent="0.3">
      <c r="G806" s="515"/>
      <c r="H806" s="515"/>
    </row>
    <row r="807" spans="7:8" x14ac:dyDescent="0.3">
      <c r="G807" s="515"/>
      <c r="H807" s="515"/>
    </row>
    <row r="808" spans="7:8" x14ac:dyDescent="0.3">
      <c r="G808" s="515"/>
      <c r="H808" s="515"/>
    </row>
    <row r="809" spans="7:8" x14ac:dyDescent="0.3">
      <c r="G809" s="515"/>
      <c r="H809" s="515"/>
    </row>
    <row r="810" spans="7:8" x14ac:dyDescent="0.3">
      <c r="G810" s="515"/>
      <c r="H810" s="515"/>
    </row>
    <row r="811" spans="7:8" x14ac:dyDescent="0.3">
      <c r="G811" s="515"/>
      <c r="H811" s="515"/>
    </row>
    <row r="812" spans="7:8" x14ac:dyDescent="0.3">
      <c r="G812" s="515"/>
      <c r="H812" s="515"/>
    </row>
    <row r="813" spans="7:8" x14ac:dyDescent="0.3">
      <c r="G813" s="515"/>
      <c r="H813" s="515"/>
    </row>
    <row r="814" spans="7:8" x14ac:dyDescent="0.3">
      <c r="G814" s="515"/>
      <c r="H814" s="515"/>
    </row>
    <row r="815" spans="7:8" x14ac:dyDescent="0.3">
      <c r="G815" s="515"/>
      <c r="H815" s="515"/>
    </row>
    <row r="816" spans="7:8" x14ac:dyDescent="0.3">
      <c r="G816" s="515"/>
      <c r="H816" s="515"/>
    </row>
    <row r="817" spans="7:8" x14ac:dyDescent="0.3">
      <c r="G817" s="515"/>
      <c r="H817" s="515"/>
    </row>
    <row r="818" spans="7:8" x14ac:dyDescent="0.3">
      <c r="G818" s="515"/>
      <c r="H818" s="515"/>
    </row>
    <row r="819" spans="7:8" x14ac:dyDescent="0.3">
      <c r="G819" s="515"/>
      <c r="H819" s="515"/>
    </row>
    <row r="820" spans="7:8" x14ac:dyDescent="0.3">
      <c r="G820" s="515"/>
      <c r="H820" s="515"/>
    </row>
    <row r="821" spans="7:8" x14ac:dyDescent="0.3">
      <c r="G821" s="515"/>
      <c r="H821" s="515"/>
    </row>
    <row r="822" spans="7:8" x14ac:dyDescent="0.3">
      <c r="G822" s="515"/>
      <c r="H822" s="515"/>
    </row>
    <row r="823" spans="7:8" x14ac:dyDescent="0.3">
      <c r="G823" s="515"/>
      <c r="H823" s="515"/>
    </row>
    <row r="824" spans="7:8" x14ac:dyDescent="0.3">
      <c r="G824" s="515"/>
      <c r="H824" s="515"/>
    </row>
    <row r="825" spans="7:8" x14ac:dyDescent="0.3">
      <c r="G825" s="515"/>
      <c r="H825" s="515"/>
    </row>
    <row r="826" spans="7:8" x14ac:dyDescent="0.3">
      <c r="G826" s="515"/>
      <c r="H826" s="515"/>
    </row>
    <row r="827" spans="7:8" x14ac:dyDescent="0.3">
      <c r="G827" s="515"/>
      <c r="H827" s="515"/>
    </row>
    <row r="828" spans="7:8" x14ac:dyDescent="0.3">
      <c r="G828" s="515"/>
      <c r="H828" s="515"/>
    </row>
    <row r="829" spans="7:8" x14ac:dyDescent="0.3">
      <c r="G829" s="515"/>
      <c r="H829" s="515"/>
    </row>
    <row r="830" spans="7:8" x14ac:dyDescent="0.3">
      <c r="G830" s="515"/>
      <c r="H830" s="515"/>
    </row>
    <row r="831" spans="7:8" x14ac:dyDescent="0.3">
      <c r="G831" s="515"/>
      <c r="H831" s="515"/>
    </row>
    <row r="832" spans="7:8" x14ac:dyDescent="0.3">
      <c r="G832" s="515"/>
      <c r="H832" s="515"/>
    </row>
    <row r="833" spans="7:8" x14ac:dyDescent="0.3">
      <c r="G833" s="515"/>
      <c r="H833" s="515"/>
    </row>
    <row r="834" spans="7:8" x14ac:dyDescent="0.3">
      <c r="G834" s="515"/>
      <c r="H834" s="515"/>
    </row>
    <row r="835" spans="7:8" x14ac:dyDescent="0.3">
      <c r="G835" s="515"/>
      <c r="H835" s="515"/>
    </row>
    <row r="836" spans="7:8" x14ac:dyDescent="0.3">
      <c r="G836" s="515"/>
      <c r="H836" s="515"/>
    </row>
    <row r="837" spans="7:8" x14ac:dyDescent="0.3">
      <c r="G837" s="515"/>
      <c r="H837" s="515"/>
    </row>
    <row r="838" spans="7:8" x14ac:dyDescent="0.3">
      <c r="G838" s="515"/>
      <c r="H838" s="515"/>
    </row>
    <row r="839" spans="7:8" x14ac:dyDescent="0.3">
      <c r="G839" s="515"/>
      <c r="H839" s="515"/>
    </row>
    <row r="840" spans="7:8" x14ac:dyDescent="0.3">
      <c r="G840" s="515"/>
      <c r="H840" s="515"/>
    </row>
    <row r="841" spans="7:8" x14ac:dyDescent="0.3">
      <c r="G841" s="515"/>
      <c r="H841" s="515"/>
    </row>
    <row r="842" spans="7:8" x14ac:dyDescent="0.3">
      <c r="G842" s="515"/>
      <c r="H842" s="515"/>
    </row>
    <row r="843" spans="7:8" x14ac:dyDescent="0.3">
      <c r="G843" s="515"/>
      <c r="H843" s="515"/>
    </row>
    <row r="844" spans="7:8" x14ac:dyDescent="0.3">
      <c r="G844" s="515"/>
      <c r="H844" s="515"/>
    </row>
    <row r="845" spans="7:8" x14ac:dyDescent="0.3">
      <c r="G845" s="515"/>
      <c r="H845" s="515"/>
    </row>
    <row r="846" spans="7:8" x14ac:dyDescent="0.3">
      <c r="G846" s="515"/>
      <c r="H846" s="515"/>
    </row>
    <row r="847" spans="7:8" x14ac:dyDescent="0.3">
      <c r="G847" s="515"/>
      <c r="H847" s="515"/>
    </row>
    <row r="848" spans="7:8" x14ac:dyDescent="0.3">
      <c r="G848" s="515"/>
      <c r="H848" s="515"/>
    </row>
    <row r="849" spans="7:8" x14ac:dyDescent="0.3">
      <c r="G849" s="515"/>
      <c r="H849" s="515"/>
    </row>
    <row r="850" spans="7:8" x14ac:dyDescent="0.3">
      <c r="G850" s="515"/>
      <c r="H850" s="515"/>
    </row>
    <row r="851" spans="7:8" x14ac:dyDescent="0.3">
      <c r="G851" s="515"/>
      <c r="H851" s="515"/>
    </row>
    <row r="852" spans="7:8" x14ac:dyDescent="0.3">
      <c r="G852" s="515"/>
      <c r="H852" s="515"/>
    </row>
    <row r="853" spans="7:8" x14ac:dyDescent="0.3">
      <c r="G853" s="515"/>
      <c r="H853" s="515"/>
    </row>
    <row r="854" spans="7:8" x14ac:dyDescent="0.3">
      <c r="G854" s="515"/>
      <c r="H854" s="515"/>
    </row>
    <row r="855" spans="7:8" x14ac:dyDescent="0.3">
      <c r="G855" s="515"/>
      <c r="H855" s="515"/>
    </row>
    <row r="856" spans="7:8" x14ac:dyDescent="0.3">
      <c r="G856" s="515"/>
      <c r="H856" s="515"/>
    </row>
    <row r="857" spans="7:8" x14ac:dyDescent="0.3">
      <c r="G857" s="515"/>
      <c r="H857" s="515"/>
    </row>
    <row r="858" spans="7:8" x14ac:dyDescent="0.3">
      <c r="G858" s="515"/>
      <c r="H858" s="515"/>
    </row>
    <row r="859" spans="7:8" x14ac:dyDescent="0.3">
      <c r="G859" s="515"/>
      <c r="H859" s="515"/>
    </row>
    <row r="860" spans="7:8" x14ac:dyDescent="0.3">
      <c r="G860" s="515"/>
      <c r="H860" s="515"/>
    </row>
    <row r="861" spans="7:8" x14ac:dyDescent="0.3">
      <c r="G861" s="515"/>
      <c r="H861" s="515"/>
    </row>
    <row r="862" spans="7:8" x14ac:dyDescent="0.3">
      <c r="G862" s="515"/>
      <c r="H862" s="515"/>
    </row>
    <row r="863" spans="7:8" x14ac:dyDescent="0.3">
      <c r="G863" s="515"/>
      <c r="H863" s="515"/>
    </row>
    <row r="864" spans="7:8" x14ac:dyDescent="0.3">
      <c r="G864" s="515"/>
      <c r="H864" s="515"/>
    </row>
    <row r="865" spans="7:8" x14ac:dyDescent="0.3">
      <c r="G865" s="515"/>
      <c r="H865" s="515"/>
    </row>
    <row r="866" spans="7:8" x14ac:dyDescent="0.3">
      <c r="G866" s="515"/>
      <c r="H866" s="515"/>
    </row>
    <row r="867" spans="7:8" x14ac:dyDescent="0.3">
      <c r="G867" s="515"/>
      <c r="H867" s="515"/>
    </row>
    <row r="868" spans="7:8" x14ac:dyDescent="0.3">
      <c r="G868" s="515"/>
      <c r="H868" s="515"/>
    </row>
    <row r="869" spans="7:8" x14ac:dyDescent="0.3">
      <c r="G869" s="515"/>
      <c r="H869" s="515"/>
    </row>
    <row r="870" spans="7:8" x14ac:dyDescent="0.3">
      <c r="G870" s="515"/>
      <c r="H870" s="515"/>
    </row>
    <row r="871" spans="7:8" x14ac:dyDescent="0.3">
      <c r="G871" s="515"/>
      <c r="H871" s="515"/>
    </row>
    <row r="872" spans="7:8" x14ac:dyDescent="0.3">
      <c r="G872" s="515"/>
      <c r="H872" s="515"/>
    </row>
    <row r="873" spans="7:8" x14ac:dyDescent="0.3">
      <c r="G873" s="515"/>
      <c r="H873" s="515"/>
    </row>
    <row r="874" spans="7:8" x14ac:dyDescent="0.3">
      <c r="G874" s="515"/>
      <c r="H874" s="515"/>
    </row>
    <row r="875" spans="7:8" x14ac:dyDescent="0.3">
      <c r="G875" s="515"/>
      <c r="H875" s="515"/>
    </row>
    <row r="876" spans="7:8" x14ac:dyDescent="0.3">
      <c r="G876" s="515"/>
      <c r="H876" s="515"/>
    </row>
    <row r="877" spans="7:8" x14ac:dyDescent="0.3">
      <c r="G877" s="515"/>
      <c r="H877" s="515"/>
    </row>
    <row r="878" spans="7:8" x14ac:dyDescent="0.3">
      <c r="G878" s="515"/>
      <c r="H878" s="515"/>
    </row>
    <row r="879" spans="7:8" x14ac:dyDescent="0.3">
      <c r="G879" s="515"/>
      <c r="H879" s="515"/>
    </row>
    <row r="880" spans="7:8" x14ac:dyDescent="0.3">
      <c r="G880" s="515"/>
      <c r="H880" s="515"/>
    </row>
    <row r="881" spans="7:8" x14ac:dyDescent="0.3">
      <c r="G881" s="515"/>
      <c r="H881" s="515"/>
    </row>
    <row r="882" spans="7:8" x14ac:dyDescent="0.3">
      <c r="G882" s="515"/>
      <c r="H882" s="515"/>
    </row>
    <row r="883" spans="7:8" x14ac:dyDescent="0.3">
      <c r="G883" s="515"/>
      <c r="H883" s="515"/>
    </row>
    <row r="884" spans="7:8" x14ac:dyDescent="0.3">
      <c r="G884" s="515"/>
      <c r="H884" s="515"/>
    </row>
    <row r="885" spans="7:8" x14ac:dyDescent="0.3">
      <c r="G885" s="515"/>
      <c r="H885" s="515"/>
    </row>
    <row r="886" spans="7:8" x14ac:dyDescent="0.3">
      <c r="G886" s="515"/>
      <c r="H886" s="515"/>
    </row>
    <row r="887" spans="7:8" x14ac:dyDescent="0.3">
      <c r="G887" s="515"/>
      <c r="H887" s="515"/>
    </row>
    <row r="888" spans="7:8" x14ac:dyDescent="0.3">
      <c r="G888" s="515"/>
      <c r="H888" s="515"/>
    </row>
    <row r="889" spans="7:8" x14ac:dyDescent="0.3">
      <c r="G889" s="515"/>
      <c r="H889" s="515"/>
    </row>
    <row r="890" spans="7:8" x14ac:dyDescent="0.3">
      <c r="G890" s="515"/>
      <c r="H890" s="515"/>
    </row>
    <row r="891" spans="7:8" x14ac:dyDescent="0.3">
      <c r="G891" s="515"/>
      <c r="H891" s="515"/>
    </row>
    <row r="892" spans="7:8" x14ac:dyDescent="0.3">
      <c r="G892" s="515"/>
      <c r="H892" s="515"/>
    </row>
    <row r="893" spans="7:8" x14ac:dyDescent="0.3">
      <c r="G893" s="515"/>
      <c r="H893" s="515"/>
    </row>
    <row r="894" spans="7:8" x14ac:dyDescent="0.3">
      <c r="G894" s="515"/>
      <c r="H894" s="515"/>
    </row>
    <row r="895" spans="7:8" x14ac:dyDescent="0.3">
      <c r="G895" s="515"/>
      <c r="H895" s="515"/>
    </row>
    <row r="896" spans="7:8" x14ac:dyDescent="0.3">
      <c r="G896" s="515"/>
      <c r="H896" s="515"/>
    </row>
    <row r="897" spans="7:8" x14ac:dyDescent="0.3">
      <c r="G897" s="515"/>
      <c r="H897" s="515"/>
    </row>
    <row r="898" spans="7:8" x14ac:dyDescent="0.3">
      <c r="G898" s="515"/>
      <c r="H898" s="515"/>
    </row>
    <row r="899" spans="7:8" x14ac:dyDescent="0.3">
      <c r="G899" s="515"/>
      <c r="H899" s="515"/>
    </row>
    <row r="900" spans="7:8" x14ac:dyDescent="0.3">
      <c r="G900" s="515"/>
      <c r="H900" s="515"/>
    </row>
    <row r="901" spans="7:8" x14ac:dyDescent="0.3">
      <c r="G901" s="515"/>
      <c r="H901" s="515"/>
    </row>
    <row r="902" spans="7:8" x14ac:dyDescent="0.3">
      <c r="G902" s="515"/>
      <c r="H902" s="515"/>
    </row>
    <row r="903" spans="7:8" x14ac:dyDescent="0.3">
      <c r="G903" s="515"/>
      <c r="H903" s="515"/>
    </row>
    <row r="904" spans="7:8" x14ac:dyDescent="0.3">
      <c r="G904" s="515"/>
      <c r="H904" s="515"/>
    </row>
    <row r="905" spans="7:8" x14ac:dyDescent="0.3">
      <c r="G905" s="515"/>
      <c r="H905" s="515"/>
    </row>
    <row r="906" spans="7:8" x14ac:dyDescent="0.3">
      <c r="G906" s="515"/>
      <c r="H906" s="515"/>
    </row>
    <row r="907" spans="7:8" x14ac:dyDescent="0.3">
      <c r="G907" s="515"/>
      <c r="H907" s="515"/>
    </row>
    <row r="908" spans="7:8" x14ac:dyDescent="0.3">
      <c r="G908" s="515"/>
      <c r="H908" s="515"/>
    </row>
    <row r="909" spans="7:8" x14ac:dyDescent="0.3">
      <c r="G909" s="515"/>
      <c r="H909" s="515"/>
    </row>
    <row r="910" spans="7:8" x14ac:dyDescent="0.3">
      <c r="G910" s="515"/>
      <c r="H910" s="515"/>
    </row>
    <row r="911" spans="7:8" x14ac:dyDescent="0.3">
      <c r="G911" s="515"/>
      <c r="H911" s="515"/>
    </row>
    <row r="912" spans="7:8" x14ac:dyDescent="0.3">
      <c r="G912" s="515"/>
      <c r="H912" s="515"/>
    </row>
    <row r="913" spans="7:8" x14ac:dyDescent="0.3">
      <c r="G913" s="515"/>
      <c r="H913" s="515"/>
    </row>
    <row r="914" spans="7:8" x14ac:dyDescent="0.3">
      <c r="G914" s="515"/>
      <c r="H914" s="515"/>
    </row>
    <row r="915" spans="7:8" x14ac:dyDescent="0.3">
      <c r="G915" s="515"/>
      <c r="H915" s="515"/>
    </row>
    <row r="916" spans="7:8" x14ac:dyDescent="0.3">
      <c r="G916" s="515"/>
      <c r="H916" s="515"/>
    </row>
    <row r="917" spans="7:8" x14ac:dyDescent="0.3">
      <c r="G917" s="515"/>
      <c r="H917" s="515"/>
    </row>
    <row r="918" spans="7:8" x14ac:dyDescent="0.3">
      <c r="G918" s="515"/>
      <c r="H918" s="515"/>
    </row>
    <row r="919" spans="7:8" x14ac:dyDescent="0.3">
      <c r="G919" s="515"/>
      <c r="H919" s="515"/>
    </row>
    <row r="920" spans="7:8" x14ac:dyDescent="0.3">
      <c r="G920" s="515"/>
      <c r="H920" s="515"/>
    </row>
    <row r="921" spans="7:8" x14ac:dyDescent="0.3">
      <c r="G921" s="515"/>
      <c r="H921" s="515"/>
    </row>
    <row r="922" spans="7:8" x14ac:dyDescent="0.3">
      <c r="G922" s="515"/>
      <c r="H922" s="515"/>
    </row>
    <row r="923" spans="7:8" x14ac:dyDescent="0.3">
      <c r="G923" s="515"/>
      <c r="H923" s="515"/>
    </row>
    <row r="924" spans="7:8" x14ac:dyDescent="0.3">
      <c r="G924" s="515"/>
      <c r="H924" s="515"/>
    </row>
    <row r="925" spans="7:8" x14ac:dyDescent="0.3">
      <c r="G925" s="515"/>
      <c r="H925" s="515"/>
    </row>
    <row r="926" spans="7:8" x14ac:dyDescent="0.3">
      <c r="G926" s="515"/>
      <c r="H926" s="515"/>
    </row>
    <row r="927" spans="7:8" x14ac:dyDescent="0.3">
      <c r="G927" s="515"/>
      <c r="H927" s="515"/>
    </row>
    <row r="928" spans="7:8" x14ac:dyDescent="0.3">
      <c r="G928" s="515"/>
      <c r="H928" s="515"/>
    </row>
    <row r="929" spans="7:8" x14ac:dyDescent="0.3">
      <c r="G929" s="515"/>
      <c r="H929" s="515"/>
    </row>
    <row r="930" spans="7:8" x14ac:dyDescent="0.3">
      <c r="G930" s="515"/>
      <c r="H930" s="515"/>
    </row>
    <row r="931" spans="7:8" x14ac:dyDescent="0.3">
      <c r="G931" s="515"/>
      <c r="H931" s="515"/>
    </row>
    <row r="932" spans="7:8" x14ac:dyDescent="0.3">
      <c r="G932" s="515"/>
      <c r="H932" s="515"/>
    </row>
    <row r="933" spans="7:8" x14ac:dyDescent="0.3">
      <c r="G933" s="515"/>
      <c r="H933" s="515"/>
    </row>
    <row r="934" spans="7:8" x14ac:dyDescent="0.3">
      <c r="G934" s="515"/>
      <c r="H934" s="515"/>
    </row>
    <row r="935" spans="7:8" x14ac:dyDescent="0.3">
      <c r="G935" s="515"/>
      <c r="H935" s="515"/>
    </row>
    <row r="936" spans="7:8" x14ac:dyDescent="0.3">
      <c r="G936" s="515"/>
      <c r="H936" s="515"/>
    </row>
    <row r="937" spans="7:8" x14ac:dyDescent="0.3">
      <c r="G937" s="515"/>
      <c r="H937" s="515"/>
    </row>
    <row r="938" spans="7:8" x14ac:dyDescent="0.3">
      <c r="G938" s="515"/>
      <c r="H938" s="515"/>
    </row>
    <row r="939" spans="7:8" x14ac:dyDescent="0.3">
      <c r="G939" s="515"/>
      <c r="H939" s="515"/>
    </row>
    <row r="940" spans="7:8" x14ac:dyDescent="0.3">
      <c r="G940" s="515"/>
      <c r="H940" s="515"/>
    </row>
    <row r="941" spans="7:8" x14ac:dyDescent="0.3">
      <c r="G941" s="515"/>
      <c r="H941" s="515"/>
    </row>
    <row r="942" spans="7:8" x14ac:dyDescent="0.3">
      <c r="G942" s="515"/>
      <c r="H942" s="515"/>
    </row>
    <row r="943" spans="7:8" x14ac:dyDescent="0.3">
      <c r="G943" s="515"/>
      <c r="H943" s="515"/>
    </row>
    <row r="944" spans="7:8" x14ac:dyDescent="0.3">
      <c r="G944" s="515"/>
      <c r="H944" s="515"/>
    </row>
    <row r="945" spans="7:8" x14ac:dyDescent="0.3">
      <c r="G945" s="515"/>
      <c r="H945" s="515"/>
    </row>
    <row r="946" spans="7:8" x14ac:dyDescent="0.3">
      <c r="G946" s="515"/>
      <c r="H946" s="515"/>
    </row>
    <row r="947" spans="7:8" x14ac:dyDescent="0.3">
      <c r="G947" s="515"/>
      <c r="H947" s="515"/>
    </row>
    <row r="948" spans="7:8" x14ac:dyDescent="0.3">
      <c r="G948" s="515"/>
      <c r="H948" s="515"/>
    </row>
    <row r="949" spans="7:8" x14ac:dyDescent="0.3">
      <c r="G949" s="515"/>
      <c r="H949" s="515"/>
    </row>
    <row r="950" spans="7:8" x14ac:dyDescent="0.3">
      <c r="G950" s="515"/>
      <c r="H950" s="515"/>
    </row>
    <row r="951" spans="7:8" x14ac:dyDescent="0.3">
      <c r="G951" s="515"/>
      <c r="H951" s="515"/>
    </row>
    <row r="952" spans="7:8" x14ac:dyDescent="0.3">
      <c r="G952" s="515"/>
      <c r="H952" s="515"/>
    </row>
    <row r="953" spans="7:8" x14ac:dyDescent="0.3">
      <c r="G953" s="515"/>
      <c r="H953" s="515"/>
    </row>
    <row r="954" spans="7:8" x14ac:dyDescent="0.3">
      <c r="G954" s="515"/>
      <c r="H954" s="515"/>
    </row>
    <row r="955" spans="7:8" x14ac:dyDescent="0.3">
      <c r="G955" s="515"/>
      <c r="H955" s="515"/>
    </row>
    <row r="956" spans="7:8" x14ac:dyDescent="0.3">
      <c r="G956" s="515"/>
      <c r="H956" s="515"/>
    </row>
    <row r="957" spans="7:8" x14ac:dyDescent="0.3">
      <c r="G957" s="515"/>
      <c r="H957" s="515"/>
    </row>
    <row r="958" spans="7:8" x14ac:dyDescent="0.3">
      <c r="G958" s="515"/>
      <c r="H958" s="515"/>
    </row>
    <row r="959" spans="7:8" x14ac:dyDescent="0.3">
      <c r="G959" s="515"/>
      <c r="H959" s="515"/>
    </row>
    <row r="960" spans="7:8" x14ac:dyDescent="0.3">
      <c r="G960" s="515"/>
      <c r="H960" s="515"/>
    </row>
    <row r="961" spans="7:8" x14ac:dyDescent="0.3">
      <c r="G961" s="515"/>
      <c r="H961" s="515"/>
    </row>
    <row r="962" spans="7:8" x14ac:dyDescent="0.3">
      <c r="G962" s="515"/>
      <c r="H962" s="515"/>
    </row>
    <row r="963" spans="7:8" x14ac:dyDescent="0.3">
      <c r="G963" s="515"/>
      <c r="H963" s="515"/>
    </row>
    <row r="964" spans="7:8" x14ac:dyDescent="0.3">
      <c r="G964" s="515"/>
      <c r="H964" s="515"/>
    </row>
    <row r="965" spans="7:8" x14ac:dyDescent="0.3">
      <c r="G965" s="515"/>
      <c r="H965" s="515"/>
    </row>
    <row r="966" spans="7:8" x14ac:dyDescent="0.3">
      <c r="G966" s="515"/>
      <c r="H966" s="515"/>
    </row>
    <row r="967" spans="7:8" x14ac:dyDescent="0.3">
      <c r="G967" s="515"/>
      <c r="H967" s="515"/>
    </row>
    <row r="968" spans="7:8" x14ac:dyDescent="0.3">
      <c r="G968" s="515"/>
      <c r="H968" s="515"/>
    </row>
    <row r="969" spans="7:8" x14ac:dyDescent="0.3">
      <c r="G969" s="515"/>
      <c r="H969" s="515"/>
    </row>
    <row r="970" spans="7:8" x14ac:dyDescent="0.3">
      <c r="G970" s="515"/>
      <c r="H970" s="515"/>
    </row>
    <row r="971" spans="7:8" x14ac:dyDescent="0.3">
      <c r="G971" s="515"/>
      <c r="H971" s="515"/>
    </row>
    <row r="972" spans="7:8" x14ac:dyDescent="0.3">
      <c r="G972" s="515"/>
      <c r="H972" s="515"/>
    </row>
    <row r="973" spans="7:8" x14ac:dyDescent="0.3">
      <c r="G973" s="515"/>
      <c r="H973" s="515"/>
    </row>
    <row r="974" spans="7:8" x14ac:dyDescent="0.3">
      <c r="G974" s="515"/>
      <c r="H974" s="515"/>
    </row>
    <row r="975" spans="7:8" x14ac:dyDescent="0.3">
      <c r="G975" s="515"/>
      <c r="H975" s="515"/>
    </row>
    <row r="976" spans="7:8" x14ac:dyDescent="0.3">
      <c r="G976" s="515"/>
      <c r="H976" s="515"/>
    </row>
    <row r="977" spans="7:8" x14ac:dyDescent="0.3">
      <c r="G977" s="515"/>
      <c r="H977" s="515"/>
    </row>
    <row r="978" spans="7:8" x14ac:dyDescent="0.3">
      <c r="G978" s="515"/>
      <c r="H978" s="515"/>
    </row>
    <row r="979" spans="7:8" x14ac:dyDescent="0.3">
      <c r="G979" s="515"/>
      <c r="H979" s="515"/>
    </row>
    <row r="980" spans="7:8" x14ac:dyDescent="0.3">
      <c r="G980" s="515"/>
      <c r="H980" s="515"/>
    </row>
    <row r="981" spans="7:8" x14ac:dyDescent="0.3">
      <c r="G981" s="515"/>
      <c r="H981" s="515"/>
    </row>
    <row r="982" spans="7:8" x14ac:dyDescent="0.3">
      <c r="G982" s="515"/>
      <c r="H982" s="515"/>
    </row>
    <row r="983" spans="7:8" x14ac:dyDescent="0.3">
      <c r="G983" s="515"/>
      <c r="H983" s="515"/>
    </row>
    <row r="984" spans="7:8" x14ac:dyDescent="0.3">
      <c r="G984" s="515"/>
      <c r="H984" s="515"/>
    </row>
    <row r="985" spans="7:8" x14ac:dyDescent="0.3">
      <c r="G985" s="515"/>
      <c r="H985" s="515"/>
    </row>
    <row r="986" spans="7:8" x14ac:dyDescent="0.3">
      <c r="G986" s="515"/>
      <c r="H986" s="515"/>
    </row>
    <row r="987" spans="7:8" x14ac:dyDescent="0.3">
      <c r="G987" s="515"/>
      <c r="H987" s="515"/>
    </row>
    <row r="988" spans="7:8" x14ac:dyDescent="0.3">
      <c r="G988" s="515"/>
      <c r="H988" s="515"/>
    </row>
    <row r="989" spans="7:8" x14ac:dyDescent="0.3">
      <c r="G989" s="515"/>
      <c r="H989" s="515"/>
    </row>
    <row r="990" spans="7:8" x14ac:dyDescent="0.3">
      <c r="G990" s="515"/>
      <c r="H990" s="515"/>
    </row>
    <row r="991" spans="7:8" x14ac:dyDescent="0.3">
      <c r="G991" s="515"/>
      <c r="H991" s="515"/>
    </row>
    <row r="992" spans="7:8" x14ac:dyDescent="0.3">
      <c r="G992" s="515"/>
      <c r="H992" s="515"/>
    </row>
    <row r="993" spans="7:8" x14ac:dyDescent="0.3">
      <c r="G993" s="515"/>
      <c r="H993" s="515"/>
    </row>
    <row r="994" spans="7:8" x14ac:dyDescent="0.3">
      <c r="G994" s="515"/>
      <c r="H994" s="515"/>
    </row>
    <row r="995" spans="7:8" x14ac:dyDescent="0.3">
      <c r="G995" s="515"/>
      <c r="H995" s="515"/>
    </row>
    <row r="996" spans="7:8" x14ac:dyDescent="0.3">
      <c r="G996" s="515"/>
      <c r="H996" s="515"/>
    </row>
    <row r="997" spans="7:8" x14ac:dyDescent="0.3">
      <c r="G997" s="515"/>
      <c r="H997" s="515"/>
    </row>
    <row r="998" spans="7:8" x14ac:dyDescent="0.3">
      <c r="G998" s="515"/>
      <c r="H998" s="515"/>
    </row>
    <row r="999" spans="7:8" x14ac:dyDescent="0.3">
      <c r="G999" s="515"/>
      <c r="H999" s="515"/>
    </row>
    <row r="1000" spans="7:8" x14ac:dyDescent="0.3">
      <c r="G1000" s="515"/>
      <c r="H1000" s="515"/>
    </row>
    <row r="1001" spans="7:8" x14ac:dyDescent="0.3">
      <c r="G1001" s="515"/>
      <c r="H1001" s="515"/>
    </row>
    <row r="1002" spans="7:8" x14ac:dyDescent="0.3">
      <c r="G1002" s="515"/>
      <c r="H1002" s="515"/>
    </row>
    <row r="1003" spans="7:8" x14ac:dyDescent="0.3">
      <c r="G1003" s="515"/>
      <c r="H1003" s="515"/>
    </row>
    <row r="1004" spans="7:8" x14ac:dyDescent="0.3">
      <c r="G1004" s="515"/>
      <c r="H1004" s="515"/>
    </row>
    <row r="1005" spans="7:8" x14ac:dyDescent="0.3">
      <c r="G1005" s="515"/>
      <c r="H1005" s="515"/>
    </row>
    <row r="1006" spans="7:8" x14ac:dyDescent="0.3">
      <c r="G1006" s="515"/>
      <c r="H1006" s="515"/>
    </row>
    <row r="1007" spans="7:8" x14ac:dyDescent="0.3">
      <c r="G1007" s="515"/>
      <c r="H1007" s="515"/>
    </row>
    <row r="1008" spans="7:8" x14ac:dyDescent="0.3">
      <c r="G1008" s="515"/>
      <c r="H1008" s="515"/>
    </row>
    <row r="1009" spans="7:8" x14ac:dyDescent="0.3">
      <c r="G1009" s="515"/>
      <c r="H1009" s="515"/>
    </row>
    <row r="1010" spans="7:8" x14ac:dyDescent="0.3">
      <c r="G1010" s="515"/>
      <c r="H1010" s="515"/>
    </row>
    <row r="1011" spans="7:8" x14ac:dyDescent="0.3">
      <c r="G1011" s="515"/>
      <c r="H1011" s="515"/>
    </row>
    <row r="1012" spans="7:8" x14ac:dyDescent="0.3">
      <c r="G1012" s="515"/>
      <c r="H1012" s="515"/>
    </row>
    <row r="1013" spans="7:8" x14ac:dyDescent="0.3">
      <c r="G1013" s="515"/>
      <c r="H1013" s="515"/>
    </row>
    <row r="1014" spans="7:8" x14ac:dyDescent="0.3">
      <c r="G1014" s="515"/>
      <c r="H1014" s="515"/>
    </row>
    <row r="1015" spans="7:8" x14ac:dyDescent="0.3">
      <c r="G1015" s="515"/>
      <c r="H1015" s="515"/>
    </row>
    <row r="1016" spans="7:8" x14ac:dyDescent="0.3">
      <c r="G1016" s="515"/>
      <c r="H1016" s="515"/>
    </row>
    <row r="1017" spans="7:8" x14ac:dyDescent="0.3">
      <c r="G1017" s="515"/>
      <c r="H1017" s="515"/>
    </row>
    <row r="1018" spans="7:8" x14ac:dyDescent="0.3">
      <c r="G1018" s="515"/>
      <c r="H1018" s="515"/>
    </row>
    <row r="1019" spans="7:8" x14ac:dyDescent="0.3">
      <c r="G1019" s="515"/>
      <c r="H1019" s="515"/>
    </row>
    <row r="1020" spans="7:8" x14ac:dyDescent="0.3">
      <c r="G1020" s="515"/>
      <c r="H1020" s="515"/>
    </row>
    <row r="1021" spans="7:8" x14ac:dyDescent="0.3">
      <c r="G1021" s="515"/>
      <c r="H1021" s="515"/>
    </row>
    <row r="1022" spans="7:8" x14ac:dyDescent="0.3">
      <c r="G1022" s="515"/>
      <c r="H1022" s="515"/>
    </row>
    <row r="1023" spans="7:8" x14ac:dyDescent="0.3">
      <c r="G1023" s="515"/>
      <c r="H1023" s="515"/>
    </row>
    <row r="1024" spans="7:8" x14ac:dyDescent="0.3">
      <c r="G1024" s="515"/>
      <c r="H1024" s="515"/>
    </row>
    <row r="1025" spans="7:8" x14ac:dyDescent="0.3">
      <c r="G1025" s="515"/>
      <c r="H1025" s="515"/>
    </row>
    <row r="1026" spans="7:8" x14ac:dyDescent="0.3">
      <c r="G1026" s="515"/>
      <c r="H1026" s="515"/>
    </row>
    <row r="1027" spans="7:8" x14ac:dyDescent="0.3">
      <c r="G1027" s="515"/>
      <c r="H1027" s="515"/>
    </row>
    <row r="1028" spans="7:8" x14ac:dyDescent="0.3">
      <c r="G1028" s="515"/>
      <c r="H1028" s="515"/>
    </row>
    <row r="1029" spans="7:8" x14ac:dyDescent="0.3">
      <c r="G1029" s="515"/>
      <c r="H1029" s="515"/>
    </row>
    <row r="1030" spans="7:8" x14ac:dyDescent="0.3">
      <c r="G1030" s="515"/>
      <c r="H1030" s="515"/>
    </row>
    <row r="1031" spans="7:8" x14ac:dyDescent="0.3">
      <c r="G1031" s="515"/>
      <c r="H1031" s="515"/>
    </row>
    <row r="1032" spans="7:8" x14ac:dyDescent="0.3">
      <c r="G1032" s="515"/>
      <c r="H1032" s="515"/>
    </row>
    <row r="1033" spans="7:8" x14ac:dyDescent="0.3">
      <c r="G1033" s="515"/>
      <c r="H1033" s="515"/>
    </row>
    <row r="1034" spans="7:8" x14ac:dyDescent="0.3">
      <c r="G1034" s="515"/>
      <c r="H1034" s="515"/>
    </row>
    <row r="1035" spans="7:8" x14ac:dyDescent="0.3">
      <c r="G1035" s="515"/>
      <c r="H1035" s="515"/>
    </row>
    <row r="1036" spans="7:8" x14ac:dyDescent="0.3">
      <c r="G1036" s="515"/>
      <c r="H1036" s="515"/>
    </row>
    <row r="1037" spans="7:8" x14ac:dyDescent="0.3">
      <c r="G1037" s="515"/>
      <c r="H1037" s="515"/>
    </row>
    <row r="1038" spans="7:8" x14ac:dyDescent="0.3">
      <c r="G1038" s="515"/>
      <c r="H1038" s="515"/>
    </row>
    <row r="1039" spans="7:8" x14ac:dyDescent="0.3">
      <c r="G1039" s="515"/>
      <c r="H1039" s="515"/>
    </row>
    <row r="1040" spans="7:8" x14ac:dyDescent="0.3">
      <c r="G1040" s="515"/>
      <c r="H1040" s="515"/>
    </row>
    <row r="1041" spans="7:8" x14ac:dyDescent="0.3">
      <c r="G1041" s="515"/>
      <c r="H1041" s="515"/>
    </row>
    <row r="1042" spans="7:8" x14ac:dyDescent="0.3">
      <c r="G1042" s="515"/>
      <c r="H1042" s="515"/>
    </row>
    <row r="1043" spans="7:8" x14ac:dyDescent="0.3">
      <c r="G1043" s="515"/>
      <c r="H1043" s="515"/>
    </row>
    <row r="1044" spans="7:8" x14ac:dyDescent="0.3">
      <c r="G1044" s="515"/>
      <c r="H1044" s="515"/>
    </row>
    <row r="1045" spans="7:8" x14ac:dyDescent="0.3">
      <c r="G1045" s="515"/>
      <c r="H1045" s="515"/>
    </row>
    <row r="1046" spans="7:8" x14ac:dyDescent="0.3">
      <c r="G1046" s="515"/>
      <c r="H1046" s="515"/>
    </row>
    <row r="1047" spans="7:8" x14ac:dyDescent="0.3">
      <c r="G1047" s="515"/>
      <c r="H1047" s="515"/>
    </row>
    <row r="1048" spans="7:8" x14ac:dyDescent="0.3">
      <c r="G1048" s="515"/>
      <c r="H1048" s="515"/>
    </row>
    <row r="1049" spans="7:8" x14ac:dyDescent="0.3">
      <c r="G1049" s="515"/>
      <c r="H1049" s="515"/>
    </row>
    <row r="1050" spans="7:8" x14ac:dyDescent="0.3">
      <c r="G1050" s="515"/>
      <c r="H1050" s="515"/>
    </row>
    <row r="1051" spans="7:8" x14ac:dyDescent="0.3">
      <c r="G1051" s="515"/>
      <c r="H1051" s="515"/>
    </row>
    <row r="1052" spans="7:8" x14ac:dyDescent="0.3">
      <c r="G1052" s="515"/>
      <c r="H1052" s="515"/>
    </row>
    <row r="1053" spans="7:8" x14ac:dyDescent="0.3">
      <c r="G1053" s="515"/>
      <c r="H1053" s="515"/>
    </row>
    <row r="1054" spans="7:8" x14ac:dyDescent="0.3">
      <c r="G1054" s="515"/>
      <c r="H1054" s="515"/>
    </row>
    <row r="1055" spans="7:8" x14ac:dyDescent="0.3">
      <c r="G1055" s="515"/>
      <c r="H1055" s="515"/>
    </row>
    <row r="1056" spans="7:8" x14ac:dyDescent="0.3">
      <c r="G1056" s="515"/>
      <c r="H1056" s="515"/>
    </row>
    <row r="1057" spans="7:8" x14ac:dyDescent="0.3">
      <c r="G1057" s="515"/>
      <c r="H1057" s="515"/>
    </row>
    <row r="1058" spans="7:8" x14ac:dyDescent="0.3">
      <c r="G1058" s="515"/>
      <c r="H1058" s="515"/>
    </row>
    <row r="1059" spans="7:8" x14ac:dyDescent="0.3">
      <c r="G1059" s="515"/>
      <c r="H1059" s="515"/>
    </row>
    <row r="1060" spans="7:8" x14ac:dyDescent="0.3">
      <c r="G1060" s="515"/>
      <c r="H1060" s="515"/>
    </row>
    <row r="1061" spans="7:8" x14ac:dyDescent="0.3">
      <c r="G1061" s="515"/>
      <c r="H1061" s="515"/>
    </row>
    <row r="1062" spans="7:8" x14ac:dyDescent="0.3">
      <c r="G1062" s="515"/>
      <c r="H1062" s="515"/>
    </row>
    <row r="1063" spans="7:8" x14ac:dyDescent="0.3">
      <c r="G1063" s="515"/>
      <c r="H1063" s="515"/>
    </row>
    <row r="1064" spans="7:8" x14ac:dyDescent="0.3">
      <c r="G1064" s="515"/>
      <c r="H1064" s="515"/>
    </row>
    <row r="1065" spans="7:8" x14ac:dyDescent="0.3">
      <c r="G1065" s="515"/>
      <c r="H1065" s="515"/>
    </row>
    <row r="1066" spans="7:8" x14ac:dyDescent="0.3">
      <c r="G1066" s="515"/>
      <c r="H1066" s="515"/>
    </row>
    <row r="1067" spans="7:8" x14ac:dyDescent="0.3">
      <c r="G1067" s="515"/>
      <c r="H1067" s="515"/>
    </row>
    <row r="1068" spans="7:8" x14ac:dyDescent="0.3">
      <c r="G1068" s="515"/>
      <c r="H1068" s="515"/>
    </row>
    <row r="1069" spans="7:8" x14ac:dyDescent="0.3">
      <c r="G1069" s="515"/>
      <c r="H1069" s="515"/>
    </row>
    <row r="1070" spans="7:8" x14ac:dyDescent="0.3">
      <c r="G1070" s="515"/>
      <c r="H1070" s="515"/>
    </row>
    <row r="1071" spans="7:8" x14ac:dyDescent="0.3">
      <c r="G1071" s="515"/>
      <c r="H1071" s="515"/>
    </row>
    <row r="1072" spans="7:8" x14ac:dyDescent="0.3">
      <c r="G1072" s="515"/>
      <c r="H1072" s="515"/>
    </row>
    <row r="1073" spans="7:8" x14ac:dyDescent="0.3">
      <c r="G1073" s="515"/>
      <c r="H1073" s="515"/>
    </row>
    <row r="1074" spans="7:8" x14ac:dyDescent="0.3">
      <c r="G1074" s="515"/>
      <c r="H1074" s="515"/>
    </row>
    <row r="1075" spans="7:8" x14ac:dyDescent="0.3">
      <c r="G1075" s="515"/>
      <c r="H1075" s="515"/>
    </row>
    <row r="1076" spans="7:8" x14ac:dyDescent="0.3">
      <c r="G1076" s="515"/>
      <c r="H1076" s="515"/>
    </row>
    <row r="1077" spans="7:8" x14ac:dyDescent="0.3">
      <c r="G1077" s="515"/>
      <c r="H1077" s="515"/>
    </row>
    <row r="1078" spans="7:8" x14ac:dyDescent="0.3">
      <c r="G1078" s="515"/>
      <c r="H1078" s="515"/>
    </row>
    <row r="1079" spans="7:8" x14ac:dyDescent="0.3">
      <c r="G1079" s="515"/>
      <c r="H1079" s="515"/>
    </row>
    <row r="1080" spans="7:8" x14ac:dyDescent="0.3">
      <c r="G1080" s="515"/>
      <c r="H1080" s="515"/>
    </row>
    <row r="1081" spans="7:8" x14ac:dyDescent="0.3">
      <c r="G1081" s="515"/>
      <c r="H1081" s="515"/>
    </row>
    <row r="1082" spans="7:8" x14ac:dyDescent="0.3">
      <c r="G1082" s="515"/>
      <c r="H1082" s="515"/>
    </row>
    <row r="1083" spans="7:8" x14ac:dyDescent="0.3">
      <c r="G1083" s="515"/>
      <c r="H1083" s="515"/>
    </row>
    <row r="1084" spans="7:8" x14ac:dyDescent="0.3">
      <c r="G1084" s="515"/>
      <c r="H1084" s="515"/>
    </row>
    <row r="1085" spans="7:8" x14ac:dyDescent="0.3">
      <c r="G1085" s="515"/>
      <c r="H1085" s="515"/>
    </row>
    <row r="1086" spans="7:8" x14ac:dyDescent="0.3">
      <c r="G1086" s="515"/>
      <c r="H1086" s="515"/>
    </row>
    <row r="1087" spans="7:8" x14ac:dyDescent="0.3">
      <c r="G1087" s="515"/>
      <c r="H1087" s="515"/>
    </row>
    <row r="1088" spans="7:8" x14ac:dyDescent="0.3">
      <c r="G1088" s="515"/>
      <c r="H1088" s="515"/>
    </row>
    <row r="1089" spans="7:8" x14ac:dyDescent="0.3">
      <c r="G1089" s="515"/>
      <c r="H1089" s="515"/>
    </row>
    <row r="1090" spans="7:8" x14ac:dyDescent="0.3">
      <c r="G1090" s="515"/>
      <c r="H1090" s="515"/>
    </row>
    <row r="1091" spans="7:8" x14ac:dyDescent="0.3">
      <c r="G1091" s="515"/>
      <c r="H1091" s="515"/>
    </row>
    <row r="1092" spans="7:8" x14ac:dyDescent="0.3">
      <c r="G1092" s="515"/>
      <c r="H1092" s="515"/>
    </row>
    <row r="1093" spans="7:8" x14ac:dyDescent="0.3">
      <c r="G1093" s="515"/>
      <c r="H1093" s="515"/>
    </row>
    <row r="1094" spans="7:8" x14ac:dyDescent="0.3">
      <c r="G1094" s="515"/>
      <c r="H1094" s="515"/>
    </row>
    <row r="1095" spans="7:8" x14ac:dyDescent="0.3">
      <c r="G1095" s="515"/>
      <c r="H1095" s="515"/>
    </row>
    <row r="1096" spans="7:8" x14ac:dyDescent="0.3">
      <c r="G1096" s="515"/>
      <c r="H1096" s="515"/>
    </row>
    <row r="1097" spans="7:8" x14ac:dyDescent="0.3">
      <c r="G1097" s="515"/>
      <c r="H1097" s="515"/>
    </row>
    <row r="1098" spans="7:8" x14ac:dyDescent="0.3">
      <c r="G1098" s="515"/>
      <c r="H1098" s="515"/>
    </row>
    <row r="1099" spans="7:8" x14ac:dyDescent="0.3">
      <c r="G1099" s="515"/>
      <c r="H1099" s="515"/>
    </row>
    <row r="1100" spans="7:8" x14ac:dyDescent="0.3">
      <c r="G1100" s="515"/>
      <c r="H1100" s="515"/>
    </row>
    <row r="1101" spans="7:8" x14ac:dyDescent="0.3">
      <c r="G1101" s="515"/>
      <c r="H1101" s="515"/>
    </row>
    <row r="1102" spans="7:8" x14ac:dyDescent="0.3">
      <c r="G1102" s="515"/>
      <c r="H1102" s="515"/>
    </row>
    <row r="1103" spans="7:8" x14ac:dyDescent="0.3">
      <c r="G1103" s="515"/>
      <c r="H1103" s="515"/>
    </row>
    <row r="1104" spans="7:8" x14ac:dyDescent="0.3">
      <c r="G1104" s="515"/>
      <c r="H1104" s="515"/>
    </row>
    <row r="1105" spans="7:8" x14ac:dyDescent="0.3">
      <c r="G1105" s="515"/>
      <c r="H1105" s="515"/>
    </row>
    <row r="1106" spans="7:8" x14ac:dyDescent="0.3">
      <c r="G1106" s="515"/>
      <c r="H1106" s="515"/>
    </row>
    <row r="1107" spans="7:8" x14ac:dyDescent="0.3">
      <c r="G1107" s="515"/>
      <c r="H1107" s="515"/>
    </row>
    <row r="1108" spans="7:8" x14ac:dyDescent="0.3">
      <c r="G1108" s="515"/>
      <c r="H1108" s="515"/>
    </row>
    <row r="1109" spans="7:8" x14ac:dyDescent="0.3">
      <c r="G1109" s="515"/>
      <c r="H1109" s="515"/>
    </row>
    <row r="1110" spans="7:8" x14ac:dyDescent="0.3">
      <c r="G1110" s="515"/>
      <c r="H1110" s="515"/>
    </row>
    <row r="1111" spans="7:8" x14ac:dyDescent="0.3">
      <c r="G1111" s="515"/>
      <c r="H1111" s="515"/>
    </row>
    <row r="1112" spans="7:8" x14ac:dyDescent="0.3">
      <c r="G1112" s="515"/>
      <c r="H1112" s="515"/>
    </row>
    <row r="1113" spans="7:8" x14ac:dyDescent="0.3">
      <c r="G1113" s="515"/>
      <c r="H1113" s="515"/>
    </row>
    <row r="1114" spans="7:8" x14ac:dyDescent="0.3">
      <c r="G1114" s="515"/>
      <c r="H1114" s="515"/>
    </row>
    <row r="1115" spans="7:8" x14ac:dyDescent="0.3">
      <c r="G1115" s="515"/>
      <c r="H1115" s="515"/>
    </row>
    <row r="1116" spans="7:8" x14ac:dyDescent="0.3">
      <c r="G1116" s="515"/>
      <c r="H1116" s="515"/>
    </row>
    <row r="1117" spans="7:8" x14ac:dyDescent="0.3">
      <c r="G1117" s="515"/>
      <c r="H1117" s="515"/>
    </row>
    <row r="1118" spans="7:8" x14ac:dyDescent="0.3">
      <c r="G1118" s="515"/>
      <c r="H1118" s="515"/>
    </row>
    <row r="1119" spans="7:8" x14ac:dyDescent="0.3">
      <c r="G1119" s="515"/>
      <c r="H1119" s="515"/>
    </row>
    <row r="1120" spans="7:8" x14ac:dyDescent="0.3">
      <c r="G1120" s="515"/>
      <c r="H1120" s="515"/>
    </row>
    <row r="1121" spans="7:8" x14ac:dyDescent="0.3">
      <c r="G1121" s="515"/>
      <c r="H1121" s="515"/>
    </row>
    <row r="1122" spans="7:8" x14ac:dyDescent="0.3">
      <c r="G1122" s="515"/>
      <c r="H1122" s="515"/>
    </row>
    <row r="1123" spans="7:8" x14ac:dyDescent="0.3">
      <c r="G1123" s="515"/>
      <c r="H1123" s="515"/>
    </row>
    <row r="1124" spans="7:8" x14ac:dyDescent="0.3">
      <c r="G1124" s="515"/>
      <c r="H1124" s="515"/>
    </row>
    <row r="1125" spans="7:8" x14ac:dyDescent="0.3">
      <c r="G1125" s="515"/>
      <c r="H1125" s="515"/>
    </row>
    <row r="1126" spans="7:8" x14ac:dyDescent="0.3">
      <c r="G1126" s="515"/>
      <c r="H1126" s="515"/>
    </row>
    <row r="1127" spans="7:8" x14ac:dyDescent="0.3">
      <c r="G1127" s="515"/>
      <c r="H1127" s="515"/>
    </row>
    <row r="1128" spans="7:8" x14ac:dyDescent="0.3">
      <c r="G1128" s="515"/>
      <c r="H1128" s="515"/>
    </row>
    <row r="1129" spans="7:8" x14ac:dyDescent="0.3">
      <c r="G1129" s="515"/>
      <c r="H1129" s="515"/>
    </row>
    <row r="1130" spans="7:8" x14ac:dyDescent="0.3">
      <c r="G1130" s="515"/>
      <c r="H1130" s="515"/>
    </row>
    <row r="1131" spans="7:8" x14ac:dyDescent="0.3">
      <c r="G1131" s="515"/>
      <c r="H1131" s="515"/>
    </row>
    <row r="1132" spans="7:8" x14ac:dyDescent="0.3">
      <c r="G1132" s="515"/>
      <c r="H1132" s="515"/>
    </row>
    <row r="1133" spans="7:8" x14ac:dyDescent="0.3">
      <c r="G1133" s="515"/>
      <c r="H1133" s="515"/>
    </row>
    <row r="1134" spans="7:8" x14ac:dyDescent="0.3">
      <c r="G1134" s="515"/>
      <c r="H1134" s="515"/>
    </row>
    <row r="1135" spans="7:8" x14ac:dyDescent="0.3">
      <c r="G1135" s="515"/>
      <c r="H1135" s="515"/>
    </row>
    <row r="1136" spans="7:8" x14ac:dyDescent="0.3">
      <c r="G1136" s="515"/>
      <c r="H1136" s="515"/>
    </row>
    <row r="1137" spans="7:8" x14ac:dyDescent="0.3">
      <c r="G1137" s="515"/>
      <c r="H1137" s="515"/>
    </row>
    <row r="1138" spans="7:8" x14ac:dyDescent="0.3">
      <c r="G1138" s="515"/>
      <c r="H1138" s="515"/>
    </row>
    <row r="1139" spans="7:8" x14ac:dyDescent="0.3">
      <c r="G1139" s="515"/>
      <c r="H1139" s="515"/>
    </row>
    <row r="1140" spans="7:8" x14ac:dyDescent="0.3">
      <c r="G1140" s="515"/>
      <c r="H1140" s="515"/>
    </row>
    <row r="1141" spans="7:8" x14ac:dyDescent="0.3">
      <c r="G1141" s="515"/>
      <c r="H1141" s="515"/>
    </row>
    <row r="1142" spans="7:8" x14ac:dyDescent="0.3">
      <c r="G1142" s="515"/>
      <c r="H1142" s="515"/>
    </row>
    <row r="1143" spans="7:8" x14ac:dyDescent="0.3">
      <c r="G1143" s="515"/>
      <c r="H1143" s="515"/>
    </row>
    <row r="1144" spans="7:8" x14ac:dyDescent="0.3">
      <c r="G1144" s="515"/>
      <c r="H1144" s="515"/>
    </row>
    <row r="1145" spans="7:8" x14ac:dyDescent="0.3">
      <c r="G1145" s="515"/>
      <c r="H1145" s="515"/>
    </row>
    <row r="1146" spans="7:8" x14ac:dyDescent="0.3">
      <c r="G1146" s="515"/>
      <c r="H1146" s="515"/>
    </row>
    <row r="1147" spans="7:8" x14ac:dyDescent="0.3">
      <c r="G1147" s="515"/>
      <c r="H1147" s="515"/>
    </row>
    <row r="1148" spans="7:8" x14ac:dyDescent="0.3">
      <c r="G1148" s="515"/>
      <c r="H1148" s="515"/>
    </row>
    <row r="1149" spans="7:8" x14ac:dyDescent="0.3">
      <c r="G1149" s="515"/>
      <c r="H1149" s="515"/>
    </row>
    <row r="1150" spans="7:8" x14ac:dyDescent="0.3">
      <c r="G1150" s="515"/>
      <c r="H1150" s="515"/>
    </row>
    <row r="1151" spans="7:8" x14ac:dyDescent="0.3">
      <c r="G1151" s="515"/>
      <c r="H1151" s="515"/>
    </row>
    <row r="1152" spans="7:8" x14ac:dyDescent="0.3">
      <c r="G1152" s="515"/>
      <c r="H1152" s="515"/>
    </row>
    <row r="1153" spans="7:8" x14ac:dyDescent="0.3">
      <c r="G1153" s="515"/>
      <c r="H1153" s="515"/>
    </row>
    <row r="1154" spans="7:8" x14ac:dyDescent="0.3">
      <c r="G1154" s="515"/>
      <c r="H1154" s="515"/>
    </row>
    <row r="1155" spans="7:8" x14ac:dyDescent="0.3">
      <c r="G1155" s="515"/>
      <c r="H1155" s="515"/>
    </row>
    <row r="1156" spans="7:8" x14ac:dyDescent="0.3">
      <c r="G1156" s="515"/>
      <c r="H1156" s="515"/>
    </row>
    <row r="1157" spans="7:8" x14ac:dyDescent="0.3">
      <c r="G1157" s="515"/>
      <c r="H1157" s="515"/>
    </row>
    <row r="1158" spans="7:8" x14ac:dyDescent="0.3">
      <c r="G1158" s="515"/>
      <c r="H1158" s="515"/>
    </row>
    <row r="1159" spans="7:8" x14ac:dyDescent="0.3">
      <c r="G1159" s="515"/>
      <c r="H1159" s="515"/>
    </row>
    <row r="1160" spans="7:8" x14ac:dyDescent="0.3">
      <c r="G1160" s="515"/>
      <c r="H1160" s="515"/>
    </row>
    <row r="1161" spans="7:8" x14ac:dyDescent="0.3">
      <c r="G1161" s="515"/>
      <c r="H1161" s="515"/>
    </row>
    <row r="1162" spans="7:8" x14ac:dyDescent="0.3">
      <c r="G1162" s="515"/>
      <c r="H1162" s="515"/>
    </row>
    <row r="1163" spans="7:8" x14ac:dyDescent="0.3">
      <c r="G1163" s="515"/>
      <c r="H1163" s="515"/>
    </row>
    <row r="1164" spans="7:8" x14ac:dyDescent="0.3">
      <c r="G1164" s="515"/>
      <c r="H1164" s="515"/>
    </row>
    <row r="1165" spans="7:8" x14ac:dyDescent="0.3">
      <c r="G1165" s="515"/>
      <c r="H1165" s="515"/>
    </row>
    <row r="1166" spans="7:8" x14ac:dyDescent="0.3">
      <c r="G1166" s="515"/>
      <c r="H1166" s="515"/>
    </row>
    <row r="1167" spans="7:8" x14ac:dyDescent="0.3">
      <c r="G1167" s="515"/>
      <c r="H1167" s="515"/>
    </row>
    <row r="1168" spans="7:8" x14ac:dyDescent="0.3">
      <c r="G1168" s="515"/>
      <c r="H1168" s="515"/>
    </row>
    <row r="1169" spans="7:8" x14ac:dyDescent="0.3">
      <c r="G1169" s="515"/>
      <c r="H1169" s="515"/>
    </row>
    <row r="1170" spans="7:8" x14ac:dyDescent="0.3">
      <c r="G1170" s="515"/>
      <c r="H1170" s="515"/>
    </row>
    <row r="1171" spans="7:8" x14ac:dyDescent="0.3">
      <c r="G1171" s="515"/>
      <c r="H1171" s="515"/>
    </row>
    <row r="1172" spans="7:8" x14ac:dyDescent="0.3">
      <c r="G1172" s="515"/>
      <c r="H1172" s="515"/>
    </row>
    <row r="1173" spans="7:8" x14ac:dyDescent="0.3">
      <c r="G1173" s="515"/>
      <c r="H1173" s="515"/>
    </row>
    <row r="1174" spans="7:8" x14ac:dyDescent="0.3">
      <c r="G1174" s="515"/>
      <c r="H1174" s="515"/>
    </row>
    <row r="1175" spans="7:8" x14ac:dyDescent="0.3">
      <c r="G1175" s="515"/>
      <c r="H1175" s="515"/>
    </row>
    <row r="1176" spans="7:8" x14ac:dyDescent="0.3">
      <c r="G1176" s="515"/>
      <c r="H1176" s="515"/>
    </row>
    <row r="1177" spans="7:8" x14ac:dyDescent="0.3">
      <c r="G1177" s="515"/>
      <c r="H1177" s="515"/>
    </row>
    <row r="1178" spans="7:8" x14ac:dyDescent="0.3">
      <c r="G1178" s="515"/>
      <c r="H1178" s="515"/>
    </row>
    <row r="1179" spans="7:8" x14ac:dyDescent="0.3">
      <c r="G1179" s="515"/>
      <c r="H1179" s="515"/>
    </row>
    <row r="1180" spans="7:8" x14ac:dyDescent="0.3">
      <c r="G1180" s="515"/>
      <c r="H1180" s="515"/>
    </row>
    <row r="1181" spans="7:8" x14ac:dyDescent="0.3">
      <c r="G1181" s="515"/>
      <c r="H1181" s="515"/>
    </row>
    <row r="1182" spans="7:8" x14ac:dyDescent="0.3">
      <c r="G1182" s="515"/>
      <c r="H1182" s="515"/>
    </row>
    <row r="1183" spans="7:8" x14ac:dyDescent="0.3">
      <c r="G1183" s="515"/>
      <c r="H1183" s="515"/>
    </row>
    <row r="1184" spans="7:8" x14ac:dyDescent="0.3">
      <c r="G1184" s="515"/>
      <c r="H1184" s="515"/>
    </row>
    <row r="1185" spans="7:8" x14ac:dyDescent="0.3">
      <c r="G1185" s="515"/>
      <c r="H1185" s="515"/>
    </row>
    <row r="1186" spans="7:8" x14ac:dyDescent="0.3">
      <c r="G1186" s="515"/>
      <c r="H1186" s="515"/>
    </row>
    <row r="1187" spans="7:8" x14ac:dyDescent="0.3">
      <c r="G1187" s="515"/>
      <c r="H1187" s="515"/>
    </row>
    <row r="1188" spans="7:8" x14ac:dyDescent="0.3">
      <c r="G1188" s="515"/>
      <c r="H1188" s="515"/>
    </row>
    <row r="1189" spans="7:8" x14ac:dyDescent="0.3">
      <c r="G1189" s="515"/>
      <c r="H1189" s="515"/>
    </row>
    <row r="1190" spans="7:8" x14ac:dyDescent="0.3">
      <c r="G1190" s="515"/>
      <c r="H1190" s="515"/>
    </row>
    <row r="1191" spans="7:8" x14ac:dyDescent="0.3">
      <c r="G1191" s="515"/>
      <c r="H1191" s="515"/>
    </row>
    <row r="1192" spans="7:8" x14ac:dyDescent="0.3">
      <c r="G1192" s="515"/>
      <c r="H1192" s="515"/>
    </row>
    <row r="1193" spans="7:8" x14ac:dyDescent="0.3">
      <c r="G1193" s="515"/>
      <c r="H1193" s="515"/>
    </row>
    <row r="1194" spans="7:8" x14ac:dyDescent="0.3">
      <c r="G1194" s="515"/>
      <c r="H1194" s="515"/>
    </row>
    <row r="1195" spans="7:8" x14ac:dyDescent="0.3">
      <c r="G1195" s="515"/>
      <c r="H1195" s="515"/>
    </row>
    <row r="1196" spans="7:8" x14ac:dyDescent="0.3">
      <c r="G1196" s="515"/>
      <c r="H1196" s="515"/>
    </row>
    <row r="1197" spans="7:8" x14ac:dyDescent="0.3">
      <c r="G1197" s="515"/>
      <c r="H1197" s="515"/>
    </row>
    <row r="1198" spans="7:8" x14ac:dyDescent="0.3">
      <c r="G1198" s="515"/>
      <c r="H1198" s="515"/>
    </row>
    <row r="1199" spans="7:8" x14ac:dyDescent="0.3">
      <c r="G1199" s="515"/>
      <c r="H1199" s="515"/>
    </row>
    <row r="1200" spans="7:8" x14ac:dyDescent="0.3">
      <c r="G1200" s="515"/>
      <c r="H1200" s="515"/>
    </row>
    <row r="1201" spans="7:8" x14ac:dyDescent="0.3">
      <c r="G1201" s="515"/>
      <c r="H1201" s="515"/>
    </row>
    <row r="1202" spans="7:8" x14ac:dyDescent="0.3">
      <c r="G1202" s="515"/>
      <c r="H1202" s="515"/>
    </row>
    <row r="1203" spans="7:8" x14ac:dyDescent="0.3">
      <c r="G1203" s="515"/>
      <c r="H1203" s="515"/>
    </row>
    <row r="1204" spans="7:8" x14ac:dyDescent="0.3">
      <c r="G1204" s="515"/>
      <c r="H1204" s="515"/>
    </row>
    <row r="1205" spans="7:8" x14ac:dyDescent="0.3">
      <c r="G1205" s="515"/>
      <c r="H1205" s="515"/>
    </row>
    <row r="1206" spans="7:8" x14ac:dyDescent="0.3">
      <c r="G1206" s="515"/>
      <c r="H1206" s="515"/>
    </row>
    <row r="1207" spans="7:8" x14ac:dyDescent="0.3">
      <c r="G1207" s="515"/>
      <c r="H1207" s="515"/>
    </row>
    <row r="1208" spans="7:8" x14ac:dyDescent="0.3">
      <c r="G1208" s="515"/>
      <c r="H1208" s="515"/>
    </row>
    <row r="1209" spans="7:8" x14ac:dyDescent="0.3">
      <c r="G1209" s="515"/>
      <c r="H1209" s="515"/>
    </row>
    <row r="1210" spans="7:8" x14ac:dyDescent="0.3">
      <c r="G1210" s="515"/>
      <c r="H1210" s="515"/>
    </row>
    <row r="1211" spans="7:8" x14ac:dyDescent="0.3">
      <c r="G1211" s="515"/>
      <c r="H1211" s="515"/>
    </row>
    <row r="1212" spans="7:8" x14ac:dyDescent="0.3">
      <c r="G1212" s="515"/>
      <c r="H1212" s="515"/>
    </row>
    <row r="1213" spans="7:8" x14ac:dyDescent="0.3">
      <c r="G1213" s="515"/>
      <c r="H1213" s="515"/>
    </row>
    <row r="1214" spans="7:8" x14ac:dyDescent="0.3">
      <c r="G1214" s="515"/>
      <c r="H1214" s="515"/>
    </row>
    <row r="1215" spans="7:8" x14ac:dyDescent="0.3">
      <c r="G1215" s="515"/>
      <c r="H1215" s="515"/>
    </row>
    <row r="1216" spans="7:8" x14ac:dyDescent="0.3">
      <c r="G1216" s="515"/>
      <c r="H1216" s="515"/>
    </row>
    <row r="1217" spans="7:8" x14ac:dyDescent="0.3">
      <c r="G1217" s="515"/>
      <c r="H1217" s="515"/>
    </row>
    <row r="1218" spans="7:8" x14ac:dyDescent="0.3">
      <c r="G1218" s="515"/>
      <c r="H1218" s="515"/>
    </row>
    <row r="1219" spans="7:8" x14ac:dyDescent="0.3">
      <c r="G1219" s="515"/>
      <c r="H1219" s="515"/>
    </row>
    <row r="1220" spans="7:8" x14ac:dyDescent="0.3">
      <c r="G1220" s="515"/>
      <c r="H1220" s="515"/>
    </row>
    <row r="1221" spans="7:8" x14ac:dyDescent="0.3">
      <c r="G1221" s="515"/>
      <c r="H1221" s="515"/>
    </row>
    <row r="1222" spans="7:8" x14ac:dyDescent="0.3">
      <c r="G1222" s="515"/>
      <c r="H1222" s="515"/>
    </row>
    <row r="1223" spans="7:8" x14ac:dyDescent="0.3">
      <c r="G1223" s="515"/>
      <c r="H1223" s="515"/>
    </row>
    <row r="1224" spans="7:8" x14ac:dyDescent="0.3">
      <c r="G1224" s="515"/>
      <c r="H1224" s="515"/>
    </row>
    <row r="1225" spans="7:8" x14ac:dyDescent="0.3">
      <c r="G1225" s="515"/>
      <c r="H1225" s="515"/>
    </row>
    <row r="1226" spans="7:8" x14ac:dyDescent="0.3">
      <c r="G1226" s="515"/>
      <c r="H1226" s="515"/>
    </row>
    <row r="1227" spans="7:8" x14ac:dyDescent="0.3">
      <c r="G1227" s="515"/>
      <c r="H1227" s="515"/>
    </row>
    <row r="1228" spans="7:8" x14ac:dyDescent="0.3">
      <c r="G1228" s="515"/>
      <c r="H1228" s="515"/>
    </row>
    <row r="1229" spans="7:8" x14ac:dyDescent="0.3">
      <c r="G1229" s="515"/>
      <c r="H1229" s="515"/>
    </row>
    <row r="1230" spans="7:8" x14ac:dyDescent="0.3">
      <c r="G1230" s="515"/>
      <c r="H1230" s="515"/>
    </row>
    <row r="1231" spans="7:8" x14ac:dyDescent="0.3">
      <c r="G1231" s="515"/>
      <c r="H1231" s="515"/>
    </row>
    <row r="1232" spans="7:8" x14ac:dyDescent="0.3">
      <c r="G1232" s="515"/>
      <c r="H1232" s="515"/>
    </row>
    <row r="1233" spans="7:8" x14ac:dyDescent="0.3">
      <c r="G1233" s="515"/>
      <c r="H1233" s="515"/>
    </row>
    <row r="1234" spans="7:8" x14ac:dyDescent="0.3">
      <c r="G1234" s="515"/>
      <c r="H1234" s="515"/>
    </row>
    <row r="1235" spans="7:8" x14ac:dyDescent="0.3">
      <c r="G1235" s="515"/>
      <c r="H1235" s="515"/>
    </row>
    <row r="1236" spans="7:8" x14ac:dyDescent="0.3">
      <c r="G1236" s="515"/>
      <c r="H1236" s="515"/>
    </row>
    <row r="1237" spans="7:8" x14ac:dyDescent="0.3">
      <c r="G1237" s="515"/>
      <c r="H1237" s="515"/>
    </row>
    <row r="1238" spans="7:8" x14ac:dyDescent="0.3">
      <c r="G1238" s="515"/>
      <c r="H1238" s="515"/>
    </row>
    <row r="1239" spans="7:8" x14ac:dyDescent="0.3">
      <c r="G1239" s="515"/>
      <c r="H1239" s="515"/>
    </row>
    <row r="1240" spans="7:8" x14ac:dyDescent="0.3">
      <c r="G1240" s="515"/>
      <c r="H1240" s="515"/>
    </row>
    <row r="1241" spans="7:8" x14ac:dyDescent="0.3">
      <c r="G1241" s="515"/>
      <c r="H1241" s="515"/>
    </row>
    <row r="1242" spans="7:8" x14ac:dyDescent="0.3">
      <c r="G1242" s="515"/>
      <c r="H1242" s="515"/>
    </row>
    <row r="1243" spans="7:8" x14ac:dyDescent="0.3">
      <c r="G1243" s="515"/>
      <c r="H1243" s="515"/>
    </row>
    <row r="1244" spans="7:8" x14ac:dyDescent="0.3">
      <c r="G1244" s="515"/>
      <c r="H1244" s="515"/>
    </row>
    <row r="1245" spans="7:8" x14ac:dyDescent="0.3">
      <c r="G1245" s="515"/>
      <c r="H1245" s="515"/>
    </row>
    <row r="1246" spans="7:8" x14ac:dyDescent="0.3">
      <c r="G1246" s="515"/>
      <c r="H1246" s="515"/>
    </row>
    <row r="1247" spans="7:8" x14ac:dyDescent="0.3">
      <c r="G1247" s="515"/>
      <c r="H1247" s="515"/>
    </row>
    <row r="1248" spans="7:8" x14ac:dyDescent="0.3">
      <c r="G1248" s="515"/>
      <c r="H1248" s="515"/>
    </row>
    <row r="1249" spans="7:8" x14ac:dyDescent="0.3">
      <c r="G1249" s="515"/>
      <c r="H1249" s="515"/>
    </row>
    <row r="1250" spans="7:8" x14ac:dyDescent="0.3">
      <c r="G1250" s="515"/>
      <c r="H1250" s="515"/>
    </row>
    <row r="1251" spans="7:8" x14ac:dyDescent="0.3">
      <c r="G1251" s="515"/>
      <c r="H1251" s="515"/>
    </row>
    <row r="1252" spans="7:8" x14ac:dyDescent="0.3">
      <c r="G1252" s="515"/>
      <c r="H1252" s="515"/>
    </row>
    <row r="1253" spans="7:8" x14ac:dyDescent="0.3">
      <c r="G1253" s="515"/>
      <c r="H1253" s="515"/>
    </row>
    <row r="1254" spans="7:8" x14ac:dyDescent="0.3">
      <c r="G1254" s="515"/>
      <c r="H1254" s="515"/>
    </row>
    <row r="1255" spans="7:8" x14ac:dyDescent="0.3">
      <c r="G1255" s="515"/>
      <c r="H1255" s="515"/>
    </row>
    <row r="1256" spans="7:8" x14ac:dyDescent="0.3">
      <c r="G1256" s="515"/>
      <c r="H1256" s="515"/>
    </row>
    <row r="1257" spans="7:8" x14ac:dyDescent="0.3">
      <c r="G1257" s="515"/>
      <c r="H1257" s="515"/>
    </row>
    <row r="1258" spans="7:8" x14ac:dyDescent="0.3">
      <c r="G1258" s="515"/>
      <c r="H1258" s="515"/>
    </row>
    <row r="1259" spans="7:8" x14ac:dyDescent="0.3">
      <c r="G1259" s="515"/>
      <c r="H1259" s="515"/>
    </row>
    <row r="1260" spans="7:8" x14ac:dyDescent="0.3">
      <c r="G1260" s="515"/>
      <c r="H1260" s="515"/>
    </row>
    <row r="1261" spans="7:8" x14ac:dyDescent="0.3">
      <c r="G1261" s="515"/>
      <c r="H1261" s="515"/>
    </row>
    <row r="1262" spans="7:8" x14ac:dyDescent="0.3">
      <c r="G1262" s="515"/>
      <c r="H1262" s="515"/>
    </row>
    <row r="1263" spans="7:8" x14ac:dyDescent="0.3">
      <c r="G1263" s="515"/>
      <c r="H1263" s="515"/>
    </row>
    <row r="1264" spans="7:8" x14ac:dyDescent="0.3">
      <c r="G1264" s="515"/>
      <c r="H1264" s="515"/>
    </row>
    <row r="1265" spans="7:8" x14ac:dyDescent="0.3">
      <c r="G1265" s="515"/>
      <c r="H1265" s="515"/>
    </row>
    <row r="1266" spans="7:8" x14ac:dyDescent="0.3">
      <c r="G1266" s="515"/>
      <c r="H1266" s="515"/>
    </row>
    <row r="1267" spans="7:8" x14ac:dyDescent="0.3">
      <c r="G1267" s="515"/>
      <c r="H1267" s="515"/>
    </row>
    <row r="1268" spans="7:8" x14ac:dyDescent="0.3">
      <c r="G1268" s="515"/>
      <c r="H1268" s="515"/>
    </row>
    <row r="1269" spans="7:8" x14ac:dyDescent="0.3">
      <c r="G1269" s="515"/>
      <c r="H1269" s="515"/>
    </row>
    <row r="1270" spans="7:8" x14ac:dyDescent="0.3">
      <c r="G1270" s="515"/>
      <c r="H1270" s="515"/>
    </row>
    <row r="1271" spans="7:8" x14ac:dyDescent="0.3">
      <c r="G1271" s="515"/>
      <c r="H1271" s="515"/>
    </row>
    <row r="1272" spans="7:8" x14ac:dyDescent="0.3">
      <c r="G1272" s="515"/>
      <c r="H1272" s="515"/>
    </row>
    <row r="1273" spans="7:8" x14ac:dyDescent="0.3">
      <c r="G1273" s="515"/>
      <c r="H1273" s="515"/>
    </row>
    <row r="1274" spans="7:8" x14ac:dyDescent="0.3">
      <c r="G1274" s="515"/>
      <c r="H1274" s="515"/>
    </row>
    <row r="1275" spans="7:8" x14ac:dyDescent="0.3">
      <c r="G1275" s="515"/>
      <c r="H1275" s="515"/>
    </row>
    <row r="1276" spans="7:8" x14ac:dyDescent="0.3">
      <c r="G1276" s="515"/>
      <c r="H1276" s="515"/>
    </row>
    <row r="1277" spans="7:8" x14ac:dyDescent="0.3">
      <c r="G1277" s="515"/>
      <c r="H1277" s="515"/>
    </row>
    <row r="1278" spans="7:8" x14ac:dyDescent="0.3">
      <c r="G1278" s="515"/>
      <c r="H1278" s="515"/>
    </row>
    <row r="1279" spans="7:8" x14ac:dyDescent="0.3">
      <c r="G1279" s="515"/>
      <c r="H1279" s="515"/>
    </row>
    <row r="1280" spans="7:8" x14ac:dyDescent="0.3">
      <c r="G1280" s="515"/>
      <c r="H1280" s="515"/>
    </row>
    <row r="1281" spans="7:8" x14ac:dyDescent="0.3">
      <c r="G1281" s="515"/>
      <c r="H1281" s="515"/>
    </row>
    <row r="1282" spans="7:8" x14ac:dyDescent="0.3">
      <c r="G1282" s="515"/>
      <c r="H1282" s="515"/>
    </row>
    <row r="1283" spans="7:8" x14ac:dyDescent="0.3">
      <c r="G1283" s="515"/>
      <c r="H1283" s="515"/>
    </row>
    <row r="1284" spans="7:8" x14ac:dyDescent="0.3">
      <c r="G1284" s="515"/>
      <c r="H1284" s="515"/>
    </row>
    <row r="1285" spans="7:8" x14ac:dyDescent="0.3">
      <c r="G1285" s="515"/>
      <c r="H1285" s="515"/>
    </row>
    <row r="1286" spans="7:8" x14ac:dyDescent="0.3">
      <c r="G1286" s="515"/>
      <c r="H1286" s="515"/>
    </row>
    <row r="1287" spans="7:8" x14ac:dyDescent="0.3">
      <c r="G1287" s="515"/>
      <c r="H1287" s="515"/>
    </row>
    <row r="1288" spans="7:8" x14ac:dyDescent="0.3">
      <c r="G1288" s="515"/>
      <c r="H1288" s="515"/>
    </row>
    <row r="1289" spans="7:8" x14ac:dyDescent="0.3">
      <c r="G1289" s="515"/>
      <c r="H1289" s="515"/>
    </row>
    <row r="1290" spans="7:8" x14ac:dyDescent="0.3">
      <c r="G1290" s="515"/>
      <c r="H1290" s="515"/>
    </row>
    <row r="1291" spans="7:8" x14ac:dyDescent="0.3">
      <c r="G1291" s="515"/>
      <c r="H1291" s="515"/>
    </row>
    <row r="1292" spans="7:8" x14ac:dyDescent="0.3">
      <c r="G1292" s="515"/>
      <c r="H1292" s="515"/>
    </row>
    <row r="1293" spans="7:8" x14ac:dyDescent="0.3">
      <c r="G1293" s="515"/>
      <c r="H1293" s="515"/>
    </row>
    <row r="1294" spans="7:8" x14ac:dyDescent="0.3">
      <c r="G1294" s="515"/>
      <c r="H1294" s="515"/>
    </row>
    <row r="1295" spans="7:8" x14ac:dyDescent="0.3">
      <c r="G1295" s="515"/>
      <c r="H1295" s="515"/>
    </row>
    <row r="1296" spans="7:8" x14ac:dyDescent="0.3">
      <c r="G1296" s="515"/>
      <c r="H1296" s="515"/>
    </row>
    <row r="1297" spans="7:8" x14ac:dyDescent="0.3">
      <c r="G1297" s="515"/>
      <c r="H1297" s="515"/>
    </row>
    <row r="1298" spans="7:8" x14ac:dyDescent="0.3">
      <c r="G1298" s="515"/>
      <c r="H1298" s="515"/>
    </row>
    <row r="1299" spans="7:8" x14ac:dyDescent="0.3">
      <c r="G1299" s="515"/>
      <c r="H1299" s="515"/>
    </row>
    <row r="1300" spans="7:8" x14ac:dyDescent="0.3">
      <c r="G1300" s="515"/>
      <c r="H1300" s="515"/>
    </row>
    <row r="1301" spans="7:8" x14ac:dyDescent="0.3">
      <c r="G1301" s="515"/>
      <c r="H1301" s="515"/>
    </row>
    <row r="1302" spans="7:8" x14ac:dyDescent="0.3">
      <c r="G1302" s="515"/>
      <c r="H1302" s="515"/>
    </row>
    <row r="1303" spans="7:8" x14ac:dyDescent="0.3">
      <c r="G1303" s="515"/>
      <c r="H1303" s="515"/>
    </row>
    <row r="1304" spans="7:8" x14ac:dyDescent="0.3">
      <c r="G1304" s="515"/>
      <c r="H1304" s="515"/>
    </row>
    <row r="1305" spans="7:8" x14ac:dyDescent="0.3">
      <c r="G1305" s="515"/>
      <c r="H1305" s="515"/>
    </row>
    <row r="1306" spans="7:8" x14ac:dyDescent="0.3">
      <c r="G1306" s="515"/>
      <c r="H1306" s="515"/>
    </row>
    <row r="1307" spans="7:8" x14ac:dyDescent="0.3">
      <c r="G1307" s="515"/>
      <c r="H1307" s="515"/>
    </row>
    <row r="1308" spans="7:8" x14ac:dyDescent="0.3">
      <c r="G1308" s="515"/>
      <c r="H1308" s="515"/>
    </row>
    <row r="1309" spans="7:8" x14ac:dyDescent="0.3">
      <c r="G1309" s="515"/>
      <c r="H1309" s="515"/>
    </row>
    <row r="1310" spans="7:8" x14ac:dyDescent="0.3">
      <c r="G1310" s="515"/>
      <c r="H1310" s="515"/>
    </row>
    <row r="1311" spans="7:8" x14ac:dyDescent="0.3">
      <c r="G1311" s="515"/>
      <c r="H1311" s="515"/>
    </row>
    <row r="1312" spans="7:8" x14ac:dyDescent="0.3">
      <c r="G1312" s="515"/>
      <c r="H1312" s="515"/>
    </row>
    <row r="1313" spans="7:8" x14ac:dyDescent="0.3">
      <c r="G1313" s="515"/>
      <c r="H1313" s="515"/>
    </row>
    <row r="1314" spans="7:8" x14ac:dyDescent="0.3">
      <c r="G1314" s="515"/>
      <c r="H1314" s="515"/>
    </row>
    <row r="1315" spans="7:8" x14ac:dyDescent="0.3">
      <c r="G1315" s="515"/>
      <c r="H1315" s="515"/>
    </row>
    <row r="1316" spans="7:8" x14ac:dyDescent="0.3">
      <c r="G1316" s="515"/>
      <c r="H1316" s="515"/>
    </row>
    <row r="1317" spans="7:8" x14ac:dyDescent="0.3">
      <c r="G1317" s="515"/>
      <c r="H1317" s="515"/>
    </row>
    <row r="1318" spans="7:8" x14ac:dyDescent="0.3">
      <c r="G1318" s="515"/>
      <c r="H1318" s="515"/>
    </row>
    <row r="1319" spans="7:8" x14ac:dyDescent="0.3">
      <c r="G1319" s="515"/>
      <c r="H1319" s="515"/>
    </row>
    <row r="1320" spans="7:8" x14ac:dyDescent="0.3">
      <c r="G1320" s="515"/>
      <c r="H1320" s="515"/>
    </row>
    <row r="1321" spans="7:8" x14ac:dyDescent="0.3">
      <c r="G1321" s="515"/>
      <c r="H1321" s="515"/>
    </row>
    <row r="1322" spans="7:8" x14ac:dyDescent="0.3">
      <c r="G1322" s="515"/>
      <c r="H1322" s="515"/>
    </row>
    <row r="1323" spans="7:8" x14ac:dyDescent="0.3">
      <c r="G1323" s="515"/>
      <c r="H1323" s="515"/>
    </row>
    <row r="1324" spans="7:8" x14ac:dyDescent="0.3">
      <c r="G1324" s="515"/>
      <c r="H1324" s="515"/>
    </row>
    <row r="1325" spans="7:8" x14ac:dyDescent="0.3">
      <c r="G1325" s="515"/>
      <c r="H1325" s="515"/>
    </row>
    <row r="1326" spans="7:8" x14ac:dyDescent="0.3">
      <c r="G1326" s="515"/>
      <c r="H1326" s="515"/>
    </row>
    <row r="1327" spans="7:8" x14ac:dyDescent="0.3">
      <c r="G1327" s="515"/>
      <c r="H1327" s="515"/>
    </row>
    <row r="1328" spans="7:8" x14ac:dyDescent="0.3">
      <c r="G1328" s="515"/>
      <c r="H1328" s="515"/>
    </row>
    <row r="1329" spans="7:8" x14ac:dyDescent="0.3">
      <c r="G1329" s="515"/>
      <c r="H1329" s="515"/>
    </row>
    <row r="1330" spans="7:8" x14ac:dyDescent="0.3">
      <c r="G1330" s="515"/>
      <c r="H1330" s="515"/>
    </row>
    <row r="1331" spans="7:8" x14ac:dyDescent="0.3">
      <c r="G1331" s="515"/>
      <c r="H1331" s="515"/>
    </row>
    <row r="1332" spans="7:8" x14ac:dyDescent="0.3">
      <c r="G1332" s="515"/>
      <c r="H1332" s="515"/>
    </row>
    <row r="1333" spans="7:8" x14ac:dyDescent="0.3">
      <c r="G1333" s="515"/>
      <c r="H1333" s="515"/>
    </row>
    <row r="1334" spans="7:8" x14ac:dyDescent="0.3">
      <c r="G1334" s="515"/>
      <c r="H1334" s="515"/>
    </row>
    <row r="1335" spans="7:8" x14ac:dyDescent="0.3">
      <c r="G1335" s="515"/>
      <c r="H1335" s="515"/>
    </row>
    <row r="1336" spans="7:8" x14ac:dyDescent="0.3">
      <c r="G1336" s="515"/>
      <c r="H1336" s="515"/>
    </row>
    <row r="1337" spans="7:8" x14ac:dyDescent="0.3">
      <c r="G1337" s="515"/>
      <c r="H1337" s="515"/>
    </row>
    <row r="1338" spans="7:8" x14ac:dyDescent="0.3">
      <c r="G1338" s="515"/>
      <c r="H1338" s="515"/>
    </row>
    <row r="1339" spans="7:8" x14ac:dyDescent="0.3">
      <c r="G1339" s="515"/>
      <c r="H1339" s="515"/>
    </row>
    <row r="1340" spans="7:8" x14ac:dyDescent="0.3">
      <c r="G1340" s="515"/>
      <c r="H1340" s="515"/>
    </row>
    <row r="1341" spans="7:8" x14ac:dyDescent="0.3">
      <c r="G1341" s="515"/>
      <c r="H1341" s="515"/>
    </row>
    <row r="1342" spans="7:8" x14ac:dyDescent="0.3">
      <c r="G1342" s="515"/>
      <c r="H1342" s="515"/>
    </row>
    <row r="1343" spans="7:8" x14ac:dyDescent="0.3">
      <c r="G1343" s="515"/>
      <c r="H1343" s="515"/>
    </row>
    <row r="1344" spans="7:8" x14ac:dyDescent="0.3">
      <c r="G1344" s="515"/>
      <c r="H1344" s="515"/>
    </row>
    <row r="1345" spans="7:8" x14ac:dyDescent="0.3">
      <c r="G1345" s="515"/>
      <c r="H1345" s="515"/>
    </row>
    <row r="1346" spans="7:8" x14ac:dyDescent="0.3">
      <c r="G1346" s="515"/>
      <c r="H1346" s="515"/>
    </row>
    <row r="1347" spans="7:8" x14ac:dyDescent="0.3">
      <c r="G1347" s="515"/>
      <c r="H1347" s="515"/>
    </row>
    <row r="1348" spans="7:8" x14ac:dyDescent="0.3">
      <c r="G1348" s="515"/>
      <c r="H1348" s="515"/>
    </row>
    <row r="1349" spans="7:8" x14ac:dyDescent="0.3">
      <c r="G1349" s="515"/>
      <c r="H1349" s="515"/>
    </row>
    <row r="1350" spans="7:8" x14ac:dyDescent="0.3">
      <c r="G1350" s="515"/>
      <c r="H1350" s="515"/>
    </row>
    <row r="1351" spans="7:8" x14ac:dyDescent="0.3">
      <c r="G1351" s="515"/>
      <c r="H1351" s="515"/>
    </row>
    <row r="1352" spans="7:8" x14ac:dyDescent="0.3">
      <c r="G1352" s="515"/>
      <c r="H1352" s="515"/>
    </row>
    <row r="1353" spans="7:8" x14ac:dyDescent="0.3">
      <c r="G1353" s="515"/>
      <c r="H1353" s="515"/>
    </row>
    <row r="1354" spans="7:8" x14ac:dyDescent="0.3">
      <c r="G1354" s="515"/>
      <c r="H1354" s="515"/>
    </row>
    <row r="1355" spans="7:8" x14ac:dyDescent="0.3">
      <c r="G1355" s="515"/>
      <c r="H1355" s="515"/>
    </row>
    <row r="1356" spans="7:8" x14ac:dyDescent="0.3">
      <c r="G1356" s="515"/>
      <c r="H1356" s="515"/>
    </row>
    <row r="1357" spans="7:8" x14ac:dyDescent="0.3">
      <c r="G1357" s="515"/>
      <c r="H1357" s="515"/>
    </row>
    <row r="1358" spans="7:8" x14ac:dyDescent="0.3">
      <c r="G1358" s="515"/>
      <c r="H1358" s="515"/>
    </row>
    <row r="1359" spans="7:8" x14ac:dyDescent="0.3">
      <c r="G1359" s="515"/>
      <c r="H1359" s="515"/>
    </row>
    <row r="1360" spans="7:8" x14ac:dyDescent="0.3">
      <c r="G1360" s="515"/>
      <c r="H1360" s="515"/>
    </row>
    <row r="1361" spans="7:8" x14ac:dyDescent="0.3">
      <c r="G1361" s="515"/>
      <c r="H1361" s="515"/>
    </row>
    <row r="1362" spans="7:8" x14ac:dyDescent="0.3">
      <c r="G1362" s="515"/>
      <c r="H1362" s="515"/>
    </row>
    <row r="1363" spans="7:8" x14ac:dyDescent="0.3">
      <c r="G1363" s="515"/>
      <c r="H1363" s="515"/>
    </row>
    <row r="1364" spans="7:8" x14ac:dyDescent="0.3">
      <c r="G1364" s="515"/>
      <c r="H1364" s="515"/>
    </row>
    <row r="1365" spans="7:8" x14ac:dyDescent="0.3">
      <c r="G1365" s="515"/>
      <c r="H1365" s="515"/>
    </row>
    <row r="1366" spans="7:8" x14ac:dyDescent="0.3">
      <c r="G1366" s="515"/>
      <c r="H1366" s="515"/>
    </row>
    <row r="1367" spans="7:8" x14ac:dyDescent="0.3">
      <c r="G1367" s="515"/>
      <c r="H1367" s="515"/>
    </row>
    <row r="1368" spans="7:8" x14ac:dyDescent="0.3">
      <c r="G1368" s="515"/>
      <c r="H1368" s="515"/>
    </row>
    <row r="1369" spans="7:8" x14ac:dyDescent="0.3">
      <c r="G1369" s="515"/>
      <c r="H1369" s="515"/>
    </row>
    <row r="1370" spans="7:8" x14ac:dyDescent="0.3">
      <c r="G1370" s="515"/>
      <c r="H1370" s="515"/>
    </row>
    <row r="1371" spans="7:8" x14ac:dyDescent="0.3">
      <c r="G1371" s="515"/>
      <c r="H1371" s="515"/>
    </row>
    <row r="1372" spans="7:8" x14ac:dyDescent="0.3">
      <c r="G1372" s="515"/>
      <c r="H1372" s="515"/>
    </row>
    <row r="1373" spans="7:8" x14ac:dyDescent="0.3">
      <c r="G1373" s="515"/>
      <c r="H1373" s="515"/>
    </row>
    <row r="1374" spans="7:8" x14ac:dyDescent="0.3">
      <c r="G1374" s="515"/>
      <c r="H1374" s="515"/>
    </row>
    <row r="1375" spans="7:8" x14ac:dyDescent="0.3">
      <c r="G1375" s="515"/>
      <c r="H1375" s="515"/>
    </row>
    <row r="1376" spans="7:8" x14ac:dyDescent="0.3">
      <c r="G1376" s="515"/>
      <c r="H1376" s="515"/>
    </row>
    <row r="1377" spans="7:8" x14ac:dyDescent="0.3">
      <c r="G1377" s="515"/>
      <c r="H1377" s="515"/>
    </row>
    <row r="1378" spans="7:8" x14ac:dyDescent="0.3">
      <c r="G1378" s="515"/>
      <c r="H1378" s="515"/>
    </row>
    <row r="1379" spans="7:8" x14ac:dyDescent="0.3">
      <c r="G1379" s="515"/>
      <c r="H1379" s="515"/>
    </row>
    <row r="1380" spans="7:8" x14ac:dyDescent="0.3">
      <c r="G1380" s="515"/>
      <c r="H1380" s="515"/>
    </row>
    <row r="1381" spans="7:8" x14ac:dyDescent="0.3">
      <c r="G1381" s="515"/>
      <c r="H1381" s="515"/>
    </row>
    <row r="1382" spans="7:8" x14ac:dyDescent="0.3">
      <c r="G1382" s="515"/>
      <c r="H1382" s="515"/>
    </row>
    <row r="1383" spans="7:8" x14ac:dyDescent="0.3">
      <c r="G1383" s="515"/>
      <c r="H1383" s="515"/>
    </row>
    <row r="1384" spans="7:8" x14ac:dyDescent="0.3">
      <c r="G1384" s="515"/>
      <c r="H1384" s="515"/>
    </row>
    <row r="1385" spans="7:8" x14ac:dyDescent="0.3">
      <c r="G1385" s="515"/>
      <c r="H1385" s="515"/>
    </row>
    <row r="1386" spans="7:8" x14ac:dyDescent="0.3">
      <c r="G1386" s="515"/>
      <c r="H1386" s="515"/>
    </row>
    <row r="1387" spans="7:8" x14ac:dyDescent="0.3">
      <c r="G1387" s="515"/>
      <c r="H1387" s="515"/>
    </row>
    <row r="1388" spans="7:8" x14ac:dyDescent="0.3">
      <c r="G1388" s="515"/>
      <c r="H1388" s="515"/>
    </row>
    <row r="1389" spans="7:8" x14ac:dyDescent="0.3">
      <c r="G1389" s="515"/>
      <c r="H1389" s="515"/>
    </row>
    <row r="1390" spans="7:8" x14ac:dyDescent="0.3">
      <c r="G1390" s="515"/>
      <c r="H1390" s="515"/>
    </row>
    <row r="1391" spans="7:8" x14ac:dyDescent="0.3">
      <c r="G1391" s="515"/>
      <c r="H1391" s="515"/>
    </row>
    <row r="1392" spans="7:8" x14ac:dyDescent="0.3">
      <c r="G1392" s="515"/>
      <c r="H1392" s="515"/>
    </row>
    <row r="1393" spans="7:8" x14ac:dyDescent="0.3">
      <c r="G1393" s="515"/>
      <c r="H1393" s="515"/>
    </row>
    <row r="1394" spans="7:8" x14ac:dyDescent="0.3">
      <c r="G1394" s="515"/>
      <c r="H1394" s="515"/>
    </row>
    <row r="1395" spans="7:8" x14ac:dyDescent="0.3">
      <c r="G1395" s="515"/>
      <c r="H1395" s="515"/>
    </row>
    <row r="1396" spans="7:8" x14ac:dyDescent="0.3">
      <c r="G1396" s="515"/>
      <c r="H1396" s="515"/>
    </row>
    <row r="1397" spans="7:8" x14ac:dyDescent="0.3">
      <c r="G1397" s="515"/>
      <c r="H1397" s="515"/>
    </row>
    <row r="1398" spans="7:8" x14ac:dyDescent="0.3">
      <c r="G1398" s="515"/>
      <c r="H1398" s="515"/>
    </row>
    <row r="1399" spans="7:8" x14ac:dyDescent="0.3">
      <c r="G1399" s="515"/>
      <c r="H1399" s="515"/>
    </row>
    <row r="1400" spans="7:8" x14ac:dyDescent="0.3">
      <c r="G1400" s="515"/>
      <c r="H1400" s="515"/>
    </row>
    <row r="1401" spans="7:8" x14ac:dyDescent="0.3">
      <c r="G1401" s="515"/>
      <c r="H1401" s="515"/>
    </row>
    <row r="1402" spans="7:8" x14ac:dyDescent="0.3">
      <c r="G1402" s="515"/>
      <c r="H1402" s="515"/>
    </row>
    <row r="1403" spans="7:8" x14ac:dyDescent="0.3">
      <c r="G1403" s="515"/>
      <c r="H1403" s="515"/>
    </row>
    <row r="1404" spans="7:8" x14ac:dyDescent="0.3">
      <c r="G1404" s="515"/>
      <c r="H1404" s="515"/>
    </row>
    <row r="1405" spans="7:8" x14ac:dyDescent="0.3">
      <c r="G1405" s="515"/>
      <c r="H1405" s="515"/>
    </row>
    <row r="1406" spans="7:8" x14ac:dyDescent="0.3">
      <c r="G1406" s="515"/>
      <c r="H1406" s="515"/>
    </row>
    <row r="1407" spans="7:8" x14ac:dyDescent="0.3">
      <c r="G1407" s="515"/>
      <c r="H1407" s="515"/>
    </row>
    <row r="1408" spans="7:8" x14ac:dyDescent="0.3">
      <c r="G1408" s="515"/>
      <c r="H1408" s="515"/>
    </row>
    <row r="1409" spans="7:8" x14ac:dyDescent="0.3">
      <c r="G1409" s="515"/>
      <c r="H1409" s="515"/>
    </row>
    <row r="1410" spans="7:8" x14ac:dyDescent="0.3">
      <c r="G1410" s="515"/>
      <c r="H1410" s="515"/>
    </row>
    <row r="1411" spans="7:8" x14ac:dyDescent="0.3">
      <c r="G1411" s="515"/>
      <c r="H1411" s="515"/>
    </row>
    <row r="1412" spans="7:8" x14ac:dyDescent="0.3">
      <c r="G1412" s="515"/>
      <c r="H1412" s="515"/>
    </row>
    <row r="1413" spans="7:8" x14ac:dyDescent="0.3">
      <c r="G1413" s="515"/>
      <c r="H1413" s="515"/>
    </row>
    <row r="1414" spans="7:8" x14ac:dyDescent="0.3">
      <c r="G1414" s="515"/>
      <c r="H1414" s="515"/>
    </row>
    <row r="1415" spans="7:8" x14ac:dyDescent="0.3">
      <c r="G1415" s="515"/>
      <c r="H1415" s="515"/>
    </row>
    <row r="1416" spans="7:8" x14ac:dyDescent="0.3">
      <c r="G1416" s="515"/>
      <c r="H1416" s="515"/>
    </row>
    <row r="1417" spans="7:8" x14ac:dyDescent="0.3">
      <c r="G1417" s="515"/>
      <c r="H1417" s="515"/>
    </row>
    <row r="1418" spans="7:8" x14ac:dyDescent="0.3">
      <c r="G1418" s="515"/>
      <c r="H1418" s="515"/>
    </row>
    <row r="1419" spans="7:8" x14ac:dyDescent="0.3">
      <c r="G1419" s="515"/>
      <c r="H1419" s="515"/>
    </row>
    <row r="1420" spans="7:8" x14ac:dyDescent="0.3">
      <c r="G1420" s="515"/>
      <c r="H1420" s="515"/>
    </row>
    <row r="1421" spans="7:8" x14ac:dyDescent="0.3">
      <c r="G1421" s="515"/>
      <c r="H1421" s="515"/>
    </row>
    <row r="1422" spans="7:8" x14ac:dyDescent="0.3">
      <c r="G1422" s="515"/>
      <c r="H1422" s="515"/>
    </row>
    <row r="1423" spans="7:8" x14ac:dyDescent="0.3">
      <c r="G1423" s="515"/>
      <c r="H1423" s="515"/>
    </row>
    <row r="1424" spans="7:8" x14ac:dyDescent="0.3">
      <c r="G1424" s="515"/>
      <c r="H1424" s="515"/>
    </row>
    <row r="1425" spans="7:8" x14ac:dyDescent="0.3">
      <c r="G1425" s="515"/>
      <c r="H1425" s="515"/>
    </row>
    <row r="1426" spans="7:8" x14ac:dyDescent="0.3">
      <c r="G1426" s="515"/>
      <c r="H1426" s="515"/>
    </row>
    <row r="1427" spans="7:8" x14ac:dyDescent="0.3">
      <c r="G1427" s="515"/>
      <c r="H1427" s="515"/>
    </row>
    <row r="1428" spans="7:8" x14ac:dyDescent="0.3">
      <c r="G1428" s="515"/>
      <c r="H1428" s="515"/>
    </row>
    <row r="1429" spans="7:8" x14ac:dyDescent="0.3">
      <c r="G1429" s="515"/>
      <c r="H1429" s="515"/>
    </row>
    <row r="1430" spans="7:8" x14ac:dyDescent="0.3">
      <c r="G1430" s="515"/>
      <c r="H1430" s="515"/>
    </row>
    <row r="1431" spans="7:8" x14ac:dyDescent="0.3">
      <c r="G1431" s="515"/>
      <c r="H1431" s="515"/>
    </row>
    <row r="1432" spans="7:8" x14ac:dyDescent="0.3">
      <c r="G1432" s="515"/>
      <c r="H1432" s="515"/>
    </row>
    <row r="1433" spans="7:8" x14ac:dyDescent="0.3">
      <c r="G1433" s="515"/>
      <c r="H1433" s="515"/>
    </row>
    <row r="1434" spans="7:8" x14ac:dyDescent="0.3">
      <c r="G1434" s="515"/>
      <c r="H1434" s="515"/>
    </row>
    <row r="1435" spans="7:8" x14ac:dyDescent="0.3">
      <c r="G1435" s="515"/>
      <c r="H1435" s="515"/>
    </row>
    <row r="1436" spans="7:8" x14ac:dyDescent="0.3">
      <c r="G1436" s="515"/>
      <c r="H1436" s="515"/>
    </row>
    <row r="1437" spans="7:8" x14ac:dyDescent="0.3">
      <c r="G1437" s="515"/>
      <c r="H1437" s="515"/>
    </row>
    <row r="1438" spans="7:8" x14ac:dyDescent="0.3">
      <c r="G1438" s="515"/>
      <c r="H1438" s="515"/>
    </row>
    <row r="1439" spans="7:8" x14ac:dyDescent="0.3">
      <c r="G1439" s="515"/>
      <c r="H1439" s="515"/>
    </row>
    <row r="1440" spans="7:8" x14ac:dyDescent="0.3">
      <c r="G1440" s="515"/>
      <c r="H1440" s="515"/>
    </row>
    <row r="1441" spans="7:8" x14ac:dyDescent="0.3">
      <c r="G1441" s="515"/>
      <c r="H1441" s="515"/>
    </row>
    <row r="1442" spans="7:8" x14ac:dyDescent="0.3">
      <c r="G1442" s="515"/>
      <c r="H1442" s="515"/>
    </row>
    <row r="1443" spans="7:8" x14ac:dyDescent="0.3">
      <c r="G1443" s="515"/>
      <c r="H1443" s="515"/>
    </row>
    <row r="1444" spans="7:8" x14ac:dyDescent="0.3">
      <c r="G1444" s="515"/>
      <c r="H1444" s="515"/>
    </row>
    <row r="1445" spans="7:8" x14ac:dyDescent="0.3">
      <c r="G1445" s="515"/>
      <c r="H1445" s="515"/>
    </row>
    <row r="1446" spans="7:8" x14ac:dyDescent="0.3">
      <c r="G1446" s="515"/>
      <c r="H1446" s="515"/>
    </row>
    <row r="1447" spans="7:8" x14ac:dyDescent="0.3">
      <c r="G1447" s="515"/>
      <c r="H1447" s="515"/>
    </row>
    <row r="1448" spans="7:8" x14ac:dyDescent="0.3">
      <c r="G1448" s="515"/>
      <c r="H1448" s="515"/>
    </row>
    <row r="1449" spans="7:8" x14ac:dyDescent="0.3">
      <c r="G1449" s="515"/>
      <c r="H1449" s="515"/>
    </row>
    <row r="1450" spans="7:8" x14ac:dyDescent="0.3">
      <c r="G1450" s="515"/>
      <c r="H1450" s="515"/>
    </row>
    <row r="1451" spans="7:8" x14ac:dyDescent="0.3">
      <c r="G1451" s="515"/>
      <c r="H1451" s="515"/>
    </row>
    <row r="1452" spans="7:8" x14ac:dyDescent="0.3">
      <c r="G1452" s="515"/>
      <c r="H1452" s="515"/>
    </row>
    <row r="1453" spans="7:8" x14ac:dyDescent="0.3">
      <c r="G1453" s="515"/>
      <c r="H1453" s="515"/>
    </row>
    <row r="1454" spans="7:8" x14ac:dyDescent="0.3">
      <c r="G1454" s="515"/>
      <c r="H1454" s="515"/>
    </row>
    <row r="1455" spans="7:8" x14ac:dyDescent="0.3">
      <c r="G1455" s="515"/>
      <c r="H1455" s="515"/>
    </row>
    <row r="1456" spans="7:8" x14ac:dyDescent="0.3">
      <c r="G1456" s="515"/>
      <c r="H1456" s="515"/>
    </row>
    <row r="1457" spans="7:8" x14ac:dyDescent="0.3">
      <c r="G1457" s="515"/>
      <c r="H1457" s="515"/>
    </row>
    <row r="1458" spans="7:8" x14ac:dyDescent="0.3">
      <c r="G1458" s="515"/>
      <c r="H1458" s="515"/>
    </row>
    <row r="1459" spans="7:8" x14ac:dyDescent="0.3">
      <c r="G1459" s="515"/>
      <c r="H1459" s="515"/>
    </row>
    <row r="1460" spans="7:8" x14ac:dyDescent="0.3">
      <c r="G1460" s="515"/>
      <c r="H1460" s="515"/>
    </row>
    <row r="1461" spans="7:8" x14ac:dyDescent="0.3">
      <c r="G1461" s="515"/>
      <c r="H1461" s="515"/>
    </row>
    <row r="1462" spans="7:8" x14ac:dyDescent="0.3">
      <c r="G1462" s="515"/>
      <c r="H1462" s="515"/>
    </row>
    <row r="1463" spans="7:8" x14ac:dyDescent="0.3">
      <c r="G1463" s="515"/>
      <c r="H1463" s="515"/>
    </row>
    <row r="1464" spans="7:8" x14ac:dyDescent="0.3">
      <c r="G1464" s="515"/>
      <c r="H1464" s="515"/>
    </row>
    <row r="1465" spans="7:8" x14ac:dyDescent="0.3">
      <c r="G1465" s="515"/>
      <c r="H1465" s="515"/>
    </row>
    <row r="1466" spans="7:8" x14ac:dyDescent="0.3">
      <c r="G1466" s="515"/>
      <c r="H1466" s="515"/>
    </row>
    <row r="1467" spans="7:8" x14ac:dyDescent="0.3">
      <c r="G1467" s="515"/>
      <c r="H1467" s="515"/>
    </row>
    <row r="1468" spans="7:8" x14ac:dyDescent="0.3">
      <c r="G1468" s="515"/>
      <c r="H1468" s="515"/>
    </row>
    <row r="1469" spans="7:8" x14ac:dyDescent="0.3">
      <c r="G1469" s="515"/>
      <c r="H1469" s="515"/>
    </row>
    <row r="1470" spans="7:8" x14ac:dyDescent="0.3">
      <c r="G1470" s="515"/>
      <c r="H1470" s="515"/>
    </row>
    <row r="1471" spans="7:8" x14ac:dyDescent="0.3">
      <c r="G1471" s="515"/>
      <c r="H1471" s="515"/>
    </row>
    <row r="1472" spans="7:8" x14ac:dyDescent="0.3">
      <c r="G1472" s="515"/>
      <c r="H1472" s="515"/>
    </row>
    <row r="1473" spans="7:8" x14ac:dyDescent="0.3">
      <c r="G1473" s="515"/>
      <c r="H1473" s="515"/>
    </row>
    <row r="1474" spans="7:8" x14ac:dyDescent="0.3">
      <c r="G1474" s="515"/>
      <c r="H1474" s="515"/>
    </row>
    <row r="1475" spans="7:8" x14ac:dyDescent="0.3">
      <c r="G1475" s="515"/>
      <c r="H1475" s="515"/>
    </row>
    <row r="1476" spans="7:8" x14ac:dyDescent="0.3">
      <c r="G1476" s="515"/>
      <c r="H1476" s="515"/>
    </row>
    <row r="1477" spans="7:8" x14ac:dyDescent="0.3">
      <c r="G1477" s="515"/>
      <c r="H1477" s="515"/>
    </row>
    <row r="1478" spans="7:8" x14ac:dyDescent="0.3">
      <c r="G1478" s="515"/>
      <c r="H1478" s="515"/>
    </row>
    <row r="1479" spans="7:8" x14ac:dyDescent="0.3">
      <c r="G1479" s="515"/>
      <c r="H1479" s="515"/>
    </row>
    <row r="1480" spans="7:8" x14ac:dyDescent="0.3">
      <c r="G1480" s="515"/>
      <c r="H1480" s="515"/>
    </row>
    <row r="1481" spans="7:8" x14ac:dyDescent="0.3">
      <c r="G1481" s="515"/>
      <c r="H1481" s="515"/>
    </row>
    <row r="1482" spans="7:8" x14ac:dyDescent="0.3">
      <c r="G1482" s="515"/>
      <c r="H1482" s="515"/>
    </row>
    <row r="1483" spans="7:8" x14ac:dyDescent="0.3">
      <c r="G1483" s="515"/>
      <c r="H1483" s="515"/>
    </row>
    <row r="1484" spans="7:8" x14ac:dyDescent="0.3">
      <c r="G1484" s="515"/>
      <c r="H1484" s="515"/>
    </row>
    <row r="1485" spans="7:8" x14ac:dyDescent="0.3">
      <c r="G1485" s="515"/>
      <c r="H1485" s="515"/>
    </row>
    <row r="1486" spans="7:8" x14ac:dyDescent="0.3">
      <c r="G1486" s="515"/>
      <c r="H1486" s="515"/>
    </row>
    <row r="1487" spans="7:8" x14ac:dyDescent="0.3">
      <c r="G1487" s="515"/>
      <c r="H1487" s="515"/>
    </row>
    <row r="1488" spans="7:8" x14ac:dyDescent="0.3">
      <c r="G1488" s="515"/>
      <c r="H1488" s="515"/>
    </row>
    <row r="1489" spans="7:8" x14ac:dyDescent="0.3">
      <c r="G1489" s="515"/>
      <c r="H1489" s="515"/>
    </row>
    <row r="1490" spans="7:8" x14ac:dyDescent="0.3">
      <c r="G1490" s="515"/>
      <c r="H1490" s="515"/>
    </row>
    <row r="1491" spans="7:8" x14ac:dyDescent="0.3">
      <c r="G1491" s="515"/>
      <c r="H1491" s="515"/>
    </row>
    <row r="1492" spans="7:8" x14ac:dyDescent="0.3">
      <c r="G1492" s="515"/>
      <c r="H1492" s="515"/>
    </row>
    <row r="1493" spans="7:8" x14ac:dyDescent="0.3">
      <c r="G1493" s="515"/>
      <c r="H1493" s="515"/>
    </row>
    <row r="1494" spans="7:8" x14ac:dyDescent="0.3">
      <c r="G1494" s="515"/>
      <c r="H1494" s="515"/>
    </row>
    <row r="1495" spans="7:8" x14ac:dyDescent="0.3">
      <c r="G1495" s="515"/>
      <c r="H1495" s="515"/>
    </row>
    <row r="1496" spans="7:8" x14ac:dyDescent="0.3">
      <c r="G1496" s="515"/>
      <c r="H1496" s="515"/>
    </row>
    <row r="1497" spans="7:8" x14ac:dyDescent="0.3">
      <c r="G1497" s="515"/>
      <c r="H1497" s="515"/>
    </row>
    <row r="1498" spans="7:8" x14ac:dyDescent="0.3">
      <c r="G1498" s="515"/>
      <c r="H1498" s="515"/>
    </row>
    <row r="1499" spans="7:8" x14ac:dyDescent="0.3">
      <c r="G1499" s="515"/>
      <c r="H1499" s="515"/>
    </row>
    <row r="1500" spans="7:8" x14ac:dyDescent="0.3">
      <c r="G1500" s="515"/>
      <c r="H1500" s="515"/>
    </row>
    <row r="1501" spans="7:8" x14ac:dyDescent="0.3">
      <c r="G1501" s="515"/>
      <c r="H1501" s="515"/>
    </row>
    <row r="1502" spans="7:8" x14ac:dyDescent="0.3">
      <c r="G1502" s="515"/>
      <c r="H1502" s="515"/>
    </row>
    <row r="1503" spans="7:8" x14ac:dyDescent="0.3">
      <c r="G1503" s="515"/>
      <c r="H1503" s="515"/>
    </row>
    <row r="1504" spans="7:8" x14ac:dyDescent="0.3">
      <c r="G1504" s="515"/>
      <c r="H1504" s="515"/>
    </row>
    <row r="1505" spans="7:8" x14ac:dyDescent="0.3">
      <c r="G1505" s="515"/>
      <c r="H1505" s="515"/>
    </row>
    <row r="1506" spans="7:8" x14ac:dyDescent="0.3">
      <c r="G1506" s="515"/>
      <c r="H1506" s="515"/>
    </row>
    <row r="1507" spans="7:8" x14ac:dyDescent="0.3">
      <c r="G1507" s="515"/>
      <c r="H1507" s="515"/>
    </row>
    <row r="1508" spans="7:8" x14ac:dyDescent="0.3">
      <c r="G1508" s="515"/>
      <c r="H1508" s="515"/>
    </row>
    <row r="1509" spans="7:8" x14ac:dyDescent="0.3">
      <c r="G1509" s="515"/>
      <c r="H1509" s="515"/>
    </row>
    <row r="1510" spans="7:8" x14ac:dyDescent="0.3">
      <c r="G1510" s="515"/>
      <c r="H1510" s="515"/>
    </row>
    <row r="1511" spans="7:8" x14ac:dyDescent="0.3">
      <c r="G1511" s="515"/>
      <c r="H1511" s="515"/>
    </row>
    <row r="1512" spans="7:8" x14ac:dyDescent="0.3">
      <c r="G1512" s="515"/>
      <c r="H1512" s="515"/>
    </row>
    <row r="1513" spans="7:8" x14ac:dyDescent="0.3">
      <c r="G1513" s="515"/>
      <c r="H1513" s="515"/>
    </row>
    <row r="1514" spans="7:8" x14ac:dyDescent="0.3">
      <c r="G1514" s="515"/>
      <c r="H1514" s="515"/>
    </row>
    <row r="1515" spans="7:8" x14ac:dyDescent="0.3">
      <c r="G1515" s="515"/>
      <c r="H1515" s="515"/>
    </row>
    <row r="1516" spans="7:8" x14ac:dyDescent="0.3">
      <c r="G1516" s="515"/>
      <c r="H1516" s="515"/>
    </row>
    <row r="1517" spans="7:8" x14ac:dyDescent="0.3">
      <c r="G1517" s="515"/>
      <c r="H1517" s="515"/>
    </row>
    <row r="1518" spans="7:8" x14ac:dyDescent="0.3">
      <c r="G1518" s="515"/>
      <c r="H1518" s="515"/>
    </row>
    <row r="1519" spans="7:8" x14ac:dyDescent="0.3">
      <c r="G1519" s="515"/>
      <c r="H1519" s="515"/>
    </row>
    <row r="1520" spans="7:8" x14ac:dyDescent="0.3">
      <c r="G1520" s="515"/>
      <c r="H1520" s="515"/>
    </row>
    <row r="1521" spans="7:8" x14ac:dyDescent="0.3">
      <c r="G1521" s="515"/>
      <c r="H1521" s="515"/>
    </row>
    <row r="1522" spans="7:8" x14ac:dyDescent="0.3">
      <c r="G1522" s="515"/>
      <c r="H1522" s="515"/>
    </row>
    <row r="1523" spans="7:8" x14ac:dyDescent="0.3">
      <c r="G1523" s="515"/>
      <c r="H1523" s="515"/>
    </row>
    <row r="1524" spans="7:8" x14ac:dyDescent="0.3">
      <c r="G1524" s="515"/>
      <c r="H1524" s="515"/>
    </row>
    <row r="1525" spans="7:8" x14ac:dyDescent="0.3">
      <c r="G1525" s="515"/>
      <c r="H1525" s="515"/>
    </row>
    <row r="1526" spans="7:8" x14ac:dyDescent="0.3">
      <c r="G1526" s="515"/>
      <c r="H1526" s="515"/>
    </row>
    <row r="1527" spans="7:8" x14ac:dyDescent="0.3">
      <c r="G1527" s="515"/>
      <c r="H1527" s="515"/>
    </row>
    <row r="1528" spans="7:8" x14ac:dyDescent="0.3">
      <c r="G1528" s="515"/>
      <c r="H1528" s="515"/>
    </row>
    <row r="1529" spans="7:8" x14ac:dyDescent="0.3">
      <c r="G1529" s="515"/>
      <c r="H1529" s="515"/>
    </row>
    <row r="1530" spans="7:8" x14ac:dyDescent="0.3">
      <c r="G1530" s="515"/>
      <c r="H1530" s="515"/>
    </row>
    <row r="1531" spans="7:8" x14ac:dyDescent="0.3">
      <c r="G1531" s="515"/>
      <c r="H1531" s="515"/>
    </row>
    <row r="1532" spans="7:8" x14ac:dyDescent="0.3">
      <c r="G1532" s="515"/>
      <c r="H1532" s="515"/>
    </row>
    <row r="1533" spans="7:8" x14ac:dyDescent="0.3">
      <c r="G1533" s="515"/>
      <c r="H1533" s="515"/>
    </row>
    <row r="1534" spans="7:8" x14ac:dyDescent="0.3">
      <c r="G1534" s="515"/>
      <c r="H1534" s="515"/>
    </row>
    <row r="1535" spans="7:8" x14ac:dyDescent="0.3">
      <c r="G1535" s="515"/>
      <c r="H1535" s="515"/>
    </row>
    <row r="1536" spans="7:8" x14ac:dyDescent="0.3">
      <c r="G1536" s="515"/>
      <c r="H1536" s="515"/>
    </row>
    <row r="1537" spans="7:8" x14ac:dyDescent="0.3">
      <c r="G1537" s="515"/>
      <c r="H1537" s="515"/>
    </row>
    <row r="1538" spans="7:8" x14ac:dyDescent="0.3">
      <c r="G1538" s="515"/>
      <c r="H1538" s="515"/>
    </row>
    <row r="1539" spans="7:8" x14ac:dyDescent="0.3">
      <c r="G1539" s="515"/>
      <c r="H1539" s="515"/>
    </row>
    <row r="1540" spans="7:8" x14ac:dyDescent="0.3">
      <c r="G1540" s="515"/>
      <c r="H1540" s="515"/>
    </row>
    <row r="1541" spans="7:8" x14ac:dyDescent="0.3">
      <c r="G1541" s="515"/>
      <c r="H1541" s="515"/>
    </row>
    <row r="1542" spans="7:8" x14ac:dyDescent="0.3">
      <c r="G1542" s="515"/>
      <c r="H1542" s="515"/>
    </row>
    <row r="1543" spans="7:8" x14ac:dyDescent="0.3">
      <c r="G1543" s="515"/>
      <c r="H1543" s="515"/>
    </row>
    <row r="1544" spans="7:8" x14ac:dyDescent="0.3">
      <c r="G1544" s="515"/>
      <c r="H1544" s="515"/>
    </row>
    <row r="1545" spans="7:8" x14ac:dyDescent="0.3">
      <c r="G1545" s="515"/>
      <c r="H1545" s="515"/>
    </row>
    <row r="1546" spans="7:8" x14ac:dyDescent="0.3">
      <c r="G1546" s="515"/>
      <c r="H1546" s="515"/>
    </row>
    <row r="1547" spans="7:8" x14ac:dyDescent="0.3">
      <c r="G1547" s="515"/>
      <c r="H1547" s="515"/>
    </row>
    <row r="1548" spans="7:8" x14ac:dyDescent="0.3">
      <c r="G1548" s="515"/>
      <c r="H1548" s="515"/>
    </row>
    <row r="1549" spans="7:8" x14ac:dyDescent="0.3">
      <c r="G1549" s="515"/>
      <c r="H1549" s="515"/>
    </row>
    <row r="1550" spans="7:8" x14ac:dyDescent="0.3">
      <c r="G1550" s="515"/>
      <c r="H1550" s="515"/>
    </row>
    <row r="1551" spans="7:8" x14ac:dyDescent="0.3">
      <c r="G1551" s="515"/>
      <c r="H1551" s="515"/>
    </row>
    <row r="1552" spans="7:8" x14ac:dyDescent="0.3">
      <c r="G1552" s="515"/>
      <c r="H1552" s="515"/>
    </row>
    <row r="1553" spans="7:8" x14ac:dyDescent="0.3">
      <c r="G1553" s="515"/>
      <c r="H1553" s="515"/>
    </row>
    <row r="1554" spans="7:8" x14ac:dyDescent="0.3">
      <c r="G1554" s="515"/>
      <c r="H1554" s="515"/>
    </row>
    <row r="1555" spans="7:8" x14ac:dyDescent="0.3">
      <c r="G1555" s="515"/>
      <c r="H1555" s="515"/>
    </row>
    <row r="1556" spans="7:8" x14ac:dyDescent="0.3">
      <c r="G1556" s="515"/>
      <c r="H1556" s="515"/>
    </row>
    <row r="1557" spans="7:8" x14ac:dyDescent="0.3">
      <c r="G1557" s="515"/>
      <c r="H1557" s="515"/>
    </row>
    <row r="1558" spans="7:8" x14ac:dyDescent="0.3">
      <c r="G1558" s="515"/>
      <c r="H1558" s="515"/>
    </row>
    <row r="1559" spans="7:8" x14ac:dyDescent="0.3">
      <c r="G1559" s="515"/>
      <c r="H1559" s="515"/>
    </row>
    <row r="1560" spans="7:8" x14ac:dyDescent="0.3">
      <c r="G1560" s="515"/>
      <c r="H1560" s="515"/>
    </row>
    <row r="1561" spans="7:8" x14ac:dyDescent="0.3">
      <c r="G1561" s="515"/>
      <c r="H1561" s="515"/>
    </row>
    <row r="1562" spans="7:8" x14ac:dyDescent="0.3">
      <c r="G1562" s="515"/>
      <c r="H1562" s="515"/>
    </row>
    <row r="1563" spans="7:8" x14ac:dyDescent="0.3">
      <c r="G1563" s="515"/>
      <c r="H1563" s="515"/>
    </row>
    <row r="1564" spans="7:8" x14ac:dyDescent="0.3">
      <c r="G1564" s="515"/>
      <c r="H1564" s="515"/>
    </row>
    <row r="1565" spans="7:8" x14ac:dyDescent="0.3">
      <c r="G1565" s="515"/>
      <c r="H1565" s="515"/>
    </row>
    <row r="1566" spans="7:8" x14ac:dyDescent="0.3">
      <c r="G1566" s="515"/>
      <c r="H1566" s="515"/>
    </row>
    <row r="1567" spans="7:8" x14ac:dyDescent="0.3">
      <c r="G1567" s="515"/>
      <c r="H1567" s="515"/>
    </row>
    <row r="1568" spans="7:8" x14ac:dyDescent="0.3">
      <c r="G1568" s="515"/>
      <c r="H1568" s="515"/>
    </row>
    <row r="1569" spans="7:8" x14ac:dyDescent="0.3">
      <c r="G1569" s="515"/>
      <c r="H1569" s="515"/>
    </row>
    <row r="1570" spans="7:8" x14ac:dyDescent="0.3">
      <c r="G1570" s="515"/>
      <c r="H1570" s="515"/>
    </row>
    <row r="1571" spans="7:8" x14ac:dyDescent="0.3">
      <c r="G1571" s="515"/>
      <c r="H1571" s="515"/>
    </row>
    <row r="1572" spans="7:8" x14ac:dyDescent="0.3">
      <c r="G1572" s="515"/>
      <c r="H1572" s="515"/>
    </row>
    <row r="1573" spans="7:8" x14ac:dyDescent="0.3">
      <c r="G1573" s="515"/>
      <c r="H1573" s="515"/>
    </row>
    <row r="1574" spans="7:8" x14ac:dyDescent="0.3">
      <c r="G1574" s="515"/>
      <c r="H1574" s="515"/>
    </row>
    <row r="1575" spans="7:8" x14ac:dyDescent="0.3">
      <c r="G1575" s="515"/>
      <c r="H1575" s="515"/>
    </row>
    <row r="1576" spans="7:8" x14ac:dyDescent="0.3">
      <c r="G1576" s="515"/>
      <c r="H1576" s="515"/>
    </row>
    <row r="1577" spans="7:8" x14ac:dyDescent="0.3">
      <c r="G1577" s="515"/>
      <c r="H1577" s="515"/>
    </row>
    <row r="1578" spans="7:8" x14ac:dyDescent="0.3">
      <c r="G1578" s="515"/>
      <c r="H1578" s="515"/>
    </row>
    <row r="1579" spans="7:8" x14ac:dyDescent="0.3">
      <c r="G1579" s="515"/>
      <c r="H1579" s="515"/>
    </row>
    <row r="1580" spans="7:8" x14ac:dyDescent="0.3">
      <c r="G1580" s="515"/>
      <c r="H1580" s="515"/>
    </row>
    <row r="1581" spans="7:8" x14ac:dyDescent="0.3">
      <c r="G1581" s="515"/>
      <c r="H1581" s="515"/>
    </row>
    <row r="1582" spans="7:8" x14ac:dyDescent="0.3">
      <c r="G1582" s="515"/>
      <c r="H1582" s="515"/>
    </row>
    <row r="1583" spans="7:8" x14ac:dyDescent="0.3">
      <c r="G1583" s="515"/>
      <c r="H1583" s="515"/>
    </row>
    <row r="1584" spans="7:8" x14ac:dyDescent="0.3">
      <c r="G1584" s="515"/>
      <c r="H1584" s="515"/>
    </row>
    <row r="1585" spans="7:8" x14ac:dyDescent="0.3">
      <c r="G1585" s="515"/>
      <c r="H1585" s="515"/>
    </row>
    <row r="1586" spans="7:8" x14ac:dyDescent="0.3">
      <c r="G1586" s="515"/>
      <c r="H1586" s="515"/>
    </row>
    <row r="1587" spans="7:8" x14ac:dyDescent="0.3">
      <c r="G1587" s="515"/>
      <c r="H1587" s="515"/>
    </row>
    <row r="1588" spans="7:8" x14ac:dyDescent="0.3">
      <c r="G1588" s="515"/>
      <c r="H1588" s="515"/>
    </row>
    <row r="1589" spans="7:8" x14ac:dyDescent="0.3">
      <c r="G1589" s="515"/>
      <c r="H1589" s="515"/>
    </row>
    <row r="1590" spans="7:8" x14ac:dyDescent="0.3">
      <c r="G1590" s="515"/>
      <c r="H1590" s="515"/>
    </row>
    <row r="1591" spans="7:8" x14ac:dyDescent="0.3">
      <c r="G1591" s="515"/>
      <c r="H1591" s="515"/>
    </row>
    <row r="1592" spans="7:8" x14ac:dyDescent="0.3">
      <c r="G1592" s="515"/>
      <c r="H1592" s="515"/>
    </row>
    <row r="1593" spans="7:8" x14ac:dyDescent="0.3">
      <c r="G1593" s="515"/>
      <c r="H1593" s="515"/>
    </row>
    <row r="1594" spans="7:8" x14ac:dyDescent="0.3">
      <c r="G1594" s="515"/>
      <c r="H1594" s="515"/>
    </row>
    <row r="1595" spans="7:8" x14ac:dyDescent="0.3">
      <c r="G1595" s="515"/>
      <c r="H1595" s="515"/>
    </row>
    <row r="1596" spans="7:8" x14ac:dyDescent="0.3">
      <c r="G1596" s="515"/>
      <c r="H1596" s="515"/>
    </row>
    <row r="1597" spans="7:8" x14ac:dyDescent="0.3">
      <c r="G1597" s="515"/>
      <c r="H1597" s="515"/>
    </row>
    <row r="1598" spans="7:8" x14ac:dyDescent="0.3">
      <c r="G1598" s="515"/>
      <c r="H1598" s="515"/>
    </row>
    <row r="1599" spans="7:8" x14ac:dyDescent="0.3">
      <c r="G1599" s="515"/>
      <c r="H1599" s="515"/>
    </row>
    <row r="1600" spans="7:8" x14ac:dyDescent="0.3">
      <c r="G1600" s="515"/>
      <c r="H1600" s="515"/>
    </row>
    <row r="1601" spans="7:8" x14ac:dyDescent="0.3">
      <c r="G1601" s="515"/>
      <c r="H1601" s="515"/>
    </row>
    <row r="1602" spans="7:8" x14ac:dyDescent="0.3">
      <c r="G1602" s="515"/>
      <c r="H1602" s="515"/>
    </row>
    <row r="1603" spans="7:8" x14ac:dyDescent="0.3">
      <c r="G1603" s="515"/>
      <c r="H1603" s="515"/>
    </row>
    <row r="1604" spans="7:8" x14ac:dyDescent="0.3">
      <c r="G1604" s="515"/>
      <c r="H1604" s="515"/>
    </row>
    <row r="1605" spans="7:8" x14ac:dyDescent="0.3">
      <c r="G1605" s="515"/>
      <c r="H1605" s="515"/>
    </row>
    <row r="1606" spans="7:8" x14ac:dyDescent="0.3">
      <c r="G1606" s="515"/>
      <c r="H1606" s="515"/>
    </row>
    <row r="1607" spans="7:8" x14ac:dyDescent="0.3">
      <c r="G1607" s="515"/>
      <c r="H1607" s="515"/>
    </row>
    <row r="1608" spans="7:8" x14ac:dyDescent="0.3">
      <c r="G1608" s="515"/>
      <c r="H1608" s="515"/>
    </row>
    <row r="1609" spans="7:8" x14ac:dyDescent="0.3">
      <c r="G1609" s="515"/>
      <c r="H1609" s="515"/>
    </row>
    <row r="1610" spans="7:8" x14ac:dyDescent="0.3">
      <c r="G1610" s="515"/>
      <c r="H1610" s="515"/>
    </row>
    <row r="1611" spans="7:8" x14ac:dyDescent="0.3">
      <c r="G1611" s="515"/>
      <c r="H1611" s="515"/>
    </row>
    <row r="1612" spans="7:8" x14ac:dyDescent="0.3">
      <c r="G1612" s="515"/>
      <c r="H1612" s="515"/>
    </row>
    <row r="1613" spans="7:8" x14ac:dyDescent="0.3">
      <c r="G1613" s="515"/>
      <c r="H1613" s="515"/>
    </row>
    <row r="1614" spans="7:8" x14ac:dyDescent="0.3">
      <c r="G1614" s="515"/>
      <c r="H1614" s="515"/>
    </row>
    <row r="1615" spans="7:8" x14ac:dyDescent="0.3">
      <c r="G1615" s="515"/>
      <c r="H1615" s="515"/>
    </row>
    <row r="1616" spans="7:8" x14ac:dyDescent="0.3">
      <c r="G1616" s="515"/>
      <c r="H1616" s="515"/>
    </row>
    <row r="1617" spans="7:8" x14ac:dyDescent="0.3">
      <c r="G1617" s="515"/>
      <c r="H1617" s="515"/>
    </row>
    <row r="1618" spans="7:8" x14ac:dyDescent="0.3">
      <c r="G1618" s="515"/>
      <c r="H1618" s="515"/>
    </row>
    <row r="1619" spans="7:8" x14ac:dyDescent="0.3">
      <c r="G1619" s="515"/>
      <c r="H1619" s="515"/>
    </row>
    <row r="1620" spans="7:8" x14ac:dyDescent="0.3">
      <c r="G1620" s="515"/>
      <c r="H1620" s="515"/>
    </row>
    <row r="1621" spans="7:8" x14ac:dyDescent="0.3">
      <c r="G1621" s="515"/>
      <c r="H1621" s="515"/>
    </row>
    <row r="1622" spans="7:8" x14ac:dyDescent="0.3">
      <c r="G1622" s="515"/>
      <c r="H1622" s="515"/>
    </row>
    <row r="1623" spans="7:8" x14ac:dyDescent="0.3">
      <c r="G1623" s="515"/>
      <c r="H1623" s="515"/>
    </row>
    <row r="1624" spans="7:8" x14ac:dyDescent="0.3">
      <c r="G1624" s="515"/>
      <c r="H1624" s="515"/>
    </row>
    <row r="1625" spans="7:8" x14ac:dyDescent="0.3">
      <c r="G1625" s="515"/>
      <c r="H1625" s="515"/>
    </row>
    <row r="1626" spans="7:8" x14ac:dyDescent="0.3">
      <c r="G1626" s="515"/>
      <c r="H1626" s="515"/>
    </row>
    <row r="1627" spans="7:8" x14ac:dyDescent="0.3">
      <c r="G1627" s="515"/>
      <c r="H1627" s="515"/>
    </row>
    <row r="1628" spans="7:8" x14ac:dyDescent="0.3">
      <c r="G1628" s="515"/>
      <c r="H1628" s="515"/>
    </row>
    <row r="1629" spans="7:8" x14ac:dyDescent="0.3">
      <c r="G1629" s="515"/>
      <c r="H1629" s="515"/>
    </row>
    <row r="1630" spans="7:8" x14ac:dyDescent="0.3">
      <c r="G1630" s="515"/>
      <c r="H1630" s="515"/>
    </row>
    <row r="1631" spans="7:8" x14ac:dyDescent="0.3">
      <c r="G1631" s="515"/>
      <c r="H1631" s="515"/>
    </row>
    <row r="1632" spans="7:8" x14ac:dyDescent="0.3">
      <c r="G1632" s="515"/>
      <c r="H1632" s="515"/>
    </row>
    <row r="1633" spans="7:8" x14ac:dyDescent="0.3">
      <c r="G1633" s="515"/>
      <c r="H1633" s="515"/>
    </row>
    <row r="1634" spans="7:8" x14ac:dyDescent="0.3">
      <c r="G1634" s="515"/>
      <c r="H1634" s="515"/>
    </row>
    <row r="1635" spans="7:8" x14ac:dyDescent="0.3">
      <c r="G1635" s="515"/>
      <c r="H1635" s="515"/>
    </row>
    <row r="1636" spans="7:8" x14ac:dyDescent="0.3">
      <c r="G1636" s="515"/>
      <c r="H1636" s="515"/>
    </row>
    <row r="1637" spans="7:8" x14ac:dyDescent="0.3">
      <c r="G1637" s="515"/>
      <c r="H1637" s="515"/>
    </row>
    <row r="1638" spans="7:8" x14ac:dyDescent="0.3">
      <c r="G1638" s="515"/>
      <c r="H1638" s="515"/>
    </row>
    <row r="1639" spans="7:8" x14ac:dyDescent="0.3">
      <c r="G1639" s="515"/>
      <c r="H1639" s="515"/>
    </row>
    <row r="1640" spans="7:8" x14ac:dyDescent="0.3">
      <c r="G1640" s="515"/>
      <c r="H1640" s="515"/>
    </row>
    <row r="1641" spans="7:8" x14ac:dyDescent="0.3">
      <c r="G1641" s="515"/>
      <c r="H1641" s="515"/>
    </row>
    <row r="1642" spans="7:8" x14ac:dyDescent="0.3">
      <c r="G1642" s="515"/>
      <c r="H1642" s="515"/>
    </row>
    <row r="1643" spans="7:8" x14ac:dyDescent="0.3">
      <c r="G1643" s="515"/>
      <c r="H1643" s="515"/>
    </row>
    <row r="1644" spans="7:8" x14ac:dyDescent="0.3">
      <c r="G1644" s="515"/>
      <c r="H1644" s="515"/>
    </row>
    <row r="1645" spans="7:8" x14ac:dyDescent="0.3">
      <c r="G1645" s="515"/>
      <c r="H1645" s="515"/>
    </row>
    <row r="1646" spans="7:8" x14ac:dyDescent="0.3">
      <c r="G1646" s="515"/>
      <c r="H1646" s="515"/>
    </row>
    <row r="1647" spans="7:8" x14ac:dyDescent="0.3">
      <c r="G1647" s="515"/>
      <c r="H1647" s="515"/>
    </row>
    <row r="1648" spans="7:8" x14ac:dyDescent="0.3">
      <c r="G1648" s="515"/>
      <c r="H1648" s="515"/>
    </row>
    <row r="1649" spans="7:8" x14ac:dyDescent="0.3">
      <c r="G1649" s="515"/>
      <c r="H1649" s="515"/>
    </row>
    <row r="1650" spans="7:8" x14ac:dyDescent="0.3">
      <c r="G1650" s="515"/>
      <c r="H1650" s="515"/>
    </row>
    <row r="1651" spans="7:8" x14ac:dyDescent="0.3">
      <c r="G1651" s="515"/>
      <c r="H1651" s="515"/>
    </row>
    <row r="1652" spans="7:8" x14ac:dyDescent="0.3">
      <c r="G1652" s="515"/>
      <c r="H1652" s="515"/>
    </row>
    <row r="1653" spans="7:8" x14ac:dyDescent="0.3">
      <c r="G1653" s="515"/>
      <c r="H1653" s="515"/>
    </row>
    <row r="1654" spans="7:8" x14ac:dyDescent="0.3">
      <c r="G1654" s="515"/>
      <c r="H1654" s="515"/>
    </row>
    <row r="1655" spans="7:8" x14ac:dyDescent="0.3">
      <c r="G1655" s="515"/>
      <c r="H1655" s="515"/>
    </row>
    <row r="1656" spans="7:8" x14ac:dyDescent="0.3">
      <c r="G1656" s="515"/>
      <c r="H1656" s="515"/>
    </row>
    <row r="1657" spans="7:8" x14ac:dyDescent="0.3">
      <c r="G1657" s="515"/>
      <c r="H1657" s="515"/>
    </row>
    <row r="1658" spans="7:8" x14ac:dyDescent="0.3">
      <c r="G1658" s="515"/>
      <c r="H1658" s="515"/>
    </row>
    <row r="1659" spans="7:8" x14ac:dyDescent="0.3">
      <c r="G1659" s="515"/>
      <c r="H1659" s="515"/>
    </row>
    <row r="1660" spans="7:8" x14ac:dyDescent="0.3">
      <c r="G1660" s="515"/>
      <c r="H1660" s="515"/>
    </row>
    <row r="1661" spans="7:8" x14ac:dyDescent="0.3">
      <c r="G1661" s="515"/>
      <c r="H1661" s="515"/>
    </row>
    <row r="1662" spans="7:8" x14ac:dyDescent="0.3">
      <c r="G1662" s="515"/>
      <c r="H1662" s="515"/>
    </row>
    <row r="1663" spans="7:8" x14ac:dyDescent="0.3">
      <c r="G1663" s="515"/>
      <c r="H1663" s="515"/>
    </row>
    <row r="1664" spans="7:8" x14ac:dyDescent="0.3">
      <c r="G1664" s="515"/>
      <c r="H1664" s="515"/>
    </row>
    <row r="1665" spans="7:8" x14ac:dyDescent="0.3">
      <c r="G1665" s="515"/>
      <c r="H1665" s="515"/>
    </row>
    <row r="1666" spans="7:8" x14ac:dyDescent="0.3">
      <c r="G1666" s="515"/>
      <c r="H1666" s="515"/>
    </row>
    <row r="1667" spans="7:8" x14ac:dyDescent="0.3">
      <c r="G1667" s="515"/>
      <c r="H1667" s="515"/>
    </row>
    <row r="1668" spans="7:8" x14ac:dyDescent="0.3">
      <c r="G1668" s="515"/>
      <c r="H1668" s="515"/>
    </row>
    <row r="1669" spans="7:8" x14ac:dyDescent="0.3">
      <c r="G1669" s="515"/>
      <c r="H1669" s="515"/>
    </row>
    <row r="1670" spans="7:8" x14ac:dyDescent="0.3">
      <c r="G1670" s="515"/>
      <c r="H1670" s="515"/>
    </row>
    <row r="1671" spans="7:8" x14ac:dyDescent="0.3">
      <c r="G1671" s="515"/>
      <c r="H1671" s="515"/>
    </row>
    <row r="1672" spans="7:8" x14ac:dyDescent="0.3">
      <c r="G1672" s="515"/>
      <c r="H1672" s="515"/>
    </row>
    <row r="1673" spans="7:8" x14ac:dyDescent="0.3">
      <c r="G1673" s="515"/>
      <c r="H1673" s="515"/>
    </row>
    <row r="1674" spans="7:8" x14ac:dyDescent="0.3">
      <c r="G1674" s="515"/>
      <c r="H1674" s="515"/>
    </row>
    <row r="1675" spans="7:8" x14ac:dyDescent="0.3">
      <c r="G1675" s="515"/>
      <c r="H1675" s="515"/>
    </row>
    <row r="1676" spans="7:8" x14ac:dyDescent="0.3">
      <c r="G1676" s="515"/>
      <c r="H1676" s="515"/>
    </row>
    <row r="1677" spans="7:8" x14ac:dyDescent="0.3">
      <c r="G1677" s="515"/>
      <c r="H1677" s="515"/>
    </row>
    <row r="1678" spans="7:8" x14ac:dyDescent="0.3">
      <c r="G1678" s="515"/>
      <c r="H1678" s="515"/>
    </row>
    <row r="1679" spans="7:8" x14ac:dyDescent="0.3">
      <c r="G1679" s="515"/>
      <c r="H1679" s="515"/>
    </row>
    <row r="1680" spans="7:8" x14ac:dyDescent="0.3">
      <c r="G1680" s="515"/>
      <c r="H1680" s="515"/>
    </row>
    <row r="1681" spans="7:8" x14ac:dyDescent="0.3">
      <c r="G1681" s="515"/>
      <c r="H1681" s="515"/>
    </row>
    <row r="1682" spans="7:8" x14ac:dyDescent="0.3">
      <c r="G1682" s="515"/>
      <c r="H1682" s="515"/>
    </row>
    <row r="1683" spans="7:8" x14ac:dyDescent="0.3">
      <c r="G1683" s="515"/>
      <c r="H1683" s="515"/>
    </row>
    <row r="1684" spans="7:8" x14ac:dyDescent="0.3">
      <c r="G1684" s="515"/>
      <c r="H1684" s="515"/>
    </row>
    <row r="1685" spans="7:8" x14ac:dyDescent="0.3">
      <c r="G1685" s="515"/>
      <c r="H1685" s="515"/>
    </row>
    <row r="1686" spans="7:8" x14ac:dyDescent="0.3">
      <c r="G1686" s="515"/>
      <c r="H1686" s="515"/>
    </row>
    <row r="1687" spans="7:8" x14ac:dyDescent="0.3">
      <c r="G1687" s="515"/>
      <c r="H1687" s="515"/>
    </row>
    <row r="1688" spans="7:8" x14ac:dyDescent="0.3">
      <c r="G1688" s="515"/>
      <c r="H1688" s="515"/>
    </row>
    <row r="1689" spans="7:8" x14ac:dyDescent="0.3">
      <c r="G1689" s="515"/>
      <c r="H1689" s="515"/>
    </row>
    <row r="1690" spans="7:8" x14ac:dyDescent="0.3">
      <c r="G1690" s="515"/>
      <c r="H1690" s="515"/>
    </row>
    <row r="1691" spans="7:8" x14ac:dyDescent="0.3">
      <c r="G1691" s="515"/>
      <c r="H1691" s="515"/>
    </row>
    <row r="1692" spans="7:8" x14ac:dyDescent="0.3">
      <c r="G1692" s="515"/>
      <c r="H1692" s="515"/>
    </row>
    <row r="1693" spans="7:8" x14ac:dyDescent="0.3">
      <c r="G1693" s="515"/>
      <c r="H1693" s="515"/>
    </row>
    <row r="1694" spans="7:8" x14ac:dyDescent="0.3">
      <c r="G1694" s="515"/>
      <c r="H1694" s="515"/>
    </row>
    <row r="1695" spans="7:8" x14ac:dyDescent="0.3">
      <c r="G1695" s="515"/>
      <c r="H1695" s="515"/>
    </row>
    <row r="1696" spans="7:8" x14ac:dyDescent="0.3">
      <c r="G1696" s="515"/>
      <c r="H1696" s="515"/>
    </row>
    <row r="1697" spans="7:8" x14ac:dyDescent="0.3">
      <c r="G1697" s="515"/>
      <c r="H1697" s="515"/>
    </row>
    <row r="1698" spans="7:8" x14ac:dyDescent="0.3">
      <c r="G1698" s="515"/>
      <c r="H1698" s="515"/>
    </row>
    <row r="1699" spans="7:8" x14ac:dyDescent="0.3">
      <c r="G1699" s="515"/>
      <c r="H1699" s="515"/>
    </row>
    <row r="1700" spans="7:8" x14ac:dyDescent="0.3">
      <c r="G1700" s="515"/>
      <c r="H1700" s="515"/>
    </row>
    <row r="1701" spans="7:8" x14ac:dyDescent="0.3">
      <c r="G1701" s="515"/>
      <c r="H1701" s="515"/>
    </row>
    <row r="1702" spans="7:8" x14ac:dyDescent="0.3">
      <c r="G1702" s="515"/>
      <c r="H1702" s="515"/>
    </row>
    <row r="1703" spans="7:8" x14ac:dyDescent="0.3">
      <c r="G1703" s="515"/>
      <c r="H1703" s="515"/>
    </row>
    <row r="1704" spans="7:8" x14ac:dyDescent="0.3">
      <c r="G1704" s="515"/>
      <c r="H1704" s="515"/>
    </row>
    <row r="1705" spans="7:8" x14ac:dyDescent="0.3">
      <c r="G1705" s="515"/>
      <c r="H1705" s="515"/>
    </row>
    <row r="1706" spans="7:8" x14ac:dyDescent="0.3">
      <c r="G1706" s="515"/>
      <c r="H1706" s="515"/>
    </row>
    <row r="1707" spans="7:8" x14ac:dyDescent="0.3">
      <c r="G1707" s="515"/>
      <c r="H1707" s="515"/>
    </row>
    <row r="1708" spans="7:8" x14ac:dyDescent="0.3">
      <c r="G1708" s="515"/>
      <c r="H1708" s="515"/>
    </row>
    <row r="1709" spans="7:8" x14ac:dyDescent="0.3">
      <c r="G1709" s="515"/>
      <c r="H1709" s="515"/>
    </row>
    <row r="1710" spans="7:8" x14ac:dyDescent="0.3">
      <c r="G1710" s="515"/>
      <c r="H1710" s="515"/>
    </row>
    <row r="1711" spans="7:8" x14ac:dyDescent="0.3">
      <c r="G1711" s="515"/>
      <c r="H1711" s="515"/>
    </row>
    <row r="1712" spans="7:8" x14ac:dyDescent="0.3">
      <c r="G1712" s="515"/>
      <c r="H1712" s="515"/>
    </row>
    <row r="1713" spans="7:8" x14ac:dyDescent="0.3">
      <c r="G1713" s="515"/>
      <c r="H1713" s="515"/>
    </row>
    <row r="1714" spans="7:8" x14ac:dyDescent="0.3">
      <c r="G1714" s="515"/>
      <c r="H1714" s="515"/>
    </row>
    <row r="1715" spans="7:8" x14ac:dyDescent="0.3">
      <c r="G1715" s="515"/>
      <c r="H1715" s="515"/>
    </row>
    <row r="1716" spans="7:8" x14ac:dyDescent="0.3">
      <c r="G1716" s="515"/>
      <c r="H1716" s="515"/>
    </row>
    <row r="1717" spans="7:8" x14ac:dyDescent="0.3">
      <c r="G1717" s="515"/>
      <c r="H1717" s="515"/>
    </row>
    <row r="1718" spans="7:8" x14ac:dyDescent="0.3">
      <c r="G1718" s="515"/>
      <c r="H1718" s="515"/>
    </row>
    <row r="1719" spans="7:8" x14ac:dyDescent="0.3">
      <c r="G1719" s="515"/>
      <c r="H1719" s="515"/>
    </row>
    <row r="1720" spans="7:8" x14ac:dyDescent="0.3">
      <c r="G1720" s="515"/>
      <c r="H1720" s="515"/>
    </row>
    <row r="1721" spans="7:8" x14ac:dyDescent="0.3">
      <c r="G1721" s="515"/>
      <c r="H1721" s="515"/>
    </row>
    <row r="1722" spans="7:8" x14ac:dyDescent="0.3">
      <c r="G1722" s="515"/>
      <c r="H1722" s="515"/>
    </row>
    <row r="1723" spans="7:8" x14ac:dyDescent="0.3">
      <c r="G1723" s="515"/>
      <c r="H1723" s="515"/>
    </row>
    <row r="1724" spans="7:8" x14ac:dyDescent="0.3">
      <c r="G1724" s="515"/>
      <c r="H1724" s="515"/>
    </row>
    <row r="1725" spans="7:8" x14ac:dyDescent="0.3">
      <c r="G1725" s="515"/>
      <c r="H1725" s="515"/>
    </row>
    <row r="1726" spans="7:8" x14ac:dyDescent="0.3">
      <c r="G1726" s="515"/>
      <c r="H1726" s="515"/>
    </row>
    <row r="1727" spans="7:8" x14ac:dyDescent="0.3">
      <c r="G1727" s="515"/>
      <c r="H1727" s="515"/>
    </row>
    <row r="1728" spans="7:8" x14ac:dyDescent="0.3">
      <c r="G1728" s="515"/>
      <c r="H1728" s="515"/>
    </row>
    <row r="1729" spans="7:8" x14ac:dyDescent="0.3">
      <c r="G1729" s="515"/>
      <c r="H1729" s="515"/>
    </row>
    <row r="1730" spans="7:8" x14ac:dyDescent="0.3">
      <c r="G1730" s="515"/>
      <c r="H1730" s="515"/>
    </row>
    <row r="1731" spans="7:8" x14ac:dyDescent="0.3">
      <c r="G1731" s="515"/>
      <c r="H1731" s="515"/>
    </row>
    <row r="1732" spans="7:8" x14ac:dyDescent="0.3">
      <c r="G1732" s="515"/>
      <c r="H1732" s="515"/>
    </row>
    <row r="1733" spans="7:8" x14ac:dyDescent="0.3">
      <c r="G1733" s="515"/>
      <c r="H1733" s="515"/>
    </row>
    <row r="1734" spans="7:8" x14ac:dyDescent="0.3">
      <c r="G1734" s="515"/>
      <c r="H1734" s="515"/>
    </row>
    <row r="1735" spans="7:8" x14ac:dyDescent="0.3">
      <c r="G1735" s="515"/>
      <c r="H1735" s="515"/>
    </row>
    <row r="1736" spans="7:8" x14ac:dyDescent="0.3">
      <c r="G1736" s="515"/>
      <c r="H1736" s="515"/>
    </row>
    <row r="1737" spans="7:8" x14ac:dyDescent="0.3">
      <c r="G1737" s="515"/>
      <c r="H1737" s="515"/>
    </row>
    <row r="1738" spans="7:8" x14ac:dyDescent="0.3">
      <c r="G1738" s="515"/>
      <c r="H1738" s="515"/>
    </row>
    <row r="1739" spans="7:8" x14ac:dyDescent="0.3">
      <c r="G1739" s="515"/>
      <c r="H1739" s="515"/>
    </row>
    <row r="1740" spans="7:8" x14ac:dyDescent="0.3">
      <c r="G1740" s="515"/>
      <c r="H1740" s="515"/>
    </row>
    <row r="1741" spans="7:8" x14ac:dyDescent="0.3">
      <c r="G1741" s="515"/>
      <c r="H1741" s="515"/>
    </row>
    <row r="1742" spans="7:8" x14ac:dyDescent="0.3">
      <c r="G1742" s="515"/>
      <c r="H1742" s="515"/>
    </row>
    <row r="1743" spans="7:8" x14ac:dyDescent="0.3">
      <c r="G1743" s="515"/>
      <c r="H1743" s="515"/>
    </row>
    <row r="1744" spans="7:8" x14ac:dyDescent="0.3">
      <c r="G1744" s="515"/>
      <c r="H1744" s="515"/>
    </row>
    <row r="1745" spans="7:8" x14ac:dyDescent="0.3">
      <c r="G1745" s="515"/>
      <c r="H1745" s="515"/>
    </row>
    <row r="1746" spans="7:8" x14ac:dyDescent="0.3">
      <c r="G1746" s="515"/>
      <c r="H1746" s="515"/>
    </row>
    <row r="1747" spans="7:8" x14ac:dyDescent="0.3">
      <c r="G1747" s="515"/>
      <c r="H1747" s="515"/>
    </row>
    <row r="1748" spans="7:8" x14ac:dyDescent="0.3">
      <c r="G1748" s="515"/>
      <c r="H1748" s="515"/>
    </row>
    <row r="1749" spans="7:8" x14ac:dyDescent="0.3">
      <c r="G1749" s="515"/>
      <c r="H1749" s="515"/>
    </row>
    <row r="1750" spans="7:8" x14ac:dyDescent="0.3">
      <c r="G1750" s="515"/>
      <c r="H1750" s="515"/>
    </row>
    <row r="1751" spans="7:8" x14ac:dyDescent="0.3">
      <c r="G1751" s="515"/>
      <c r="H1751" s="515"/>
    </row>
    <row r="1752" spans="7:8" x14ac:dyDescent="0.3">
      <c r="G1752" s="515"/>
      <c r="H1752" s="515"/>
    </row>
    <row r="1753" spans="7:8" x14ac:dyDescent="0.3">
      <c r="G1753" s="515"/>
      <c r="H1753" s="515"/>
    </row>
    <row r="1754" spans="7:8" x14ac:dyDescent="0.3">
      <c r="G1754" s="515"/>
      <c r="H1754" s="515"/>
    </row>
    <row r="1755" spans="7:8" x14ac:dyDescent="0.3">
      <c r="G1755" s="515"/>
      <c r="H1755" s="515"/>
    </row>
    <row r="1756" spans="7:8" x14ac:dyDescent="0.3">
      <c r="G1756" s="515"/>
      <c r="H1756" s="515"/>
    </row>
    <row r="1757" spans="7:8" x14ac:dyDescent="0.3">
      <c r="G1757" s="515"/>
      <c r="H1757" s="515"/>
    </row>
    <row r="1758" spans="7:8" x14ac:dyDescent="0.3">
      <c r="G1758" s="515"/>
      <c r="H1758" s="515"/>
    </row>
    <row r="1759" spans="7:8" x14ac:dyDescent="0.3">
      <c r="G1759" s="515"/>
      <c r="H1759" s="515"/>
    </row>
    <row r="1760" spans="7:8" x14ac:dyDescent="0.3">
      <c r="G1760" s="515"/>
      <c r="H1760" s="515"/>
    </row>
    <row r="1761" spans="7:8" x14ac:dyDescent="0.3">
      <c r="G1761" s="515"/>
      <c r="H1761" s="515"/>
    </row>
    <row r="1762" spans="7:8" x14ac:dyDescent="0.3">
      <c r="G1762" s="515"/>
      <c r="H1762" s="515"/>
    </row>
    <row r="1763" spans="7:8" x14ac:dyDescent="0.3">
      <c r="G1763" s="515"/>
      <c r="H1763" s="515"/>
    </row>
    <row r="1764" spans="7:8" x14ac:dyDescent="0.3">
      <c r="G1764" s="515"/>
      <c r="H1764" s="515"/>
    </row>
    <row r="1765" spans="7:8" x14ac:dyDescent="0.3">
      <c r="G1765" s="515"/>
      <c r="H1765" s="515"/>
    </row>
    <row r="1766" spans="7:8" x14ac:dyDescent="0.3">
      <c r="G1766" s="515"/>
      <c r="H1766" s="515"/>
    </row>
    <row r="1767" spans="7:8" x14ac:dyDescent="0.3">
      <c r="G1767" s="515"/>
      <c r="H1767" s="515"/>
    </row>
    <row r="1768" spans="7:8" x14ac:dyDescent="0.3">
      <c r="G1768" s="515"/>
      <c r="H1768" s="515"/>
    </row>
    <row r="1769" spans="7:8" x14ac:dyDescent="0.3">
      <c r="G1769" s="515"/>
      <c r="H1769" s="515"/>
    </row>
    <row r="1770" spans="7:8" x14ac:dyDescent="0.3">
      <c r="G1770" s="515"/>
      <c r="H1770" s="515"/>
    </row>
    <row r="1771" spans="7:8" x14ac:dyDescent="0.3">
      <c r="G1771" s="515"/>
      <c r="H1771" s="515"/>
    </row>
    <row r="1772" spans="7:8" x14ac:dyDescent="0.3">
      <c r="G1772" s="515"/>
      <c r="H1772" s="515"/>
    </row>
    <row r="1773" spans="7:8" x14ac:dyDescent="0.3">
      <c r="G1773" s="515"/>
      <c r="H1773" s="515"/>
    </row>
    <row r="1774" spans="7:8" x14ac:dyDescent="0.3">
      <c r="G1774" s="515"/>
      <c r="H1774" s="515"/>
    </row>
    <row r="1775" spans="7:8" x14ac:dyDescent="0.3">
      <c r="G1775" s="515"/>
      <c r="H1775" s="515"/>
    </row>
    <row r="1776" spans="7:8" x14ac:dyDescent="0.3">
      <c r="G1776" s="515"/>
      <c r="H1776" s="515"/>
    </row>
    <row r="1777" spans="7:8" x14ac:dyDescent="0.3">
      <c r="G1777" s="515"/>
      <c r="H1777" s="515"/>
    </row>
    <row r="1778" spans="7:8" x14ac:dyDescent="0.3">
      <c r="G1778" s="515"/>
      <c r="H1778" s="515"/>
    </row>
    <row r="1779" spans="7:8" x14ac:dyDescent="0.3">
      <c r="G1779" s="515"/>
      <c r="H1779" s="515"/>
    </row>
    <row r="1780" spans="7:8" x14ac:dyDescent="0.3">
      <c r="G1780" s="515"/>
      <c r="H1780" s="515"/>
    </row>
    <row r="1781" spans="7:8" x14ac:dyDescent="0.3">
      <c r="G1781" s="515"/>
      <c r="H1781" s="515"/>
    </row>
    <row r="1782" spans="7:8" x14ac:dyDescent="0.3">
      <c r="G1782" s="515"/>
      <c r="H1782" s="515"/>
    </row>
    <row r="1783" spans="7:8" x14ac:dyDescent="0.3">
      <c r="G1783" s="515"/>
      <c r="H1783" s="515"/>
    </row>
    <row r="1784" spans="7:8" x14ac:dyDescent="0.3">
      <c r="G1784" s="515"/>
      <c r="H1784" s="515"/>
    </row>
    <row r="1785" spans="7:8" x14ac:dyDescent="0.3">
      <c r="G1785" s="515"/>
      <c r="H1785" s="515"/>
    </row>
    <row r="1786" spans="7:8" x14ac:dyDescent="0.3">
      <c r="G1786" s="515"/>
      <c r="H1786" s="515"/>
    </row>
    <row r="1787" spans="7:8" x14ac:dyDescent="0.3">
      <c r="G1787" s="515"/>
      <c r="H1787" s="515"/>
    </row>
    <row r="1788" spans="7:8" x14ac:dyDescent="0.3">
      <c r="G1788" s="515"/>
      <c r="H1788" s="515"/>
    </row>
    <row r="1789" spans="7:8" x14ac:dyDescent="0.3">
      <c r="G1789" s="515"/>
      <c r="H1789" s="515"/>
    </row>
    <row r="1790" spans="7:8" x14ac:dyDescent="0.3">
      <c r="G1790" s="515"/>
      <c r="H1790" s="515"/>
    </row>
    <row r="1791" spans="7:8" x14ac:dyDescent="0.3">
      <c r="G1791" s="515"/>
      <c r="H1791" s="515"/>
    </row>
    <row r="1792" spans="7:8" x14ac:dyDescent="0.3">
      <c r="G1792" s="515"/>
      <c r="H1792" s="515"/>
    </row>
    <row r="1793" spans="7:8" x14ac:dyDescent="0.3">
      <c r="G1793" s="515"/>
      <c r="H1793" s="515"/>
    </row>
    <row r="1794" spans="7:8" x14ac:dyDescent="0.3">
      <c r="G1794" s="515"/>
      <c r="H1794" s="515"/>
    </row>
    <row r="1795" spans="7:8" x14ac:dyDescent="0.3">
      <c r="G1795" s="515"/>
      <c r="H1795" s="515"/>
    </row>
    <row r="1796" spans="7:8" x14ac:dyDescent="0.3">
      <c r="G1796" s="515"/>
      <c r="H1796" s="515"/>
    </row>
    <row r="1797" spans="7:8" x14ac:dyDescent="0.3">
      <c r="G1797" s="515"/>
      <c r="H1797" s="515"/>
    </row>
    <row r="1798" spans="7:8" x14ac:dyDescent="0.3">
      <c r="G1798" s="515"/>
      <c r="H1798" s="515"/>
    </row>
    <row r="1799" spans="7:8" x14ac:dyDescent="0.3">
      <c r="G1799" s="515"/>
      <c r="H1799" s="515"/>
    </row>
    <row r="1800" spans="7:8" x14ac:dyDescent="0.3">
      <c r="G1800" s="515"/>
      <c r="H1800" s="515"/>
    </row>
    <row r="1801" spans="7:8" x14ac:dyDescent="0.3">
      <c r="G1801" s="515"/>
      <c r="H1801" s="515"/>
    </row>
    <row r="1802" spans="7:8" x14ac:dyDescent="0.3">
      <c r="G1802" s="515"/>
      <c r="H1802" s="515"/>
    </row>
    <row r="1803" spans="7:8" x14ac:dyDescent="0.3">
      <c r="G1803" s="515"/>
      <c r="H1803" s="515"/>
    </row>
    <row r="1804" spans="7:8" x14ac:dyDescent="0.3">
      <c r="G1804" s="515"/>
      <c r="H1804" s="515"/>
    </row>
    <row r="1805" spans="7:8" x14ac:dyDescent="0.3">
      <c r="G1805" s="515"/>
      <c r="H1805" s="515"/>
    </row>
    <row r="1806" spans="7:8" x14ac:dyDescent="0.3">
      <c r="G1806" s="515"/>
      <c r="H1806" s="515"/>
    </row>
    <row r="1807" spans="7:8" x14ac:dyDescent="0.3">
      <c r="G1807" s="515"/>
      <c r="H1807" s="515"/>
    </row>
    <row r="1808" spans="7:8" x14ac:dyDescent="0.3">
      <c r="G1808" s="515"/>
      <c r="H1808" s="515"/>
    </row>
    <row r="1809" spans="7:8" x14ac:dyDescent="0.3">
      <c r="G1809" s="515"/>
      <c r="H1809" s="515"/>
    </row>
    <row r="1810" spans="7:8" x14ac:dyDescent="0.3">
      <c r="G1810" s="515"/>
      <c r="H1810" s="515"/>
    </row>
    <row r="1811" spans="7:8" x14ac:dyDescent="0.3">
      <c r="G1811" s="515"/>
      <c r="H1811" s="515"/>
    </row>
    <row r="1812" spans="7:8" x14ac:dyDescent="0.3">
      <c r="G1812" s="515"/>
      <c r="H1812" s="515"/>
    </row>
    <row r="1813" spans="7:8" x14ac:dyDescent="0.3">
      <c r="G1813" s="515"/>
      <c r="H1813" s="515"/>
    </row>
    <row r="1814" spans="7:8" x14ac:dyDescent="0.3">
      <c r="G1814" s="515"/>
      <c r="H1814" s="515"/>
    </row>
    <row r="1815" spans="7:8" x14ac:dyDescent="0.3">
      <c r="G1815" s="515"/>
      <c r="H1815" s="515"/>
    </row>
    <row r="1816" spans="7:8" x14ac:dyDescent="0.3">
      <c r="G1816" s="515"/>
      <c r="H1816" s="515"/>
    </row>
    <row r="1817" spans="7:8" x14ac:dyDescent="0.3">
      <c r="G1817" s="515"/>
      <c r="H1817" s="515"/>
    </row>
    <row r="1818" spans="7:8" x14ac:dyDescent="0.3">
      <c r="G1818" s="515"/>
      <c r="H1818" s="515"/>
    </row>
    <row r="1819" spans="7:8" x14ac:dyDescent="0.3">
      <c r="G1819" s="515"/>
      <c r="H1819" s="515"/>
    </row>
    <row r="1820" spans="7:8" x14ac:dyDescent="0.3">
      <c r="G1820" s="515"/>
      <c r="H1820" s="515"/>
    </row>
    <row r="1821" spans="7:8" x14ac:dyDescent="0.3">
      <c r="G1821" s="515"/>
      <c r="H1821" s="515"/>
    </row>
    <row r="1822" spans="7:8" x14ac:dyDescent="0.3">
      <c r="G1822" s="515"/>
      <c r="H1822" s="515"/>
    </row>
    <row r="1823" spans="7:8" x14ac:dyDescent="0.3">
      <c r="G1823" s="515"/>
      <c r="H1823" s="515"/>
    </row>
    <row r="1824" spans="7:8" x14ac:dyDescent="0.3">
      <c r="G1824" s="515"/>
      <c r="H1824" s="515"/>
    </row>
    <row r="1825" spans="7:8" x14ac:dyDescent="0.3">
      <c r="G1825" s="515"/>
      <c r="H1825" s="515"/>
    </row>
    <row r="1826" spans="7:8" x14ac:dyDescent="0.3">
      <c r="G1826" s="515"/>
      <c r="H1826" s="515"/>
    </row>
    <row r="1827" spans="7:8" x14ac:dyDescent="0.3">
      <c r="G1827" s="515"/>
      <c r="H1827" s="515"/>
    </row>
    <row r="1828" spans="7:8" x14ac:dyDescent="0.3">
      <c r="G1828" s="515"/>
      <c r="H1828" s="515"/>
    </row>
    <row r="1829" spans="7:8" x14ac:dyDescent="0.3">
      <c r="G1829" s="515"/>
      <c r="H1829" s="515"/>
    </row>
    <row r="1830" spans="7:8" x14ac:dyDescent="0.3">
      <c r="G1830" s="515"/>
      <c r="H1830" s="515"/>
    </row>
    <row r="1831" spans="7:8" x14ac:dyDescent="0.3">
      <c r="G1831" s="515"/>
      <c r="H1831" s="515"/>
    </row>
    <row r="1832" spans="7:8" x14ac:dyDescent="0.3">
      <c r="G1832" s="515"/>
      <c r="H1832" s="515"/>
    </row>
    <row r="1833" spans="7:8" x14ac:dyDescent="0.3">
      <c r="G1833" s="515"/>
      <c r="H1833" s="515"/>
    </row>
    <row r="1834" spans="7:8" x14ac:dyDescent="0.3">
      <c r="G1834" s="515"/>
      <c r="H1834" s="515"/>
    </row>
    <row r="1835" spans="7:8" x14ac:dyDescent="0.3">
      <c r="G1835" s="515"/>
      <c r="H1835" s="515"/>
    </row>
    <row r="1836" spans="7:8" x14ac:dyDescent="0.3">
      <c r="G1836" s="515"/>
      <c r="H1836" s="515"/>
    </row>
    <row r="1837" spans="7:8" x14ac:dyDescent="0.3">
      <c r="G1837" s="515"/>
      <c r="H1837" s="515"/>
    </row>
    <row r="1838" spans="7:8" x14ac:dyDescent="0.3">
      <c r="G1838" s="515"/>
      <c r="H1838" s="515"/>
    </row>
    <row r="1839" spans="7:8" x14ac:dyDescent="0.3">
      <c r="G1839" s="515"/>
      <c r="H1839" s="515"/>
    </row>
    <row r="1840" spans="7:8" x14ac:dyDescent="0.3">
      <c r="G1840" s="515"/>
      <c r="H1840" s="515"/>
    </row>
    <row r="1841" spans="7:8" x14ac:dyDescent="0.3">
      <c r="G1841" s="515"/>
      <c r="H1841" s="515"/>
    </row>
    <row r="1842" spans="7:8" x14ac:dyDescent="0.3">
      <c r="G1842" s="515"/>
      <c r="H1842" s="515"/>
    </row>
    <row r="1843" spans="7:8" x14ac:dyDescent="0.3">
      <c r="G1843" s="515"/>
      <c r="H1843" s="515"/>
    </row>
    <row r="1844" spans="7:8" x14ac:dyDescent="0.3">
      <c r="G1844" s="515"/>
      <c r="H1844" s="515"/>
    </row>
    <row r="1845" spans="7:8" x14ac:dyDescent="0.3">
      <c r="G1845" s="515"/>
      <c r="H1845" s="515"/>
    </row>
    <row r="1846" spans="7:8" x14ac:dyDescent="0.3">
      <c r="G1846" s="515"/>
      <c r="H1846" s="515"/>
    </row>
    <row r="1847" spans="7:8" x14ac:dyDescent="0.3">
      <c r="G1847" s="515"/>
      <c r="H1847" s="515"/>
    </row>
    <row r="1848" spans="7:8" x14ac:dyDescent="0.3">
      <c r="G1848" s="515"/>
      <c r="H1848" s="515"/>
    </row>
    <row r="1849" spans="7:8" x14ac:dyDescent="0.3">
      <c r="G1849" s="515"/>
      <c r="H1849" s="515"/>
    </row>
    <row r="1850" spans="7:8" x14ac:dyDescent="0.3">
      <c r="G1850" s="515"/>
      <c r="H1850" s="515"/>
    </row>
    <row r="1851" spans="7:8" x14ac:dyDescent="0.3">
      <c r="G1851" s="515"/>
      <c r="H1851" s="515"/>
    </row>
    <row r="1852" spans="7:8" x14ac:dyDescent="0.3">
      <c r="G1852" s="515"/>
      <c r="H1852" s="515"/>
    </row>
    <row r="1853" spans="7:8" x14ac:dyDescent="0.3">
      <c r="G1853" s="515"/>
      <c r="H1853" s="515"/>
    </row>
    <row r="1854" spans="7:8" x14ac:dyDescent="0.3">
      <c r="G1854" s="515"/>
      <c r="H1854" s="515"/>
    </row>
    <row r="1855" spans="7:8" x14ac:dyDescent="0.3">
      <c r="G1855" s="515"/>
      <c r="H1855" s="515"/>
    </row>
    <row r="1856" spans="7:8" x14ac:dyDescent="0.3">
      <c r="G1856" s="515"/>
      <c r="H1856" s="515"/>
    </row>
    <row r="1857" spans="7:8" x14ac:dyDescent="0.3">
      <c r="G1857" s="515"/>
      <c r="H1857" s="515"/>
    </row>
    <row r="1858" spans="7:8" x14ac:dyDescent="0.3">
      <c r="G1858" s="515"/>
      <c r="H1858" s="515"/>
    </row>
    <row r="1859" spans="7:8" x14ac:dyDescent="0.3">
      <c r="G1859" s="515"/>
      <c r="H1859" s="515"/>
    </row>
    <row r="1860" spans="7:8" x14ac:dyDescent="0.3">
      <c r="G1860" s="515"/>
      <c r="H1860" s="515"/>
    </row>
    <row r="1861" spans="7:8" x14ac:dyDescent="0.3">
      <c r="G1861" s="515"/>
      <c r="H1861" s="515"/>
    </row>
    <row r="1862" spans="7:8" x14ac:dyDescent="0.3">
      <c r="G1862" s="515"/>
      <c r="H1862" s="515"/>
    </row>
    <row r="1863" spans="7:8" x14ac:dyDescent="0.3">
      <c r="G1863" s="515"/>
      <c r="H1863" s="515"/>
    </row>
    <row r="1864" spans="7:8" x14ac:dyDescent="0.3">
      <c r="G1864" s="515"/>
      <c r="H1864" s="515"/>
    </row>
    <row r="1865" spans="7:8" x14ac:dyDescent="0.3">
      <c r="G1865" s="515"/>
      <c r="H1865" s="515"/>
    </row>
    <row r="1866" spans="7:8" x14ac:dyDescent="0.3">
      <c r="G1866" s="515"/>
      <c r="H1866" s="515"/>
    </row>
    <row r="1867" spans="7:8" x14ac:dyDescent="0.3">
      <c r="G1867" s="515"/>
      <c r="H1867" s="515"/>
    </row>
    <row r="1868" spans="7:8" x14ac:dyDescent="0.3">
      <c r="G1868" s="515"/>
      <c r="H1868" s="515"/>
    </row>
    <row r="1869" spans="7:8" x14ac:dyDescent="0.3">
      <c r="G1869" s="515"/>
      <c r="H1869" s="515"/>
    </row>
    <row r="1870" spans="7:8" x14ac:dyDescent="0.3">
      <c r="G1870" s="515"/>
      <c r="H1870" s="515"/>
    </row>
    <row r="1871" spans="7:8" x14ac:dyDescent="0.3">
      <c r="G1871" s="515"/>
      <c r="H1871" s="515"/>
    </row>
    <row r="1872" spans="7:8" x14ac:dyDescent="0.3">
      <c r="G1872" s="515"/>
      <c r="H1872" s="515"/>
    </row>
    <row r="1873" spans="7:8" x14ac:dyDescent="0.3">
      <c r="G1873" s="515"/>
      <c r="H1873" s="515"/>
    </row>
    <row r="1874" spans="7:8" x14ac:dyDescent="0.3">
      <c r="G1874" s="515"/>
      <c r="H1874" s="515"/>
    </row>
    <row r="1875" spans="7:8" x14ac:dyDescent="0.3">
      <c r="G1875" s="515"/>
      <c r="H1875" s="515"/>
    </row>
    <row r="1876" spans="7:8" x14ac:dyDescent="0.3">
      <c r="G1876" s="515"/>
      <c r="H1876" s="515"/>
    </row>
    <row r="1877" spans="7:8" x14ac:dyDescent="0.3">
      <c r="G1877" s="515"/>
      <c r="H1877" s="515"/>
    </row>
    <row r="1878" spans="7:8" x14ac:dyDescent="0.3">
      <c r="G1878" s="515"/>
      <c r="H1878" s="515"/>
    </row>
    <row r="1879" spans="7:8" x14ac:dyDescent="0.3">
      <c r="G1879" s="515"/>
      <c r="H1879" s="515"/>
    </row>
    <row r="1880" spans="7:8" x14ac:dyDescent="0.3">
      <c r="G1880" s="515"/>
      <c r="H1880" s="515"/>
    </row>
    <row r="1881" spans="7:8" x14ac:dyDescent="0.3">
      <c r="G1881" s="515"/>
      <c r="H1881" s="515"/>
    </row>
    <row r="1882" spans="7:8" x14ac:dyDescent="0.3">
      <c r="G1882" s="515"/>
      <c r="H1882" s="515"/>
    </row>
    <row r="1883" spans="7:8" x14ac:dyDescent="0.3">
      <c r="G1883" s="515"/>
      <c r="H1883" s="515"/>
    </row>
    <row r="1884" spans="7:8" x14ac:dyDescent="0.3">
      <c r="G1884" s="515"/>
      <c r="H1884" s="515"/>
    </row>
    <row r="1885" spans="7:8" x14ac:dyDescent="0.3">
      <c r="G1885" s="515"/>
      <c r="H1885" s="515"/>
    </row>
    <row r="1886" spans="7:8" x14ac:dyDescent="0.3">
      <c r="G1886" s="515"/>
      <c r="H1886" s="515"/>
    </row>
    <row r="1887" spans="7:8" x14ac:dyDescent="0.3">
      <c r="G1887" s="515"/>
      <c r="H1887" s="515"/>
    </row>
    <row r="1888" spans="7:8" x14ac:dyDescent="0.3">
      <c r="G1888" s="515"/>
      <c r="H1888" s="515"/>
    </row>
    <row r="1889" spans="7:8" x14ac:dyDescent="0.3">
      <c r="G1889" s="515"/>
      <c r="H1889" s="515"/>
    </row>
    <row r="1890" spans="7:8" x14ac:dyDescent="0.3">
      <c r="G1890" s="515"/>
      <c r="H1890" s="515"/>
    </row>
    <row r="1891" spans="7:8" x14ac:dyDescent="0.3">
      <c r="G1891" s="515"/>
      <c r="H1891" s="515"/>
    </row>
    <row r="1892" spans="7:8" x14ac:dyDescent="0.3">
      <c r="G1892" s="515"/>
      <c r="H1892" s="515"/>
    </row>
    <row r="1893" spans="7:8" x14ac:dyDescent="0.3">
      <c r="G1893" s="515"/>
      <c r="H1893" s="515"/>
    </row>
    <row r="1894" spans="7:8" x14ac:dyDescent="0.3">
      <c r="G1894" s="515"/>
      <c r="H1894" s="515"/>
    </row>
    <row r="1895" spans="7:8" x14ac:dyDescent="0.3">
      <c r="G1895" s="515"/>
      <c r="H1895" s="515"/>
    </row>
    <row r="1896" spans="7:8" x14ac:dyDescent="0.3">
      <c r="G1896" s="515"/>
      <c r="H1896" s="515"/>
    </row>
    <row r="1897" spans="7:8" x14ac:dyDescent="0.3">
      <c r="G1897" s="515"/>
      <c r="H1897" s="515"/>
    </row>
    <row r="1898" spans="7:8" x14ac:dyDescent="0.3">
      <c r="G1898" s="515"/>
      <c r="H1898" s="515"/>
    </row>
    <row r="1899" spans="7:8" x14ac:dyDescent="0.3">
      <c r="G1899" s="515"/>
      <c r="H1899" s="515"/>
    </row>
    <row r="1900" spans="7:8" x14ac:dyDescent="0.3">
      <c r="G1900" s="515"/>
      <c r="H1900" s="515"/>
    </row>
    <row r="1901" spans="7:8" x14ac:dyDescent="0.3">
      <c r="G1901" s="515"/>
      <c r="H1901" s="515"/>
    </row>
    <row r="1902" spans="7:8" x14ac:dyDescent="0.3">
      <c r="G1902" s="515"/>
      <c r="H1902" s="515"/>
    </row>
    <row r="1903" spans="7:8" x14ac:dyDescent="0.3">
      <c r="G1903" s="515"/>
      <c r="H1903" s="515"/>
    </row>
    <row r="1904" spans="7:8" x14ac:dyDescent="0.3">
      <c r="G1904" s="515"/>
      <c r="H1904" s="515"/>
    </row>
    <row r="1905" spans="7:8" x14ac:dyDescent="0.3">
      <c r="G1905" s="515"/>
      <c r="H1905" s="515"/>
    </row>
    <row r="1906" spans="7:8" x14ac:dyDescent="0.3">
      <c r="G1906" s="515"/>
      <c r="H1906" s="515"/>
    </row>
    <row r="1907" spans="7:8" x14ac:dyDescent="0.3">
      <c r="G1907" s="515"/>
      <c r="H1907" s="515"/>
    </row>
    <row r="1908" spans="7:8" x14ac:dyDescent="0.3">
      <c r="G1908" s="515"/>
      <c r="H1908" s="515"/>
    </row>
    <row r="1909" spans="7:8" x14ac:dyDescent="0.3">
      <c r="G1909" s="515"/>
      <c r="H1909" s="515"/>
    </row>
    <row r="1910" spans="7:8" x14ac:dyDescent="0.3">
      <c r="G1910" s="515"/>
      <c r="H1910" s="515"/>
    </row>
    <row r="1911" spans="7:8" x14ac:dyDescent="0.3">
      <c r="G1911" s="515"/>
      <c r="H1911" s="515"/>
    </row>
    <row r="1912" spans="7:8" x14ac:dyDescent="0.3">
      <c r="G1912" s="515"/>
      <c r="H1912" s="515"/>
    </row>
    <row r="1913" spans="7:8" x14ac:dyDescent="0.3">
      <c r="G1913" s="515"/>
      <c r="H1913" s="515"/>
    </row>
    <row r="1914" spans="7:8" x14ac:dyDescent="0.3">
      <c r="G1914" s="515"/>
      <c r="H1914" s="515"/>
    </row>
    <row r="1915" spans="7:8" x14ac:dyDescent="0.3">
      <c r="G1915" s="515"/>
      <c r="H1915" s="515"/>
    </row>
    <row r="1916" spans="7:8" x14ac:dyDescent="0.3">
      <c r="G1916" s="515"/>
      <c r="H1916" s="515"/>
    </row>
    <row r="1917" spans="7:8" x14ac:dyDescent="0.3">
      <c r="G1917" s="515"/>
      <c r="H1917" s="515"/>
    </row>
    <row r="1918" spans="7:8" x14ac:dyDescent="0.3">
      <c r="G1918" s="515"/>
      <c r="H1918" s="515"/>
    </row>
    <row r="1919" spans="7:8" x14ac:dyDescent="0.3">
      <c r="G1919" s="515"/>
      <c r="H1919" s="515"/>
    </row>
    <row r="1920" spans="7:8" x14ac:dyDescent="0.3">
      <c r="G1920" s="515"/>
      <c r="H1920" s="515"/>
    </row>
    <row r="1921" spans="7:8" x14ac:dyDescent="0.3">
      <c r="G1921" s="515"/>
      <c r="H1921" s="515"/>
    </row>
    <row r="1922" spans="7:8" x14ac:dyDescent="0.3">
      <c r="G1922" s="515"/>
      <c r="H1922" s="515"/>
    </row>
    <row r="1923" spans="7:8" x14ac:dyDescent="0.3">
      <c r="G1923" s="515"/>
      <c r="H1923" s="515"/>
    </row>
    <row r="1924" spans="7:8" x14ac:dyDescent="0.3">
      <c r="G1924" s="515"/>
      <c r="H1924" s="515"/>
    </row>
    <row r="1925" spans="7:8" x14ac:dyDescent="0.3">
      <c r="G1925" s="515"/>
      <c r="H1925" s="515"/>
    </row>
    <row r="1926" spans="7:8" x14ac:dyDescent="0.3">
      <c r="G1926" s="515"/>
      <c r="H1926" s="515"/>
    </row>
    <row r="1927" spans="7:8" x14ac:dyDescent="0.3">
      <c r="G1927" s="515"/>
      <c r="H1927" s="515"/>
    </row>
    <row r="1928" spans="7:8" x14ac:dyDescent="0.3">
      <c r="G1928" s="515"/>
      <c r="H1928" s="515"/>
    </row>
    <row r="1929" spans="7:8" x14ac:dyDescent="0.3">
      <c r="G1929" s="515"/>
      <c r="H1929" s="515"/>
    </row>
    <row r="1930" spans="7:8" x14ac:dyDescent="0.3">
      <c r="G1930" s="515"/>
      <c r="H1930" s="515"/>
    </row>
    <row r="1931" spans="7:8" x14ac:dyDescent="0.3">
      <c r="G1931" s="515"/>
      <c r="H1931" s="515"/>
    </row>
    <row r="1932" spans="7:8" x14ac:dyDescent="0.3">
      <c r="G1932" s="515"/>
      <c r="H1932" s="515"/>
    </row>
    <row r="1933" spans="7:8" x14ac:dyDescent="0.3">
      <c r="G1933" s="515"/>
      <c r="H1933" s="515"/>
    </row>
    <row r="1934" spans="7:8" x14ac:dyDescent="0.3">
      <c r="G1934" s="515"/>
      <c r="H1934" s="515"/>
    </row>
    <row r="1935" spans="7:8" x14ac:dyDescent="0.3">
      <c r="G1935" s="515"/>
      <c r="H1935" s="515"/>
    </row>
    <row r="1936" spans="7:8" x14ac:dyDescent="0.3">
      <c r="G1936" s="515"/>
      <c r="H1936" s="515"/>
    </row>
    <row r="1937" spans="7:8" x14ac:dyDescent="0.3">
      <c r="G1937" s="515"/>
      <c r="H1937" s="515"/>
    </row>
    <row r="1938" spans="7:8" x14ac:dyDescent="0.3">
      <c r="G1938" s="515"/>
      <c r="H1938" s="515"/>
    </row>
    <row r="1939" spans="7:8" x14ac:dyDescent="0.3">
      <c r="G1939" s="515"/>
      <c r="H1939" s="515"/>
    </row>
    <row r="1940" spans="7:8" x14ac:dyDescent="0.3">
      <c r="G1940" s="515"/>
      <c r="H1940" s="515"/>
    </row>
    <row r="1941" spans="7:8" x14ac:dyDescent="0.3">
      <c r="G1941" s="515"/>
      <c r="H1941" s="515"/>
    </row>
    <row r="1942" spans="7:8" x14ac:dyDescent="0.3">
      <c r="G1942" s="515"/>
      <c r="H1942" s="515"/>
    </row>
    <row r="1943" spans="7:8" x14ac:dyDescent="0.3">
      <c r="G1943" s="515"/>
      <c r="H1943" s="515"/>
    </row>
    <row r="1944" spans="7:8" x14ac:dyDescent="0.3">
      <c r="G1944" s="515"/>
      <c r="H1944" s="515"/>
    </row>
    <row r="1945" spans="7:8" x14ac:dyDescent="0.3">
      <c r="G1945" s="515"/>
      <c r="H1945" s="515"/>
    </row>
    <row r="1946" spans="7:8" x14ac:dyDescent="0.3">
      <c r="G1946" s="515"/>
      <c r="H1946" s="515"/>
    </row>
    <row r="1947" spans="7:8" x14ac:dyDescent="0.3">
      <c r="G1947" s="515"/>
      <c r="H1947" s="515"/>
    </row>
    <row r="1948" spans="7:8" x14ac:dyDescent="0.3">
      <c r="G1948" s="515"/>
      <c r="H1948" s="515"/>
    </row>
    <row r="1949" spans="7:8" x14ac:dyDescent="0.3">
      <c r="G1949" s="515"/>
      <c r="H1949" s="515"/>
    </row>
    <row r="1950" spans="7:8" x14ac:dyDescent="0.3">
      <c r="G1950" s="515"/>
      <c r="H1950" s="515"/>
    </row>
    <row r="1951" spans="7:8" x14ac:dyDescent="0.3">
      <c r="G1951" s="515"/>
      <c r="H1951" s="515"/>
    </row>
    <row r="1952" spans="7:8" x14ac:dyDescent="0.3">
      <c r="G1952" s="515"/>
      <c r="H1952" s="515"/>
    </row>
    <row r="1953" spans="7:8" x14ac:dyDescent="0.3">
      <c r="G1953" s="515"/>
      <c r="H1953" s="515"/>
    </row>
    <row r="1954" spans="7:8" x14ac:dyDescent="0.3">
      <c r="G1954" s="515"/>
      <c r="H1954" s="515"/>
    </row>
    <row r="1955" spans="7:8" x14ac:dyDescent="0.3">
      <c r="G1955" s="515"/>
      <c r="H1955" s="515"/>
    </row>
    <row r="1956" spans="7:8" x14ac:dyDescent="0.3">
      <c r="G1956" s="515"/>
      <c r="H1956" s="515"/>
    </row>
    <row r="1957" spans="7:8" x14ac:dyDescent="0.3">
      <c r="G1957" s="515"/>
      <c r="H1957" s="515"/>
    </row>
    <row r="1958" spans="7:8" x14ac:dyDescent="0.3">
      <c r="G1958" s="515"/>
      <c r="H1958" s="515"/>
    </row>
    <row r="1959" spans="7:8" x14ac:dyDescent="0.3">
      <c r="G1959" s="515"/>
      <c r="H1959" s="515"/>
    </row>
    <row r="1960" spans="7:8" x14ac:dyDescent="0.3">
      <c r="G1960" s="515"/>
      <c r="H1960" s="515"/>
    </row>
    <row r="1961" spans="7:8" x14ac:dyDescent="0.3">
      <c r="G1961" s="515"/>
      <c r="H1961" s="515"/>
    </row>
    <row r="1962" spans="7:8" x14ac:dyDescent="0.3">
      <c r="G1962" s="515"/>
      <c r="H1962" s="515"/>
    </row>
    <row r="1963" spans="7:8" x14ac:dyDescent="0.3">
      <c r="G1963" s="515"/>
      <c r="H1963" s="515"/>
    </row>
    <row r="1964" spans="7:8" x14ac:dyDescent="0.3">
      <c r="G1964" s="515"/>
      <c r="H1964" s="515"/>
    </row>
    <row r="1965" spans="7:8" x14ac:dyDescent="0.3">
      <c r="G1965" s="515"/>
      <c r="H1965" s="515"/>
    </row>
    <row r="1966" spans="7:8" x14ac:dyDescent="0.3">
      <c r="G1966" s="515"/>
      <c r="H1966" s="515"/>
    </row>
    <row r="1967" spans="7:8" x14ac:dyDescent="0.3">
      <c r="G1967" s="515"/>
      <c r="H1967" s="515"/>
    </row>
    <row r="1968" spans="7:8" x14ac:dyDescent="0.3">
      <c r="G1968" s="515"/>
      <c r="H1968" s="515"/>
    </row>
    <row r="1969" spans="7:8" x14ac:dyDescent="0.3">
      <c r="G1969" s="515"/>
      <c r="H1969" s="515"/>
    </row>
    <row r="1970" spans="7:8" x14ac:dyDescent="0.3">
      <c r="G1970" s="515"/>
      <c r="H1970" s="515"/>
    </row>
    <row r="1971" spans="7:8" x14ac:dyDescent="0.3">
      <c r="G1971" s="515"/>
      <c r="H1971" s="515"/>
    </row>
    <row r="1972" spans="7:8" x14ac:dyDescent="0.3">
      <c r="G1972" s="515"/>
      <c r="H1972" s="515"/>
    </row>
    <row r="1973" spans="7:8" x14ac:dyDescent="0.3">
      <c r="G1973" s="515"/>
      <c r="H1973" s="515"/>
    </row>
    <row r="1974" spans="7:8" x14ac:dyDescent="0.3">
      <c r="G1974" s="515"/>
      <c r="H1974" s="515"/>
    </row>
    <row r="1975" spans="7:8" x14ac:dyDescent="0.3">
      <c r="G1975" s="515"/>
      <c r="H1975" s="515"/>
    </row>
    <row r="1976" spans="7:8" x14ac:dyDescent="0.3">
      <c r="G1976" s="515"/>
      <c r="H1976" s="515"/>
    </row>
    <row r="1977" spans="7:8" x14ac:dyDescent="0.3">
      <c r="G1977" s="515"/>
      <c r="H1977" s="515"/>
    </row>
    <row r="1978" spans="7:8" x14ac:dyDescent="0.3">
      <c r="G1978" s="515"/>
      <c r="H1978" s="515"/>
    </row>
    <row r="1979" spans="7:8" x14ac:dyDescent="0.3">
      <c r="G1979" s="515"/>
      <c r="H1979" s="515"/>
    </row>
    <row r="1980" spans="7:8" x14ac:dyDescent="0.3">
      <c r="G1980" s="515"/>
      <c r="H1980" s="515"/>
    </row>
    <row r="1981" spans="7:8" x14ac:dyDescent="0.3">
      <c r="G1981" s="515"/>
      <c r="H1981" s="515"/>
    </row>
    <row r="1982" spans="7:8" x14ac:dyDescent="0.3">
      <c r="G1982" s="515"/>
      <c r="H1982" s="515"/>
    </row>
    <row r="1983" spans="7:8" x14ac:dyDescent="0.3">
      <c r="G1983" s="515"/>
      <c r="H1983" s="515"/>
    </row>
    <row r="1984" spans="7:8" x14ac:dyDescent="0.3">
      <c r="G1984" s="515"/>
      <c r="H1984" s="515"/>
    </row>
    <row r="1985" spans="7:8" x14ac:dyDescent="0.3">
      <c r="G1985" s="515"/>
      <c r="H1985" s="515"/>
    </row>
    <row r="1986" spans="7:8" x14ac:dyDescent="0.3">
      <c r="G1986" s="515"/>
      <c r="H1986" s="515"/>
    </row>
    <row r="1987" spans="7:8" x14ac:dyDescent="0.3">
      <c r="G1987" s="515"/>
      <c r="H1987" s="515"/>
    </row>
    <row r="1988" spans="7:8" x14ac:dyDescent="0.3">
      <c r="G1988" s="515"/>
      <c r="H1988" s="515"/>
    </row>
    <row r="1989" spans="7:8" x14ac:dyDescent="0.3">
      <c r="G1989" s="515"/>
      <c r="H1989" s="515"/>
    </row>
    <row r="1990" spans="7:8" x14ac:dyDescent="0.3">
      <c r="G1990" s="515"/>
      <c r="H1990" s="515"/>
    </row>
    <row r="1991" spans="7:8" x14ac:dyDescent="0.3">
      <c r="G1991" s="515"/>
      <c r="H1991" s="515"/>
    </row>
    <row r="1992" spans="7:8" x14ac:dyDescent="0.3">
      <c r="G1992" s="515"/>
      <c r="H1992" s="515"/>
    </row>
    <row r="1993" spans="7:8" x14ac:dyDescent="0.3">
      <c r="G1993" s="515"/>
      <c r="H1993" s="515"/>
    </row>
    <row r="1994" spans="7:8" x14ac:dyDescent="0.3">
      <c r="G1994" s="515"/>
      <c r="H1994" s="515"/>
    </row>
    <row r="1995" spans="7:8" x14ac:dyDescent="0.3">
      <c r="G1995" s="515"/>
      <c r="H1995" s="515"/>
    </row>
    <row r="1996" spans="7:8" x14ac:dyDescent="0.3">
      <c r="G1996" s="515"/>
      <c r="H1996" s="515"/>
    </row>
    <row r="1997" spans="7:8" x14ac:dyDescent="0.3">
      <c r="G1997" s="515"/>
      <c r="H1997" s="515"/>
    </row>
    <row r="1998" spans="7:8" x14ac:dyDescent="0.3">
      <c r="G1998" s="515"/>
      <c r="H1998" s="515"/>
    </row>
    <row r="1999" spans="7:8" x14ac:dyDescent="0.3">
      <c r="G1999" s="515"/>
      <c r="H1999" s="515"/>
    </row>
    <row r="2000" spans="7:8" x14ac:dyDescent="0.3">
      <c r="G2000" s="515"/>
      <c r="H2000" s="515"/>
    </row>
    <row r="2001" spans="7:8" x14ac:dyDescent="0.3">
      <c r="G2001" s="515"/>
      <c r="H2001" s="515"/>
    </row>
    <row r="2002" spans="7:8" x14ac:dyDescent="0.3">
      <c r="G2002" s="515"/>
      <c r="H2002" s="515"/>
    </row>
    <row r="2003" spans="7:8" x14ac:dyDescent="0.3">
      <c r="G2003" s="515"/>
      <c r="H2003" s="515"/>
    </row>
    <row r="2004" spans="7:8" x14ac:dyDescent="0.3">
      <c r="G2004" s="515"/>
      <c r="H2004" s="515"/>
    </row>
    <row r="2005" spans="7:8" x14ac:dyDescent="0.3">
      <c r="G2005" s="515"/>
      <c r="H2005" s="515"/>
    </row>
    <row r="2006" spans="7:8" x14ac:dyDescent="0.3">
      <c r="G2006" s="515"/>
      <c r="H2006" s="515"/>
    </row>
    <row r="2007" spans="7:8" x14ac:dyDescent="0.3">
      <c r="G2007" s="515"/>
      <c r="H2007" s="515"/>
    </row>
    <row r="2008" spans="7:8" x14ac:dyDescent="0.3">
      <c r="G2008" s="515"/>
      <c r="H2008" s="515"/>
    </row>
    <row r="2009" spans="7:8" x14ac:dyDescent="0.3">
      <c r="G2009" s="515"/>
      <c r="H2009" s="515"/>
    </row>
    <row r="2010" spans="7:8" x14ac:dyDescent="0.3">
      <c r="G2010" s="515"/>
      <c r="H2010" s="515"/>
    </row>
    <row r="2011" spans="7:8" x14ac:dyDescent="0.3">
      <c r="G2011" s="515"/>
      <c r="H2011" s="515"/>
    </row>
    <row r="2012" spans="7:8" x14ac:dyDescent="0.3">
      <c r="G2012" s="515"/>
      <c r="H2012" s="515"/>
    </row>
    <row r="2013" spans="7:8" x14ac:dyDescent="0.3">
      <c r="G2013" s="515"/>
      <c r="H2013" s="515"/>
    </row>
    <row r="2014" spans="7:8" x14ac:dyDescent="0.3">
      <c r="G2014" s="515"/>
      <c r="H2014" s="515"/>
    </row>
    <row r="2015" spans="7:8" x14ac:dyDescent="0.3">
      <c r="G2015" s="515"/>
      <c r="H2015" s="515"/>
    </row>
    <row r="2016" spans="7:8" x14ac:dyDescent="0.3">
      <c r="G2016" s="515"/>
      <c r="H2016" s="515"/>
    </row>
    <row r="2017" spans="7:8" x14ac:dyDescent="0.3">
      <c r="G2017" s="515"/>
      <c r="H2017" s="515"/>
    </row>
    <row r="2018" spans="7:8" x14ac:dyDescent="0.3">
      <c r="G2018" s="515"/>
      <c r="H2018" s="515"/>
    </row>
    <row r="2019" spans="7:8" x14ac:dyDescent="0.3">
      <c r="G2019" s="515"/>
      <c r="H2019" s="515"/>
    </row>
    <row r="2020" spans="7:8" x14ac:dyDescent="0.3">
      <c r="G2020" s="515"/>
      <c r="H2020" s="515"/>
    </row>
    <row r="2021" spans="7:8" x14ac:dyDescent="0.3">
      <c r="G2021" s="515"/>
      <c r="H2021" s="515"/>
    </row>
    <row r="2022" spans="7:8" x14ac:dyDescent="0.3">
      <c r="G2022" s="515"/>
      <c r="H2022" s="515"/>
    </row>
    <row r="2023" spans="7:8" x14ac:dyDescent="0.3">
      <c r="G2023" s="515"/>
      <c r="H2023" s="515"/>
    </row>
    <row r="2024" spans="7:8" x14ac:dyDescent="0.3">
      <c r="G2024" s="515"/>
      <c r="H2024" s="515"/>
    </row>
    <row r="2025" spans="7:8" x14ac:dyDescent="0.3">
      <c r="G2025" s="515"/>
      <c r="H2025" s="515"/>
    </row>
    <row r="2026" spans="7:8" x14ac:dyDescent="0.3">
      <c r="G2026" s="515"/>
      <c r="H2026" s="515"/>
    </row>
    <row r="2027" spans="7:8" x14ac:dyDescent="0.3">
      <c r="G2027" s="515"/>
      <c r="H2027" s="515"/>
    </row>
    <row r="2028" spans="7:8" x14ac:dyDescent="0.3">
      <c r="G2028" s="515"/>
      <c r="H2028" s="515"/>
    </row>
    <row r="2029" spans="7:8" x14ac:dyDescent="0.3">
      <c r="G2029" s="515"/>
      <c r="H2029" s="515"/>
    </row>
    <row r="2030" spans="7:8" x14ac:dyDescent="0.3">
      <c r="G2030" s="515"/>
      <c r="H2030" s="515"/>
    </row>
    <row r="2031" spans="7:8" x14ac:dyDescent="0.3">
      <c r="G2031" s="515"/>
      <c r="H2031" s="515"/>
    </row>
    <row r="2032" spans="7:8" x14ac:dyDescent="0.3">
      <c r="G2032" s="515"/>
      <c r="H2032" s="515"/>
    </row>
    <row r="2033" spans="7:8" x14ac:dyDescent="0.3">
      <c r="G2033" s="515"/>
      <c r="H2033" s="515"/>
    </row>
    <row r="2034" spans="7:8" x14ac:dyDescent="0.3">
      <c r="G2034" s="515"/>
      <c r="H2034" s="515"/>
    </row>
    <row r="2035" spans="7:8" x14ac:dyDescent="0.3">
      <c r="G2035" s="515"/>
      <c r="H2035" s="515"/>
    </row>
    <row r="2036" spans="7:8" x14ac:dyDescent="0.3">
      <c r="G2036" s="515"/>
      <c r="H2036" s="515"/>
    </row>
    <row r="2037" spans="7:8" x14ac:dyDescent="0.3">
      <c r="G2037" s="515"/>
      <c r="H2037" s="515"/>
    </row>
    <row r="2038" spans="7:8" x14ac:dyDescent="0.3">
      <c r="G2038" s="515"/>
      <c r="H2038" s="515"/>
    </row>
    <row r="2039" spans="7:8" x14ac:dyDescent="0.3">
      <c r="G2039" s="515"/>
      <c r="H2039" s="515"/>
    </row>
    <row r="2040" spans="7:8" x14ac:dyDescent="0.3">
      <c r="G2040" s="515"/>
      <c r="H2040" s="515"/>
    </row>
    <row r="2041" spans="7:8" x14ac:dyDescent="0.3">
      <c r="G2041" s="515"/>
      <c r="H2041" s="515"/>
    </row>
    <row r="2042" spans="7:8" x14ac:dyDescent="0.3">
      <c r="G2042" s="515"/>
      <c r="H2042" s="515"/>
    </row>
    <row r="2043" spans="7:8" x14ac:dyDescent="0.3">
      <c r="G2043" s="515"/>
      <c r="H2043" s="515"/>
    </row>
    <row r="2044" spans="7:8" x14ac:dyDescent="0.3">
      <c r="G2044" s="515"/>
      <c r="H2044" s="515"/>
    </row>
    <row r="2045" spans="7:8" x14ac:dyDescent="0.3">
      <c r="G2045" s="515"/>
      <c r="H2045" s="515"/>
    </row>
    <row r="2046" spans="7:8" x14ac:dyDescent="0.3">
      <c r="G2046" s="515"/>
      <c r="H2046" s="515"/>
    </row>
    <row r="2047" spans="7:8" x14ac:dyDescent="0.3">
      <c r="G2047" s="515"/>
      <c r="H2047" s="515"/>
    </row>
    <row r="2048" spans="7:8" x14ac:dyDescent="0.3">
      <c r="G2048" s="515"/>
      <c r="H2048" s="515"/>
    </row>
    <row r="2049" spans="7:8" x14ac:dyDescent="0.3">
      <c r="G2049" s="515"/>
      <c r="H2049" s="515"/>
    </row>
    <row r="2050" spans="7:8" x14ac:dyDescent="0.3">
      <c r="G2050" s="515"/>
      <c r="H2050" s="515"/>
    </row>
    <row r="2051" spans="7:8" x14ac:dyDescent="0.3">
      <c r="G2051" s="515"/>
      <c r="H2051" s="515"/>
    </row>
    <row r="2052" spans="7:8" x14ac:dyDescent="0.3">
      <c r="G2052" s="515"/>
      <c r="H2052" s="515"/>
    </row>
    <row r="2053" spans="7:8" x14ac:dyDescent="0.3">
      <c r="G2053" s="515"/>
      <c r="H2053" s="515"/>
    </row>
    <row r="2054" spans="7:8" x14ac:dyDescent="0.3">
      <c r="G2054" s="515"/>
      <c r="H2054" s="515"/>
    </row>
    <row r="2055" spans="7:8" x14ac:dyDescent="0.3">
      <c r="G2055" s="515"/>
      <c r="H2055" s="515"/>
    </row>
    <row r="2056" spans="7:8" x14ac:dyDescent="0.3">
      <c r="G2056" s="515"/>
      <c r="H2056" s="515"/>
    </row>
    <row r="2057" spans="7:8" x14ac:dyDescent="0.3">
      <c r="G2057" s="515"/>
      <c r="H2057" s="515"/>
    </row>
    <row r="2058" spans="7:8" x14ac:dyDescent="0.3">
      <c r="G2058" s="515"/>
      <c r="H2058" s="515"/>
    </row>
    <row r="2059" spans="7:8" x14ac:dyDescent="0.3">
      <c r="G2059" s="515"/>
      <c r="H2059" s="515"/>
    </row>
    <row r="2060" spans="7:8" x14ac:dyDescent="0.3">
      <c r="G2060" s="515"/>
      <c r="H2060" s="515"/>
    </row>
    <row r="2061" spans="7:8" x14ac:dyDescent="0.3">
      <c r="G2061" s="515"/>
      <c r="H2061" s="515"/>
    </row>
    <row r="2062" spans="7:8" x14ac:dyDescent="0.3">
      <c r="G2062" s="515"/>
      <c r="H2062" s="515"/>
    </row>
    <row r="2063" spans="7:8" x14ac:dyDescent="0.3">
      <c r="G2063" s="515"/>
      <c r="H2063" s="515"/>
    </row>
    <row r="2064" spans="7:8" x14ac:dyDescent="0.3">
      <c r="G2064" s="515"/>
      <c r="H2064" s="515"/>
    </row>
    <row r="2065" spans="7:8" x14ac:dyDescent="0.3">
      <c r="G2065" s="515"/>
      <c r="H2065" s="515"/>
    </row>
    <row r="2066" spans="7:8" x14ac:dyDescent="0.3">
      <c r="G2066" s="515"/>
      <c r="H2066" s="515"/>
    </row>
    <row r="2067" spans="7:8" x14ac:dyDescent="0.3">
      <c r="G2067" s="515"/>
      <c r="H2067" s="515"/>
    </row>
    <row r="2068" spans="7:8" x14ac:dyDescent="0.3">
      <c r="G2068" s="515"/>
      <c r="H2068" s="515"/>
    </row>
    <row r="2069" spans="7:8" x14ac:dyDescent="0.3">
      <c r="G2069" s="515"/>
      <c r="H2069" s="515"/>
    </row>
    <row r="2070" spans="7:8" x14ac:dyDescent="0.3">
      <c r="G2070" s="515"/>
      <c r="H2070" s="515"/>
    </row>
    <row r="2071" spans="7:8" x14ac:dyDescent="0.3">
      <c r="G2071" s="515"/>
      <c r="H2071" s="515"/>
    </row>
    <row r="2072" spans="7:8" x14ac:dyDescent="0.3">
      <c r="G2072" s="515"/>
      <c r="H2072" s="515"/>
    </row>
    <row r="2073" spans="7:8" x14ac:dyDescent="0.3">
      <c r="G2073" s="515"/>
      <c r="H2073" s="515"/>
    </row>
    <row r="2074" spans="7:8" x14ac:dyDescent="0.3">
      <c r="G2074" s="515"/>
      <c r="H2074" s="515"/>
    </row>
    <row r="2075" spans="7:8" x14ac:dyDescent="0.3">
      <c r="G2075" s="515"/>
      <c r="H2075" s="515"/>
    </row>
    <row r="2076" spans="7:8" x14ac:dyDescent="0.3">
      <c r="G2076" s="515"/>
      <c r="H2076" s="515"/>
    </row>
    <row r="2077" spans="7:8" x14ac:dyDescent="0.3">
      <c r="G2077" s="515"/>
      <c r="H2077" s="515"/>
    </row>
    <row r="2078" spans="7:8" x14ac:dyDescent="0.3">
      <c r="G2078" s="515"/>
      <c r="H2078" s="515"/>
    </row>
    <row r="2079" spans="7:8" x14ac:dyDescent="0.3">
      <c r="G2079" s="515"/>
      <c r="H2079" s="515"/>
    </row>
    <row r="2080" spans="7:8" x14ac:dyDescent="0.3">
      <c r="G2080" s="515"/>
      <c r="H2080" s="515"/>
    </row>
    <row r="2081" spans="7:8" x14ac:dyDescent="0.3">
      <c r="G2081" s="515"/>
      <c r="H2081" s="515"/>
    </row>
    <row r="2082" spans="7:8" x14ac:dyDescent="0.3">
      <c r="G2082" s="515"/>
      <c r="H2082" s="515"/>
    </row>
    <row r="2083" spans="7:8" x14ac:dyDescent="0.3">
      <c r="G2083" s="515"/>
      <c r="H2083" s="515"/>
    </row>
    <row r="2084" spans="7:8" x14ac:dyDescent="0.3">
      <c r="G2084" s="515"/>
      <c r="H2084" s="515"/>
    </row>
    <row r="2085" spans="7:8" x14ac:dyDescent="0.3">
      <c r="G2085" s="515"/>
      <c r="H2085" s="515"/>
    </row>
    <row r="2086" spans="7:8" x14ac:dyDescent="0.3">
      <c r="G2086" s="515"/>
      <c r="H2086" s="515"/>
    </row>
    <row r="2087" spans="7:8" x14ac:dyDescent="0.3">
      <c r="G2087" s="515"/>
      <c r="H2087" s="515"/>
    </row>
    <row r="2088" spans="7:8" x14ac:dyDescent="0.3">
      <c r="G2088" s="515"/>
      <c r="H2088" s="515"/>
    </row>
    <row r="2089" spans="7:8" x14ac:dyDescent="0.3">
      <c r="G2089" s="515"/>
      <c r="H2089" s="515"/>
    </row>
    <row r="2090" spans="7:8" x14ac:dyDescent="0.3">
      <c r="G2090" s="515"/>
      <c r="H2090" s="515"/>
    </row>
    <row r="2091" spans="7:8" x14ac:dyDescent="0.3">
      <c r="G2091" s="515"/>
      <c r="H2091" s="515"/>
    </row>
    <row r="2092" spans="7:8" x14ac:dyDescent="0.3">
      <c r="G2092" s="515"/>
      <c r="H2092" s="515"/>
    </row>
    <row r="2093" spans="7:8" x14ac:dyDescent="0.3">
      <c r="G2093" s="515"/>
      <c r="H2093" s="515"/>
    </row>
    <row r="2094" spans="7:8" x14ac:dyDescent="0.3">
      <c r="G2094" s="515"/>
      <c r="H2094" s="515"/>
    </row>
    <row r="2095" spans="7:8" x14ac:dyDescent="0.3">
      <c r="G2095" s="515"/>
      <c r="H2095" s="515"/>
    </row>
    <row r="2096" spans="7:8" x14ac:dyDescent="0.3">
      <c r="G2096" s="515"/>
      <c r="H2096" s="515"/>
    </row>
    <row r="2097" spans="7:8" x14ac:dyDescent="0.3">
      <c r="G2097" s="515"/>
      <c r="H2097" s="515"/>
    </row>
    <row r="2098" spans="7:8" x14ac:dyDescent="0.3">
      <c r="G2098" s="515"/>
      <c r="H2098" s="515"/>
    </row>
    <row r="2099" spans="7:8" x14ac:dyDescent="0.3">
      <c r="G2099" s="515"/>
      <c r="H2099" s="515"/>
    </row>
    <row r="2100" spans="7:8" x14ac:dyDescent="0.3">
      <c r="G2100" s="515"/>
      <c r="H2100" s="515"/>
    </row>
    <row r="2101" spans="7:8" x14ac:dyDescent="0.3">
      <c r="G2101" s="515"/>
      <c r="H2101" s="515"/>
    </row>
    <row r="2102" spans="7:8" x14ac:dyDescent="0.3">
      <c r="G2102" s="515"/>
      <c r="H2102" s="515"/>
    </row>
    <row r="2103" spans="7:8" x14ac:dyDescent="0.3">
      <c r="G2103" s="515"/>
      <c r="H2103" s="515"/>
    </row>
    <row r="2104" spans="7:8" x14ac:dyDescent="0.3">
      <c r="G2104" s="515"/>
      <c r="H2104" s="515"/>
    </row>
    <row r="2105" spans="7:8" x14ac:dyDescent="0.3">
      <c r="G2105" s="515"/>
      <c r="H2105" s="515"/>
    </row>
    <row r="2106" spans="7:8" x14ac:dyDescent="0.3">
      <c r="G2106" s="515"/>
      <c r="H2106" s="515"/>
    </row>
    <row r="2107" spans="7:8" x14ac:dyDescent="0.3">
      <c r="G2107" s="515"/>
      <c r="H2107" s="515"/>
    </row>
    <row r="2108" spans="7:8" x14ac:dyDescent="0.3">
      <c r="G2108" s="515"/>
      <c r="H2108" s="515"/>
    </row>
    <row r="2109" spans="7:8" x14ac:dyDescent="0.3">
      <c r="G2109" s="515"/>
      <c r="H2109" s="515"/>
    </row>
    <row r="2110" spans="7:8" x14ac:dyDescent="0.3">
      <c r="G2110" s="515"/>
      <c r="H2110" s="515"/>
    </row>
    <row r="2111" spans="7:8" x14ac:dyDescent="0.3">
      <c r="G2111" s="515"/>
      <c r="H2111" s="515"/>
    </row>
    <row r="2112" spans="7:8" x14ac:dyDescent="0.3">
      <c r="G2112" s="515"/>
      <c r="H2112" s="515"/>
    </row>
    <row r="2113" spans="7:8" x14ac:dyDescent="0.3">
      <c r="G2113" s="515"/>
      <c r="H2113" s="515"/>
    </row>
    <row r="2114" spans="7:8" x14ac:dyDescent="0.3">
      <c r="G2114" s="515"/>
      <c r="H2114" s="515"/>
    </row>
    <row r="2115" spans="7:8" x14ac:dyDescent="0.3">
      <c r="G2115" s="515"/>
      <c r="H2115" s="515"/>
    </row>
    <row r="2116" spans="7:8" x14ac:dyDescent="0.3">
      <c r="G2116" s="515"/>
      <c r="H2116" s="515"/>
    </row>
    <row r="2117" spans="7:8" x14ac:dyDescent="0.3">
      <c r="G2117" s="515"/>
      <c r="H2117" s="515"/>
    </row>
    <row r="2118" spans="7:8" x14ac:dyDescent="0.3">
      <c r="G2118" s="515"/>
      <c r="H2118" s="515"/>
    </row>
    <row r="2119" spans="7:8" x14ac:dyDescent="0.3">
      <c r="G2119" s="515"/>
      <c r="H2119" s="515"/>
    </row>
    <row r="2120" spans="7:8" x14ac:dyDescent="0.3">
      <c r="G2120" s="515"/>
      <c r="H2120" s="515"/>
    </row>
    <row r="2121" spans="7:8" x14ac:dyDescent="0.3">
      <c r="G2121" s="515"/>
      <c r="H2121" s="515"/>
    </row>
    <row r="2122" spans="7:8" x14ac:dyDescent="0.3">
      <c r="G2122" s="515"/>
      <c r="H2122" s="515"/>
    </row>
    <row r="2123" spans="7:8" x14ac:dyDescent="0.3">
      <c r="G2123" s="515"/>
      <c r="H2123" s="515"/>
    </row>
    <row r="2124" spans="7:8" x14ac:dyDescent="0.3">
      <c r="G2124" s="515"/>
      <c r="H2124" s="515"/>
    </row>
    <row r="2125" spans="7:8" x14ac:dyDescent="0.3">
      <c r="G2125" s="515"/>
      <c r="H2125" s="515"/>
    </row>
    <row r="2126" spans="7:8" x14ac:dyDescent="0.3">
      <c r="G2126" s="515"/>
      <c r="H2126" s="515"/>
    </row>
    <row r="2127" spans="7:8" x14ac:dyDescent="0.3">
      <c r="G2127" s="515"/>
      <c r="H2127" s="515"/>
    </row>
    <row r="2128" spans="7:8" x14ac:dyDescent="0.3">
      <c r="G2128" s="515"/>
      <c r="H2128" s="515"/>
    </row>
    <row r="2129" spans="7:8" x14ac:dyDescent="0.3">
      <c r="G2129" s="515"/>
      <c r="H2129" s="515"/>
    </row>
    <row r="2130" spans="7:8" x14ac:dyDescent="0.3">
      <c r="G2130" s="515"/>
      <c r="H2130" s="515"/>
    </row>
    <row r="2131" spans="7:8" x14ac:dyDescent="0.3">
      <c r="G2131" s="515"/>
      <c r="H2131" s="515"/>
    </row>
    <row r="2132" spans="7:8" x14ac:dyDescent="0.3">
      <c r="G2132" s="515"/>
      <c r="H2132" s="515"/>
    </row>
    <row r="2133" spans="7:8" x14ac:dyDescent="0.3">
      <c r="G2133" s="515"/>
      <c r="H2133" s="515"/>
    </row>
    <row r="2134" spans="7:8" x14ac:dyDescent="0.3">
      <c r="G2134" s="515"/>
      <c r="H2134" s="515"/>
    </row>
    <row r="2135" spans="7:8" x14ac:dyDescent="0.3">
      <c r="G2135" s="515"/>
      <c r="H2135" s="515"/>
    </row>
    <row r="2136" spans="7:8" x14ac:dyDescent="0.3">
      <c r="G2136" s="515"/>
      <c r="H2136" s="515"/>
    </row>
    <row r="2137" spans="7:8" x14ac:dyDescent="0.3">
      <c r="G2137" s="515"/>
      <c r="H2137" s="515"/>
    </row>
    <row r="2138" spans="7:8" x14ac:dyDescent="0.3">
      <c r="G2138" s="515"/>
      <c r="H2138" s="515"/>
    </row>
    <row r="2139" spans="7:8" x14ac:dyDescent="0.3">
      <c r="G2139" s="515"/>
      <c r="H2139" s="515"/>
    </row>
    <row r="2140" spans="7:8" x14ac:dyDescent="0.3">
      <c r="G2140" s="515"/>
      <c r="H2140" s="515"/>
    </row>
    <row r="2141" spans="7:8" x14ac:dyDescent="0.3">
      <c r="G2141" s="515"/>
      <c r="H2141" s="515"/>
    </row>
    <row r="2142" spans="7:8" x14ac:dyDescent="0.3">
      <c r="G2142" s="515"/>
      <c r="H2142" s="515"/>
    </row>
    <row r="2143" spans="7:8" x14ac:dyDescent="0.3">
      <c r="G2143" s="515"/>
      <c r="H2143" s="515"/>
    </row>
    <row r="2144" spans="7:8" x14ac:dyDescent="0.3">
      <c r="G2144" s="515"/>
      <c r="H2144" s="515"/>
    </row>
    <row r="2145" spans="7:8" x14ac:dyDescent="0.3">
      <c r="G2145" s="515"/>
      <c r="H2145" s="515"/>
    </row>
    <row r="2146" spans="7:8" x14ac:dyDescent="0.3">
      <c r="G2146" s="515"/>
      <c r="H2146" s="515"/>
    </row>
    <row r="2147" spans="7:8" x14ac:dyDescent="0.3">
      <c r="G2147" s="515"/>
      <c r="H2147" s="515"/>
    </row>
    <row r="2148" spans="7:8" x14ac:dyDescent="0.3">
      <c r="G2148" s="515"/>
      <c r="H2148" s="515"/>
    </row>
    <row r="2149" spans="7:8" x14ac:dyDescent="0.3">
      <c r="G2149" s="515"/>
      <c r="H2149" s="515"/>
    </row>
    <row r="2150" spans="7:8" x14ac:dyDescent="0.3">
      <c r="G2150" s="515"/>
      <c r="H2150" s="515"/>
    </row>
    <row r="2151" spans="7:8" x14ac:dyDescent="0.3">
      <c r="G2151" s="515"/>
      <c r="H2151" s="515"/>
    </row>
    <row r="2152" spans="7:8" x14ac:dyDescent="0.3">
      <c r="G2152" s="515"/>
      <c r="H2152" s="515"/>
    </row>
    <row r="2153" spans="7:8" x14ac:dyDescent="0.3">
      <c r="G2153" s="515"/>
      <c r="H2153" s="515"/>
    </row>
    <row r="2154" spans="7:8" x14ac:dyDescent="0.3">
      <c r="G2154" s="515"/>
      <c r="H2154" s="515"/>
    </row>
    <row r="2155" spans="7:8" x14ac:dyDescent="0.3">
      <c r="G2155" s="515"/>
      <c r="H2155" s="515"/>
    </row>
    <row r="2156" spans="7:8" x14ac:dyDescent="0.3">
      <c r="G2156" s="515"/>
      <c r="H2156" s="515"/>
    </row>
    <row r="2157" spans="7:8" x14ac:dyDescent="0.3">
      <c r="G2157" s="515"/>
      <c r="H2157" s="515"/>
    </row>
    <row r="2158" spans="7:8" x14ac:dyDescent="0.3">
      <c r="G2158" s="515"/>
      <c r="H2158" s="515"/>
    </row>
    <row r="2159" spans="7:8" x14ac:dyDescent="0.3">
      <c r="G2159" s="515"/>
      <c r="H2159" s="515"/>
    </row>
    <row r="2160" spans="7:8" x14ac:dyDescent="0.3">
      <c r="G2160" s="515"/>
      <c r="H2160" s="515"/>
    </row>
    <row r="2161" spans="7:8" x14ac:dyDescent="0.3">
      <c r="G2161" s="515"/>
      <c r="H2161" s="515"/>
    </row>
    <row r="2162" spans="7:8" x14ac:dyDescent="0.3">
      <c r="G2162" s="515"/>
      <c r="H2162" s="515"/>
    </row>
    <row r="2163" spans="7:8" x14ac:dyDescent="0.3">
      <c r="G2163" s="515"/>
      <c r="H2163" s="515"/>
    </row>
    <row r="2164" spans="7:8" x14ac:dyDescent="0.3">
      <c r="G2164" s="515"/>
      <c r="H2164" s="515"/>
    </row>
    <row r="2165" spans="7:8" x14ac:dyDescent="0.3">
      <c r="G2165" s="515"/>
      <c r="H2165" s="515"/>
    </row>
    <row r="2166" spans="7:8" x14ac:dyDescent="0.3">
      <c r="G2166" s="515"/>
      <c r="H2166" s="515"/>
    </row>
    <row r="2167" spans="7:8" x14ac:dyDescent="0.3">
      <c r="G2167" s="515"/>
      <c r="H2167" s="515"/>
    </row>
    <row r="2168" spans="7:8" x14ac:dyDescent="0.3">
      <c r="G2168" s="515"/>
      <c r="H2168" s="515"/>
    </row>
    <row r="2169" spans="7:8" x14ac:dyDescent="0.3">
      <c r="G2169" s="515"/>
      <c r="H2169" s="515"/>
    </row>
    <row r="2170" spans="7:8" x14ac:dyDescent="0.3">
      <c r="G2170" s="515"/>
      <c r="H2170" s="515"/>
    </row>
    <row r="2171" spans="7:8" x14ac:dyDescent="0.3">
      <c r="G2171" s="515"/>
      <c r="H2171" s="515"/>
    </row>
    <row r="2172" spans="7:8" x14ac:dyDescent="0.3">
      <c r="G2172" s="515"/>
      <c r="H2172" s="515"/>
    </row>
    <row r="2173" spans="7:8" x14ac:dyDescent="0.3">
      <c r="G2173" s="515"/>
      <c r="H2173" s="515"/>
    </row>
    <row r="2174" spans="7:8" x14ac:dyDescent="0.3">
      <c r="G2174" s="515"/>
      <c r="H2174" s="515"/>
    </row>
    <row r="2175" spans="7:8" x14ac:dyDescent="0.3">
      <c r="G2175" s="515"/>
      <c r="H2175" s="515"/>
    </row>
    <row r="2176" spans="7:8" x14ac:dyDescent="0.3">
      <c r="G2176" s="515"/>
      <c r="H2176" s="515"/>
    </row>
    <row r="2177" spans="7:8" x14ac:dyDescent="0.3">
      <c r="G2177" s="515"/>
      <c r="H2177" s="515"/>
    </row>
    <row r="2178" spans="7:8" x14ac:dyDescent="0.3">
      <c r="G2178" s="515"/>
      <c r="H2178" s="515"/>
    </row>
    <row r="2179" spans="7:8" x14ac:dyDescent="0.3">
      <c r="G2179" s="515"/>
      <c r="H2179" s="515"/>
    </row>
    <row r="2180" spans="7:8" x14ac:dyDescent="0.3">
      <c r="G2180" s="515"/>
      <c r="H2180" s="515"/>
    </row>
    <row r="2181" spans="7:8" x14ac:dyDescent="0.3">
      <c r="G2181" s="515"/>
      <c r="H2181" s="515"/>
    </row>
    <row r="2182" spans="7:8" x14ac:dyDescent="0.3">
      <c r="G2182" s="515"/>
      <c r="H2182" s="515"/>
    </row>
    <row r="2183" spans="7:8" x14ac:dyDescent="0.3">
      <c r="G2183" s="515"/>
      <c r="H2183" s="515"/>
    </row>
    <row r="2184" spans="7:8" x14ac:dyDescent="0.3">
      <c r="G2184" s="515"/>
      <c r="H2184" s="515"/>
    </row>
    <row r="2185" spans="7:8" x14ac:dyDescent="0.3">
      <c r="G2185" s="515"/>
      <c r="H2185" s="515"/>
    </row>
    <row r="2186" spans="7:8" x14ac:dyDescent="0.3">
      <c r="G2186" s="515"/>
      <c r="H2186" s="515"/>
    </row>
    <row r="2187" spans="7:8" x14ac:dyDescent="0.3">
      <c r="G2187" s="515"/>
      <c r="H2187" s="515"/>
    </row>
    <row r="2188" spans="7:8" x14ac:dyDescent="0.3">
      <c r="G2188" s="515"/>
      <c r="H2188" s="515"/>
    </row>
    <row r="2189" spans="7:8" x14ac:dyDescent="0.3">
      <c r="G2189" s="515"/>
      <c r="H2189" s="515"/>
    </row>
    <row r="2190" spans="7:8" x14ac:dyDescent="0.3">
      <c r="G2190" s="515"/>
      <c r="H2190" s="515"/>
    </row>
    <row r="2191" spans="7:8" x14ac:dyDescent="0.3">
      <c r="G2191" s="515"/>
      <c r="H2191" s="515"/>
    </row>
    <row r="2192" spans="7:8" x14ac:dyDescent="0.3">
      <c r="G2192" s="515"/>
      <c r="H2192" s="515"/>
    </row>
    <row r="2193" spans="7:8" x14ac:dyDescent="0.3">
      <c r="G2193" s="515"/>
      <c r="H2193" s="515"/>
    </row>
    <row r="2194" spans="7:8" x14ac:dyDescent="0.3">
      <c r="G2194" s="515"/>
      <c r="H2194" s="515"/>
    </row>
    <row r="2195" spans="7:8" x14ac:dyDescent="0.3">
      <c r="G2195" s="515"/>
      <c r="H2195" s="515"/>
    </row>
    <row r="2196" spans="7:8" x14ac:dyDescent="0.3">
      <c r="G2196" s="515"/>
      <c r="H2196" s="515"/>
    </row>
    <row r="2197" spans="7:8" x14ac:dyDescent="0.3">
      <c r="G2197" s="515"/>
      <c r="H2197" s="515"/>
    </row>
    <row r="2198" spans="7:8" x14ac:dyDescent="0.3">
      <c r="G2198" s="515"/>
      <c r="H2198" s="515"/>
    </row>
    <row r="2199" spans="7:8" x14ac:dyDescent="0.3">
      <c r="G2199" s="515"/>
      <c r="H2199" s="515"/>
    </row>
    <row r="2200" spans="7:8" x14ac:dyDescent="0.3">
      <c r="G2200" s="515"/>
      <c r="H2200" s="515"/>
    </row>
    <row r="2201" spans="7:8" x14ac:dyDescent="0.3">
      <c r="G2201" s="515"/>
      <c r="H2201" s="515"/>
    </row>
    <row r="2202" spans="7:8" x14ac:dyDescent="0.3">
      <c r="G2202" s="515"/>
      <c r="H2202" s="515"/>
    </row>
    <row r="2203" spans="7:8" x14ac:dyDescent="0.3">
      <c r="G2203" s="515"/>
      <c r="H2203" s="515"/>
    </row>
    <row r="2204" spans="7:8" x14ac:dyDescent="0.3">
      <c r="G2204" s="515"/>
      <c r="H2204" s="515"/>
    </row>
    <row r="2205" spans="7:8" x14ac:dyDescent="0.3">
      <c r="G2205" s="515"/>
      <c r="H2205" s="515"/>
    </row>
    <row r="2206" spans="7:8" x14ac:dyDescent="0.3">
      <c r="G2206" s="515"/>
      <c r="H2206" s="515"/>
    </row>
    <row r="2207" spans="7:8" x14ac:dyDescent="0.3">
      <c r="G2207" s="515"/>
      <c r="H2207" s="515"/>
    </row>
    <row r="2208" spans="7:8" x14ac:dyDescent="0.3">
      <c r="G2208" s="515"/>
      <c r="H2208" s="515"/>
    </row>
    <row r="2209" spans="7:8" x14ac:dyDescent="0.3">
      <c r="G2209" s="515"/>
      <c r="H2209" s="515"/>
    </row>
    <row r="2210" spans="7:8" x14ac:dyDescent="0.3">
      <c r="G2210" s="515"/>
      <c r="H2210" s="515"/>
    </row>
    <row r="2211" spans="7:8" x14ac:dyDescent="0.3">
      <c r="G2211" s="515"/>
      <c r="H2211" s="515"/>
    </row>
    <row r="2212" spans="7:8" x14ac:dyDescent="0.3">
      <c r="G2212" s="515"/>
      <c r="H2212" s="515"/>
    </row>
    <row r="2213" spans="7:8" x14ac:dyDescent="0.3">
      <c r="G2213" s="515"/>
      <c r="H2213" s="515"/>
    </row>
    <row r="2214" spans="7:8" x14ac:dyDescent="0.3">
      <c r="G2214" s="515"/>
      <c r="H2214" s="515"/>
    </row>
    <row r="2215" spans="7:8" x14ac:dyDescent="0.3">
      <c r="G2215" s="515"/>
      <c r="H2215" s="515"/>
    </row>
    <row r="2216" spans="7:8" x14ac:dyDescent="0.3">
      <c r="G2216" s="515"/>
      <c r="H2216" s="515"/>
    </row>
    <row r="2217" spans="7:8" x14ac:dyDescent="0.3">
      <c r="G2217" s="515"/>
      <c r="H2217" s="515"/>
    </row>
    <row r="2218" spans="7:8" x14ac:dyDescent="0.3">
      <c r="G2218" s="515"/>
      <c r="H2218" s="515"/>
    </row>
    <row r="2219" spans="7:8" x14ac:dyDescent="0.3">
      <c r="G2219" s="515"/>
      <c r="H2219" s="515"/>
    </row>
    <row r="2220" spans="7:8" x14ac:dyDescent="0.3">
      <c r="G2220" s="515"/>
      <c r="H2220" s="515"/>
    </row>
    <row r="2221" spans="7:8" x14ac:dyDescent="0.3">
      <c r="G2221" s="515"/>
      <c r="H2221" s="515"/>
    </row>
    <row r="2222" spans="7:8" x14ac:dyDescent="0.3">
      <c r="G2222" s="515"/>
      <c r="H2222" s="515"/>
    </row>
    <row r="2223" spans="7:8" x14ac:dyDescent="0.3">
      <c r="G2223" s="515"/>
      <c r="H2223" s="515"/>
    </row>
    <row r="2224" spans="7:8" x14ac:dyDescent="0.3">
      <c r="G2224" s="515"/>
      <c r="H2224" s="515"/>
    </row>
    <row r="2225" spans="7:8" x14ac:dyDescent="0.3">
      <c r="G2225" s="515"/>
      <c r="H2225" s="515"/>
    </row>
    <row r="2226" spans="7:8" x14ac:dyDescent="0.3">
      <c r="G2226" s="515"/>
      <c r="H2226" s="515"/>
    </row>
    <row r="2227" spans="7:8" x14ac:dyDescent="0.3">
      <c r="G2227" s="515"/>
      <c r="H2227" s="515"/>
    </row>
    <row r="2228" spans="7:8" x14ac:dyDescent="0.3">
      <c r="G2228" s="515"/>
      <c r="H2228" s="515"/>
    </row>
    <row r="2229" spans="7:8" x14ac:dyDescent="0.3">
      <c r="G2229" s="515"/>
      <c r="H2229" s="515"/>
    </row>
    <row r="2230" spans="7:8" x14ac:dyDescent="0.3">
      <c r="G2230" s="515"/>
      <c r="H2230" s="515"/>
    </row>
    <row r="2231" spans="7:8" x14ac:dyDescent="0.3">
      <c r="G2231" s="515"/>
      <c r="H2231" s="515"/>
    </row>
    <row r="2232" spans="7:8" x14ac:dyDescent="0.3">
      <c r="G2232" s="515"/>
      <c r="H2232" s="515"/>
    </row>
    <row r="2233" spans="7:8" x14ac:dyDescent="0.3">
      <c r="G2233" s="515"/>
      <c r="H2233" s="515"/>
    </row>
    <row r="2234" spans="7:8" x14ac:dyDescent="0.3">
      <c r="G2234" s="515"/>
      <c r="H2234" s="515"/>
    </row>
    <row r="2235" spans="7:8" x14ac:dyDescent="0.3">
      <c r="G2235" s="515"/>
      <c r="H2235" s="515"/>
    </row>
    <row r="2236" spans="7:8" x14ac:dyDescent="0.3">
      <c r="G2236" s="515"/>
      <c r="H2236" s="515"/>
    </row>
    <row r="2237" spans="7:8" x14ac:dyDescent="0.3">
      <c r="G2237" s="515"/>
      <c r="H2237" s="515"/>
    </row>
    <row r="2238" spans="7:8" x14ac:dyDescent="0.3">
      <c r="G2238" s="515"/>
      <c r="H2238" s="515"/>
    </row>
    <row r="2239" spans="7:8" x14ac:dyDescent="0.3">
      <c r="G2239" s="515"/>
      <c r="H2239" s="515"/>
    </row>
    <row r="2240" spans="7:8" x14ac:dyDescent="0.3">
      <c r="G2240" s="515"/>
      <c r="H2240" s="515"/>
    </row>
    <row r="2241" spans="7:8" x14ac:dyDescent="0.3">
      <c r="G2241" s="515"/>
      <c r="H2241" s="515"/>
    </row>
    <row r="2242" spans="7:8" x14ac:dyDescent="0.3">
      <c r="G2242" s="515"/>
      <c r="H2242" s="515"/>
    </row>
    <row r="2243" spans="7:8" x14ac:dyDescent="0.3">
      <c r="G2243" s="515"/>
      <c r="H2243" s="515"/>
    </row>
    <row r="2244" spans="7:8" x14ac:dyDescent="0.3">
      <c r="G2244" s="515"/>
      <c r="H2244" s="515"/>
    </row>
    <row r="2245" spans="7:8" x14ac:dyDescent="0.3">
      <c r="G2245" s="515"/>
      <c r="H2245" s="515"/>
    </row>
    <row r="2246" spans="7:8" x14ac:dyDescent="0.3">
      <c r="G2246" s="515"/>
      <c r="H2246" s="515"/>
    </row>
    <row r="2247" spans="7:8" x14ac:dyDescent="0.3">
      <c r="G2247" s="515"/>
      <c r="H2247" s="515"/>
    </row>
    <row r="2248" spans="7:8" x14ac:dyDescent="0.3">
      <c r="G2248" s="515"/>
      <c r="H2248" s="515"/>
    </row>
    <row r="2249" spans="7:8" x14ac:dyDescent="0.3">
      <c r="G2249" s="515"/>
      <c r="H2249" s="515"/>
    </row>
    <row r="2250" spans="7:8" x14ac:dyDescent="0.3">
      <c r="G2250" s="515"/>
      <c r="H2250" s="515"/>
    </row>
    <row r="2251" spans="7:8" x14ac:dyDescent="0.3">
      <c r="G2251" s="515"/>
      <c r="H2251" s="515"/>
    </row>
    <row r="2252" spans="7:8" x14ac:dyDescent="0.3">
      <c r="G2252" s="515"/>
      <c r="H2252" s="515"/>
    </row>
    <row r="2253" spans="7:8" x14ac:dyDescent="0.3">
      <c r="G2253" s="515"/>
      <c r="H2253" s="515"/>
    </row>
    <row r="2254" spans="7:8" x14ac:dyDescent="0.3">
      <c r="G2254" s="515"/>
      <c r="H2254" s="515"/>
    </row>
    <row r="2255" spans="7:8" x14ac:dyDescent="0.3">
      <c r="G2255" s="515"/>
      <c r="H2255" s="515"/>
    </row>
    <row r="2256" spans="7:8" x14ac:dyDescent="0.3">
      <c r="G2256" s="515"/>
      <c r="H2256" s="515"/>
    </row>
    <row r="2257" spans="7:8" x14ac:dyDescent="0.3">
      <c r="G2257" s="515"/>
      <c r="H2257" s="515"/>
    </row>
    <row r="2258" spans="7:8" x14ac:dyDescent="0.3">
      <c r="G2258" s="515"/>
      <c r="H2258" s="515"/>
    </row>
    <row r="2259" spans="7:8" x14ac:dyDescent="0.3">
      <c r="G2259" s="515"/>
      <c r="H2259" s="515"/>
    </row>
    <row r="2260" spans="7:8" x14ac:dyDescent="0.3">
      <c r="G2260" s="515"/>
      <c r="H2260" s="515"/>
    </row>
    <row r="2261" spans="7:8" x14ac:dyDescent="0.3">
      <c r="G2261" s="515"/>
      <c r="H2261" s="515"/>
    </row>
    <row r="2262" spans="7:8" x14ac:dyDescent="0.3">
      <c r="G2262" s="515"/>
      <c r="H2262" s="515"/>
    </row>
    <row r="2263" spans="7:8" x14ac:dyDescent="0.3">
      <c r="G2263" s="515"/>
      <c r="H2263" s="515"/>
    </row>
    <row r="2264" spans="7:8" x14ac:dyDescent="0.3">
      <c r="G2264" s="515"/>
      <c r="H2264" s="515"/>
    </row>
    <row r="2265" spans="7:8" x14ac:dyDescent="0.3">
      <c r="G2265" s="515"/>
      <c r="H2265" s="515"/>
    </row>
    <row r="2266" spans="7:8" x14ac:dyDescent="0.3">
      <c r="G2266" s="515"/>
      <c r="H2266" s="515"/>
    </row>
    <row r="2267" spans="7:8" x14ac:dyDescent="0.3">
      <c r="G2267" s="515"/>
      <c r="H2267" s="515"/>
    </row>
    <row r="2268" spans="7:8" x14ac:dyDescent="0.3">
      <c r="G2268" s="515"/>
      <c r="H2268" s="515"/>
    </row>
    <row r="2269" spans="7:8" x14ac:dyDescent="0.3">
      <c r="G2269" s="515"/>
      <c r="H2269" s="515"/>
    </row>
    <row r="2270" spans="7:8" x14ac:dyDescent="0.3">
      <c r="G2270" s="515"/>
      <c r="H2270" s="515"/>
    </row>
    <row r="2271" spans="7:8" x14ac:dyDescent="0.3">
      <c r="G2271" s="515"/>
      <c r="H2271" s="515"/>
    </row>
    <row r="2272" spans="7:8" x14ac:dyDescent="0.3">
      <c r="G2272" s="515"/>
      <c r="H2272" s="515"/>
    </row>
    <row r="2273" spans="7:8" x14ac:dyDescent="0.3">
      <c r="G2273" s="515"/>
      <c r="H2273" s="515"/>
    </row>
    <row r="2274" spans="7:8" x14ac:dyDescent="0.3">
      <c r="G2274" s="515"/>
      <c r="H2274" s="515"/>
    </row>
    <row r="2275" spans="7:8" x14ac:dyDescent="0.3">
      <c r="G2275" s="515"/>
      <c r="H2275" s="515"/>
    </row>
    <row r="2276" spans="7:8" x14ac:dyDescent="0.3">
      <c r="G2276" s="515"/>
      <c r="H2276" s="515"/>
    </row>
    <row r="2277" spans="7:8" x14ac:dyDescent="0.3">
      <c r="G2277" s="515"/>
      <c r="H2277" s="515"/>
    </row>
    <row r="2278" spans="7:8" x14ac:dyDescent="0.3">
      <c r="G2278" s="515"/>
      <c r="H2278" s="515"/>
    </row>
    <row r="2279" spans="7:8" x14ac:dyDescent="0.3">
      <c r="G2279" s="515"/>
      <c r="H2279" s="515"/>
    </row>
    <row r="2280" spans="7:8" x14ac:dyDescent="0.3">
      <c r="G2280" s="515"/>
      <c r="H2280" s="515"/>
    </row>
    <row r="2281" spans="7:8" x14ac:dyDescent="0.3">
      <c r="G2281" s="515"/>
      <c r="H2281" s="515"/>
    </row>
    <row r="2282" spans="7:8" x14ac:dyDescent="0.3">
      <c r="G2282" s="515"/>
      <c r="H2282" s="515"/>
    </row>
    <row r="2283" spans="7:8" x14ac:dyDescent="0.3">
      <c r="G2283" s="515"/>
      <c r="H2283" s="515"/>
    </row>
    <row r="2284" spans="7:8" x14ac:dyDescent="0.3">
      <c r="G2284" s="515"/>
      <c r="H2284" s="515"/>
    </row>
    <row r="2285" spans="7:8" x14ac:dyDescent="0.3">
      <c r="G2285" s="515"/>
      <c r="H2285" s="515"/>
    </row>
    <row r="2286" spans="7:8" x14ac:dyDescent="0.3">
      <c r="G2286" s="515"/>
      <c r="H2286" s="515"/>
    </row>
    <row r="2287" spans="7:8" x14ac:dyDescent="0.3">
      <c r="G2287" s="515"/>
      <c r="H2287" s="515"/>
    </row>
    <row r="2288" spans="7:8" x14ac:dyDescent="0.3">
      <c r="G2288" s="515"/>
      <c r="H2288" s="515"/>
    </row>
    <row r="2289" spans="7:8" x14ac:dyDescent="0.3">
      <c r="G2289" s="515"/>
      <c r="H2289" s="515"/>
    </row>
    <row r="2290" spans="7:8" x14ac:dyDescent="0.3">
      <c r="G2290" s="515"/>
      <c r="H2290" s="515"/>
    </row>
    <row r="2291" spans="7:8" x14ac:dyDescent="0.3">
      <c r="G2291" s="515"/>
      <c r="H2291" s="515"/>
    </row>
    <row r="2292" spans="7:8" x14ac:dyDescent="0.3">
      <c r="G2292" s="515"/>
      <c r="H2292" s="515"/>
    </row>
    <row r="2293" spans="7:8" x14ac:dyDescent="0.3">
      <c r="G2293" s="515"/>
      <c r="H2293" s="515"/>
    </row>
    <row r="2294" spans="7:8" x14ac:dyDescent="0.3">
      <c r="G2294" s="515"/>
      <c r="H2294" s="515"/>
    </row>
    <row r="2295" spans="7:8" x14ac:dyDescent="0.3">
      <c r="G2295" s="515"/>
      <c r="H2295" s="515"/>
    </row>
    <row r="2296" spans="7:8" x14ac:dyDescent="0.3">
      <c r="G2296" s="515"/>
      <c r="H2296" s="515"/>
    </row>
    <row r="2297" spans="7:8" x14ac:dyDescent="0.3">
      <c r="G2297" s="515"/>
      <c r="H2297" s="515"/>
    </row>
    <row r="2298" spans="7:8" x14ac:dyDescent="0.3">
      <c r="G2298" s="515"/>
      <c r="H2298" s="515"/>
    </row>
    <row r="2299" spans="7:8" x14ac:dyDescent="0.3">
      <c r="G2299" s="515"/>
      <c r="H2299" s="515"/>
    </row>
    <row r="2300" spans="7:8" x14ac:dyDescent="0.3">
      <c r="G2300" s="515"/>
      <c r="H2300" s="515"/>
    </row>
    <row r="2301" spans="7:8" x14ac:dyDescent="0.3">
      <c r="G2301" s="515"/>
      <c r="H2301" s="515"/>
    </row>
    <row r="2302" spans="7:8" x14ac:dyDescent="0.3">
      <c r="G2302" s="515"/>
      <c r="H2302" s="515"/>
    </row>
    <row r="2303" spans="7:8" x14ac:dyDescent="0.3">
      <c r="G2303" s="515"/>
      <c r="H2303" s="515"/>
    </row>
    <row r="2304" spans="7:8" x14ac:dyDescent="0.3">
      <c r="G2304" s="515"/>
      <c r="H2304" s="515"/>
    </row>
    <row r="2305" spans="7:8" x14ac:dyDescent="0.3">
      <c r="G2305" s="515"/>
      <c r="H2305" s="515"/>
    </row>
    <row r="2306" spans="7:8" x14ac:dyDescent="0.3">
      <c r="G2306" s="515"/>
      <c r="H2306" s="515"/>
    </row>
    <row r="2307" spans="7:8" x14ac:dyDescent="0.3">
      <c r="G2307" s="515"/>
      <c r="H2307" s="515"/>
    </row>
    <row r="2308" spans="7:8" x14ac:dyDescent="0.3">
      <c r="G2308" s="515"/>
      <c r="H2308" s="515"/>
    </row>
    <row r="2309" spans="7:8" x14ac:dyDescent="0.3">
      <c r="G2309" s="515"/>
      <c r="H2309" s="515"/>
    </row>
    <row r="2310" spans="7:8" x14ac:dyDescent="0.3">
      <c r="G2310" s="515"/>
      <c r="H2310" s="515"/>
    </row>
    <row r="2311" spans="7:8" x14ac:dyDescent="0.3">
      <c r="G2311" s="515"/>
      <c r="H2311" s="515"/>
    </row>
    <row r="2312" spans="7:8" x14ac:dyDescent="0.3">
      <c r="G2312" s="515"/>
      <c r="H2312" s="515"/>
    </row>
    <row r="2313" spans="7:8" x14ac:dyDescent="0.3">
      <c r="G2313" s="515"/>
      <c r="H2313" s="515"/>
    </row>
    <row r="2314" spans="7:8" x14ac:dyDescent="0.3">
      <c r="G2314" s="515"/>
      <c r="H2314" s="515"/>
    </row>
    <row r="2315" spans="7:8" x14ac:dyDescent="0.3">
      <c r="G2315" s="515"/>
      <c r="H2315" s="515"/>
    </row>
    <row r="2316" spans="7:8" x14ac:dyDescent="0.3">
      <c r="G2316" s="515"/>
      <c r="H2316" s="515"/>
    </row>
    <row r="2317" spans="7:8" x14ac:dyDescent="0.3">
      <c r="G2317" s="515"/>
      <c r="H2317" s="515"/>
    </row>
    <row r="2318" spans="7:8" x14ac:dyDescent="0.3">
      <c r="G2318" s="515"/>
      <c r="H2318" s="515"/>
    </row>
    <row r="2319" spans="7:8" x14ac:dyDescent="0.3">
      <c r="G2319" s="515"/>
      <c r="H2319" s="515"/>
    </row>
    <row r="2320" spans="7:8" x14ac:dyDescent="0.3">
      <c r="G2320" s="515"/>
      <c r="H2320" s="515"/>
    </row>
    <row r="2321" spans="7:8" x14ac:dyDescent="0.3">
      <c r="G2321" s="515"/>
      <c r="H2321" s="515"/>
    </row>
    <row r="2322" spans="7:8" x14ac:dyDescent="0.3">
      <c r="G2322" s="515"/>
      <c r="H2322" s="515"/>
    </row>
    <row r="2323" spans="7:8" x14ac:dyDescent="0.3">
      <c r="G2323" s="515"/>
      <c r="H2323" s="515"/>
    </row>
    <row r="2324" spans="7:8" x14ac:dyDescent="0.3">
      <c r="G2324" s="515"/>
      <c r="H2324" s="515"/>
    </row>
    <row r="2325" spans="7:8" x14ac:dyDescent="0.3">
      <c r="G2325" s="515"/>
      <c r="H2325" s="515"/>
    </row>
    <row r="2326" spans="7:8" x14ac:dyDescent="0.3">
      <c r="G2326" s="515"/>
      <c r="H2326" s="515"/>
    </row>
    <row r="2327" spans="7:8" x14ac:dyDescent="0.3">
      <c r="G2327" s="515"/>
      <c r="H2327" s="515"/>
    </row>
    <row r="2328" spans="7:8" x14ac:dyDescent="0.3">
      <c r="G2328" s="515"/>
      <c r="H2328" s="515"/>
    </row>
    <row r="2329" spans="7:8" x14ac:dyDescent="0.3">
      <c r="G2329" s="515"/>
      <c r="H2329" s="515"/>
    </row>
    <row r="2330" spans="7:8" x14ac:dyDescent="0.3">
      <c r="G2330" s="515"/>
      <c r="H2330" s="515"/>
    </row>
    <row r="2331" spans="7:8" x14ac:dyDescent="0.3">
      <c r="G2331" s="515"/>
      <c r="H2331" s="515"/>
    </row>
    <row r="2332" spans="7:8" x14ac:dyDescent="0.3">
      <c r="G2332" s="515"/>
      <c r="H2332" s="515"/>
    </row>
    <row r="2333" spans="7:8" x14ac:dyDescent="0.3">
      <c r="G2333" s="515"/>
      <c r="H2333" s="515"/>
    </row>
    <row r="2334" spans="7:8" x14ac:dyDescent="0.3">
      <c r="G2334" s="515"/>
      <c r="H2334" s="515"/>
    </row>
    <row r="2335" spans="7:8" x14ac:dyDescent="0.3">
      <c r="G2335" s="515"/>
      <c r="H2335" s="515"/>
    </row>
    <row r="2336" spans="7:8" x14ac:dyDescent="0.3">
      <c r="G2336" s="515"/>
      <c r="H2336" s="515"/>
    </row>
    <row r="2337" spans="7:8" x14ac:dyDescent="0.3">
      <c r="G2337" s="515"/>
      <c r="H2337" s="515"/>
    </row>
    <row r="2338" spans="7:8" x14ac:dyDescent="0.3">
      <c r="G2338" s="515"/>
      <c r="H2338" s="515"/>
    </row>
    <row r="2339" spans="7:8" x14ac:dyDescent="0.3">
      <c r="G2339" s="515"/>
      <c r="H2339" s="515"/>
    </row>
    <row r="2340" spans="7:8" x14ac:dyDescent="0.3">
      <c r="G2340" s="515"/>
      <c r="H2340" s="515"/>
    </row>
    <row r="2341" spans="7:8" x14ac:dyDescent="0.3">
      <c r="G2341" s="515"/>
      <c r="H2341" s="515"/>
    </row>
    <row r="2342" spans="7:8" x14ac:dyDescent="0.3">
      <c r="G2342" s="515"/>
      <c r="H2342" s="515"/>
    </row>
    <row r="2343" spans="7:8" x14ac:dyDescent="0.3">
      <c r="G2343" s="515"/>
      <c r="H2343" s="515"/>
    </row>
    <row r="2344" spans="7:8" x14ac:dyDescent="0.3">
      <c r="G2344" s="515"/>
      <c r="H2344" s="515"/>
    </row>
    <row r="2345" spans="7:8" x14ac:dyDescent="0.3">
      <c r="G2345" s="515"/>
      <c r="H2345" s="515"/>
    </row>
    <row r="2346" spans="7:8" x14ac:dyDescent="0.3">
      <c r="G2346" s="515"/>
      <c r="H2346" s="515"/>
    </row>
    <row r="2347" spans="7:8" x14ac:dyDescent="0.3">
      <c r="G2347" s="515"/>
      <c r="H2347" s="515"/>
    </row>
    <row r="2348" spans="7:8" x14ac:dyDescent="0.3">
      <c r="G2348" s="515"/>
      <c r="H2348" s="515"/>
    </row>
    <row r="2349" spans="7:8" x14ac:dyDescent="0.3">
      <c r="G2349" s="515"/>
      <c r="H2349" s="515"/>
    </row>
    <row r="2350" spans="7:8" x14ac:dyDescent="0.3">
      <c r="G2350" s="515"/>
      <c r="H2350" s="515"/>
    </row>
    <row r="2351" spans="7:8" x14ac:dyDescent="0.3">
      <c r="G2351" s="515"/>
      <c r="H2351" s="515"/>
    </row>
    <row r="2352" spans="7:8" x14ac:dyDescent="0.3">
      <c r="G2352" s="515"/>
      <c r="H2352" s="515"/>
    </row>
    <row r="2353" spans="7:8" x14ac:dyDescent="0.3">
      <c r="G2353" s="515"/>
      <c r="H2353" s="515"/>
    </row>
    <row r="2354" spans="7:8" x14ac:dyDescent="0.3">
      <c r="G2354" s="515"/>
      <c r="H2354" s="515"/>
    </row>
    <row r="2355" spans="7:8" x14ac:dyDescent="0.3">
      <c r="G2355" s="515"/>
      <c r="H2355" s="515"/>
    </row>
    <row r="2356" spans="7:8" x14ac:dyDescent="0.3">
      <c r="G2356" s="515"/>
      <c r="H2356" s="515"/>
    </row>
    <row r="2357" spans="7:8" x14ac:dyDescent="0.3">
      <c r="G2357" s="515"/>
      <c r="H2357" s="515"/>
    </row>
    <row r="2358" spans="7:8" x14ac:dyDescent="0.3">
      <c r="G2358" s="515"/>
      <c r="H2358" s="515"/>
    </row>
    <row r="2359" spans="7:8" x14ac:dyDescent="0.3">
      <c r="G2359" s="515"/>
      <c r="H2359" s="515"/>
    </row>
    <row r="2360" spans="7:8" x14ac:dyDescent="0.3">
      <c r="G2360" s="515"/>
      <c r="H2360" s="515"/>
    </row>
    <row r="2361" spans="7:8" x14ac:dyDescent="0.3">
      <c r="G2361" s="515"/>
      <c r="H2361" s="515"/>
    </row>
    <row r="2362" spans="7:8" x14ac:dyDescent="0.3">
      <c r="G2362" s="515"/>
      <c r="H2362" s="515"/>
    </row>
    <row r="2363" spans="7:8" x14ac:dyDescent="0.3">
      <c r="G2363" s="515"/>
      <c r="H2363" s="515"/>
    </row>
    <row r="2364" spans="7:8" x14ac:dyDescent="0.3">
      <c r="G2364" s="515"/>
      <c r="H2364" s="515"/>
    </row>
    <row r="2365" spans="7:8" x14ac:dyDescent="0.3">
      <c r="G2365" s="515"/>
      <c r="H2365" s="515"/>
    </row>
    <row r="2366" spans="7:8" x14ac:dyDescent="0.3">
      <c r="G2366" s="515"/>
      <c r="H2366" s="515"/>
    </row>
    <row r="2367" spans="7:8" x14ac:dyDescent="0.3">
      <c r="G2367" s="515"/>
      <c r="H2367" s="515"/>
    </row>
    <row r="2368" spans="7:8" x14ac:dyDescent="0.3">
      <c r="G2368" s="515"/>
      <c r="H2368" s="515"/>
    </row>
    <row r="2369" spans="7:8" x14ac:dyDescent="0.3">
      <c r="G2369" s="515"/>
      <c r="H2369" s="515"/>
    </row>
    <row r="2370" spans="7:8" x14ac:dyDescent="0.3">
      <c r="G2370" s="515"/>
      <c r="H2370" s="515"/>
    </row>
    <row r="2371" spans="7:8" x14ac:dyDescent="0.3">
      <c r="G2371" s="515"/>
      <c r="H2371" s="515"/>
    </row>
    <row r="2372" spans="7:8" x14ac:dyDescent="0.3">
      <c r="G2372" s="515"/>
      <c r="H2372" s="515"/>
    </row>
    <row r="2373" spans="7:8" x14ac:dyDescent="0.3">
      <c r="G2373" s="515"/>
      <c r="H2373" s="515"/>
    </row>
    <row r="2374" spans="7:8" x14ac:dyDescent="0.3">
      <c r="G2374" s="515"/>
      <c r="H2374" s="515"/>
    </row>
    <row r="2375" spans="7:8" x14ac:dyDescent="0.3">
      <c r="G2375" s="515"/>
      <c r="H2375" s="515"/>
    </row>
    <row r="2376" spans="7:8" x14ac:dyDescent="0.3">
      <c r="G2376" s="515"/>
      <c r="H2376" s="515"/>
    </row>
    <row r="2377" spans="7:8" x14ac:dyDescent="0.3">
      <c r="G2377" s="515"/>
      <c r="H2377" s="515"/>
    </row>
    <row r="2378" spans="7:8" x14ac:dyDescent="0.3">
      <c r="G2378" s="515"/>
      <c r="H2378" s="515"/>
    </row>
    <row r="2379" spans="7:8" x14ac:dyDescent="0.3">
      <c r="G2379" s="515"/>
      <c r="H2379" s="515"/>
    </row>
    <row r="2380" spans="7:8" x14ac:dyDescent="0.3">
      <c r="G2380" s="515"/>
      <c r="H2380" s="515"/>
    </row>
    <row r="2381" spans="7:8" x14ac:dyDescent="0.3">
      <c r="G2381" s="515"/>
      <c r="H2381" s="515"/>
    </row>
    <row r="2382" spans="7:8" x14ac:dyDescent="0.3">
      <c r="G2382" s="515"/>
      <c r="H2382" s="515"/>
    </row>
    <row r="2383" spans="7:8" x14ac:dyDescent="0.3">
      <c r="G2383" s="515"/>
      <c r="H2383" s="515"/>
    </row>
    <row r="2384" spans="7:8" x14ac:dyDescent="0.3">
      <c r="G2384" s="515"/>
      <c r="H2384" s="515"/>
    </row>
    <row r="2385" spans="7:8" x14ac:dyDescent="0.3">
      <c r="G2385" s="515"/>
      <c r="H2385" s="515"/>
    </row>
    <row r="2386" spans="7:8" x14ac:dyDescent="0.3">
      <c r="G2386" s="515"/>
      <c r="H2386" s="515"/>
    </row>
    <row r="2387" spans="7:8" x14ac:dyDescent="0.3">
      <c r="G2387" s="515"/>
      <c r="H2387" s="515"/>
    </row>
    <row r="2388" spans="7:8" x14ac:dyDescent="0.3">
      <c r="G2388" s="515"/>
      <c r="H2388" s="515"/>
    </row>
    <row r="2389" spans="7:8" x14ac:dyDescent="0.3">
      <c r="G2389" s="515"/>
      <c r="H2389" s="515"/>
    </row>
    <row r="2390" spans="7:8" x14ac:dyDescent="0.3">
      <c r="G2390" s="515"/>
      <c r="H2390" s="515"/>
    </row>
    <row r="2391" spans="7:8" x14ac:dyDescent="0.3">
      <c r="G2391" s="515"/>
      <c r="H2391" s="515"/>
    </row>
    <row r="2392" spans="7:8" x14ac:dyDescent="0.3">
      <c r="G2392" s="515"/>
      <c r="H2392" s="515"/>
    </row>
    <row r="2393" spans="7:8" x14ac:dyDescent="0.3">
      <c r="G2393" s="515"/>
      <c r="H2393" s="515"/>
    </row>
    <row r="2394" spans="7:8" x14ac:dyDescent="0.3">
      <c r="G2394" s="515"/>
      <c r="H2394" s="515"/>
    </row>
    <row r="2395" spans="7:8" x14ac:dyDescent="0.3">
      <c r="G2395" s="515"/>
      <c r="H2395" s="515"/>
    </row>
    <row r="2396" spans="7:8" x14ac:dyDescent="0.3">
      <c r="G2396" s="515"/>
      <c r="H2396" s="515"/>
    </row>
    <row r="2397" spans="7:8" x14ac:dyDescent="0.3">
      <c r="G2397" s="515"/>
      <c r="H2397" s="515"/>
    </row>
    <row r="2398" spans="7:8" x14ac:dyDescent="0.3">
      <c r="G2398" s="515"/>
      <c r="H2398" s="515"/>
    </row>
    <row r="2399" spans="7:8" x14ac:dyDescent="0.3">
      <c r="G2399" s="515"/>
      <c r="H2399" s="515"/>
    </row>
    <row r="2400" spans="7:8" x14ac:dyDescent="0.3">
      <c r="G2400" s="515"/>
      <c r="H2400" s="515"/>
    </row>
    <row r="2401" spans="7:8" x14ac:dyDescent="0.3">
      <c r="G2401" s="515"/>
      <c r="H2401" s="515"/>
    </row>
    <row r="2402" spans="7:8" x14ac:dyDescent="0.3">
      <c r="G2402" s="515"/>
      <c r="H2402" s="515"/>
    </row>
    <row r="2403" spans="7:8" x14ac:dyDescent="0.3">
      <c r="G2403" s="515"/>
      <c r="H2403" s="515"/>
    </row>
    <row r="2404" spans="7:8" x14ac:dyDescent="0.3">
      <c r="G2404" s="515"/>
      <c r="H2404" s="515"/>
    </row>
    <row r="2405" spans="7:8" x14ac:dyDescent="0.3">
      <c r="G2405" s="515"/>
      <c r="H2405" s="515"/>
    </row>
    <row r="2406" spans="7:8" x14ac:dyDescent="0.3">
      <c r="G2406" s="515"/>
      <c r="H2406" s="515"/>
    </row>
    <row r="2407" spans="7:8" x14ac:dyDescent="0.3">
      <c r="G2407" s="515"/>
      <c r="H2407" s="515"/>
    </row>
    <row r="2408" spans="7:8" x14ac:dyDescent="0.3">
      <c r="G2408" s="515"/>
      <c r="H2408" s="515"/>
    </row>
    <row r="2409" spans="7:8" x14ac:dyDescent="0.3">
      <c r="G2409" s="515"/>
      <c r="H2409" s="515"/>
    </row>
    <row r="2410" spans="7:8" x14ac:dyDescent="0.3">
      <c r="G2410" s="515"/>
      <c r="H2410" s="515"/>
    </row>
    <row r="2411" spans="7:8" x14ac:dyDescent="0.3">
      <c r="G2411" s="515"/>
      <c r="H2411" s="515"/>
    </row>
    <row r="2412" spans="7:8" x14ac:dyDescent="0.3">
      <c r="G2412" s="515"/>
      <c r="H2412" s="515"/>
    </row>
    <row r="2413" spans="7:8" x14ac:dyDescent="0.3">
      <c r="G2413" s="515"/>
      <c r="H2413" s="515"/>
    </row>
    <row r="2414" spans="7:8" x14ac:dyDescent="0.3">
      <c r="G2414" s="515"/>
      <c r="H2414" s="515"/>
    </row>
    <row r="2415" spans="7:8" x14ac:dyDescent="0.3">
      <c r="G2415" s="515"/>
      <c r="H2415" s="515"/>
    </row>
    <row r="2416" spans="7:8" x14ac:dyDescent="0.3">
      <c r="G2416" s="515"/>
      <c r="H2416" s="515"/>
    </row>
    <row r="2417" spans="7:8" x14ac:dyDescent="0.3">
      <c r="G2417" s="515"/>
      <c r="H2417" s="515"/>
    </row>
    <row r="2418" spans="7:8" x14ac:dyDescent="0.3">
      <c r="G2418" s="515"/>
      <c r="H2418" s="515"/>
    </row>
    <row r="2419" spans="7:8" x14ac:dyDescent="0.3">
      <c r="G2419" s="515"/>
      <c r="H2419" s="515"/>
    </row>
    <row r="2420" spans="7:8" x14ac:dyDescent="0.3">
      <c r="G2420" s="515"/>
      <c r="H2420" s="515"/>
    </row>
    <row r="2421" spans="7:8" x14ac:dyDescent="0.3">
      <c r="G2421" s="515"/>
      <c r="H2421" s="515"/>
    </row>
    <row r="2422" spans="7:8" x14ac:dyDescent="0.3">
      <c r="G2422" s="515"/>
      <c r="H2422" s="515"/>
    </row>
    <row r="2423" spans="7:8" x14ac:dyDescent="0.3">
      <c r="G2423" s="515"/>
      <c r="H2423" s="515"/>
    </row>
    <row r="2424" spans="7:8" x14ac:dyDescent="0.3">
      <c r="G2424" s="515"/>
      <c r="H2424" s="515"/>
    </row>
    <row r="2425" spans="7:8" x14ac:dyDescent="0.3">
      <c r="G2425" s="515"/>
      <c r="H2425" s="515"/>
    </row>
    <row r="2426" spans="7:8" x14ac:dyDescent="0.3">
      <c r="G2426" s="515"/>
      <c r="H2426" s="515"/>
    </row>
    <row r="2427" spans="7:8" x14ac:dyDescent="0.3">
      <c r="G2427" s="515"/>
      <c r="H2427" s="515"/>
    </row>
    <row r="2428" spans="7:8" x14ac:dyDescent="0.3">
      <c r="G2428" s="515"/>
      <c r="H2428" s="515"/>
    </row>
    <row r="2429" spans="7:8" x14ac:dyDescent="0.3">
      <c r="G2429" s="515"/>
      <c r="H2429" s="515"/>
    </row>
    <row r="2430" spans="7:8" x14ac:dyDescent="0.3">
      <c r="G2430" s="515"/>
      <c r="H2430" s="515"/>
    </row>
    <row r="2431" spans="7:8" x14ac:dyDescent="0.3">
      <c r="G2431" s="515"/>
      <c r="H2431" s="515"/>
    </row>
    <row r="2432" spans="7:8" x14ac:dyDescent="0.3">
      <c r="G2432" s="515"/>
      <c r="H2432" s="515"/>
    </row>
    <row r="2433" spans="7:8" x14ac:dyDescent="0.3">
      <c r="G2433" s="515"/>
      <c r="H2433" s="515"/>
    </row>
    <row r="2434" spans="7:8" x14ac:dyDescent="0.3">
      <c r="G2434" s="515"/>
      <c r="H2434" s="515"/>
    </row>
    <row r="2435" spans="7:8" x14ac:dyDescent="0.3">
      <c r="G2435" s="515"/>
      <c r="H2435" s="515"/>
    </row>
    <row r="2436" spans="7:8" x14ac:dyDescent="0.3">
      <c r="G2436" s="515"/>
      <c r="H2436" s="515"/>
    </row>
    <row r="2437" spans="7:8" x14ac:dyDescent="0.3">
      <c r="G2437" s="515"/>
      <c r="H2437" s="515"/>
    </row>
    <row r="2438" spans="7:8" x14ac:dyDescent="0.3">
      <c r="G2438" s="515"/>
      <c r="H2438" s="515"/>
    </row>
    <row r="2439" spans="7:8" x14ac:dyDescent="0.3">
      <c r="G2439" s="515"/>
      <c r="H2439" s="515"/>
    </row>
    <row r="2440" spans="7:8" x14ac:dyDescent="0.3">
      <c r="G2440" s="515"/>
      <c r="H2440" s="515"/>
    </row>
    <row r="2441" spans="7:8" x14ac:dyDescent="0.3">
      <c r="G2441" s="515"/>
      <c r="H2441" s="515"/>
    </row>
    <row r="2442" spans="7:8" x14ac:dyDescent="0.3">
      <c r="G2442" s="515"/>
      <c r="H2442" s="515"/>
    </row>
    <row r="2443" spans="7:8" x14ac:dyDescent="0.3">
      <c r="G2443" s="515"/>
      <c r="H2443" s="515"/>
    </row>
    <row r="2444" spans="7:8" x14ac:dyDescent="0.3">
      <c r="G2444" s="515"/>
      <c r="H2444" s="515"/>
    </row>
    <row r="2445" spans="7:8" x14ac:dyDescent="0.3">
      <c r="G2445" s="515"/>
      <c r="H2445" s="515"/>
    </row>
    <row r="2446" spans="7:8" x14ac:dyDescent="0.3">
      <c r="G2446" s="515"/>
      <c r="H2446" s="515"/>
    </row>
    <row r="2447" spans="7:8" x14ac:dyDescent="0.3">
      <c r="G2447" s="515"/>
      <c r="H2447" s="515"/>
    </row>
    <row r="2448" spans="7:8" x14ac:dyDescent="0.3">
      <c r="G2448" s="515"/>
      <c r="H2448" s="515"/>
    </row>
    <row r="2449" spans="7:8" x14ac:dyDescent="0.3">
      <c r="G2449" s="515"/>
      <c r="H2449" s="515"/>
    </row>
    <row r="2450" spans="7:8" x14ac:dyDescent="0.3">
      <c r="G2450" s="515"/>
      <c r="H2450" s="515"/>
    </row>
    <row r="2451" spans="7:8" x14ac:dyDescent="0.3">
      <c r="G2451" s="515"/>
      <c r="H2451" s="515"/>
    </row>
    <row r="2452" spans="7:8" x14ac:dyDescent="0.3">
      <c r="G2452" s="515"/>
      <c r="H2452" s="515"/>
    </row>
    <row r="2453" spans="7:8" x14ac:dyDescent="0.3">
      <c r="G2453" s="515"/>
      <c r="H2453" s="515"/>
    </row>
    <row r="2454" spans="7:8" x14ac:dyDescent="0.3">
      <c r="G2454" s="515"/>
      <c r="H2454" s="515"/>
    </row>
    <row r="2455" spans="7:8" x14ac:dyDescent="0.3">
      <c r="G2455" s="515"/>
      <c r="H2455" s="515"/>
    </row>
    <row r="2456" spans="7:8" x14ac:dyDescent="0.3">
      <c r="G2456" s="515"/>
      <c r="H2456" s="515"/>
    </row>
    <row r="2457" spans="7:8" x14ac:dyDescent="0.3">
      <c r="G2457" s="515"/>
      <c r="H2457" s="515"/>
    </row>
    <row r="2458" spans="7:8" x14ac:dyDescent="0.3">
      <c r="G2458" s="515"/>
      <c r="H2458" s="515"/>
    </row>
    <row r="2459" spans="7:8" x14ac:dyDescent="0.3">
      <c r="G2459" s="515"/>
      <c r="H2459" s="515"/>
    </row>
    <row r="2460" spans="7:8" x14ac:dyDescent="0.3">
      <c r="G2460" s="515"/>
      <c r="H2460" s="515"/>
    </row>
    <row r="2461" spans="7:8" x14ac:dyDescent="0.3">
      <c r="G2461" s="515"/>
      <c r="H2461" s="515"/>
    </row>
    <row r="2462" spans="7:8" x14ac:dyDescent="0.3">
      <c r="G2462" s="515"/>
      <c r="H2462" s="515"/>
    </row>
    <row r="2463" spans="7:8" x14ac:dyDescent="0.3">
      <c r="G2463" s="515"/>
      <c r="H2463" s="515"/>
    </row>
    <row r="2464" spans="7:8" x14ac:dyDescent="0.3">
      <c r="G2464" s="515"/>
      <c r="H2464" s="515"/>
    </row>
    <row r="2465" spans="7:8" x14ac:dyDescent="0.3">
      <c r="G2465" s="515"/>
      <c r="H2465" s="515"/>
    </row>
    <row r="2466" spans="7:8" x14ac:dyDescent="0.3">
      <c r="G2466" s="515"/>
      <c r="H2466" s="515"/>
    </row>
    <row r="2467" spans="7:8" x14ac:dyDescent="0.3">
      <c r="G2467" s="515"/>
      <c r="H2467" s="515"/>
    </row>
    <row r="2468" spans="7:8" x14ac:dyDescent="0.3">
      <c r="G2468" s="515"/>
      <c r="H2468" s="515"/>
    </row>
    <row r="2469" spans="7:8" x14ac:dyDescent="0.3">
      <c r="G2469" s="515"/>
      <c r="H2469" s="515"/>
    </row>
    <row r="2470" spans="7:8" x14ac:dyDescent="0.3">
      <c r="G2470" s="515"/>
      <c r="H2470" s="515"/>
    </row>
    <row r="2471" spans="7:8" x14ac:dyDescent="0.3">
      <c r="G2471" s="515"/>
      <c r="H2471" s="515"/>
    </row>
    <row r="2472" spans="7:8" x14ac:dyDescent="0.3">
      <c r="G2472" s="515"/>
      <c r="H2472" s="515"/>
    </row>
    <row r="2473" spans="7:8" x14ac:dyDescent="0.3">
      <c r="G2473" s="515"/>
      <c r="H2473" s="515"/>
    </row>
    <row r="2474" spans="7:8" x14ac:dyDescent="0.3">
      <c r="G2474" s="515"/>
      <c r="H2474" s="515"/>
    </row>
    <row r="2475" spans="7:8" x14ac:dyDescent="0.3">
      <c r="G2475" s="515"/>
      <c r="H2475" s="515"/>
    </row>
    <row r="2476" spans="7:8" x14ac:dyDescent="0.3">
      <c r="G2476" s="515"/>
      <c r="H2476" s="515"/>
    </row>
    <row r="2477" spans="7:8" x14ac:dyDescent="0.3">
      <c r="G2477" s="515"/>
      <c r="H2477" s="515"/>
    </row>
    <row r="2478" spans="7:8" x14ac:dyDescent="0.3">
      <c r="G2478" s="515"/>
      <c r="H2478" s="515"/>
    </row>
    <row r="2479" spans="7:8" x14ac:dyDescent="0.3">
      <c r="G2479" s="515"/>
      <c r="H2479" s="515"/>
    </row>
    <row r="2480" spans="7:8" x14ac:dyDescent="0.3">
      <c r="G2480" s="515"/>
      <c r="H2480" s="515"/>
    </row>
    <row r="2481" spans="7:8" x14ac:dyDescent="0.3">
      <c r="G2481" s="515"/>
      <c r="H2481" s="515"/>
    </row>
    <row r="2482" spans="7:8" x14ac:dyDescent="0.3">
      <c r="G2482" s="515"/>
      <c r="H2482" s="515"/>
    </row>
    <row r="2483" spans="7:8" x14ac:dyDescent="0.3">
      <c r="G2483" s="515"/>
      <c r="H2483" s="515"/>
    </row>
    <row r="2484" spans="7:8" x14ac:dyDescent="0.3">
      <c r="G2484" s="515"/>
      <c r="H2484" s="515"/>
    </row>
    <row r="2485" spans="7:8" x14ac:dyDescent="0.3">
      <c r="G2485" s="515"/>
      <c r="H2485" s="515"/>
    </row>
    <row r="2486" spans="7:8" x14ac:dyDescent="0.3">
      <c r="G2486" s="515"/>
      <c r="H2486" s="515"/>
    </row>
    <row r="2487" spans="7:8" x14ac:dyDescent="0.3">
      <c r="G2487" s="515"/>
      <c r="H2487" s="515"/>
    </row>
    <row r="2488" spans="7:8" x14ac:dyDescent="0.3">
      <c r="G2488" s="515"/>
      <c r="H2488" s="515"/>
    </row>
    <row r="2489" spans="7:8" x14ac:dyDescent="0.3">
      <c r="G2489" s="515"/>
      <c r="H2489" s="515"/>
    </row>
    <row r="2490" spans="7:8" x14ac:dyDescent="0.3">
      <c r="G2490" s="515"/>
      <c r="H2490" s="515"/>
    </row>
    <row r="2491" spans="7:8" x14ac:dyDescent="0.3">
      <c r="G2491" s="515"/>
      <c r="H2491" s="515"/>
    </row>
    <row r="2492" spans="7:8" x14ac:dyDescent="0.3">
      <c r="G2492" s="515"/>
      <c r="H2492" s="515"/>
    </row>
    <row r="2493" spans="7:8" x14ac:dyDescent="0.3">
      <c r="G2493" s="515"/>
      <c r="H2493" s="515"/>
    </row>
    <row r="2494" spans="7:8" x14ac:dyDescent="0.3">
      <c r="G2494" s="515"/>
      <c r="H2494" s="515"/>
    </row>
    <row r="2495" spans="7:8" x14ac:dyDescent="0.3">
      <c r="G2495" s="515"/>
      <c r="H2495" s="515"/>
    </row>
    <row r="2496" spans="7:8" x14ac:dyDescent="0.3">
      <c r="G2496" s="515"/>
      <c r="H2496" s="515"/>
    </row>
    <row r="2497" spans="7:8" x14ac:dyDescent="0.3">
      <c r="G2497" s="515"/>
      <c r="H2497" s="515"/>
    </row>
    <row r="2498" spans="7:8" x14ac:dyDescent="0.3">
      <c r="G2498" s="515"/>
      <c r="H2498" s="515"/>
    </row>
    <row r="2499" spans="7:8" x14ac:dyDescent="0.3">
      <c r="G2499" s="515"/>
      <c r="H2499" s="515"/>
    </row>
    <row r="2500" spans="7:8" x14ac:dyDescent="0.3">
      <c r="G2500" s="515"/>
      <c r="H2500" s="515"/>
    </row>
    <row r="2501" spans="7:8" x14ac:dyDescent="0.3">
      <c r="G2501" s="515"/>
      <c r="H2501" s="515"/>
    </row>
    <row r="2502" spans="7:8" x14ac:dyDescent="0.3">
      <c r="G2502" s="515"/>
      <c r="H2502" s="515"/>
    </row>
    <row r="2503" spans="7:8" x14ac:dyDescent="0.3">
      <c r="G2503" s="515"/>
      <c r="H2503" s="515"/>
    </row>
    <row r="2504" spans="7:8" x14ac:dyDescent="0.3">
      <c r="G2504" s="515"/>
      <c r="H2504" s="515"/>
    </row>
    <row r="2505" spans="7:8" x14ac:dyDescent="0.3">
      <c r="G2505" s="515"/>
      <c r="H2505" s="515"/>
    </row>
    <row r="2506" spans="7:8" x14ac:dyDescent="0.3">
      <c r="G2506" s="515"/>
      <c r="H2506" s="515"/>
    </row>
    <row r="2507" spans="7:8" x14ac:dyDescent="0.3">
      <c r="G2507" s="515"/>
      <c r="H2507" s="515"/>
    </row>
    <row r="2508" spans="7:8" x14ac:dyDescent="0.3">
      <c r="G2508" s="515"/>
      <c r="H2508" s="515"/>
    </row>
    <row r="2509" spans="7:8" x14ac:dyDescent="0.3">
      <c r="G2509" s="515"/>
      <c r="H2509" s="515"/>
    </row>
    <row r="2510" spans="7:8" x14ac:dyDescent="0.3">
      <c r="G2510" s="515"/>
      <c r="H2510" s="515"/>
    </row>
    <row r="2511" spans="7:8" x14ac:dyDescent="0.3">
      <c r="G2511" s="515"/>
      <c r="H2511" s="515"/>
    </row>
    <row r="2512" spans="7:8" x14ac:dyDescent="0.3">
      <c r="G2512" s="515"/>
      <c r="H2512" s="515"/>
    </row>
    <row r="2513" spans="7:8" x14ac:dyDescent="0.3">
      <c r="G2513" s="515"/>
      <c r="H2513" s="515"/>
    </row>
    <row r="2514" spans="7:8" x14ac:dyDescent="0.3">
      <c r="G2514" s="515"/>
      <c r="H2514" s="515"/>
    </row>
    <row r="2515" spans="7:8" x14ac:dyDescent="0.3">
      <c r="G2515" s="515"/>
      <c r="H2515" s="515"/>
    </row>
    <row r="2516" spans="7:8" x14ac:dyDescent="0.3">
      <c r="G2516" s="515"/>
      <c r="H2516" s="515"/>
    </row>
    <row r="2517" spans="7:8" x14ac:dyDescent="0.3">
      <c r="G2517" s="515"/>
      <c r="H2517" s="515"/>
    </row>
    <row r="2518" spans="7:8" x14ac:dyDescent="0.3">
      <c r="G2518" s="515"/>
      <c r="H2518" s="515"/>
    </row>
    <row r="2519" spans="7:8" x14ac:dyDescent="0.3">
      <c r="G2519" s="515"/>
      <c r="H2519" s="515"/>
    </row>
    <row r="2520" spans="7:8" x14ac:dyDescent="0.3">
      <c r="G2520" s="515"/>
      <c r="H2520" s="515"/>
    </row>
    <row r="2521" spans="7:8" x14ac:dyDescent="0.3">
      <c r="G2521" s="515"/>
      <c r="H2521" s="515"/>
    </row>
    <row r="2522" spans="7:8" x14ac:dyDescent="0.3">
      <c r="G2522" s="515"/>
      <c r="H2522" s="515"/>
    </row>
    <row r="2523" spans="7:8" x14ac:dyDescent="0.3">
      <c r="G2523" s="515"/>
      <c r="H2523" s="515"/>
    </row>
    <row r="2524" spans="7:8" x14ac:dyDescent="0.3">
      <c r="G2524" s="515"/>
      <c r="H2524" s="515"/>
    </row>
    <row r="2525" spans="7:8" x14ac:dyDescent="0.3">
      <c r="G2525" s="515"/>
      <c r="H2525" s="515"/>
    </row>
    <row r="2526" spans="7:8" x14ac:dyDescent="0.3">
      <c r="G2526" s="515"/>
      <c r="H2526" s="515"/>
    </row>
    <row r="2527" spans="7:8" x14ac:dyDescent="0.3">
      <c r="G2527" s="515"/>
      <c r="H2527" s="515"/>
    </row>
    <row r="2528" spans="7:8" x14ac:dyDescent="0.3">
      <c r="G2528" s="515"/>
      <c r="H2528" s="515"/>
    </row>
    <row r="2529" spans="7:8" x14ac:dyDescent="0.3">
      <c r="G2529" s="515"/>
      <c r="H2529" s="515"/>
    </row>
    <row r="2530" spans="7:8" x14ac:dyDescent="0.3">
      <c r="G2530" s="515"/>
      <c r="H2530" s="515"/>
    </row>
    <row r="2531" spans="7:8" x14ac:dyDescent="0.3">
      <c r="G2531" s="515"/>
      <c r="H2531" s="515"/>
    </row>
    <row r="2532" spans="7:8" x14ac:dyDescent="0.3">
      <c r="G2532" s="515"/>
      <c r="H2532" s="515"/>
    </row>
    <row r="2533" spans="7:8" x14ac:dyDescent="0.3">
      <c r="G2533" s="515"/>
      <c r="H2533" s="515"/>
    </row>
    <row r="2534" spans="7:8" x14ac:dyDescent="0.3">
      <c r="G2534" s="515"/>
      <c r="H2534" s="515"/>
    </row>
    <row r="2535" spans="7:8" x14ac:dyDescent="0.3">
      <c r="G2535" s="515"/>
      <c r="H2535" s="515"/>
    </row>
    <row r="2536" spans="7:8" x14ac:dyDescent="0.3">
      <c r="G2536" s="515"/>
      <c r="H2536" s="515"/>
    </row>
    <row r="2537" spans="7:8" x14ac:dyDescent="0.3">
      <c r="G2537" s="515"/>
      <c r="H2537" s="515"/>
    </row>
    <row r="2538" spans="7:8" x14ac:dyDescent="0.3">
      <c r="G2538" s="515"/>
      <c r="H2538" s="515"/>
    </row>
    <row r="2539" spans="7:8" x14ac:dyDescent="0.3">
      <c r="G2539" s="515"/>
      <c r="H2539" s="515"/>
    </row>
    <row r="2540" spans="7:8" x14ac:dyDescent="0.3">
      <c r="G2540" s="515"/>
      <c r="H2540" s="515"/>
    </row>
    <row r="2541" spans="7:8" x14ac:dyDescent="0.3">
      <c r="G2541" s="515"/>
      <c r="H2541" s="515"/>
    </row>
    <row r="2542" spans="7:8" x14ac:dyDescent="0.3">
      <c r="G2542" s="515"/>
      <c r="H2542" s="515"/>
    </row>
    <row r="2543" spans="7:8" x14ac:dyDescent="0.3">
      <c r="G2543" s="515"/>
      <c r="H2543" s="515"/>
    </row>
    <row r="2544" spans="7:8" x14ac:dyDescent="0.3">
      <c r="G2544" s="515"/>
      <c r="H2544" s="515"/>
    </row>
    <row r="2545" spans="7:8" x14ac:dyDescent="0.3">
      <c r="G2545" s="515"/>
      <c r="H2545" s="515"/>
    </row>
    <row r="2546" spans="7:8" x14ac:dyDescent="0.3">
      <c r="G2546" s="515"/>
      <c r="H2546" s="515"/>
    </row>
    <row r="2547" spans="7:8" x14ac:dyDescent="0.3">
      <c r="G2547" s="515"/>
      <c r="H2547" s="515"/>
    </row>
    <row r="2548" spans="7:8" x14ac:dyDescent="0.3">
      <c r="G2548" s="515"/>
      <c r="H2548" s="515"/>
    </row>
    <row r="2549" spans="7:8" x14ac:dyDescent="0.3">
      <c r="G2549" s="515"/>
      <c r="H2549" s="515"/>
    </row>
    <row r="2550" spans="7:8" x14ac:dyDescent="0.3">
      <c r="G2550" s="515"/>
      <c r="H2550" s="515"/>
    </row>
    <row r="2551" spans="7:8" x14ac:dyDescent="0.3">
      <c r="G2551" s="515"/>
      <c r="H2551" s="515"/>
    </row>
    <row r="2552" spans="7:8" x14ac:dyDescent="0.3">
      <c r="G2552" s="515"/>
      <c r="H2552" s="515"/>
    </row>
    <row r="2553" spans="7:8" x14ac:dyDescent="0.3">
      <c r="G2553" s="515"/>
      <c r="H2553" s="515"/>
    </row>
    <row r="2554" spans="7:8" x14ac:dyDescent="0.3">
      <c r="G2554" s="515"/>
      <c r="H2554" s="515"/>
    </row>
    <row r="2555" spans="7:8" x14ac:dyDescent="0.3">
      <c r="G2555" s="515"/>
      <c r="H2555" s="515"/>
    </row>
    <row r="2556" spans="7:8" x14ac:dyDescent="0.3">
      <c r="G2556" s="515"/>
      <c r="H2556" s="515"/>
    </row>
    <row r="2557" spans="7:8" x14ac:dyDescent="0.3">
      <c r="G2557" s="515"/>
      <c r="H2557" s="515"/>
    </row>
    <row r="2558" spans="7:8" x14ac:dyDescent="0.3">
      <c r="G2558" s="515"/>
      <c r="H2558" s="515"/>
    </row>
    <row r="2559" spans="7:8" x14ac:dyDescent="0.3">
      <c r="G2559" s="515"/>
      <c r="H2559" s="515"/>
    </row>
    <row r="2560" spans="7:8" x14ac:dyDescent="0.3">
      <c r="G2560" s="515"/>
      <c r="H2560" s="515"/>
    </row>
    <row r="2561" spans="7:8" x14ac:dyDescent="0.3">
      <c r="G2561" s="515"/>
      <c r="H2561" s="515"/>
    </row>
    <row r="2562" spans="7:8" x14ac:dyDescent="0.3">
      <c r="G2562" s="515"/>
      <c r="H2562" s="515"/>
    </row>
    <row r="2563" spans="7:8" x14ac:dyDescent="0.3">
      <c r="G2563" s="515"/>
      <c r="H2563" s="515"/>
    </row>
    <row r="2564" spans="7:8" x14ac:dyDescent="0.3">
      <c r="G2564" s="515"/>
      <c r="H2564" s="515"/>
    </row>
    <row r="2565" spans="7:8" x14ac:dyDescent="0.3">
      <c r="G2565" s="515"/>
      <c r="H2565" s="515"/>
    </row>
    <row r="2566" spans="7:8" x14ac:dyDescent="0.3">
      <c r="G2566" s="515"/>
      <c r="H2566" s="515"/>
    </row>
    <row r="2567" spans="7:8" x14ac:dyDescent="0.3">
      <c r="G2567" s="515"/>
      <c r="H2567" s="515"/>
    </row>
    <row r="2568" spans="7:8" x14ac:dyDescent="0.3">
      <c r="G2568" s="515"/>
      <c r="H2568" s="515"/>
    </row>
    <row r="2569" spans="7:8" x14ac:dyDescent="0.3">
      <c r="G2569" s="515"/>
      <c r="H2569" s="515"/>
    </row>
    <row r="2570" spans="7:8" x14ac:dyDescent="0.3">
      <c r="G2570" s="515"/>
      <c r="H2570" s="515"/>
    </row>
    <row r="2571" spans="7:8" x14ac:dyDescent="0.3">
      <c r="G2571" s="515"/>
      <c r="H2571" s="515"/>
    </row>
    <row r="2572" spans="7:8" x14ac:dyDescent="0.3">
      <c r="G2572" s="515"/>
      <c r="H2572" s="515"/>
    </row>
    <row r="2573" spans="7:8" x14ac:dyDescent="0.3">
      <c r="G2573" s="515"/>
      <c r="H2573" s="515"/>
    </row>
    <row r="2574" spans="7:8" x14ac:dyDescent="0.3">
      <c r="G2574" s="515"/>
      <c r="H2574" s="515"/>
    </row>
    <row r="2575" spans="7:8" x14ac:dyDescent="0.3">
      <c r="G2575" s="515"/>
      <c r="H2575" s="515"/>
    </row>
    <row r="2576" spans="7:8" x14ac:dyDescent="0.3">
      <c r="G2576" s="515"/>
      <c r="H2576" s="515"/>
    </row>
    <row r="2577" spans="7:8" x14ac:dyDescent="0.3">
      <c r="G2577" s="515"/>
      <c r="H2577" s="515"/>
    </row>
    <row r="2578" spans="7:8" x14ac:dyDescent="0.3">
      <c r="G2578" s="515"/>
      <c r="H2578" s="515"/>
    </row>
    <row r="2579" spans="7:8" x14ac:dyDescent="0.3">
      <c r="G2579" s="515"/>
      <c r="H2579" s="515"/>
    </row>
    <row r="2580" spans="7:8" x14ac:dyDescent="0.3">
      <c r="G2580" s="515"/>
      <c r="H2580" s="515"/>
    </row>
    <row r="2581" spans="7:8" x14ac:dyDescent="0.3">
      <c r="G2581" s="515"/>
      <c r="H2581" s="515"/>
    </row>
    <row r="2582" spans="7:8" x14ac:dyDescent="0.3">
      <c r="G2582" s="515"/>
      <c r="H2582" s="515"/>
    </row>
    <row r="2583" spans="7:8" x14ac:dyDescent="0.3">
      <c r="G2583" s="515"/>
      <c r="H2583" s="515"/>
    </row>
    <row r="2584" spans="7:8" x14ac:dyDescent="0.3">
      <c r="G2584" s="515"/>
      <c r="H2584" s="515"/>
    </row>
    <row r="2585" spans="7:8" x14ac:dyDescent="0.3">
      <c r="G2585" s="515"/>
      <c r="H2585" s="515"/>
    </row>
    <row r="2586" spans="7:8" x14ac:dyDescent="0.3">
      <c r="G2586" s="515"/>
      <c r="H2586" s="515"/>
    </row>
    <row r="2587" spans="7:8" x14ac:dyDescent="0.3">
      <c r="G2587" s="515"/>
      <c r="H2587" s="515"/>
    </row>
    <row r="2588" spans="7:8" x14ac:dyDescent="0.3">
      <c r="G2588" s="515"/>
      <c r="H2588" s="515"/>
    </row>
    <row r="2589" spans="7:8" x14ac:dyDescent="0.3">
      <c r="G2589" s="515"/>
      <c r="H2589" s="515"/>
    </row>
    <row r="2590" spans="7:8" x14ac:dyDescent="0.3">
      <c r="G2590" s="515"/>
      <c r="H2590" s="515"/>
    </row>
    <row r="2591" spans="7:8" x14ac:dyDescent="0.3">
      <c r="G2591" s="515"/>
      <c r="H2591" s="515"/>
    </row>
    <row r="2592" spans="7:8" x14ac:dyDescent="0.3">
      <c r="G2592" s="515"/>
      <c r="H2592" s="515"/>
    </row>
    <row r="2593" spans="7:8" x14ac:dyDescent="0.3">
      <c r="G2593" s="515"/>
      <c r="H2593" s="515"/>
    </row>
    <row r="2594" spans="7:8" x14ac:dyDescent="0.3">
      <c r="G2594" s="515"/>
      <c r="H2594" s="515"/>
    </row>
    <row r="2595" spans="7:8" x14ac:dyDescent="0.3">
      <c r="G2595" s="515"/>
      <c r="H2595" s="515"/>
    </row>
    <row r="2596" spans="7:8" x14ac:dyDescent="0.3">
      <c r="G2596" s="515"/>
      <c r="H2596" s="515"/>
    </row>
    <row r="2597" spans="7:8" x14ac:dyDescent="0.3">
      <c r="G2597" s="515"/>
      <c r="H2597" s="515"/>
    </row>
    <row r="2598" spans="7:8" x14ac:dyDescent="0.3">
      <c r="G2598" s="515"/>
      <c r="H2598" s="515"/>
    </row>
    <row r="2599" spans="7:8" x14ac:dyDescent="0.3">
      <c r="G2599" s="515"/>
      <c r="H2599" s="515"/>
    </row>
    <row r="2600" spans="7:8" x14ac:dyDescent="0.3">
      <c r="G2600" s="515"/>
      <c r="H2600" s="515"/>
    </row>
    <row r="2601" spans="7:8" x14ac:dyDescent="0.3">
      <c r="G2601" s="515"/>
      <c r="H2601" s="515"/>
    </row>
    <row r="2602" spans="7:8" x14ac:dyDescent="0.3">
      <c r="G2602" s="515"/>
      <c r="H2602" s="515"/>
    </row>
    <row r="2603" spans="7:8" x14ac:dyDescent="0.3">
      <c r="G2603" s="515"/>
      <c r="H2603" s="515"/>
    </row>
    <row r="2604" spans="7:8" x14ac:dyDescent="0.3">
      <c r="G2604" s="515"/>
      <c r="H2604" s="515"/>
    </row>
    <row r="2605" spans="7:8" x14ac:dyDescent="0.3">
      <c r="G2605" s="515"/>
      <c r="H2605" s="515"/>
    </row>
    <row r="2606" spans="7:8" x14ac:dyDescent="0.3">
      <c r="G2606" s="515"/>
      <c r="H2606" s="515"/>
    </row>
    <row r="2607" spans="7:8" x14ac:dyDescent="0.3">
      <c r="G2607" s="515"/>
      <c r="H2607" s="515"/>
    </row>
    <row r="2608" spans="7:8" x14ac:dyDescent="0.3">
      <c r="G2608" s="515"/>
      <c r="H2608" s="515"/>
    </row>
    <row r="2609" spans="7:8" x14ac:dyDescent="0.3">
      <c r="G2609" s="515"/>
      <c r="H2609" s="515"/>
    </row>
    <row r="2610" spans="7:8" x14ac:dyDescent="0.3">
      <c r="G2610" s="515"/>
      <c r="H2610" s="515"/>
    </row>
    <row r="2611" spans="7:8" x14ac:dyDescent="0.3">
      <c r="G2611" s="515"/>
      <c r="H2611" s="515"/>
    </row>
    <row r="2612" spans="7:8" x14ac:dyDescent="0.3">
      <c r="G2612" s="515"/>
      <c r="H2612" s="515"/>
    </row>
    <row r="2613" spans="7:8" x14ac:dyDescent="0.3">
      <c r="G2613" s="515"/>
      <c r="H2613" s="515"/>
    </row>
    <row r="2614" spans="7:8" x14ac:dyDescent="0.3">
      <c r="G2614" s="515"/>
      <c r="H2614" s="515"/>
    </row>
    <row r="2615" spans="7:8" x14ac:dyDescent="0.3">
      <c r="G2615" s="515"/>
      <c r="H2615" s="515"/>
    </row>
    <row r="2616" spans="7:8" x14ac:dyDescent="0.3">
      <c r="G2616" s="515"/>
      <c r="H2616" s="515"/>
    </row>
    <row r="2617" spans="7:8" x14ac:dyDescent="0.3">
      <c r="G2617" s="515"/>
      <c r="H2617" s="515"/>
    </row>
    <row r="2618" spans="7:8" x14ac:dyDescent="0.3">
      <c r="G2618" s="515"/>
      <c r="H2618" s="515"/>
    </row>
    <row r="2619" spans="7:8" x14ac:dyDescent="0.3">
      <c r="G2619" s="515"/>
      <c r="H2619" s="515"/>
    </row>
    <row r="2620" spans="7:8" x14ac:dyDescent="0.3">
      <c r="G2620" s="515"/>
      <c r="H2620" s="515"/>
    </row>
    <row r="2621" spans="7:8" x14ac:dyDescent="0.3">
      <c r="G2621" s="515"/>
      <c r="H2621" s="515"/>
    </row>
    <row r="2622" spans="7:8" x14ac:dyDescent="0.3">
      <c r="G2622" s="515"/>
      <c r="H2622" s="515"/>
    </row>
    <row r="2623" spans="7:8" x14ac:dyDescent="0.3">
      <c r="G2623" s="515"/>
      <c r="H2623" s="515"/>
    </row>
    <row r="2624" spans="7:8" x14ac:dyDescent="0.3">
      <c r="G2624" s="515"/>
      <c r="H2624" s="515"/>
    </row>
    <row r="2625" spans="7:8" x14ac:dyDescent="0.3">
      <c r="G2625" s="515"/>
      <c r="H2625" s="515"/>
    </row>
    <row r="2626" spans="7:8" x14ac:dyDescent="0.3">
      <c r="G2626" s="515"/>
      <c r="H2626" s="515"/>
    </row>
    <row r="2627" spans="7:8" x14ac:dyDescent="0.3">
      <c r="G2627" s="515"/>
      <c r="H2627" s="515"/>
    </row>
    <row r="2628" spans="7:8" x14ac:dyDescent="0.3">
      <c r="G2628" s="515"/>
      <c r="H2628" s="515"/>
    </row>
    <row r="2629" spans="7:8" x14ac:dyDescent="0.3">
      <c r="G2629" s="515"/>
      <c r="H2629" s="515"/>
    </row>
    <row r="2630" spans="7:8" x14ac:dyDescent="0.3">
      <c r="G2630" s="515"/>
      <c r="H2630" s="515"/>
    </row>
    <row r="2631" spans="7:8" x14ac:dyDescent="0.3">
      <c r="G2631" s="515"/>
      <c r="H2631" s="515"/>
    </row>
    <row r="2632" spans="7:8" x14ac:dyDescent="0.3">
      <c r="G2632" s="515"/>
      <c r="H2632" s="515"/>
    </row>
    <row r="2633" spans="7:8" x14ac:dyDescent="0.3">
      <c r="G2633" s="515"/>
      <c r="H2633" s="515"/>
    </row>
    <row r="2634" spans="7:8" x14ac:dyDescent="0.3">
      <c r="G2634" s="515"/>
      <c r="H2634" s="515"/>
    </row>
    <row r="2635" spans="7:8" x14ac:dyDescent="0.3">
      <c r="G2635" s="515"/>
      <c r="H2635" s="515"/>
    </row>
    <row r="2636" spans="7:8" x14ac:dyDescent="0.3">
      <c r="G2636" s="515"/>
      <c r="H2636" s="515"/>
    </row>
    <row r="2637" spans="7:8" x14ac:dyDescent="0.3">
      <c r="G2637" s="515"/>
      <c r="H2637" s="515"/>
    </row>
    <row r="2638" spans="7:8" x14ac:dyDescent="0.3">
      <c r="G2638" s="515"/>
      <c r="H2638" s="515"/>
    </row>
    <row r="2639" spans="7:8" x14ac:dyDescent="0.3">
      <c r="G2639" s="515"/>
      <c r="H2639" s="515"/>
    </row>
    <row r="2640" spans="7:8" x14ac:dyDescent="0.3">
      <c r="G2640" s="515"/>
      <c r="H2640" s="515"/>
    </row>
    <row r="2641" spans="7:8" x14ac:dyDescent="0.3">
      <c r="G2641" s="515"/>
      <c r="H2641" s="515"/>
    </row>
    <row r="2642" spans="7:8" x14ac:dyDescent="0.3">
      <c r="G2642" s="515"/>
      <c r="H2642" s="515"/>
    </row>
    <row r="2643" spans="7:8" x14ac:dyDescent="0.3">
      <c r="G2643" s="515"/>
      <c r="H2643" s="515"/>
    </row>
    <row r="2644" spans="7:8" x14ac:dyDescent="0.3">
      <c r="G2644" s="515"/>
      <c r="H2644" s="515"/>
    </row>
    <row r="2645" spans="7:8" x14ac:dyDescent="0.3">
      <c r="G2645" s="515"/>
      <c r="H2645" s="515"/>
    </row>
    <row r="2646" spans="7:8" x14ac:dyDescent="0.3">
      <c r="G2646" s="515"/>
      <c r="H2646" s="515"/>
    </row>
    <row r="2647" spans="7:8" x14ac:dyDescent="0.3">
      <c r="G2647" s="515"/>
      <c r="H2647" s="515"/>
    </row>
    <row r="2648" spans="7:8" x14ac:dyDescent="0.3">
      <c r="G2648" s="515"/>
      <c r="H2648" s="515"/>
    </row>
    <row r="2649" spans="7:8" x14ac:dyDescent="0.3">
      <c r="G2649" s="515"/>
      <c r="H2649" s="515"/>
    </row>
    <row r="2650" spans="7:8" x14ac:dyDescent="0.3">
      <c r="G2650" s="515"/>
      <c r="H2650" s="515"/>
    </row>
    <row r="2651" spans="7:8" x14ac:dyDescent="0.3">
      <c r="G2651" s="515"/>
      <c r="H2651" s="515"/>
    </row>
    <row r="2652" spans="7:8" x14ac:dyDescent="0.3">
      <c r="G2652" s="515"/>
      <c r="H2652" s="515"/>
    </row>
    <row r="2653" spans="7:8" x14ac:dyDescent="0.3">
      <c r="G2653" s="515"/>
      <c r="H2653" s="515"/>
    </row>
    <row r="2654" spans="7:8" x14ac:dyDescent="0.3">
      <c r="G2654" s="515"/>
      <c r="H2654" s="515"/>
    </row>
    <row r="2655" spans="7:8" x14ac:dyDescent="0.3">
      <c r="G2655" s="515"/>
      <c r="H2655" s="515"/>
    </row>
    <row r="2656" spans="7:8" x14ac:dyDescent="0.3">
      <c r="G2656" s="515"/>
      <c r="H2656" s="515"/>
    </row>
    <row r="2657" spans="7:8" x14ac:dyDescent="0.3">
      <c r="G2657" s="515"/>
      <c r="H2657" s="515"/>
    </row>
    <row r="2658" spans="7:8" x14ac:dyDescent="0.3">
      <c r="G2658" s="515"/>
      <c r="H2658" s="515"/>
    </row>
    <row r="2659" spans="7:8" x14ac:dyDescent="0.3">
      <c r="G2659" s="515"/>
      <c r="H2659" s="515"/>
    </row>
    <row r="2660" spans="7:8" x14ac:dyDescent="0.3">
      <c r="G2660" s="515"/>
      <c r="H2660" s="515"/>
    </row>
    <row r="2661" spans="7:8" x14ac:dyDescent="0.3">
      <c r="G2661" s="515"/>
      <c r="H2661" s="515"/>
    </row>
    <row r="2662" spans="7:8" x14ac:dyDescent="0.3">
      <c r="G2662" s="515"/>
      <c r="H2662" s="515"/>
    </row>
    <row r="2663" spans="7:8" x14ac:dyDescent="0.3">
      <c r="G2663" s="515"/>
      <c r="H2663" s="515"/>
    </row>
    <row r="2664" spans="7:8" x14ac:dyDescent="0.3">
      <c r="G2664" s="515"/>
      <c r="H2664" s="515"/>
    </row>
    <row r="2665" spans="7:8" x14ac:dyDescent="0.3">
      <c r="G2665" s="515"/>
      <c r="H2665" s="515"/>
    </row>
    <row r="2666" spans="7:8" x14ac:dyDescent="0.3">
      <c r="G2666" s="515"/>
      <c r="H2666" s="515"/>
    </row>
    <row r="2667" spans="7:8" x14ac:dyDescent="0.3">
      <c r="G2667" s="515"/>
      <c r="H2667" s="515"/>
    </row>
    <row r="2668" spans="7:8" x14ac:dyDescent="0.3">
      <c r="G2668" s="515"/>
      <c r="H2668" s="515"/>
    </row>
    <row r="2669" spans="7:8" x14ac:dyDescent="0.3">
      <c r="G2669" s="515"/>
      <c r="H2669" s="515"/>
    </row>
    <row r="2670" spans="7:8" x14ac:dyDescent="0.3">
      <c r="G2670" s="515"/>
      <c r="H2670" s="515"/>
    </row>
    <row r="2671" spans="7:8" x14ac:dyDescent="0.3">
      <c r="G2671" s="515"/>
      <c r="H2671" s="515"/>
    </row>
    <row r="2672" spans="7:8" x14ac:dyDescent="0.3">
      <c r="G2672" s="515"/>
      <c r="H2672" s="515"/>
    </row>
    <row r="2673" spans="7:8" x14ac:dyDescent="0.3">
      <c r="G2673" s="515"/>
      <c r="H2673" s="515"/>
    </row>
    <row r="2674" spans="7:8" x14ac:dyDescent="0.3">
      <c r="G2674" s="515"/>
      <c r="H2674" s="515"/>
    </row>
    <row r="2675" spans="7:8" x14ac:dyDescent="0.3">
      <c r="G2675" s="515"/>
      <c r="H2675" s="515"/>
    </row>
    <row r="2676" spans="7:8" x14ac:dyDescent="0.3">
      <c r="G2676" s="515"/>
      <c r="H2676" s="515"/>
    </row>
    <row r="2677" spans="7:8" x14ac:dyDescent="0.3">
      <c r="G2677" s="515"/>
      <c r="H2677" s="515"/>
    </row>
    <row r="2678" spans="7:8" x14ac:dyDescent="0.3">
      <c r="G2678" s="515"/>
      <c r="H2678" s="515"/>
    </row>
    <row r="2679" spans="7:8" x14ac:dyDescent="0.3">
      <c r="G2679" s="515"/>
      <c r="H2679" s="515"/>
    </row>
    <row r="2680" spans="7:8" x14ac:dyDescent="0.3">
      <c r="G2680" s="515"/>
      <c r="H2680" s="515"/>
    </row>
    <row r="2681" spans="7:8" x14ac:dyDescent="0.3">
      <c r="G2681" s="515"/>
      <c r="H2681" s="515"/>
    </row>
    <row r="2682" spans="7:8" x14ac:dyDescent="0.3">
      <c r="G2682" s="515"/>
      <c r="H2682" s="515"/>
    </row>
    <row r="2683" spans="7:8" x14ac:dyDescent="0.3">
      <c r="G2683" s="515"/>
      <c r="H2683" s="515"/>
    </row>
    <row r="2684" spans="7:8" x14ac:dyDescent="0.3">
      <c r="G2684" s="515"/>
      <c r="H2684" s="515"/>
    </row>
    <row r="2685" spans="7:8" x14ac:dyDescent="0.3">
      <c r="G2685" s="515"/>
      <c r="H2685" s="515"/>
    </row>
    <row r="2686" spans="7:8" x14ac:dyDescent="0.3">
      <c r="G2686" s="515"/>
      <c r="H2686" s="515"/>
    </row>
    <row r="2687" spans="7:8" x14ac:dyDescent="0.3">
      <c r="G2687" s="515"/>
      <c r="H2687" s="515"/>
    </row>
    <row r="2688" spans="7:8" x14ac:dyDescent="0.3">
      <c r="G2688" s="515"/>
      <c r="H2688" s="515"/>
    </row>
    <row r="2689" spans="7:8" x14ac:dyDescent="0.3">
      <c r="G2689" s="515"/>
      <c r="H2689" s="515"/>
    </row>
    <row r="2690" spans="7:8" x14ac:dyDescent="0.3">
      <c r="G2690" s="515"/>
      <c r="H2690" s="515"/>
    </row>
    <row r="2691" spans="7:8" x14ac:dyDescent="0.3">
      <c r="G2691" s="515"/>
      <c r="H2691" s="515"/>
    </row>
    <row r="2692" spans="7:8" x14ac:dyDescent="0.3">
      <c r="G2692" s="515"/>
      <c r="H2692" s="515"/>
    </row>
    <row r="2693" spans="7:8" x14ac:dyDescent="0.3">
      <c r="G2693" s="515"/>
      <c r="H2693" s="515"/>
    </row>
    <row r="2694" spans="7:8" x14ac:dyDescent="0.3">
      <c r="G2694" s="515"/>
      <c r="H2694" s="515"/>
    </row>
    <row r="2695" spans="7:8" x14ac:dyDescent="0.3">
      <c r="G2695" s="515"/>
      <c r="H2695" s="515"/>
    </row>
    <row r="2696" spans="7:8" x14ac:dyDescent="0.3">
      <c r="G2696" s="515"/>
      <c r="H2696" s="515"/>
    </row>
    <row r="2697" spans="7:8" x14ac:dyDescent="0.3">
      <c r="G2697" s="515"/>
      <c r="H2697" s="515"/>
    </row>
    <row r="2698" spans="7:8" x14ac:dyDescent="0.3">
      <c r="G2698" s="515"/>
      <c r="H2698" s="515"/>
    </row>
    <row r="2699" spans="7:8" x14ac:dyDescent="0.3">
      <c r="G2699" s="515"/>
      <c r="H2699" s="515"/>
    </row>
    <row r="2700" spans="7:8" x14ac:dyDescent="0.3">
      <c r="G2700" s="515"/>
      <c r="H2700" s="515"/>
    </row>
    <row r="2701" spans="7:8" x14ac:dyDescent="0.3">
      <c r="G2701" s="515"/>
      <c r="H2701" s="515"/>
    </row>
    <row r="2702" spans="7:8" x14ac:dyDescent="0.3">
      <c r="G2702" s="515"/>
      <c r="H2702" s="515"/>
    </row>
    <row r="2703" spans="7:8" x14ac:dyDescent="0.3">
      <c r="G2703" s="515"/>
      <c r="H2703" s="515"/>
    </row>
    <row r="2704" spans="7:8" x14ac:dyDescent="0.3">
      <c r="G2704" s="515"/>
      <c r="H2704" s="515"/>
    </row>
    <row r="2705" spans="7:8" x14ac:dyDescent="0.3">
      <c r="G2705" s="515"/>
      <c r="H2705" s="515"/>
    </row>
    <row r="2706" spans="7:8" x14ac:dyDescent="0.3">
      <c r="G2706" s="515"/>
      <c r="H2706" s="515"/>
    </row>
    <row r="2707" spans="7:8" x14ac:dyDescent="0.3">
      <c r="G2707" s="515"/>
      <c r="H2707" s="515"/>
    </row>
    <row r="2708" spans="7:8" x14ac:dyDescent="0.3">
      <c r="G2708" s="515"/>
      <c r="H2708" s="515"/>
    </row>
    <row r="2709" spans="7:8" x14ac:dyDescent="0.3">
      <c r="G2709" s="515"/>
      <c r="H2709" s="515"/>
    </row>
    <row r="2710" spans="7:8" x14ac:dyDescent="0.3">
      <c r="G2710" s="515"/>
      <c r="H2710" s="515"/>
    </row>
    <row r="2711" spans="7:8" x14ac:dyDescent="0.3">
      <c r="G2711" s="515"/>
      <c r="H2711" s="515"/>
    </row>
    <row r="2712" spans="7:8" x14ac:dyDescent="0.3">
      <c r="G2712" s="515"/>
      <c r="H2712" s="515"/>
    </row>
    <row r="2713" spans="7:8" x14ac:dyDescent="0.3">
      <c r="G2713" s="515"/>
      <c r="H2713" s="515"/>
    </row>
    <row r="2714" spans="7:8" x14ac:dyDescent="0.3">
      <c r="G2714" s="515"/>
      <c r="H2714" s="515"/>
    </row>
    <row r="2715" spans="7:8" x14ac:dyDescent="0.3">
      <c r="G2715" s="515"/>
      <c r="H2715" s="515"/>
    </row>
    <row r="2716" spans="7:8" x14ac:dyDescent="0.3">
      <c r="G2716" s="515"/>
      <c r="H2716" s="515"/>
    </row>
    <row r="2717" spans="7:8" x14ac:dyDescent="0.3">
      <c r="G2717" s="515"/>
      <c r="H2717" s="515"/>
    </row>
    <row r="2718" spans="7:8" x14ac:dyDescent="0.3">
      <c r="G2718" s="515"/>
      <c r="H2718" s="515"/>
    </row>
    <row r="2719" spans="7:8" x14ac:dyDescent="0.3">
      <c r="G2719" s="515"/>
      <c r="H2719" s="515"/>
    </row>
    <row r="2720" spans="7:8" x14ac:dyDescent="0.3">
      <c r="G2720" s="515"/>
      <c r="H2720" s="515"/>
    </row>
    <row r="2721" spans="7:8" x14ac:dyDescent="0.3">
      <c r="G2721" s="515"/>
      <c r="H2721" s="515"/>
    </row>
    <row r="2722" spans="7:8" x14ac:dyDescent="0.3">
      <c r="G2722" s="515"/>
      <c r="H2722" s="515"/>
    </row>
    <row r="2723" spans="7:8" x14ac:dyDescent="0.3">
      <c r="G2723" s="515"/>
      <c r="H2723" s="515"/>
    </row>
    <row r="2724" spans="7:8" x14ac:dyDescent="0.3">
      <c r="G2724" s="515"/>
      <c r="H2724" s="515"/>
    </row>
    <row r="2725" spans="7:8" x14ac:dyDescent="0.3">
      <c r="G2725" s="515"/>
      <c r="H2725" s="515"/>
    </row>
    <row r="2726" spans="7:8" x14ac:dyDescent="0.3">
      <c r="G2726" s="515"/>
      <c r="H2726" s="515"/>
    </row>
    <row r="2727" spans="7:8" x14ac:dyDescent="0.3">
      <c r="G2727" s="515"/>
      <c r="H2727" s="515"/>
    </row>
    <row r="2728" spans="7:8" x14ac:dyDescent="0.3">
      <c r="G2728" s="515"/>
      <c r="H2728" s="515"/>
    </row>
    <row r="2729" spans="7:8" x14ac:dyDescent="0.3">
      <c r="G2729" s="515"/>
      <c r="H2729" s="515"/>
    </row>
    <row r="2730" spans="7:8" x14ac:dyDescent="0.3">
      <c r="G2730" s="515"/>
      <c r="H2730" s="515"/>
    </row>
    <row r="2731" spans="7:8" x14ac:dyDescent="0.3">
      <c r="G2731" s="515"/>
      <c r="H2731" s="515"/>
    </row>
    <row r="2732" spans="7:8" x14ac:dyDescent="0.3">
      <c r="G2732" s="515"/>
      <c r="H2732" s="515"/>
    </row>
    <row r="2733" spans="7:8" x14ac:dyDescent="0.3">
      <c r="G2733" s="515"/>
      <c r="H2733" s="515"/>
    </row>
    <row r="2734" spans="7:8" x14ac:dyDescent="0.3">
      <c r="G2734" s="515"/>
      <c r="H2734" s="515"/>
    </row>
    <row r="2735" spans="7:8" x14ac:dyDescent="0.3">
      <c r="G2735" s="515"/>
      <c r="H2735" s="515"/>
    </row>
    <row r="2736" spans="7:8" x14ac:dyDescent="0.3">
      <c r="G2736" s="515"/>
      <c r="H2736" s="515"/>
    </row>
    <row r="2737" spans="7:8" x14ac:dyDescent="0.3">
      <c r="G2737" s="515"/>
      <c r="H2737" s="515"/>
    </row>
    <row r="2738" spans="7:8" x14ac:dyDescent="0.3">
      <c r="G2738" s="515"/>
      <c r="H2738" s="515"/>
    </row>
    <row r="2739" spans="7:8" x14ac:dyDescent="0.3">
      <c r="G2739" s="515"/>
      <c r="H2739" s="515"/>
    </row>
    <row r="2740" spans="7:8" x14ac:dyDescent="0.3">
      <c r="G2740" s="515"/>
      <c r="H2740" s="515"/>
    </row>
    <row r="2741" spans="7:8" x14ac:dyDescent="0.3">
      <c r="G2741" s="515"/>
      <c r="H2741" s="515"/>
    </row>
    <row r="2742" spans="7:8" x14ac:dyDescent="0.3">
      <c r="G2742" s="515"/>
      <c r="H2742" s="515"/>
    </row>
    <row r="2743" spans="7:8" x14ac:dyDescent="0.3">
      <c r="G2743" s="515"/>
      <c r="H2743" s="515"/>
    </row>
    <row r="2744" spans="7:8" x14ac:dyDescent="0.3">
      <c r="G2744" s="515"/>
      <c r="H2744" s="515"/>
    </row>
    <row r="2745" spans="7:8" x14ac:dyDescent="0.3">
      <c r="G2745" s="515"/>
      <c r="H2745" s="515"/>
    </row>
    <row r="2746" spans="7:8" x14ac:dyDescent="0.3">
      <c r="G2746" s="515"/>
      <c r="H2746" s="515"/>
    </row>
    <row r="2747" spans="7:8" x14ac:dyDescent="0.3">
      <c r="G2747" s="515"/>
      <c r="H2747" s="515"/>
    </row>
    <row r="2748" spans="7:8" x14ac:dyDescent="0.3">
      <c r="G2748" s="515"/>
      <c r="H2748" s="515"/>
    </row>
    <row r="2749" spans="7:8" x14ac:dyDescent="0.3">
      <c r="G2749" s="515"/>
      <c r="H2749" s="515"/>
    </row>
    <row r="2750" spans="7:8" x14ac:dyDescent="0.3">
      <c r="G2750" s="515"/>
      <c r="H2750" s="515"/>
    </row>
    <row r="2751" spans="7:8" x14ac:dyDescent="0.3">
      <c r="G2751" s="515"/>
      <c r="H2751" s="515"/>
    </row>
    <row r="2752" spans="7:8" x14ac:dyDescent="0.3">
      <c r="G2752" s="515"/>
      <c r="H2752" s="515"/>
    </row>
    <row r="2753" spans="7:8" x14ac:dyDescent="0.3">
      <c r="G2753" s="515"/>
      <c r="H2753" s="515"/>
    </row>
    <row r="2754" spans="7:8" x14ac:dyDescent="0.3">
      <c r="G2754" s="515"/>
      <c r="H2754" s="515"/>
    </row>
    <row r="2755" spans="7:8" x14ac:dyDescent="0.3">
      <c r="G2755" s="515"/>
      <c r="H2755" s="515"/>
    </row>
    <row r="2756" spans="7:8" x14ac:dyDescent="0.3">
      <c r="G2756" s="515"/>
      <c r="H2756" s="515"/>
    </row>
    <row r="2757" spans="7:8" x14ac:dyDescent="0.3">
      <c r="G2757" s="515"/>
      <c r="H2757" s="515"/>
    </row>
    <row r="2758" spans="7:8" x14ac:dyDescent="0.3">
      <c r="G2758" s="515"/>
      <c r="H2758" s="515"/>
    </row>
    <row r="2759" spans="7:8" x14ac:dyDescent="0.3">
      <c r="G2759" s="515"/>
      <c r="H2759" s="515"/>
    </row>
    <row r="2760" spans="7:8" x14ac:dyDescent="0.3">
      <c r="G2760" s="515"/>
      <c r="H2760" s="515"/>
    </row>
    <row r="2761" spans="7:8" x14ac:dyDescent="0.3">
      <c r="G2761" s="515"/>
      <c r="H2761" s="515"/>
    </row>
    <row r="2762" spans="7:8" x14ac:dyDescent="0.3">
      <c r="G2762" s="515"/>
      <c r="H2762" s="515"/>
    </row>
    <row r="2763" spans="7:8" x14ac:dyDescent="0.3">
      <c r="G2763" s="515"/>
      <c r="H2763" s="515"/>
    </row>
    <row r="2764" spans="7:8" x14ac:dyDescent="0.3">
      <c r="G2764" s="515"/>
      <c r="H2764" s="515"/>
    </row>
    <row r="2765" spans="7:8" x14ac:dyDescent="0.3">
      <c r="G2765" s="515"/>
      <c r="H2765" s="515"/>
    </row>
    <row r="2766" spans="7:8" x14ac:dyDescent="0.3">
      <c r="G2766" s="515"/>
      <c r="H2766" s="515"/>
    </row>
    <row r="2767" spans="7:8" x14ac:dyDescent="0.3">
      <c r="G2767" s="515"/>
      <c r="H2767" s="515"/>
    </row>
    <row r="2768" spans="7:8" x14ac:dyDescent="0.3">
      <c r="G2768" s="515"/>
      <c r="H2768" s="515"/>
    </row>
    <row r="2769" spans="7:8" x14ac:dyDescent="0.3">
      <c r="G2769" s="515"/>
      <c r="H2769" s="515"/>
    </row>
    <row r="2770" spans="7:8" x14ac:dyDescent="0.3">
      <c r="G2770" s="515"/>
      <c r="H2770" s="515"/>
    </row>
    <row r="2771" spans="7:8" x14ac:dyDescent="0.3">
      <c r="G2771" s="515"/>
      <c r="H2771" s="515"/>
    </row>
    <row r="2772" spans="7:8" x14ac:dyDescent="0.3">
      <c r="G2772" s="515"/>
      <c r="H2772" s="515"/>
    </row>
    <row r="2773" spans="7:8" x14ac:dyDescent="0.3">
      <c r="G2773" s="515"/>
      <c r="H2773" s="515"/>
    </row>
    <row r="2774" spans="7:8" x14ac:dyDescent="0.3">
      <c r="G2774" s="515"/>
      <c r="H2774" s="515"/>
    </row>
    <row r="2775" spans="7:8" x14ac:dyDescent="0.3">
      <c r="G2775" s="515"/>
      <c r="H2775" s="515"/>
    </row>
    <row r="2776" spans="7:8" x14ac:dyDescent="0.3">
      <c r="G2776" s="515"/>
      <c r="H2776" s="515"/>
    </row>
    <row r="2777" spans="7:8" x14ac:dyDescent="0.3">
      <c r="G2777" s="515"/>
      <c r="H2777" s="515"/>
    </row>
    <row r="2778" spans="7:8" x14ac:dyDescent="0.3">
      <c r="G2778" s="515"/>
      <c r="H2778" s="515"/>
    </row>
    <row r="2779" spans="7:8" x14ac:dyDescent="0.3">
      <c r="G2779" s="515"/>
      <c r="H2779" s="515"/>
    </row>
    <row r="2780" spans="7:8" x14ac:dyDescent="0.3">
      <c r="G2780" s="515"/>
      <c r="H2780" s="515"/>
    </row>
    <row r="2781" spans="7:8" x14ac:dyDescent="0.3">
      <c r="G2781" s="515"/>
      <c r="H2781" s="515"/>
    </row>
    <row r="2782" spans="7:8" x14ac:dyDescent="0.3">
      <c r="G2782" s="515"/>
      <c r="H2782" s="515"/>
    </row>
    <row r="2783" spans="7:8" x14ac:dyDescent="0.3">
      <c r="G2783" s="515"/>
      <c r="H2783" s="515"/>
    </row>
    <row r="2784" spans="7:8" x14ac:dyDescent="0.3">
      <c r="G2784" s="515"/>
      <c r="H2784" s="515"/>
    </row>
    <row r="2785" spans="7:8" x14ac:dyDescent="0.3">
      <c r="G2785" s="515"/>
      <c r="H2785" s="515"/>
    </row>
    <row r="2786" spans="7:8" x14ac:dyDescent="0.3">
      <c r="G2786" s="515"/>
      <c r="H2786" s="515"/>
    </row>
    <row r="2787" spans="7:8" x14ac:dyDescent="0.3">
      <c r="G2787" s="515"/>
      <c r="H2787" s="515"/>
    </row>
    <row r="2788" spans="7:8" x14ac:dyDescent="0.3">
      <c r="G2788" s="515"/>
      <c r="H2788" s="515"/>
    </row>
    <row r="2789" spans="7:8" x14ac:dyDescent="0.3">
      <c r="G2789" s="515"/>
      <c r="H2789" s="515"/>
    </row>
    <row r="2790" spans="7:8" x14ac:dyDescent="0.3">
      <c r="G2790" s="515"/>
      <c r="H2790" s="515"/>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4.4" x14ac:dyDescent="0.3"/>
  <sheetData>
    <row r="1" spans="1:2" x14ac:dyDescent="0.3">
      <c r="A1" s="115" t="s">
        <v>234</v>
      </c>
      <c r="B1" s="114" t="s">
        <v>235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7"/>
  <sheetViews>
    <sheetView workbookViewId="0">
      <selection activeCell="B12" sqref="B12"/>
    </sheetView>
  </sheetViews>
  <sheetFormatPr defaultColWidth="8.88671875" defaultRowHeight="10.199999999999999" x14ac:dyDescent="0.2"/>
  <cols>
    <col min="1" max="1" width="22" style="6" customWidth="1"/>
    <col min="2" max="2" width="8.88671875" style="6"/>
    <col min="3" max="3" width="42" style="6" customWidth="1"/>
    <col min="4" max="16384" width="8.88671875" style="6"/>
  </cols>
  <sheetData>
    <row r="1" spans="1:8" x14ac:dyDescent="0.2">
      <c r="A1" s="109" t="s">
        <v>13</v>
      </c>
      <c r="B1" s="41" t="s">
        <v>14</v>
      </c>
      <c r="C1" s="41"/>
      <c r="D1" s="41"/>
      <c r="E1" s="41"/>
      <c r="F1" s="41"/>
      <c r="G1" s="41"/>
      <c r="H1" s="41"/>
    </row>
    <row r="2" spans="1:8" ht="13.2" x14ac:dyDescent="0.25">
      <c r="A2" s="168" t="str">
        <f ca="1">MID(CELL("filename",A1),FIND("]",CELL("filename",A1))+1,255)</f>
        <v xml:space="preserve">ITEMS_Comm_BASE_JM </v>
      </c>
      <c r="B2" s="41"/>
      <c r="C2" s="41"/>
      <c r="D2" s="41"/>
      <c r="E2" s="41"/>
      <c r="F2" s="41"/>
      <c r="G2" s="41"/>
      <c r="H2" s="41"/>
    </row>
    <row r="3" spans="1:8" x14ac:dyDescent="0.2">
      <c r="A3" s="41"/>
      <c r="B3" s="41"/>
      <c r="C3" s="41"/>
      <c r="D3" s="41"/>
      <c r="E3" s="41"/>
      <c r="F3" s="41"/>
      <c r="G3" s="41"/>
      <c r="H3" s="41"/>
    </row>
    <row r="4" spans="1:8" x14ac:dyDescent="0.2">
      <c r="A4" s="41"/>
      <c r="B4" s="41"/>
      <c r="C4" s="41"/>
      <c r="D4" s="41"/>
      <c r="E4" s="41"/>
      <c r="F4" s="41"/>
      <c r="G4" s="41"/>
      <c r="H4" s="41"/>
    </row>
    <row r="5" spans="1:8" x14ac:dyDescent="0.2">
      <c r="A5" s="41"/>
      <c r="B5" s="41"/>
      <c r="C5" s="633"/>
      <c r="D5" s="41"/>
      <c r="E5" s="41"/>
      <c r="F5" s="41"/>
      <c r="G5" s="41"/>
      <c r="H5" s="41"/>
    </row>
    <row r="6" spans="1:8" x14ac:dyDescent="0.2">
      <c r="A6" s="41"/>
      <c r="B6" s="41" t="s">
        <v>1285</v>
      </c>
      <c r="C6" s="41"/>
      <c r="D6" s="41"/>
      <c r="E6" s="41"/>
      <c r="F6" s="41"/>
      <c r="G6" s="41"/>
      <c r="H6" s="41"/>
    </row>
    <row r="7" spans="1:8" x14ac:dyDescent="0.2">
      <c r="A7" s="41"/>
      <c r="B7" s="161" t="s">
        <v>16</v>
      </c>
      <c r="C7" s="162" t="s">
        <v>17</v>
      </c>
      <c r="D7" s="162" t="s">
        <v>18</v>
      </c>
      <c r="E7" s="162" t="s">
        <v>1286</v>
      </c>
      <c r="F7" s="162" t="s">
        <v>1287</v>
      </c>
      <c r="G7" s="41" t="s">
        <v>1288</v>
      </c>
      <c r="H7" s="41" t="s">
        <v>1289</v>
      </c>
    </row>
    <row r="8" spans="1:8" ht="12" x14ac:dyDescent="0.25">
      <c r="A8" s="649" t="s">
        <v>1331</v>
      </c>
      <c r="G8" s="41"/>
      <c r="H8" s="41"/>
    </row>
    <row r="9" spans="1:8" x14ac:dyDescent="0.2">
      <c r="B9" s="6" t="s">
        <v>22</v>
      </c>
      <c r="C9" s="6" t="str">
        <f>"Industry - PP - "&amp;INDEX(RES!$D$3:$AJ$3,1,MATCH(B9,RES!$D$2:$AJ$2,0))</f>
        <v>Industry - PP - Electricity</v>
      </c>
      <c r="D9" s="7" t="s">
        <v>21</v>
      </c>
      <c r="E9" s="113" t="s">
        <v>1290</v>
      </c>
      <c r="F9" s="113" t="s">
        <v>1292</v>
      </c>
      <c r="G9" s="113" t="s">
        <v>151</v>
      </c>
      <c r="H9" s="113" t="s">
        <v>1291</v>
      </c>
    </row>
    <row r="10" spans="1:8" x14ac:dyDescent="0.2">
      <c r="B10" s="6" t="s">
        <v>23</v>
      </c>
      <c r="C10" s="6" t="str">
        <f>"Industry - PP - "&amp;INDEX(RES!$D$3:$AJ$3,1,MATCH(B10,RES!$D$2:$AJ$2,0))</f>
        <v>Industry - PP - Coal</v>
      </c>
      <c r="D10" s="7" t="s">
        <v>21</v>
      </c>
      <c r="E10" s="113" t="s">
        <v>1290</v>
      </c>
      <c r="F10" s="113" t="s">
        <v>151</v>
      </c>
    </row>
    <row r="11" spans="1:8" x14ac:dyDescent="0.2">
      <c r="B11" s="667" t="s">
        <v>1404</v>
      </c>
      <c r="C11" s="667" t="str">
        <f>"Industry - PP - "&amp;INDEX(RES!$D$3:$AJ$3,1,MATCH(B11,RES!$D$2:$AJ$2,0))</f>
        <v>Industry - PP - Biomass for pulping</v>
      </c>
      <c r="D11" s="7" t="s">
        <v>21</v>
      </c>
      <c r="E11" s="113" t="s">
        <v>1403</v>
      </c>
      <c r="F11" s="113" t="s">
        <v>151</v>
      </c>
    </row>
    <row r="12" spans="1:8" x14ac:dyDescent="0.2">
      <c r="B12" s="6" t="s">
        <v>24</v>
      </c>
      <c r="C12" s="6" t="str">
        <f>"Industry - PP - "&amp;INDEX(RES!$D$3:$AJ$3,1,MATCH(B12,RES!$D$2:$AJ$2,0))</f>
        <v>Industry - PP - Biomass</v>
      </c>
      <c r="D12" s="7" t="s">
        <v>21</v>
      </c>
      <c r="E12" s="113" t="s">
        <v>1290</v>
      </c>
      <c r="F12" s="113" t="s">
        <v>151</v>
      </c>
    </row>
    <row r="13" spans="1:8" x14ac:dyDescent="0.2">
      <c r="B13" s="6" t="s">
        <v>25</v>
      </c>
      <c r="C13" s="6" t="str">
        <f>"Industry - PP - "&amp;INDEX(RES!$D$3:$AJ$3,1,MATCH(B13,RES!$D$2:$AJ$2,0))</f>
        <v>Industry - PP - Gas</v>
      </c>
      <c r="D13" s="7" t="s">
        <v>21</v>
      </c>
      <c r="E13" s="113" t="s">
        <v>1290</v>
      </c>
      <c r="F13" s="113" t="s">
        <v>151</v>
      </c>
    </row>
    <row r="14" spans="1:8" x14ac:dyDescent="0.2">
      <c r="B14" s="6" t="s">
        <v>26</v>
      </c>
      <c r="C14" s="6" t="str">
        <f>"Industry - PP - "&amp;INDEX(RES!$D$3:$AJ$3,1,MATCH(B14,RES!$D$2:$AJ$2,0))</f>
        <v>Industry - PP - HFO</v>
      </c>
      <c r="D14" s="7" t="s">
        <v>21</v>
      </c>
      <c r="E14" s="113" t="s">
        <v>1290</v>
      </c>
      <c r="F14" s="113" t="s">
        <v>151</v>
      </c>
    </row>
    <row r="15" spans="1:8" x14ac:dyDescent="0.2">
      <c r="B15" s="6" t="s">
        <v>27</v>
      </c>
      <c r="C15" s="6" t="str">
        <f>"Industry - PP - "&amp;INDEX(RES!$D$3:$AJ$3,1,MATCH(B15,RES!$D$2:$AJ$2,0))</f>
        <v>Industry - PP - Black Liquor</v>
      </c>
      <c r="D15" s="7" t="s">
        <v>21</v>
      </c>
      <c r="E15" s="113" t="s">
        <v>1290</v>
      </c>
      <c r="F15" s="113" t="s">
        <v>151</v>
      </c>
    </row>
    <row r="16" spans="1:8" x14ac:dyDescent="0.2">
      <c r="B16" s="6" t="s">
        <v>28</v>
      </c>
      <c r="C16" s="6" t="str">
        <f>"Industry - PP - "&amp;INDEX(RES!$D$3:$AJ$3,1,MATCH(B16,RES!$D$2:$AJ$2,0))</f>
        <v>Industry - PP - Recycled paper</v>
      </c>
      <c r="D16" s="7" t="s">
        <v>21</v>
      </c>
      <c r="E16" s="113" t="s">
        <v>1290</v>
      </c>
      <c r="F16" s="113" t="s">
        <v>151</v>
      </c>
    </row>
    <row r="17" spans="1:8" x14ac:dyDescent="0.2">
      <c r="B17" s="6" t="s">
        <v>29</v>
      </c>
      <c r="C17" s="6" t="str">
        <f>"Industry - PP - "&amp;INDEX(RES!$D$3:$AJ$3,1,MATCH(B17,RES!$D$2:$AJ$2,0))</f>
        <v>Industry - PP - Steam</v>
      </c>
      <c r="D17" s="7" t="s">
        <v>21</v>
      </c>
      <c r="E17" s="113" t="s">
        <v>1290</v>
      </c>
      <c r="F17" s="113" t="s">
        <v>151</v>
      </c>
    </row>
    <row r="18" spans="1:8" x14ac:dyDescent="0.2">
      <c r="B18" s="6" t="s">
        <v>30</v>
      </c>
      <c r="C18" s="6" t="str">
        <f>"Industry - PP - "&amp;INDEX(RES!$D$3:$AJ$3,1,MATCH(B18,RES!$D$2:$AJ$2,0))</f>
        <v>Industry - PP - Pulp</v>
      </c>
      <c r="D18" s="7" t="s">
        <v>21</v>
      </c>
      <c r="E18" s="113" t="s">
        <v>1290</v>
      </c>
      <c r="F18" s="113" t="s">
        <v>151</v>
      </c>
    </row>
    <row r="19" spans="1:8" x14ac:dyDescent="0.2">
      <c r="B19" s="6" t="s">
        <v>27</v>
      </c>
      <c r="C19" s="6" t="str">
        <f>"Industry - PP - "&amp;INDEX(RES!$D$3:$AJ$3,1,MATCH(B19,RES!$D$2:$AJ$2,0))</f>
        <v>Industry - PP - Black Liquor</v>
      </c>
      <c r="D19" s="7" t="s">
        <v>21</v>
      </c>
      <c r="E19" s="113" t="s">
        <v>1290</v>
      </c>
      <c r="F19" s="113" t="s">
        <v>151</v>
      </c>
    </row>
    <row r="20" spans="1:8" x14ac:dyDescent="0.2">
      <c r="B20" s="6" t="s">
        <v>31</v>
      </c>
      <c r="C20" s="6" t="str">
        <f>"Industry - PP - "&amp;INDEX(RES!$D$3:$AJ$3,1,MATCH(B20,RES!$D$2:$AJ$2,0))</f>
        <v>Industry - PP - Disolving pulp</v>
      </c>
      <c r="D20" s="7" t="s">
        <v>21</v>
      </c>
      <c r="E20" s="113" t="s">
        <v>1359</v>
      </c>
      <c r="F20" s="113" t="s">
        <v>151</v>
      </c>
    </row>
    <row r="21" spans="1:8" x14ac:dyDescent="0.2">
      <c r="B21" s="6" t="s">
        <v>32</v>
      </c>
      <c r="C21" s="6" t="str">
        <f>"Industry - PP - "&amp;INDEX(RES!$D$3:$AJ$3,1,MATCH(B21,RES!$D$2:$AJ$2,0))</f>
        <v>Industry - PP - Paper</v>
      </c>
      <c r="D21" s="7" t="s">
        <v>21</v>
      </c>
      <c r="E21" s="113" t="s">
        <v>1359</v>
      </c>
      <c r="F21" s="113" t="s">
        <v>151</v>
      </c>
      <c r="H21" s="113"/>
    </row>
    <row r="22" spans="1:8" ht="12" x14ac:dyDescent="0.25">
      <c r="A22" s="649" t="s">
        <v>1332</v>
      </c>
      <c r="E22" s="113"/>
      <c r="F22" s="113"/>
    </row>
    <row r="23" spans="1:8" x14ac:dyDescent="0.2">
      <c r="B23" s="6" t="s">
        <v>49</v>
      </c>
      <c r="C23" s="46" t="str">
        <f>"Industry - "&amp;INDEX(RES!$D$3:$AJ$3,1,MATCH(B12,RES!$D$2:$AJ$2,0))&amp;" bagasse"</f>
        <v>Industry - Biomass bagasse</v>
      </c>
      <c r="D23" s="7" t="s">
        <v>21</v>
      </c>
      <c r="E23" s="113" t="s">
        <v>1290</v>
      </c>
      <c r="F23" s="113" t="s">
        <v>151</v>
      </c>
    </row>
    <row r="24" spans="1:8" x14ac:dyDescent="0.2">
      <c r="B24" s="6" t="s">
        <v>48</v>
      </c>
      <c r="C24" s="6" t="str">
        <f>"Industry - "&amp;INDEX(RES!$D$3:$AJ$3,1,MATCH(B10,RES!$D$2:$AJ$2,0))</f>
        <v>Industry - Coal</v>
      </c>
      <c r="D24" s="7" t="s">
        <v>21</v>
      </c>
      <c r="E24" s="113" t="s">
        <v>1290</v>
      </c>
      <c r="F24" s="113" t="s">
        <v>151</v>
      </c>
    </row>
    <row r="25" spans="1:8" x14ac:dyDescent="0.2">
      <c r="B25" s="6" t="s">
        <v>51</v>
      </c>
      <c r="C25" s="6" t="str">
        <f>"Industry - "&amp;INDEX(RES!$D$3:$AJ$3,1,MATCH(B13,RES!$D$2:$AJ$2,0))</f>
        <v>Industry - Gas</v>
      </c>
      <c r="D25" s="7" t="s">
        <v>21</v>
      </c>
      <c r="E25" s="113" t="s">
        <v>1290</v>
      </c>
      <c r="F25" s="113" t="s">
        <v>151</v>
      </c>
    </row>
    <row r="26" spans="1:8" x14ac:dyDescent="0.2">
      <c r="B26" s="6" t="s">
        <v>52</v>
      </c>
      <c r="C26" s="6" t="str">
        <f>"Industry - Oil "&amp;INDEX(RES!$D$3:$AJ$3,1,MATCH(B14,RES!$D$2:$AJ$2,0))</f>
        <v>Industry - Oil HFO</v>
      </c>
      <c r="D26" s="7" t="s">
        <v>21</v>
      </c>
      <c r="E26" s="113" t="s">
        <v>1290</v>
      </c>
      <c r="F26" s="113" t="s">
        <v>151</v>
      </c>
    </row>
    <row r="27" spans="1:8" x14ac:dyDescent="0.2">
      <c r="D27" s="7"/>
      <c r="E27" s="7"/>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O17"/>
  <sheetViews>
    <sheetView topLeftCell="B1" workbookViewId="0">
      <selection activeCell="N27" sqref="N27"/>
    </sheetView>
  </sheetViews>
  <sheetFormatPr defaultColWidth="8.88671875" defaultRowHeight="10.199999999999999" x14ac:dyDescent="0.2"/>
  <cols>
    <col min="1" max="1" width="10.5546875" style="6" customWidth="1"/>
    <col min="2" max="2" width="12.109375" style="6" customWidth="1"/>
    <col min="3" max="3" width="12" style="6" customWidth="1"/>
    <col min="4" max="16384" width="8.88671875" style="6"/>
  </cols>
  <sheetData>
    <row r="1" spans="1:15" x14ac:dyDescent="0.2">
      <c r="A1" s="47" t="s">
        <v>77</v>
      </c>
      <c r="B1" s="6" t="s">
        <v>14</v>
      </c>
    </row>
    <row r="2" spans="1:15" x14ac:dyDescent="0.2">
      <c r="A2" s="6" t="s">
        <v>15</v>
      </c>
    </row>
    <row r="3" spans="1:15" x14ac:dyDescent="0.2">
      <c r="J3" s="6" t="s">
        <v>78</v>
      </c>
    </row>
    <row r="4" spans="1:15" x14ac:dyDescent="0.2">
      <c r="G4" s="44" t="s">
        <v>79</v>
      </c>
      <c r="H4" s="44" t="s">
        <v>79</v>
      </c>
      <c r="I4" s="44" t="s">
        <v>79</v>
      </c>
      <c r="J4" s="44" t="s">
        <v>79</v>
      </c>
      <c r="K4" s="44" t="s">
        <v>79</v>
      </c>
      <c r="L4" s="44" t="s">
        <v>79</v>
      </c>
      <c r="M4" s="44" t="s">
        <v>79</v>
      </c>
      <c r="N4" s="44" t="s">
        <v>79</v>
      </c>
      <c r="O4" s="44" t="s">
        <v>79</v>
      </c>
    </row>
    <row r="5" spans="1:15" x14ac:dyDescent="0.2">
      <c r="A5" s="47"/>
      <c r="D5" s="47"/>
      <c r="E5" s="47"/>
      <c r="F5" s="47"/>
      <c r="G5" s="45"/>
      <c r="H5" s="45"/>
      <c r="I5" s="45"/>
      <c r="J5" s="45"/>
      <c r="K5" s="45"/>
      <c r="L5" s="45"/>
      <c r="M5" s="46"/>
    </row>
    <row r="6" spans="1:15" x14ac:dyDescent="0.2">
      <c r="A6" s="47"/>
      <c r="D6" s="47" t="s">
        <v>1305</v>
      </c>
      <c r="E6" s="47"/>
      <c r="F6" s="47"/>
      <c r="G6" s="45"/>
      <c r="H6" s="45"/>
      <c r="I6" s="45"/>
      <c r="J6" s="45"/>
      <c r="K6" s="45"/>
      <c r="L6" s="46"/>
      <c r="M6" s="46"/>
    </row>
    <row r="7" spans="1:15" x14ac:dyDescent="0.2">
      <c r="A7" s="47"/>
      <c r="D7" s="47" t="s">
        <v>1353</v>
      </c>
      <c r="E7" s="47" t="s">
        <v>16</v>
      </c>
      <c r="F7" s="47" t="s">
        <v>1354</v>
      </c>
      <c r="G7" s="652">
        <v>2017</v>
      </c>
      <c r="H7" s="652">
        <v>2018</v>
      </c>
      <c r="I7" s="652">
        <v>2019</v>
      </c>
      <c r="J7" s="652">
        <v>2020</v>
      </c>
      <c r="K7" s="652">
        <f t="shared" ref="K7:L7" si="0">J7+1</f>
        <v>2021</v>
      </c>
      <c r="L7" s="652">
        <f t="shared" si="0"/>
        <v>2022</v>
      </c>
      <c r="M7" s="652"/>
      <c r="N7" s="652"/>
      <c r="O7" s="652"/>
    </row>
    <row r="8" spans="1:15" x14ac:dyDescent="0.2">
      <c r="D8" s="6" t="s">
        <v>15</v>
      </c>
      <c r="E8" s="6" t="s">
        <v>1356</v>
      </c>
      <c r="F8" s="6" t="s">
        <v>1357</v>
      </c>
      <c r="G8" s="6" t="s">
        <v>1358</v>
      </c>
    </row>
    <row r="9" spans="1:15" x14ac:dyDescent="0.2">
      <c r="A9" s="6" t="s">
        <v>81</v>
      </c>
      <c r="D9" s="6" t="s">
        <v>1355</v>
      </c>
      <c r="E9" s="46" t="str">
        <f>RES!AD2</f>
        <v>IPPPULPD</v>
      </c>
      <c r="F9" s="46" t="s">
        <v>21</v>
      </c>
      <c r="G9" s="48">
        <f>EB_Exist!Z10</f>
        <v>0.65910719806663931</v>
      </c>
      <c r="H9" s="48">
        <f>G9</f>
        <v>0.65910719806663931</v>
      </c>
      <c r="I9" s="48">
        <f t="shared" ref="I9:L9" si="1">H9</f>
        <v>0.65910719806663931</v>
      </c>
      <c r="J9" s="48">
        <f t="shared" si="1"/>
        <v>0.65910719806663931</v>
      </c>
      <c r="K9" s="48">
        <f t="shared" si="1"/>
        <v>0.65910719806663931</v>
      </c>
      <c r="L9" s="48">
        <f t="shared" si="1"/>
        <v>0.65910719806663931</v>
      </c>
    </row>
    <row r="10" spans="1:15" x14ac:dyDescent="0.2">
      <c r="D10" s="6" t="s">
        <v>1355</v>
      </c>
      <c r="E10" s="46" t="str">
        <f>RES!AE2</f>
        <v>IPPPAP</v>
      </c>
      <c r="F10" s="46" t="s">
        <v>21</v>
      </c>
      <c r="G10" s="48">
        <f>EB_Exist!AA12</f>
        <v>2.1800600000000001</v>
      </c>
      <c r="H10" s="48">
        <f>G10</f>
        <v>2.1800600000000001</v>
      </c>
      <c r="I10" s="48">
        <f t="shared" ref="I10:L10" si="2">H10</f>
        <v>2.1800600000000001</v>
      </c>
      <c r="J10" s="48">
        <f t="shared" si="2"/>
        <v>2.1800600000000001</v>
      </c>
      <c r="K10" s="48">
        <f t="shared" si="2"/>
        <v>2.1800600000000001</v>
      </c>
      <c r="L10" s="48">
        <f t="shared" si="2"/>
        <v>2.1800600000000001</v>
      </c>
    </row>
    <row r="12" spans="1:15" x14ac:dyDescent="0.2">
      <c r="B12" s="161"/>
      <c r="C12" s="162"/>
      <c r="D12" s="162"/>
      <c r="E12" s="161"/>
      <c r="F12" s="161"/>
      <c r="G12" s="161"/>
      <c r="H12" s="161"/>
      <c r="I12" s="161"/>
      <c r="J12" s="161"/>
    </row>
    <row r="16" spans="1:15" x14ac:dyDescent="0.2">
      <c r="B16" s="113"/>
    </row>
    <row r="17" spans="2:2" x14ac:dyDescent="0.2">
      <c r="B17" s="113"/>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7"/>
  <sheetViews>
    <sheetView topLeftCell="A4" workbookViewId="0">
      <selection activeCell="A43" sqref="A43:XFD43"/>
    </sheetView>
  </sheetViews>
  <sheetFormatPr defaultRowHeight="14.4" x14ac:dyDescent="0.3"/>
  <cols>
    <col min="2" max="2" width="22.109375" customWidth="1"/>
    <col min="3" max="3" width="29.6640625" customWidth="1"/>
    <col min="4" max="4" width="21.5546875" customWidth="1"/>
    <col min="5" max="5" width="21.6640625" customWidth="1"/>
    <col min="11" max="11" width="17.5546875" customWidth="1"/>
  </cols>
  <sheetData>
    <row r="1" spans="1:12" x14ac:dyDescent="0.3">
      <c r="A1" s="109" t="s">
        <v>123</v>
      </c>
      <c r="B1" s="41" t="s">
        <v>14</v>
      </c>
      <c r="C1" s="46"/>
      <c r="F1" s="46"/>
      <c r="G1" s="46"/>
      <c r="H1" s="46"/>
      <c r="I1" s="46"/>
      <c r="J1" s="46"/>
      <c r="K1" s="46"/>
      <c r="L1" s="46"/>
    </row>
    <row r="2" spans="1:12" x14ac:dyDescent="0.3">
      <c r="A2" s="168" t="str">
        <f ca="1">MID(CELL("filename",A1),FIND("]",CELL("filename",A1))+1,255)</f>
        <v xml:space="preserve">ITEM_Tech_BASE_JM </v>
      </c>
      <c r="B2" s="46"/>
      <c r="C2" s="46"/>
      <c r="F2" s="46"/>
      <c r="G2" s="46"/>
      <c r="H2" s="46"/>
      <c r="I2" s="46"/>
      <c r="J2" s="46"/>
      <c r="K2" s="46"/>
      <c r="L2" s="46"/>
    </row>
    <row r="3" spans="1:12" x14ac:dyDescent="0.3">
      <c r="A3" s="46"/>
      <c r="B3" s="46"/>
      <c r="C3" s="46"/>
      <c r="F3" s="46"/>
      <c r="G3" s="46"/>
      <c r="H3" s="46"/>
      <c r="I3" s="46"/>
      <c r="J3" s="46"/>
      <c r="K3" s="46"/>
      <c r="L3" s="46"/>
    </row>
    <row r="4" spans="1:12" x14ac:dyDescent="0.3">
      <c r="A4" s="46"/>
      <c r="B4" s="46"/>
      <c r="C4" s="46"/>
      <c r="F4" s="46"/>
      <c r="G4" s="46"/>
      <c r="H4" s="46"/>
      <c r="I4" s="46"/>
      <c r="J4" s="46"/>
      <c r="K4" s="46"/>
      <c r="L4" s="46"/>
    </row>
    <row r="5" spans="1:12" x14ac:dyDescent="0.3">
      <c r="A5" s="46"/>
      <c r="B5" s="46"/>
      <c r="C5" s="46"/>
      <c r="F5" s="46"/>
      <c r="G5" s="46"/>
      <c r="H5" s="46"/>
      <c r="I5" s="46"/>
      <c r="J5" s="46"/>
      <c r="K5" s="46"/>
      <c r="L5" s="46"/>
    </row>
    <row r="6" spans="1:12" x14ac:dyDescent="0.3">
      <c r="A6" s="46"/>
      <c r="B6" s="634" t="s">
        <v>1293</v>
      </c>
      <c r="C6" s="635"/>
      <c r="D6" s="635"/>
      <c r="E6" s="635"/>
      <c r="F6" s="635"/>
      <c r="G6" s="635"/>
      <c r="H6" s="635"/>
      <c r="I6" s="46"/>
      <c r="J6" s="46"/>
      <c r="K6" s="46"/>
      <c r="L6" s="46"/>
    </row>
    <row r="7" spans="1:12" x14ac:dyDescent="0.3">
      <c r="A7" s="46"/>
      <c r="B7" s="636" t="s">
        <v>1294</v>
      </c>
      <c r="C7" s="636" t="s">
        <v>1295</v>
      </c>
      <c r="D7" s="636" t="s">
        <v>1296</v>
      </c>
      <c r="E7" s="636" t="s">
        <v>1297</v>
      </c>
      <c r="F7" s="636" t="s">
        <v>1298</v>
      </c>
      <c r="G7" s="636" t="s">
        <v>1299</v>
      </c>
      <c r="H7" s="636" t="s">
        <v>1300</v>
      </c>
      <c r="I7" s="636" t="s">
        <v>1361</v>
      </c>
      <c r="J7" s="46"/>
      <c r="K7" s="637"/>
      <c r="L7" s="638"/>
    </row>
    <row r="8" spans="1:12" x14ac:dyDescent="0.3">
      <c r="A8" s="111" t="s">
        <v>127</v>
      </c>
      <c r="B8" s="46"/>
      <c r="C8" s="46"/>
      <c r="D8" s="112"/>
      <c r="E8" s="112"/>
      <c r="F8" s="109"/>
    </row>
    <row r="9" spans="1:12" x14ac:dyDescent="0.3">
      <c r="A9" s="46"/>
      <c r="B9" s="46" t="str">
        <f>EB_Exist!C4</f>
        <v>IPPPAP-E</v>
      </c>
      <c r="C9" s="46" t="str">
        <f>EB_Exist!D4</f>
        <v>Paper - Mill</v>
      </c>
      <c r="D9" s="112" t="s">
        <v>21</v>
      </c>
      <c r="E9" s="112" t="s">
        <v>1301</v>
      </c>
      <c r="F9" s="112" t="s">
        <v>151</v>
      </c>
      <c r="G9" s="113" t="s">
        <v>1303</v>
      </c>
      <c r="H9" s="113" t="s">
        <v>1302</v>
      </c>
      <c r="K9" s="113" t="s">
        <v>129</v>
      </c>
      <c r="L9" s="113" t="s">
        <v>128</v>
      </c>
    </row>
    <row r="10" spans="1:12" x14ac:dyDescent="0.3">
      <c r="A10" s="46"/>
      <c r="B10" s="46" t="str">
        <f>RES!T31</f>
        <v>IPPREC-E</v>
      </c>
      <c r="C10" s="46" t="str">
        <f>RES!T27</f>
        <v>Paper - Recovery Mill</v>
      </c>
      <c r="D10" s="112" t="s">
        <v>21</v>
      </c>
      <c r="E10" s="112" t="s">
        <v>1301</v>
      </c>
      <c r="F10" s="112" t="s">
        <v>151</v>
      </c>
      <c r="G10" s="113" t="s">
        <v>1303</v>
      </c>
      <c r="H10" s="113" t="s">
        <v>1302</v>
      </c>
      <c r="K10" s="113" t="s">
        <v>129</v>
      </c>
      <c r="L10" s="113" t="s">
        <v>128</v>
      </c>
    </row>
    <row r="11" spans="1:12" x14ac:dyDescent="0.3">
      <c r="A11" s="111"/>
      <c r="B11" s="46" t="str">
        <f>RES!T24</f>
        <v>IPPDIS-E</v>
      </c>
      <c r="C11" s="46" t="str">
        <f>RES!T20</f>
        <v>Pulping - Dissolving</v>
      </c>
      <c r="D11" s="112" t="s">
        <v>21</v>
      </c>
      <c r="E11" s="112" t="s">
        <v>1301</v>
      </c>
      <c r="F11" s="112" t="s">
        <v>151</v>
      </c>
      <c r="G11" s="113" t="s">
        <v>1303</v>
      </c>
      <c r="H11" s="113" t="s">
        <v>1302</v>
      </c>
      <c r="I11" t="str">
        <f>'Processes_JM '!E23</f>
        <v>IPPPULPD</v>
      </c>
      <c r="K11" s="113" t="s">
        <v>129</v>
      </c>
      <c r="L11" s="113" t="s">
        <v>128</v>
      </c>
    </row>
    <row r="12" spans="1:12" x14ac:dyDescent="0.3">
      <c r="A12" s="111"/>
      <c r="B12" s="46" t="str">
        <f>RES!T17</f>
        <v>IPPCHE-E</v>
      </c>
      <c r="C12" s="46" t="str">
        <f>RES!T14</f>
        <v>Pulping - Chemical</v>
      </c>
      <c r="D12" s="112" t="s">
        <v>21</v>
      </c>
      <c r="E12" s="112" t="s">
        <v>1301</v>
      </c>
      <c r="F12" s="112" t="s">
        <v>151</v>
      </c>
      <c r="G12" s="113" t="s">
        <v>1303</v>
      </c>
      <c r="H12" s="113" t="s">
        <v>1302</v>
      </c>
      <c r="I12" t="str">
        <f>'Processes_JM '!E29</f>
        <v>IPPPULP</v>
      </c>
      <c r="K12" s="113" t="s">
        <v>129</v>
      </c>
      <c r="L12" s="113" t="s">
        <v>128</v>
      </c>
    </row>
    <row r="13" spans="1:12" x14ac:dyDescent="0.3">
      <c r="A13" s="111"/>
      <c r="B13" s="46" t="str">
        <f>RES!T11</f>
        <v>IPPMCH-E</v>
      </c>
      <c r="C13" s="46" t="str">
        <f>RES!T5</f>
        <v>Pulping - Mechanical</v>
      </c>
      <c r="D13" s="112" t="s">
        <v>21</v>
      </c>
      <c r="E13" s="112" t="s">
        <v>1301</v>
      </c>
      <c r="F13" s="112" t="s">
        <v>151</v>
      </c>
      <c r="G13" s="113" t="s">
        <v>1303</v>
      </c>
      <c r="H13" s="113" t="s">
        <v>1302</v>
      </c>
      <c r="K13" s="113" t="s">
        <v>129</v>
      </c>
      <c r="L13" s="113" t="s">
        <v>128</v>
      </c>
    </row>
    <row r="14" spans="1:12" x14ac:dyDescent="0.3">
      <c r="A14" s="111"/>
      <c r="B14" s="46" t="str">
        <f>RES!M43</f>
        <v>IPPSTMCOA-E</v>
      </c>
      <c r="C14" s="46" t="str">
        <f>RES!M42</f>
        <v>Boiler - Coal</v>
      </c>
      <c r="D14" s="112" t="s">
        <v>21</v>
      </c>
      <c r="E14" s="112" t="s">
        <v>1301</v>
      </c>
      <c r="F14" s="112" t="s">
        <v>151</v>
      </c>
      <c r="G14" s="113" t="s">
        <v>1303</v>
      </c>
      <c r="H14" s="113" t="s">
        <v>1302</v>
      </c>
      <c r="K14" s="113" t="s">
        <v>129</v>
      </c>
      <c r="L14" s="113" t="s">
        <v>128</v>
      </c>
    </row>
    <row r="15" spans="1:12" x14ac:dyDescent="0.3">
      <c r="A15" s="111"/>
      <c r="B15" s="46" t="str">
        <f>RES!M45</f>
        <v>IPPSTMGAS-E</v>
      </c>
      <c r="C15" s="46" t="str">
        <f>RES!M44</f>
        <v>Boiler - Gas</v>
      </c>
      <c r="D15" s="112" t="s">
        <v>21</v>
      </c>
      <c r="E15" s="112" t="s">
        <v>1301</v>
      </c>
      <c r="F15" s="112" t="s">
        <v>151</v>
      </c>
      <c r="G15" s="113" t="s">
        <v>1303</v>
      </c>
      <c r="H15" s="113" t="s">
        <v>1302</v>
      </c>
      <c r="K15" s="113" t="s">
        <v>129</v>
      </c>
      <c r="L15" s="113" t="s">
        <v>128</v>
      </c>
    </row>
    <row r="16" spans="1:12" x14ac:dyDescent="0.3">
      <c r="A16" s="111"/>
      <c r="B16" s="46" t="str">
        <f>RES!M47</f>
        <v>IPPSTMBLQ-E</v>
      </c>
      <c r="C16" s="46" t="str">
        <f>RES!M46</f>
        <v>Boiler - black liquor</v>
      </c>
      <c r="D16" s="112" t="s">
        <v>21</v>
      </c>
      <c r="E16" s="112" t="s">
        <v>1301</v>
      </c>
      <c r="F16" s="112" t="s">
        <v>151</v>
      </c>
      <c r="G16" s="113" t="s">
        <v>1303</v>
      </c>
      <c r="H16" s="113" t="s">
        <v>1302</v>
      </c>
      <c r="K16" s="113" t="s">
        <v>129</v>
      </c>
      <c r="L16" s="113" t="s">
        <v>128</v>
      </c>
    </row>
    <row r="17" spans="1:12" x14ac:dyDescent="0.3">
      <c r="A17" s="111"/>
      <c r="B17" s="46" t="str">
        <f>RES!M49</f>
        <v>IPPSTMBIO-E</v>
      </c>
      <c r="C17" s="46" t="str">
        <f>RES!M48</f>
        <v>Boiler - biomass</v>
      </c>
      <c r="D17" s="112" t="s">
        <v>21</v>
      </c>
      <c r="E17" s="112" t="s">
        <v>1301</v>
      </c>
      <c r="F17" s="112" t="s">
        <v>151</v>
      </c>
      <c r="G17" s="113" t="s">
        <v>1303</v>
      </c>
      <c r="H17" s="113" t="s">
        <v>1302</v>
      </c>
      <c r="K17" s="113" t="s">
        <v>129</v>
      </c>
      <c r="L17" s="113" t="s">
        <v>128</v>
      </c>
    </row>
    <row r="18" spans="1:12" x14ac:dyDescent="0.3">
      <c r="A18" s="111"/>
      <c r="B18" s="46" t="str">
        <f>RES!M51</f>
        <v>IPPSTMCOAOIL</v>
      </c>
      <c r="C18" s="46" t="str">
        <f>RES!M50</f>
        <v>Boiler - coal + hfo</v>
      </c>
      <c r="D18" s="112" t="s">
        <v>21</v>
      </c>
      <c r="E18" s="112" t="s">
        <v>1301</v>
      </c>
      <c r="F18" s="112" t="s">
        <v>151</v>
      </c>
      <c r="G18" s="113" t="s">
        <v>1303</v>
      </c>
      <c r="H18" s="113" t="s">
        <v>1302</v>
      </c>
      <c r="K18" s="113" t="s">
        <v>129</v>
      </c>
      <c r="L18" s="113" t="s">
        <v>128</v>
      </c>
    </row>
    <row r="19" spans="1:12" x14ac:dyDescent="0.3">
      <c r="A19" s="42"/>
      <c r="B19" s="114" t="str">
        <f>RES!T39</f>
        <v>IPPELCSTM-E</v>
      </c>
      <c r="C19" s="114" t="str">
        <f>RES!T36</f>
        <v>Steam to elec</v>
      </c>
      <c r="D19" s="112" t="s">
        <v>21</v>
      </c>
      <c r="E19" s="112" t="s">
        <v>1301</v>
      </c>
      <c r="F19" s="112" t="s">
        <v>151</v>
      </c>
      <c r="G19" s="113" t="s">
        <v>1303</v>
      </c>
      <c r="H19" s="113" t="s">
        <v>1302</v>
      </c>
      <c r="K19" s="113" t="s">
        <v>129</v>
      </c>
      <c r="L19" s="113" t="s">
        <v>128</v>
      </c>
    </row>
    <row r="20" spans="1:12" x14ac:dyDescent="0.3">
      <c r="A20" s="42"/>
      <c r="B20" s="114" t="str">
        <f>B9&amp;"-T1"</f>
        <v>IPPPAP-E-T1</v>
      </c>
      <c r="C20" s="114" t="str">
        <f>C9&amp;" efficiency level 1"</f>
        <v>Paper - Mill efficiency level 1</v>
      </c>
      <c r="D20" s="112" t="s">
        <v>21</v>
      </c>
      <c r="E20" s="112" t="s">
        <v>1301</v>
      </c>
      <c r="F20" s="112" t="s">
        <v>151</v>
      </c>
      <c r="G20" s="113" t="s">
        <v>1303</v>
      </c>
      <c r="H20" s="113" t="s">
        <v>1302</v>
      </c>
      <c r="K20" s="113" t="s">
        <v>129</v>
      </c>
      <c r="L20" s="113" t="s">
        <v>128</v>
      </c>
    </row>
    <row r="21" spans="1:12" x14ac:dyDescent="0.3">
      <c r="A21" s="42"/>
      <c r="B21" s="114" t="str">
        <f t="shared" ref="B21:B24" si="0">B10&amp;"-T1"</f>
        <v>IPPREC-E-T1</v>
      </c>
      <c r="C21" s="114" t="str">
        <f t="shared" ref="C21:C24" si="1">C10&amp;" efficiency level 1"</f>
        <v>Paper - Recovery Mill efficiency level 1</v>
      </c>
      <c r="D21" s="112" t="s">
        <v>21</v>
      </c>
      <c r="E21" s="112" t="s">
        <v>1301</v>
      </c>
      <c r="F21" s="112" t="s">
        <v>151</v>
      </c>
      <c r="G21" s="113" t="s">
        <v>1303</v>
      </c>
      <c r="H21" s="113" t="s">
        <v>1302</v>
      </c>
      <c r="K21" s="113" t="s">
        <v>129</v>
      </c>
      <c r="L21" s="113" t="s">
        <v>128</v>
      </c>
    </row>
    <row r="22" spans="1:12" x14ac:dyDescent="0.3">
      <c r="A22" s="42"/>
      <c r="B22" s="114" t="str">
        <f t="shared" si="0"/>
        <v>IPPDIS-E-T1</v>
      </c>
      <c r="C22" s="114" t="str">
        <f t="shared" si="1"/>
        <v>Pulping - Dissolving efficiency level 1</v>
      </c>
      <c r="D22" s="112" t="s">
        <v>21</v>
      </c>
      <c r="E22" s="112" t="s">
        <v>1301</v>
      </c>
      <c r="F22" s="112" t="s">
        <v>151</v>
      </c>
      <c r="G22" s="113" t="s">
        <v>1303</v>
      </c>
      <c r="H22" s="113" t="s">
        <v>1302</v>
      </c>
      <c r="K22" s="113" t="s">
        <v>129</v>
      </c>
      <c r="L22" s="113" t="s">
        <v>128</v>
      </c>
    </row>
    <row r="23" spans="1:12" x14ac:dyDescent="0.3">
      <c r="A23" s="41"/>
      <c r="B23" s="114" t="str">
        <f t="shared" si="0"/>
        <v>IPPCHE-E-T1</v>
      </c>
      <c r="C23" s="114" t="str">
        <f t="shared" si="1"/>
        <v>Pulping - Chemical efficiency level 1</v>
      </c>
      <c r="D23" s="112" t="s">
        <v>21</v>
      </c>
      <c r="E23" s="112" t="s">
        <v>1301</v>
      </c>
      <c r="F23" s="112" t="s">
        <v>151</v>
      </c>
      <c r="G23" s="113" t="s">
        <v>1303</v>
      </c>
      <c r="H23" s="113" t="s">
        <v>1302</v>
      </c>
      <c r="K23" s="113" t="s">
        <v>129</v>
      </c>
      <c r="L23" s="113" t="s">
        <v>128</v>
      </c>
    </row>
    <row r="24" spans="1:12" x14ac:dyDescent="0.3">
      <c r="A24" s="42"/>
      <c r="B24" s="114" t="str">
        <f t="shared" si="0"/>
        <v>IPPMCH-E-T1</v>
      </c>
      <c r="C24" s="114" t="str">
        <f t="shared" si="1"/>
        <v>Pulping - Mechanical efficiency level 1</v>
      </c>
      <c r="D24" s="112" t="s">
        <v>21</v>
      </c>
      <c r="E24" s="112" t="s">
        <v>1301</v>
      </c>
      <c r="F24" s="112" t="s">
        <v>151</v>
      </c>
      <c r="G24" s="113" t="s">
        <v>1303</v>
      </c>
      <c r="H24" s="113" t="s">
        <v>1302</v>
      </c>
      <c r="K24" s="113" t="s">
        <v>129</v>
      </c>
      <c r="L24" s="113" t="s">
        <v>128</v>
      </c>
    </row>
    <row r="25" spans="1:12" x14ac:dyDescent="0.3">
      <c r="A25" s="42"/>
      <c r="B25" s="114" t="str">
        <f>B9&amp;"-T2"</f>
        <v>IPPPAP-E-T2</v>
      </c>
      <c r="C25" s="114" t="str">
        <f>C9&amp;" efficiency level 2"</f>
        <v>Paper - Mill efficiency level 2</v>
      </c>
      <c r="D25" s="112" t="s">
        <v>21</v>
      </c>
      <c r="E25" s="112" t="s">
        <v>1301</v>
      </c>
      <c r="F25" s="112" t="s">
        <v>151</v>
      </c>
      <c r="G25" s="113" t="s">
        <v>1303</v>
      </c>
      <c r="H25" s="113" t="s">
        <v>1302</v>
      </c>
      <c r="K25" s="113" t="s">
        <v>129</v>
      </c>
      <c r="L25" s="113" t="s">
        <v>128</v>
      </c>
    </row>
    <row r="26" spans="1:12" x14ac:dyDescent="0.3">
      <c r="A26" s="42"/>
      <c r="B26" s="114" t="str">
        <f t="shared" ref="B26:B29" si="2">B10&amp;"-T2"</f>
        <v>IPPREC-E-T2</v>
      </c>
      <c r="C26" s="114" t="str">
        <f t="shared" ref="C26:C29" si="3">C10&amp;" efficiency level 2"</f>
        <v>Paper - Recovery Mill efficiency level 2</v>
      </c>
      <c r="D26" s="112" t="s">
        <v>21</v>
      </c>
      <c r="E26" s="112" t="s">
        <v>1301</v>
      </c>
      <c r="F26" s="112" t="s">
        <v>151</v>
      </c>
      <c r="G26" s="113" t="s">
        <v>1303</v>
      </c>
      <c r="H26" s="113" t="s">
        <v>1302</v>
      </c>
      <c r="K26" s="113" t="s">
        <v>129</v>
      </c>
      <c r="L26" s="113" t="s">
        <v>128</v>
      </c>
    </row>
    <row r="27" spans="1:12" x14ac:dyDescent="0.3">
      <c r="A27" s="42"/>
      <c r="B27" s="114" t="str">
        <f t="shared" si="2"/>
        <v>IPPDIS-E-T2</v>
      </c>
      <c r="C27" s="114" t="str">
        <f t="shared" si="3"/>
        <v>Pulping - Dissolving efficiency level 2</v>
      </c>
      <c r="D27" s="112" t="s">
        <v>21</v>
      </c>
      <c r="E27" s="112" t="s">
        <v>1301</v>
      </c>
      <c r="F27" s="112" t="s">
        <v>151</v>
      </c>
      <c r="G27" s="113" t="s">
        <v>1303</v>
      </c>
      <c r="H27" s="113" t="s">
        <v>1302</v>
      </c>
      <c r="K27" s="113" t="s">
        <v>129</v>
      </c>
      <c r="L27" s="113" t="s">
        <v>128</v>
      </c>
    </row>
    <row r="28" spans="1:12" x14ac:dyDescent="0.3">
      <c r="A28" s="42"/>
      <c r="B28" s="114" t="str">
        <f t="shared" si="2"/>
        <v>IPPCHE-E-T2</v>
      </c>
      <c r="C28" s="114" t="str">
        <f t="shared" si="3"/>
        <v>Pulping - Chemical efficiency level 2</v>
      </c>
      <c r="D28" s="112" t="s">
        <v>21</v>
      </c>
      <c r="E28" s="112" t="s">
        <v>1301</v>
      </c>
      <c r="F28" s="112" t="s">
        <v>151</v>
      </c>
      <c r="G28" s="113" t="s">
        <v>1303</v>
      </c>
      <c r="H28" s="113" t="s">
        <v>1302</v>
      </c>
      <c r="K28" s="113" t="s">
        <v>129</v>
      </c>
      <c r="L28" s="113" t="s">
        <v>128</v>
      </c>
    </row>
    <row r="29" spans="1:12" x14ac:dyDescent="0.3">
      <c r="A29" s="42"/>
      <c r="B29" s="114" t="str">
        <f t="shared" si="2"/>
        <v>IPPMCH-E-T2</v>
      </c>
      <c r="C29" s="114" t="str">
        <f t="shared" si="3"/>
        <v>Pulping - Mechanical efficiency level 2</v>
      </c>
      <c r="D29" s="112" t="s">
        <v>21</v>
      </c>
      <c r="E29" s="112" t="s">
        <v>1301</v>
      </c>
      <c r="F29" s="112" t="s">
        <v>151</v>
      </c>
      <c r="G29" s="113" t="s">
        <v>1303</v>
      </c>
      <c r="H29" s="113" t="s">
        <v>1302</v>
      </c>
      <c r="K29" s="113" t="s">
        <v>129</v>
      </c>
      <c r="L29" s="113" t="s">
        <v>128</v>
      </c>
    </row>
    <row r="30" spans="1:12" x14ac:dyDescent="0.3">
      <c r="A30" s="42"/>
      <c r="B30" s="114" t="str">
        <f>LEFT(B9,LEN(B9)-1)&amp;"N"</f>
        <v>IPPPAP-N</v>
      </c>
      <c r="C30" s="114" t="str">
        <f>C9&amp;" New"</f>
        <v>Paper - Mill New</v>
      </c>
      <c r="D30" s="112" t="s">
        <v>21</v>
      </c>
      <c r="E30" s="112" t="s">
        <v>1301</v>
      </c>
      <c r="F30" s="112" t="s">
        <v>151</v>
      </c>
      <c r="G30" s="113" t="s">
        <v>1303</v>
      </c>
      <c r="H30" s="113" t="s">
        <v>1302</v>
      </c>
      <c r="K30" s="113" t="s">
        <v>129</v>
      </c>
      <c r="L30" s="113" t="s">
        <v>128</v>
      </c>
    </row>
    <row r="31" spans="1:12" x14ac:dyDescent="0.3">
      <c r="A31" s="42"/>
      <c r="B31" s="114" t="str">
        <f t="shared" ref="B31:B38" si="4">LEFT(B10,LEN(B10)-1)&amp;"N"</f>
        <v>IPPREC-N</v>
      </c>
      <c r="C31" s="114" t="str">
        <f t="shared" ref="C31:C38" si="5">C10&amp;" New"</f>
        <v>Paper - Recovery Mill New</v>
      </c>
      <c r="D31" s="112" t="s">
        <v>21</v>
      </c>
      <c r="E31" s="112" t="s">
        <v>1301</v>
      </c>
      <c r="F31" s="112" t="s">
        <v>151</v>
      </c>
      <c r="G31" s="113" t="s">
        <v>1303</v>
      </c>
      <c r="H31" s="113" t="s">
        <v>1302</v>
      </c>
      <c r="K31" s="113" t="s">
        <v>129</v>
      </c>
      <c r="L31" s="113" t="s">
        <v>128</v>
      </c>
    </row>
    <row r="32" spans="1:12" x14ac:dyDescent="0.3">
      <c r="A32" s="42"/>
      <c r="B32" s="114" t="str">
        <f t="shared" si="4"/>
        <v>IPPDIS-N</v>
      </c>
      <c r="C32" s="114" t="str">
        <f t="shared" si="5"/>
        <v>Pulping - Dissolving New</v>
      </c>
      <c r="D32" s="112" t="s">
        <v>21</v>
      </c>
      <c r="E32" s="112" t="s">
        <v>1301</v>
      </c>
      <c r="F32" s="112" t="s">
        <v>151</v>
      </c>
      <c r="G32" s="113" t="s">
        <v>1303</v>
      </c>
      <c r="H32" s="113" t="s">
        <v>1302</v>
      </c>
      <c r="I32" t="str">
        <f>I11</f>
        <v>IPPPULPD</v>
      </c>
      <c r="K32" s="113" t="s">
        <v>129</v>
      </c>
      <c r="L32" s="113" t="s">
        <v>128</v>
      </c>
    </row>
    <row r="33" spans="1:12" x14ac:dyDescent="0.3">
      <c r="A33" s="42"/>
      <c r="B33" s="114" t="str">
        <f t="shared" si="4"/>
        <v>IPPCHE-N</v>
      </c>
      <c r="C33" s="114" t="str">
        <f t="shared" si="5"/>
        <v>Pulping - Chemical New</v>
      </c>
      <c r="D33" s="112" t="s">
        <v>21</v>
      </c>
      <c r="E33" s="112" t="s">
        <v>1301</v>
      </c>
      <c r="F33" s="112" t="s">
        <v>151</v>
      </c>
      <c r="G33" s="113" t="s">
        <v>1303</v>
      </c>
      <c r="H33" s="113" t="s">
        <v>1302</v>
      </c>
      <c r="I33" t="str">
        <f>I12</f>
        <v>IPPPULP</v>
      </c>
      <c r="K33" s="113" t="s">
        <v>129</v>
      </c>
      <c r="L33" s="113" t="s">
        <v>128</v>
      </c>
    </row>
    <row r="34" spans="1:12" x14ac:dyDescent="0.3">
      <c r="A34" s="42"/>
      <c r="B34" s="114" t="str">
        <f t="shared" si="4"/>
        <v>IPPMCH-N</v>
      </c>
      <c r="C34" s="114" t="str">
        <f t="shared" si="5"/>
        <v>Pulping - Mechanical New</v>
      </c>
      <c r="D34" s="112" t="s">
        <v>21</v>
      </c>
      <c r="E34" s="112" t="s">
        <v>1301</v>
      </c>
      <c r="F34" s="112" t="s">
        <v>151</v>
      </c>
      <c r="G34" s="113" t="s">
        <v>1303</v>
      </c>
      <c r="H34" s="113" t="s">
        <v>1302</v>
      </c>
      <c r="K34" s="113" t="s">
        <v>129</v>
      </c>
      <c r="L34" s="113" t="s">
        <v>128</v>
      </c>
    </row>
    <row r="35" spans="1:12" x14ac:dyDescent="0.3">
      <c r="A35" s="114"/>
      <c r="B35" s="114" t="str">
        <f t="shared" si="4"/>
        <v>IPPSTMCOA-N</v>
      </c>
      <c r="C35" s="114" t="str">
        <f t="shared" si="5"/>
        <v>Boiler - Coal New</v>
      </c>
      <c r="D35" s="112" t="s">
        <v>21</v>
      </c>
      <c r="E35" s="112" t="s">
        <v>1301</v>
      </c>
      <c r="F35" s="112" t="s">
        <v>151</v>
      </c>
      <c r="G35" s="113" t="s">
        <v>1303</v>
      </c>
      <c r="H35" s="113" t="s">
        <v>1302</v>
      </c>
      <c r="K35" s="113" t="s">
        <v>129</v>
      </c>
      <c r="L35" s="113" t="s">
        <v>128</v>
      </c>
    </row>
    <row r="36" spans="1:12" x14ac:dyDescent="0.3">
      <c r="A36" s="114"/>
      <c r="B36" s="114" t="str">
        <f t="shared" si="4"/>
        <v>IPPSTMGAS-N</v>
      </c>
      <c r="C36" s="114" t="str">
        <f t="shared" si="5"/>
        <v>Boiler - Gas New</v>
      </c>
      <c r="D36" s="112" t="s">
        <v>21</v>
      </c>
      <c r="E36" s="112" t="s">
        <v>1301</v>
      </c>
      <c r="F36" s="112" t="s">
        <v>151</v>
      </c>
      <c r="G36" s="113" t="s">
        <v>1303</v>
      </c>
      <c r="H36" s="113" t="s">
        <v>1302</v>
      </c>
      <c r="K36" s="113" t="s">
        <v>129</v>
      </c>
      <c r="L36" s="113" t="s">
        <v>128</v>
      </c>
    </row>
    <row r="37" spans="1:12" x14ac:dyDescent="0.3">
      <c r="A37" s="114"/>
      <c r="B37" s="114" t="str">
        <f t="shared" si="4"/>
        <v>IPPSTMBLQ-N</v>
      </c>
      <c r="C37" s="114" t="str">
        <f t="shared" si="5"/>
        <v>Boiler - black liquor New</v>
      </c>
      <c r="D37" s="112" t="s">
        <v>21</v>
      </c>
      <c r="E37" s="112" t="s">
        <v>1301</v>
      </c>
      <c r="F37" s="112" t="s">
        <v>151</v>
      </c>
      <c r="G37" s="113" t="s">
        <v>1303</v>
      </c>
      <c r="H37" s="113" t="s">
        <v>1302</v>
      </c>
      <c r="K37" s="113" t="s">
        <v>129</v>
      </c>
      <c r="L37" s="113" t="s">
        <v>128</v>
      </c>
    </row>
    <row r="38" spans="1:12" x14ac:dyDescent="0.3">
      <c r="A38" s="114"/>
      <c r="B38" s="114" t="str">
        <f t="shared" si="4"/>
        <v>IPPSTMBIO-N</v>
      </c>
      <c r="C38" s="114" t="str">
        <f t="shared" si="5"/>
        <v>Boiler - biomass New</v>
      </c>
      <c r="D38" s="112" t="s">
        <v>21</v>
      </c>
      <c r="E38" s="112" t="s">
        <v>1301</v>
      </c>
      <c r="F38" s="112" t="s">
        <v>151</v>
      </c>
      <c r="G38" s="113" t="s">
        <v>1303</v>
      </c>
      <c r="H38" s="113" t="s">
        <v>1302</v>
      </c>
      <c r="K38" s="113" t="s">
        <v>129</v>
      </c>
      <c r="L38" s="113" t="s">
        <v>128</v>
      </c>
    </row>
    <row r="39" spans="1:12" x14ac:dyDescent="0.3">
      <c r="A39" s="114"/>
      <c r="B39" s="114" t="str">
        <f>LEFT(B19,LEN(B19)-1)&amp;"N"</f>
        <v>IPPELCSTM-N</v>
      </c>
      <c r="C39" s="114" t="str">
        <f>C19&amp;" New"</f>
        <v>Steam to elec New</v>
      </c>
      <c r="D39" s="112" t="s">
        <v>21</v>
      </c>
      <c r="E39" s="112" t="s">
        <v>1301</v>
      </c>
      <c r="F39" s="112" t="s">
        <v>151</v>
      </c>
      <c r="G39" s="113" t="s">
        <v>1303</v>
      </c>
      <c r="H39" s="113" t="s">
        <v>1302</v>
      </c>
      <c r="K39" s="113" t="s">
        <v>129</v>
      </c>
      <c r="L39" s="113" t="s">
        <v>128</v>
      </c>
    </row>
    <row r="40" spans="1:12" x14ac:dyDescent="0.3">
      <c r="A40" s="114"/>
      <c r="B40" s="114" t="str">
        <f>RES!M58</f>
        <v>IPPCHPGAS-N</v>
      </c>
      <c r="C40" s="114" t="str">
        <f>RES!M55</f>
        <v>Gas CHP</v>
      </c>
      <c r="D40" s="112" t="s">
        <v>21</v>
      </c>
      <c r="E40" s="112" t="s">
        <v>1301</v>
      </c>
      <c r="F40" s="112" t="s">
        <v>151</v>
      </c>
      <c r="G40" s="113" t="s">
        <v>1304</v>
      </c>
      <c r="H40" s="113" t="s">
        <v>1302</v>
      </c>
      <c r="K40" s="113" t="s">
        <v>130</v>
      </c>
      <c r="L40" s="113" t="s">
        <v>128</v>
      </c>
    </row>
    <row r="41" spans="1:12" x14ac:dyDescent="0.3">
      <c r="A41" s="42"/>
      <c r="B41" s="114" t="str">
        <f>"IPPELCSTM-N"</f>
        <v>IPPELCSTM-N</v>
      </c>
      <c r="C41" s="114" t="str">
        <f>C19&amp;" New"</f>
        <v>Steam to elec New</v>
      </c>
      <c r="D41" s="112" t="s">
        <v>21</v>
      </c>
      <c r="E41" s="112" t="s">
        <v>1301</v>
      </c>
      <c r="F41" s="112" t="s">
        <v>151</v>
      </c>
      <c r="G41" s="113" t="s">
        <v>1303</v>
      </c>
      <c r="H41" s="113" t="s">
        <v>1302</v>
      </c>
      <c r="K41" s="113" t="s">
        <v>129</v>
      </c>
      <c r="L41" s="113" t="s">
        <v>128</v>
      </c>
    </row>
    <row r="42" spans="1:12" x14ac:dyDescent="0.3">
      <c r="A42" s="111" t="s">
        <v>127</v>
      </c>
      <c r="B42" s="115"/>
      <c r="C42" s="114"/>
      <c r="D42" s="112"/>
      <c r="E42" s="112"/>
      <c r="F42" s="112"/>
      <c r="G42" s="113"/>
      <c r="H42" s="46"/>
      <c r="K42" s="114"/>
      <c r="L42" s="112"/>
    </row>
    <row r="43" spans="1:12" x14ac:dyDescent="0.3">
      <c r="A43" s="114"/>
      <c r="B43" s="114" t="s">
        <v>131</v>
      </c>
      <c r="C43" s="114" t="s">
        <v>132</v>
      </c>
      <c r="D43" s="112" t="s">
        <v>21</v>
      </c>
      <c r="E43" s="112" t="s">
        <v>1301</v>
      </c>
      <c r="F43" s="112" t="s">
        <v>151</v>
      </c>
      <c r="G43" s="113" t="s">
        <v>1303</v>
      </c>
      <c r="H43" s="113" t="s">
        <v>1302</v>
      </c>
      <c r="K43" s="113" t="s">
        <v>129</v>
      </c>
      <c r="L43" s="113" t="s">
        <v>128</v>
      </c>
    </row>
    <row r="44" spans="1:12" x14ac:dyDescent="0.3">
      <c r="A44" s="114"/>
      <c r="B44" s="114" t="s">
        <v>133</v>
      </c>
      <c r="C44" s="114" t="s">
        <v>134</v>
      </c>
      <c r="D44" s="112" t="s">
        <v>21</v>
      </c>
      <c r="E44" s="112" t="s">
        <v>1301</v>
      </c>
      <c r="F44" s="112" t="s">
        <v>151</v>
      </c>
      <c r="G44" s="113" t="s">
        <v>1303</v>
      </c>
      <c r="H44" s="113" t="s">
        <v>1302</v>
      </c>
      <c r="K44" s="113" t="s">
        <v>129</v>
      </c>
      <c r="L44" s="113" t="s">
        <v>128</v>
      </c>
    </row>
    <row r="45" spans="1:12" x14ac:dyDescent="0.3">
      <c r="A45" s="114"/>
      <c r="B45" s="114" t="s">
        <v>135</v>
      </c>
      <c r="C45" s="114" t="s">
        <v>136</v>
      </c>
      <c r="D45" s="112" t="s">
        <v>21</v>
      </c>
      <c r="E45" s="112" t="s">
        <v>1301</v>
      </c>
      <c r="F45" s="112" t="s">
        <v>151</v>
      </c>
      <c r="G45" s="113" t="s">
        <v>1303</v>
      </c>
      <c r="H45" s="113" t="s">
        <v>1302</v>
      </c>
      <c r="K45" s="113" t="s">
        <v>129</v>
      </c>
      <c r="L45" s="113" t="s">
        <v>128</v>
      </c>
    </row>
    <row r="46" spans="1:12" x14ac:dyDescent="0.3">
      <c r="A46" s="114"/>
      <c r="B46" s="114" t="s">
        <v>137</v>
      </c>
      <c r="C46" s="114" t="s">
        <v>138</v>
      </c>
      <c r="D46" s="112" t="s">
        <v>21</v>
      </c>
      <c r="E46" s="112" t="s">
        <v>1301</v>
      </c>
      <c r="F46" s="112" t="s">
        <v>151</v>
      </c>
      <c r="G46" s="113" t="s">
        <v>1303</v>
      </c>
      <c r="H46" s="113" t="s">
        <v>1302</v>
      </c>
      <c r="K46" s="113" t="s">
        <v>129</v>
      </c>
      <c r="L46" s="113" t="s">
        <v>128</v>
      </c>
    </row>
    <row r="47" spans="1:12" x14ac:dyDescent="0.3">
      <c r="A47" s="114"/>
      <c r="B47" s="114" t="s">
        <v>139</v>
      </c>
      <c r="C47" s="114" t="s">
        <v>140</v>
      </c>
      <c r="D47" s="112" t="s">
        <v>21</v>
      </c>
      <c r="E47" s="112" t="s">
        <v>1301</v>
      </c>
      <c r="F47" s="112" t="s">
        <v>151</v>
      </c>
      <c r="G47" s="113" t="s">
        <v>1303</v>
      </c>
      <c r="H47" s="113" t="s">
        <v>1302</v>
      </c>
      <c r="K47" s="113" t="s">
        <v>129</v>
      </c>
      <c r="L47" s="113" t="s">
        <v>128</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A23" sqref="A23:XFD24"/>
    </sheetView>
  </sheetViews>
  <sheetFormatPr defaultRowHeight="14.4" x14ac:dyDescent="0.3"/>
  <cols>
    <col min="2" max="2" width="18.44140625" customWidth="1"/>
    <col min="3" max="3" width="61.109375" customWidth="1"/>
    <col min="4" max="4" width="14.44140625" customWidth="1"/>
    <col min="5" max="5" width="17" customWidth="1"/>
  </cols>
  <sheetData>
    <row r="1" spans="1:10" x14ac:dyDescent="0.3">
      <c r="A1" s="109" t="s">
        <v>410</v>
      </c>
      <c r="B1" s="114" t="s">
        <v>14</v>
      </c>
      <c r="C1" s="6"/>
      <c r="D1" s="45"/>
      <c r="E1" s="45"/>
      <c r="F1" s="45"/>
      <c r="G1" s="6"/>
      <c r="H1" s="46" t="s">
        <v>15</v>
      </c>
      <c r="I1" s="46" t="s">
        <v>15</v>
      </c>
      <c r="J1" s="46" t="s">
        <v>15</v>
      </c>
    </row>
    <row r="2" spans="1:10" x14ac:dyDescent="0.3">
      <c r="A2" s="168" t="str">
        <f ca="1">MID(CELL("filename",A1),FIND("]",CELL("filename",A1))+1,255)</f>
        <v>ITEMS_P&amp;P_Constraints_JM</v>
      </c>
      <c r="B2" s="147"/>
      <c r="C2" s="6"/>
      <c r="D2" s="45"/>
      <c r="E2" s="45"/>
      <c r="F2" s="45"/>
      <c r="G2" s="6"/>
      <c r="H2" s="6"/>
      <c r="I2" s="6"/>
      <c r="J2" s="6"/>
    </row>
    <row r="3" spans="1:10" x14ac:dyDescent="0.3">
      <c r="A3" s="6"/>
      <c r="B3" s="6"/>
      <c r="C3" s="6"/>
      <c r="D3" s="45"/>
      <c r="E3" s="45"/>
      <c r="F3" s="45"/>
      <c r="G3" s="6"/>
      <c r="H3" s="6"/>
      <c r="I3" s="6"/>
      <c r="J3" s="6"/>
    </row>
    <row r="4" spans="1:10" x14ac:dyDescent="0.3">
      <c r="A4" s="6"/>
      <c r="B4" s="6"/>
      <c r="C4" s="6"/>
      <c r="D4" s="45"/>
      <c r="E4" s="45"/>
      <c r="F4" s="45"/>
      <c r="G4" s="6"/>
      <c r="H4" s="6"/>
      <c r="I4" s="6"/>
      <c r="J4" s="6"/>
    </row>
    <row r="5" spans="1:10" x14ac:dyDescent="0.3">
      <c r="A5" s="6"/>
      <c r="B5" s="6"/>
      <c r="C5" s="6"/>
      <c r="D5" s="45"/>
      <c r="E5" s="45"/>
      <c r="F5" s="45"/>
      <c r="G5" s="6"/>
      <c r="H5" s="6"/>
      <c r="I5" s="6"/>
      <c r="J5" s="6"/>
    </row>
    <row r="6" spans="1:10" x14ac:dyDescent="0.3">
      <c r="A6" s="6"/>
      <c r="B6" s="114"/>
      <c r="C6" s="114"/>
      <c r="D6" s="45"/>
      <c r="E6" s="45"/>
      <c r="F6" s="45"/>
      <c r="G6" s="6"/>
      <c r="H6" s="6"/>
      <c r="I6" s="6"/>
      <c r="J6" s="6"/>
    </row>
    <row r="7" spans="1:10" x14ac:dyDescent="0.3">
      <c r="A7" s="114"/>
      <c r="B7" s="115" t="s">
        <v>411</v>
      </c>
      <c r="C7" s="115" t="s">
        <v>412</v>
      </c>
      <c r="D7" s="109" t="s">
        <v>413</v>
      </c>
      <c r="E7" s="109" t="s">
        <v>19</v>
      </c>
      <c r="F7" s="109" t="s">
        <v>20</v>
      </c>
      <c r="G7" s="114"/>
      <c r="H7" s="114"/>
      <c r="I7" s="114"/>
      <c r="J7" s="114"/>
    </row>
    <row r="8" spans="1:10" x14ac:dyDescent="0.3">
      <c r="A8" s="250" t="s">
        <v>15</v>
      </c>
      <c r="B8" s="6"/>
      <c r="C8" s="6"/>
      <c r="D8" s="6"/>
      <c r="E8" s="6"/>
      <c r="F8" s="6"/>
      <c r="G8" s="6"/>
      <c r="H8" s="6"/>
      <c r="I8" s="6"/>
      <c r="J8" s="6"/>
    </row>
    <row r="9" spans="1:10" x14ac:dyDescent="0.3">
      <c r="A9" s="250"/>
      <c r="B9" s="251" t="s">
        <v>416</v>
      </c>
      <c r="C9" s="251" t="s">
        <v>417</v>
      </c>
      <c r="D9" s="166" t="s">
        <v>414</v>
      </c>
      <c r="E9" s="166" t="s">
        <v>415</v>
      </c>
      <c r="F9" s="6"/>
      <c r="G9" s="6"/>
      <c r="H9" s="6"/>
      <c r="I9" s="6"/>
      <c r="J9" s="6"/>
    </row>
    <row r="10" spans="1:10" s="2" customFormat="1" x14ac:dyDescent="0.3">
      <c r="A10" s="45"/>
      <c r="B10" s="131" t="s">
        <v>418</v>
      </c>
      <c r="C10" s="131" t="s">
        <v>419</v>
      </c>
      <c r="D10" s="748" t="s">
        <v>414</v>
      </c>
      <c r="E10" s="748" t="s">
        <v>415</v>
      </c>
      <c r="F10" s="131"/>
      <c r="G10" s="131"/>
      <c r="H10" s="131"/>
      <c r="I10" s="131"/>
      <c r="J10" s="131"/>
    </row>
    <row r="11" spans="1:10" s="2" customFormat="1" x14ac:dyDescent="0.3">
      <c r="A11" s="45"/>
      <c r="B11" s="131" t="s">
        <v>420</v>
      </c>
      <c r="C11" s="131" t="s">
        <v>421</v>
      </c>
      <c r="D11" s="748" t="s">
        <v>414</v>
      </c>
      <c r="E11" s="748" t="s">
        <v>415</v>
      </c>
      <c r="F11" s="131"/>
      <c r="G11" s="131"/>
      <c r="H11" s="131"/>
      <c r="I11" s="131"/>
      <c r="J11" s="131"/>
    </row>
    <row r="12" spans="1:10" x14ac:dyDescent="0.3">
      <c r="A12" s="250"/>
      <c r="B12" s="251" t="s">
        <v>422</v>
      </c>
      <c r="C12" s="251" t="s">
        <v>423</v>
      </c>
      <c r="D12" s="166" t="s">
        <v>414</v>
      </c>
      <c r="E12" s="166" t="s">
        <v>415</v>
      </c>
      <c r="F12" s="6"/>
      <c r="G12" s="6"/>
      <c r="H12" s="6"/>
      <c r="I12" s="6"/>
      <c r="J12" s="6"/>
    </row>
    <row r="13" spans="1:10" s="2" customFormat="1" x14ac:dyDescent="0.3">
      <c r="A13" s="45"/>
      <c r="B13" s="131" t="s">
        <v>424</v>
      </c>
      <c r="C13" s="131" t="s">
        <v>425</v>
      </c>
      <c r="D13" s="748" t="s">
        <v>414</v>
      </c>
      <c r="E13" s="748" t="s">
        <v>415</v>
      </c>
      <c r="F13" s="131"/>
      <c r="G13" s="131"/>
      <c r="H13" s="131"/>
      <c r="I13" s="131"/>
      <c r="J13" s="131"/>
    </row>
    <row r="14" spans="1:10" s="2" customFormat="1" x14ac:dyDescent="0.3">
      <c r="A14" s="45"/>
      <c r="B14" s="131" t="s">
        <v>426</v>
      </c>
      <c r="C14" s="131" t="s">
        <v>427</v>
      </c>
      <c r="D14" s="748" t="s">
        <v>414</v>
      </c>
      <c r="E14" s="748" t="s">
        <v>415</v>
      </c>
      <c r="F14" s="131"/>
      <c r="G14" s="131"/>
      <c r="H14" s="131"/>
      <c r="I14" s="131"/>
      <c r="J14" s="131"/>
    </row>
    <row r="15" spans="1:10" x14ac:dyDescent="0.3">
      <c r="A15" s="250"/>
      <c r="B15" s="251" t="s">
        <v>428</v>
      </c>
      <c r="C15" s="251" t="s">
        <v>429</v>
      </c>
      <c r="D15" s="166" t="s">
        <v>414</v>
      </c>
      <c r="E15" s="166" t="s">
        <v>415</v>
      </c>
      <c r="F15" s="6"/>
      <c r="G15" s="6"/>
      <c r="H15" s="6"/>
      <c r="I15" s="6"/>
      <c r="J15" s="6"/>
    </row>
    <row r="16" spans="1:10" s="2" customFormat="1" x14ac:dyDescent="0.3">
      <c r="A16" s="45"/>
      <c r="B16" s="131" t="s">
        <v>430</v>
      </c>
      <c r="C16" s="131" t="s">
        <v>431</v>
      </c>
      <c r="D16" s="748" t="s">
        <v>414</v>
      </c>
      <c r="E16" s="748" t="s">
        <v>415</v>
      </c>
      <c r="F16" s="131"/>
      <c r="G16" s="131"/>
      <c r="H16" s="131"/>
      <c r="I16" s="131"/>
      <c r="J16" s="131"/>
    </row>
    <row r="17" spans="1:10" s="2" customFormat="1" x14ac:dyDescent="0.3">
      <c r="A17" s="45"/>
      <c r="B17" s="131" t="s">
        <v>432</v>
      </c>
      <c r="C17" s="131" t="s">
        <v>433</v>
      </c>
      <c r="D17" s="748" t="s">
        <v>414</v>
      </c>
      <c r="E17" s="748" t="s">
        <v>415</v>
      </c>
      <c r="F17" s="131"/>
      <c r="G17" s="131"/>
      <c r="H17" s="131"/>
      <c r="I17" s="131"/>
      <c r="J17" s="131"/>
    </row>
    <row r="18" spans="1:10" x14ac:dyDescent="0.3">
      <c r="A18" s="250"/>
      <c r="B18" s="251" t="s">
        <v>434</v>
      </c>
      <c r="C18" s="251" t="s">
        <v>435</v>
      </c>
      <c r="D18" s="166" t="s">
        <v>414</v>
      </c>
      <c r="E18" s="166" t="s">
        <v>415</v>
      </c>
      <c r="F18" s="6"/>
      <c r="G18" s="6"/>
      <c r="H18" s="6"/>
      <c r="I18" s="6"/>
      <c r="J18" s="6"/>
    </row>
    <row r="19" spans="1:10" s="2" customFormat="1" x14ac:dyDescent="0.3">
      <c r="B19" s="131" t="s">
        <v>436</v>
      </c>
      <c r="C19" s="131" t="s">
        <v>437</v>
      </c>
      <c r="D19" s="748" t="s">
        <v>414</v>
      </c>
      <c r="E19" s="748" t="s">
        <v>415</v>
      </c>
    </row>
    <row r="20" spans="1:10" s="2" customFormat="1" x14ac:dyDescent="0.3">
      <c r="B20" s="131" t="s">
        <v>438</v>
      </c>
      <c r="C20" s="131" t="s">
        <v>439</v>
      </c>
      <c r="D20" s="748" t="s">
        <v>414</v>
      </c>
      <c r="E20" s="748" t="s">
        <v>415</v>
      </c>
    </row>
    <row r="21" spans="1:10" x14ac:dyDescent="0.3">
      <c r="B21" s="251" t="s">
        <v>440</v>
      </c>
      <c r="C21" s="251" t="s">
        <v>441</v>
      </c>
      <c r="D21" s="166" t="s">
        <v>414</v>
      </c>
      <c r="E21" s="166" t="s">
        <v>415</v>
      </c>
    </row>
    <row r="22" spans="1:10" x14ac:dyDescent="0.3">
      <c r="B22" s="251" t="s">
        <v>442</v>
      </c>
      <c r="C22" s="251" t="s">
        <v>443</v>
      </c>
      <c r="D22" s="166" t="s">
        <v>414</v>
      </c>
      <c r="E22" s="166" t="s">
        <v>415</v>
      </c>
    </row>
    <row r="23" spans="1:10" s="2" customFormat="1" x14ac:dyDescent="0.3">
      <c r="B23" s="131" t="s">
        <v>444</v>
      </c>
      <c r="C23" s="131" t="s">
        <v>445</v>
      </c>
      <c r="D23" s="748" t="s">
        <v>414</v>
      </c>
      <c r="E23" s="748" t="s">
        <v>415</v>
      </c>
    </row>
    <row r="24" spans="1:10" s="2" customFormat="1" x14ac:dyDescent="0.3">
      <c r="B24" s="131" t="s">
        <v>446</v>
      </c>
      <c r="C24" s="131" t="s">
        <v>447</v>
      </c>
      <c r="D24" s="748" t="s">
        <v>414</v>
      </c>
      <c r="E24" s="748" t="s">
        <v>415</v>
      </c>
    </row>
    <row r="25" spans="1:10" x14ac:dyDescent="0.3">
      <c r="A25" t="s">
        <v>15</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F81"/>
  <sheetViews>
    <sheetView tabSelected="1" topLeftCell="A22" zoomScale="90" zoomScaleNormal="90" workbookViewId="0">
      <selection activeCell="A66" sqref="A66:XFD66"/>
    </sheetView>
  </sheetViews>
  <sheetFormatPr defaultRowHeight="14.4" x14ac:dyDescent="0.3"/>
  <cols>
    <col min="2" max="2" width="15" customWidth="1"/>
    <col min="3" max="3" width="23.33203125" customWidth="1"/>
    <col min="4" max="4" width="13.6640625" customWidth="1"/>
    <col min="5" max="5" width="12.33203125" customWidth="1"/>
    <col min="6" max="6" width="14.33203125" customWidth="1"/>
    <col min="15" max="15" width="11.44140625" customWidth="1"/>
    <col min="16" max="16" width="11.109375" customWidth="1"/>
    <col min="17" max="17" width="11.5546875" customWidth="1"/>
    <col min="21" max="21" width="8.88671875" style="2"/>
    <col min="27" max="27" width="8.88671875" style="2"/>
    <col min="28" max="28" width="10.44140625" customWidth="1"/>
    <col min="29" max="35" width="8.88671875" style="2"/>
    <col min="37" max="37" width="8.88671875" style="2"/>
    <col min="50" max="50" width="8.88671875" style="2"/>
  </cols>
  <sheetData>
    <row r="1" spans="1:58" x14ac:dyDescent="0.3">
      <c r="A1" s="109" t="s">
        <v>123</v>
      </c>
      <c r="B1" s="41" t="s">
        <v>14</v>
      </c>
      <c r="C1" s="46"/>
      <c r="D1" s="46"/>
      <c r="E1" s="46"/>
      <c r="F1" s="46"/>
      <c r="H1" s="2"/>
      <c r="I1" s="4"/>
      <c r="K1" s="4"/>
      <c r="M1" s="2"/>
      <c r="N1" s="2" t="s">
        <v>15</v>
      </c>
      <c r="O1" s="4"/>
      <c r="P1" s="4"/>
      <c r="Q1" s="4"/>
      <c r="R1" s="4"/>
      <c r="S1" s="4"/>
      <c r="T1" s="4"/>
      <c r="U1" s="116"/>
      <c r="Y1" s="4"/>
      <c r="Z1" s="4"/>
      <c r="AA1" s="116"/>
      <c r="AE1" s="116"/>
      <c r="AF1" s="116"/>
      <c r="AG1" s="116"/>
      <c r="AH1" s="116"/>
      <c r="AI1" s="116"/>
      <c r="AJ1" s="4"/>
      <c r="AK1" s="116"/>
      <c r="AX1"/>
    </row>
    <row r="2" spans="1:58" x14ac:dyDescent="0.3">
      <c r="A2" s="168" t="str">
        <f ca="1">MID(CELL("filename",A1),FIND("]",CELL("filename",A1))+1,255)</f>
        <v xml:space="preserve">Processes_JM </v>
      </c>
      <c r="B2" s="46"/>
      <c r="C2" s="46"/>
      <c r="D2" s="46"/>
      <c r="E2" s="46"/>
      <c r="F2" s="46"/>
      <c r="S2" s="2"/>
    </row>
    <row r="3" spans="1:58" ht="31.8" x14ac:dyDescent="0.3">
      <c r="A3" s="46"/>
      <c r="B3" s="46"/>
      <c r="C3" s="46"/>
      <c r="D3" s="46"/>
      <c r="E3" s="46"/>
      <c r="F3" s="46"/>
      <c r="G3" s="117" t="s">
        <v>142</v>
      </c>
      <c r="H3" s="46" t="s">
        <v>143</v>
      </c>
      <c r="I3" s="46" t="s">
        <v>143</v>
      </c>
      <c r="J3" s="46" t="s">
        <v>143</v>
      </c>
      <c r="K3" s="46" t="s">
        <v>143</v>
      </c>
      <c r="L3" s="46" t="s">
        <v>143</v>
      </c>
      <c r="M3" s="117" t="s">
        <v>155</v>
      </c>
      <c r="N3" s="117" t="s">
        <v>155</v>
      </c>
      <c r="O3" s="117" t="s">
        <v>157</v>
      </c>
      <c r="P3" s="117" t="s">
        <v>158</v>
      </c>
      <c r="Q3" s="117" t="s">
        <v>144</v>
      </c>
      <c r="R3" s="117" t="s">
        <v>173</v>
      </c>
      <c r="S3" s="117" t="s">
        <v>173</v>
      </c>
      <c r="T3" s="117" t="s">
        <v>173</v>
      </c>
      <c r="U3" s="117" t="s">
        <v>173</v>
      </c>
      <c r="V3" s="114" t="s">
        <v>159</v>
      </c>
      <c r="W3" s="114" t="s">
        <v>159</v>
      </c>
      <c r="X3" s="117" t="s">
        <v>160</v>
      </c>
      <c r="Y3" s="117" t="s">
        <v>161</v>
      </c>
      <c r="Z3" s="117"/>
      <c r="AA3" s="165"/>
      <c r="AB3" s="114" t="s">
        <v>162</v>
      </c>
      <c r="AC3" s="114" t="s">
        <v>163</v>
      </c>
      <c r="AD3" s="114"/>
      <c r="AE3" s="114"/>
      <c r="AF3" s="114"/>
      <c r="AG3" s="114"/>
      <c r="AI3" s="131"/>
      <c r="AJ3" s="46"/>
      <c r="AK3" s="641"/>
      <c r="AL3" s="114"/>
      <c r="AM3" s="114"/>
      <c r="AN3" s="114"/>
      <c r="AO3" s="114"/>
      <c r="AP3" s="114"/>
      <c r="AQ3" s="114"/>
      <c r="AR3" s="114"/>
      <c r="AS3" s="114"/>
      <c r="AT3" s="114"/>
      <c r="AU3" s="114"/>
      <c r="AV3" s="114"/>
      <c r="AW3" s="114"/>
      <c r="AX3" s="131"/>
      <c r="AY3" s="114"/>
      <c r="AZ3" s="114"/>
      <c r="BA3" s="114"/>
      <c r="BB3" s="114"/>
      <c r="BC3" s="114"/>
      <c r="BD3" s="114"/>
      <c r="BE3" s="114"/>
      <c r="BF3" s="114"/>
    </row>
    <row r="4" spans="1:58" ht="21.6" x14ac:dyDescent="0.3">
      <c r="A4" s="46"/>
      <c r="B4" s="46"/>
      <c r="C4" s="46"/>
      <c r="D4" s="639"/>
      <c r="E4" s="639"/>
      <c r="F4" s="639"/>
      <c r="G4" s="44" t="s">
        <v>145</v>
      </c>
      <c r="H4" s="118" t="s">
        <v>148</v>
      </c>
      <c r="I4" s="118" t="s">
        <v>148</v>
      </c>
      <c r="J4" s="118" t="s">
        <v>148</v>
      </c>
      <c r="K4" s="118" t="s">
        <v>148</v>
      </c>
      <c r="L4" s="118" t="s">
        <v>148</v>
      </c>
      <c r="M4" s="118" t="s">
        <v>156</v>
      </c>
      <c r="N4" s="118" t="s">
        <v>156</v>
      </c>
      <c r="O4" s="44" t="s">
        <v>164</v>
      </c>
      <c r="P4" s="44" t="s">
        <v>165</v>
      </c>
      <c r="Q4" s="44" t="s">
        <v>149</v>
      </c>
      <c r="R4" s="118" t="s">
        <v>146</v>
      </c>
      <c r="S4" s="118" t="s">
        <v>146</v>
      </c>
      <c r="T4" s="118" t="s">
        <v>166</v>
      </c>
      <c r="U4" s="118" t="s">
        <v>166</v>
      </c>
      <c r="V4" s="118" t="s">
        <v>167</v>
      </c>
      <c r="W4" s="118" t="s">
        <v>167</v>
      </c>
      <c r="X4" s="118" t="s">
        <v>168</v>
      </c>
      <c r="Y4" s="118" t="s">
        <v>168</v>
      </c>
      <c r="Z4" s="118" t="s">
        <v>169</v>
      </c>
      <c r="AA4" s="118" t="s">
        <v>169</v>
      </c>
      <c r="AB4" s="128" t="s">
        <v>170</v>
      </c>
      <c r="AC4" s="128" t="s">
        <v>171</v>
      </c>
      <c r="AD4" s="128" t="s">
        <v>171</v>
      </c>
      <c r="AE4" s="128" t="s">
        <v>171</v>
      </c>
      <c r="AF4" s="128" t="s">
        <v>171</v>
      </c>
      <c r="AG4" s="128" t="s">
        <v>171</v>
      </c>
      <c r="AH4" s="128" t="s">
        <v>171</v>
      </c>
      <c r="AI4" s="128" t="s">
        <v>171</v>
      </c>
      <c r="AJ4" s="118" t="s">
        <v>172</v>
      </c>
      <c r="AK4" s="118" t="s">
        <v>147</v>
      </c>
      <c r="AL4" s="118" t="s">
        <v>171</v>
      </c>
      <c r="AM4" s="118" t="s">
        <v>171</v>
      </c>
      <c r="AN4" s="118" t="s">
        <v>171</v>
      </c>
      <c r="AO4" s="118" t="s">
        <v>171</v>
      </c>
      <c r="AP4" s="118" t="s">
        <v>171</v>
      </c>
      <c r="AQ4" s="118" t="s">
        <v>1546</v>
      </c>
      <c r="AR4" s="118" t="s">
        <v>1546</v>
      </c>
      <c r="AS4" s="118" t="s">
        <v>1546</v>
      </c>
      <c r="AT4" s="118" t="s">
        <v>1546</v>
      </c>
      <c r="AU4" s="118" t="s">
        <v>494</v>
      </c>
      <c r="AV4" s="118" t="s">
        <v>494</v>
      </c>
      <c r="AW4" s="118" t="s">
        <v>494</v>
      </c>
      <c r="AX4" s="118" t="s">
        <v>494</v>
      </c>
      <c r="AY4" s="118" t="s">
        <v>501</v>
      </c>
      <c r="AZ4" s="118" t="s">
        <v>501</v>
      </c>
      <c r="BA4" s="114"/>
      <c r="BB4" s="114"/>
      <c r="BC4" s="114"/>
      <c r="BD4" s="114"/>
      <c r="BE4" s="114"/>
      <c r="BF4" s="114"/>
    </row>
    <row r="5" spans="1:58" x14ac:dyDescent="0.3">
      <c r="A5" s="46"/>
      <c r="B5" s="46"/>
      <c r="C5" s="46"/>
      <c r="D5" s="46"/>
      <c r="E5" s="46"/>
      <c r="F5" s="46"/>
      <c r="G5" s="44" t="s">
        <v>150</v>
      </c>
      <c r="H5" s="123">
        <v>2017</v>
      </c>
      <c r="I5" s="123">
        <v>2030</v>
      </c>
      <c r="J5" s="123">
        <v>2035</v>
      </c>
      <c r="K5" s="123">
        <v>2040</v>
      </c>
      <c r="L5" s="123">
        <v>2050</v>
      </c>
      <c r="M5" s="123">
        <v>0</v>
      </c>
      <c r="N5" s="123">
        <v>2017</v>
      </c>
      <c r="O5" s="114"/>
      <c r="P5" s="114"/>
      <c r="Q5" s="129"/>
      <c r="R5" s="114"/>
      <c r="S5" s="114">
        <v>2017</v>
      </c>
      <c r="T5" s="114"/>
      <c r="U5" s="114">
        <v>2017</v>
      </c>
      <c r="V5" s="114" t="s">
        <v>151</v>
      </c>
      <c r="W5" s="114" t="s">
        <v>151</v>
      </c>
      <c r="X5" s="114" t="s">
        <v>151</v>
      </c>
      <c r="Y5" s="114" t="s">
        <v>151</v>
      </c>
      <c r="Z5" s="114" t="s">
        <v>151</v>
      </c>
      <c r="AA5" s="114" t="s">
        <v>151</v>
      </c>
      <c r="AB5" s="128" t="str">
        <f>E13</f>
        <v>IPPPAP</v>
      </c>
      <c r="AC5" s="128" t="str">
        <f>D9</f>
        <v>IPPELC</v>
      </c>
      <c r="AD5" s="128" t="str">
        <f>D10</f>
        <v>IPPSTM</v>
      </c>
      <c r="AE5" s="128" t="str">
        <f>D11</f>
        <v>IPPPULP</v>
      </c>
      <c r="AF5" s="128" t="str">
        <f>D17</f>
        <v>IPPBIP</v>
      </c>
      <c r="AG5" s="128" t="str">
        <f>D14</f>
        <v>IPPREC</v>
      </c>
      <c r="AH5" s="128" t="str">
        <f>D12</f>
        <v>INDCOA</v>
      </c>
      <c r="AI5" s="128" t="str">
        <f>E24</f>
        <v>IPPBLQ</v>
      </c>
      <c r="AJ5" s="114"/>
      <c r="AK5" s="641"/>
      <c r="AL5" s="114" t="str">
        <f>AC5</f>
        <v>IPPELC</v>
      </c>
      <c r="AM5" s="114" t="str">
        <f>AD5</f>
        <v>IPPSTM</v>
      </c>
      <c r="AN5" s="114" t="str">
        <f>AH5</f>
        <v>INDCOA</v>
      </c>
      <c r="AO5" s="114" t="str">
        <f>AG5</f>
        <v>IPPREC</v>
      </c>
      <c r="AP5" s="114" t="str">
        <f>AF5</f>
        <v>IPPBIP</v>
      </c>
      <c r="AQ5" s="128" t="s">
        <v>30</v>
      </c>
      <c r="AR5" s="128" t="s">
        <v>30</v>
      </c>
      <c r="AS5" s="128" t="s">
        <v>30</v>
      </c>
      <c r="AT5" s="128" t="s">
        <v>30</v>
      </c>
      <c r="AU5" s="118"/>
      <c r="AV5" s="118">
        <v>2017</v>
      </c>
      <c r="AW5" s="114">
        <v>2030</v>
      </c>
      <c r="AX5" s="114">
        <v>2040</v>
      </c>
      <c r="AY5" s="114"/>
      <c r="AZ5" s="114"/>
      <c r="BA5" s="114"/>
      <c r="BB5" s="114"/>
      <c r="BC5" s="114"/>
      <c r="BD5" s="114"/>
      <c r="BE5" s="114"/>
      <c r="BF5" s="114"/>
    </row>
    <row r="6" spans="1:58" x14ac:dyDescent="0.3">
      <c r="A6" s="46"/>
      <c r="B6" s="46"/>
      <c r="C6" s="46"/>
      <c r="D6" s="46"/>
      <c r="E6" s="46" t="s">
        <v>1305</v>
      </c>
      <c r="F6" s="46"/>
      <c r="G6" s="44" t="s">
        <v>151</v>
      </c>
      <c r="N6" s="2"/>
      <c r="O6" s="114"/>
      <c r="P6" s="114"/>
      <c r="Q6" s="129"/>
      <c r="R6" s="129"/>
      <c r="S6" s="45"/>
      <c r="T6" s="129"/>
      <c r="U6" s="45"/>
      <c r="V6" s="114"/>
      <c r="W6" s="114"/>
      <c r="X6" s="114"/>
      <c r="Y6" s="114"/>
      <c r="Z6" s="114"/>
      <c r="AA6" s="131"/>
      <c r="AB6" s="114"/>
      <c r="AC6" s="131"/>
      <c r="AD6" s="131"/>
      <c r="AE6" s="131"/>
      <c r="AF6" s="131"/>
      <c r="AG6" s="131"/>
      <c r="AH6" s="131"/>
      <c r="AI6" s="131"/>
      <c r="AJ6" s="46"/>
      <c r="AK6" s="641"/>
      <c r="AL6" s="114"/>
      <c r="AM6" s="114"/>
      <c r="AN6" s="114"/>
      <c r="AO6" s="114"/>
      <c r="AP6" s="114"/>
      <c r="AQ6" s="114"/>
      <c r="AR6" s="114"/>
      <c r="AS6" s="114"/>
      <c r="AT6" s="114"/>
      <c r="AU6" s="114"/>
      <c r="AV6" s="114"/>
      <c r="AW6" s="114"/>
      <c r="AX6" s="114"/>
      <c r="AY6" s="114"/>
      <c r="AZ6" s="114"/>
      <c r="BA6" s="114"/>
      <c r="BB6" s="114"/>
      <c r="BC6" s="114"/>
      <c r="BD6" s="114"/>
      <c r="BE6" s="114"/>
      <c r="BF6" s="114"/>
    </row>
    <row r="7" spans="1:58" s="2" customFormat="1" ht="28.8" x14ac:dyDescent="0.3">
      <c r="A7" s="46"/>
      <c r="B7" s="109" t="s">
        <v>1294</v>
      </c>
      <c r="C7" s="109" t="s">
        <v>1306</v>
      </c>
      <c r="D7" s="109" t="s">
        <v>1307</v>
      </c>
      <c r="E7" s="109" t="s">
        <v>1308</v>
      </c>
      <c r="F7" s="263" t="s">
        <v>1309</v>
      </c>
      <c r="G7" s="46" t="str">
        <f>IFERROR(REPLACE(G4,SEARCH("-",G4),1,"~"),G4)</f>
        <v>ACT_EFF</v>
      </c>
      <c r="H7" s="117" t="s">
        <v>1310</v>
      </c>
      <c r="I7" s="117" t="s">
        <v>1311</v>
      </c>
      <c r="J7" s="117" t="s">
        <v>1312</v>
      </c>
      <c r="K7" s="117" t="s">
        <v>1313</v>
      </c>
      <c r="L7" s="117" t="s">
        <v>1314</v>
      </c>
      <c r="M7" s="117" t="s">
        <v>1315</v>
      </c>
      <c r="N7" s="117" t="s">
        <v>1329</v>
      </c>
      <c r="O7" s="117" t="s">
        <v>164</v>
      </c>
      <c r="P7" s="117" t="s">
        <v>165</v>
      </c>
      <c r="Q7" s="119" t="s">
        <v>149</v>
      </c>
      <c r="R7" s="117" t="s">
        <v>1316</v>
      </c>
      <c r="S7" s="117" t="s">
        <v>1324</v>
      </c>
      <c r="T7" s="117" t="s">
        <v>1333</v>
      </c>
      <c r="U7" s="643" t="s">
        <v>1325</v>
      </c>
      <c r="V7" s="150" t="s">
        <v>1317</v>
      </c>
      <c r="W7" s="150" t="s">
        <v>1318</v>
      </c>
      <c r="X7" s="150" t="s">
        <v>1319</v>
      </c>
      <c r="Y7" s="164" t="s">
        <v>1320</v>
      </c>
      <c r="Z7" s="150" t="s">
        <v>1321</v>
      </c>
      <c r="AA7" s="164" t="s">
        <v>1326</v>
      </c>
      <c r="AB7" s="119" t="s">
        <v>170</v>
      </c>
      <c r="AC7" s="117" t="s">
        <v>1327</v>
      </c>
      <c r="AD7" s="117" t="s">
        <v>1327</v>
      </c>
      <c r="AE7" s="117" t="s">
        <v>1327</v>
      </c>
      <c r="AF7" s="684" t="s">
        <v>1327</v>
      </c>
      <c r="AG7" s="117" t="s">
        <v>1327</v>
      </c>
      <c r="AH7" s="117" t="s">
        <v>1327</v>
      </c>
      <c r="AI7" s="117" t="s">
        <v>1327</v>
      </c>
      <c r="AJ7" s="117" t="s">
        <v>172</v>
      </c>
      <c r="AK7" s="117" t="s">
        <v>1328</v>
      </c>
      <c r="AL7" s="117" t="s">
        <v>1323</v>
      </c>
      <c r="AM7" s="117" t="s">
        <v>1323</v>
      </c>
      <c r="AN7" s="164" t="s">
        <v>1323</v>
      </c>
      <c r="AO7" s="164" t="s">
        <v>1533</v>
      </c>
      <c r="AP7" s="164" t="s">
        <v>1533</v>
      </c>
      <c r="AQ7" s="164" t="s">
        <v>1547</v>
      </c>
      <c r="AR7" s="164" t="s">
        <v>1548</v>
      </c>
      <c r="AS7" s="164" t="s">
        <v>1548</v>
      </c>
      <c r="AT7" s="164" t="s">
        <v>1549</v>
      </c>
      <c r="AU7" s="164" t="s">
        <v>1360</v>
      </c>
      <c r="AV7" s="355" t="str">
        <f>"NCAP_BND~"&amp;AV5</f>
        <v>NCAP_BND~2017</v>
      </c>
      <c r="AW7" s="355" t="str">
        <f>"NCAP_BND~"&amp;AW5</f>
        <v>NCAP_BND~2030</v>
      </c>
      <c r="AX7" s="355" t="str">
        <f>"NCAP_BND~"&amp;AX5</f>
        <v>NCAP_BND~2040</v>
      </c>
      <c r="AY7" s="653" t="s">
        <v>1364</v>
      </c>
      <c r="AZ7" s="653" t="s">
        <v>1363</v>
      </c>
      <c r="BA7" s="114"/>
      <c r="BB7" s="114"/>
      <c r="BC7" s="114"/>
      <c r="BD7" s="114"/>
      <c r="BE7" s="114"/>
      <c r="BF7" s="114"/>
    </row>
    <row r="8" spans="1:58" s="2" customFormat="1" x14ac:dyDescent="0.3">
      <c r="B8" s="111" t="s">
        <v>127</v>
      </c>
      <c r="G8" s="43"/>
      <c r="H8" s="123"/>
      <c r="J8" s="43"/>
      <c r="K8" s="43"/>
      <c r="L8" s="43"/>
      <c r="N8" s="645"/>
      <c r="O8" s="120"/>
      <c r="P8" s="120"/>
      <c r="Q8" s="120"/>
      <c r="R8" s="43"/>
      <c r="S8" s="645"/>
      <c r="T8" s="646"/>
      <c r="U8" s="647"/>
      <c r="V8" s="122"/>
      <c r="W8" s="122"/>
      <c r="AC8" s="123"/>
      <c r="AD8" s="123"/>
      <c r="AE8" s="123"/>
      <c r="AF8" s="123"/>
      <c r="AG8" s="123"/>
      <c r="AH8" s="123"/>
      <c r="AI8" s="123"/>
      <c r="AK8" s="355"/>
    </row>
    <row r="9" spans="1:58" s="123" customFormat="1" x14ac:dyDescent="0.3">
      <c r="B9" s="123" t="str">
        <f>'ITEM_Tech_BASE_JM '!B9</f>
        <v>IPPPAP-E</v>
      </c>
      <c r="C9" s="123" t="str">
        <f>'ITEM_Tech_BASE_JM '!C9</f>
        <v>Paper - Mill</v>
      </c>
      <c r="D9" s="123" t="str">
        <f>RES!D2</f>
        <v>IPPELC</v>
      </c>
      <c r="G9" s="125"/>
      <c r="H9" s="644">
        <f>SUMIFS(EB_Exist!$AC$8:$AC$17,EB_Exist!$N$8:$N$17,B9)</f>
        <v>3.0777317647058822</v>
      </c>
      <c r="I9" s="132">
        <f>H9</f>
        <v>3.0777317647058822</v>
      </c>
      <c r="J9" s="134">
        <v>0</v>
      </c>
      <c r="K9" s="134">
        <v>0</v>
      </c>
      <c r="L9" s="134">
        <v>0</v>
      </c>
      <c r="M9" s="143">
        <v>3</v>
      </c>
      <c r="N9" s="134">
        <f>H9</f>
        <v>3.0777317647058822</v>
      </c>
      <c r="O9" s="121"/>
      <c r="P9" s="126"/>
      <c r="T9" s="126"/>
      <c r="U9" s="648"/>
      <c r="V9" s="114">
        <v>-1</v>
      </c>
      <c r="W9" s="135">
        <f>INDEX(EB_Exist!$R$8:$AB$18,MATCH($B$9,EB_Exist!$N$8:$N$18,0),MATCH($E$13,EB_Exist!$R$4:$AB$4,0))</f>
        <v>2.1800600000000001</v>
      </c>
      <c r="X9" s="127"/>
      <c r="AA9" s="2"/>
      <c r="AB9" s="123">
        <v>1</v>
      </c>
      <c r="AC9" s="136">
        <f>ABS(INDEX(EB_Exist!$R$8:$AB$18,MATCH($B$9,EB_Exist!$N$8:$N$18,0),MATCH(AC$5,EB_Exist!$R$4:$AB$4,0))/INDEX(EB_Exist!$R$8:$AB$18,MATCH($B$9,EB_Exist!$N$8:$N$18,0),MATCH($E$13,EB_Exist!$R$4:$AB$4,0)))</f>
        <v>2.5287346885513151</v>
      </c>
      <c r="AK9" s="355"/>
      <c r="AL9" s="136">
        <f>AC9</f>
        <v>2.5287346885513151</v>
      </c>
      <c r="AQ9" s="136"/>
      <c r="AX9" s="2"/>
    </row>
    <row r="10" spans="1:58" x14ac:dyDescent="0.3">
      <c r="D10" t="str">
        <f>RES!O2</f>
        <v>IPPSTM</v>
      </c>
      <c r="H10" s="136"/>
      <c r="I10" s="132"/>
      <c r="J10" s="134"/>
      <c r="K10" s="134"/>
      <c r="L10" s="134"/>
      <c r="M10" s="143"/>
      <c r="N10" s="134"/>
      <c r="S10" s="123"/>
      <c r="T10" s="123"/>
      <c r="U10" s="123"/>
      <c r="W10" s="137"/>
      <c r="AC10" s="123"/>
      <c r="AD10" s="123">
        <f>ABS(INDEX(EB_Exist!$R$8:$AB$18,MATCH($B$9,EB_Exist!$N$8:$N$18,0),MATCH(AD$5,EB_Exist!$R$4:$AB$4,0))/INDEX(EB_Exist!$R$8:$AB$18,MATCH($B$9,EB_Exist!$N$8:$N$18,0),MATCH($E$13,EB_Exist!$R$4:$AB$4,0)))</f>
        <v>10.6</v>
      </c>
      <c r="AE10" s="123"/>
      <c r="AF10" s="123"/>
      <c r="AG10" s="123"/>
      <c r="AH10" s="123"/>
      <c r="AI10" s="123"/>
      <c r="AL10" s="136"/>
      <c r="AM10">
        <f>AD10</f>
        <v>10.6</v>
      </c>
      <c r="AQ10" s="123"/>
      <c r="AT10" s="123"/>
    </row>
    <row r="11" spans="1:58" x14ac:dyDescent="0.3">
      <c r="D11" t="str">
        <f>RES!U2</f>
        <v>IPPPULP</v>
      </c>
      <c r="H11" s="136"/>
      <c r="I11" s="132"/>
      <c r="J11" s="134"/>
      <c r="K11" s="134"/>
      <c r="L11" s="134"/>
      <c r="M11" s="143"/>
      <c r="N11" s="134"/>
      <c r="S11" s="123"/>
      <c r="T11" s="123"/>
      <c r="U11" s="123"/>
      <c r="W11" s="137"/>
      <c r="AC11" s="123"/>
      <c r="AD11" s="123"/>
      <c r="AE11" s="136">
        <f>ABS(INDEX(EB_Exist!$R$8:$AB$18,MATCH($B$9,EB_Exist!$N$8:$N$18,0),MATCH(AE$5,EB_Exist!$R$4:$AB$4,0))/INDEX(EB_Exist!$R$8:$AB$18,MATCH($B$9,EB_Exist!$N$8:$N$18,0),MATCH($E$13,EB_Exist!$R$4:$AB$4,0)))</f>
        <v>1.0001100887131547</v>
      </c>
      <c r="AF11" s="136"/>
      <c r="AG11" s="123"/>
      <c r="AH11" s="123"/>
      <c r="AI11" s="123"/>
      <c r="AL11" s="136"/>
      <c r="AN11" s="137"/>
      <c r="AO11" s="137"/>
      <c r="AP11" s="137"/>
      <c r="AQ11" s="123"/>
      <c r="AT11" s="123"/>
    </row>
    <row r="12" spans="1:58" x14ac:dyDescent="0.3">
      <c r="D12" t="str">
        <f>RES!B7</f>
        <v>INDCOA</v>
      </c>
      <c r="H12" s="136"/>
      <c r="I12" s="132"/>
      <c r="J12" s="134"/>
      <c r="K12" s="134"/>
      <c r="L12" s="134"/>
      <c r="M12" s="143"/>
      <c r="N12" s="134"/>
      <c r="S12" s="123"/>
      <c r="T12" s="123"/>
      <c r="U12" s="123"/>
      <c r="W12" s="137"/>
      <c r="AC12" s="123"/>
      <c r="AD12" s="123"/>
      <c r="AE12" s="123"/>
      <c r="AF12" s="123"/>
      <c r="AG12" s="123"/>
      <c r="AH12" s="123">
        <f>ABS(INDEX(EB_Exist!$R$8:$AB$18,MATCH($B$9,EB_Exist!$N$8:$N$18,0),MATCH(AH$5,EB_Exist!$R$4:$AB$4,0))/INDEX(EB_Exist!$R$8:$AB$18,MATCH($B$9,EB_Exist!$N$8:$N$18,0),MATCH($E$13,EB_Exist!$R$4:$AB$4,0)))</f>
        <v>0.89999999999999991</v>
      </c>
      <c r="AI12" s="123"/>
      <c r="AL12" s="136"/>
      <c r="AN12" s="272">
        <f>AH12</f>
        <v>0.89999999999999991</v>
      </c>
      <c r="AO12" s="272"/>
      <c r="AP12" s="272"/>
      <c r="AQ12" s="123"/>
      <c r="AT12" s="123"/>
    </row>
    <row r="13" spans="1:58" x14ac:dyDescent="0.3">
      <c r="E13" s="123" t="str">
        <f>RES!AE2</f>
        <v>IPPPAP</v>
      </c>
      <c r="H13" s="136"/>
      <c r="I13" s="132"/>
      <c r="J13" s="134"/>
      <c r="K13" s="134"/>
      <c r="L13" s="134"/>
      <c r="M13" s="143"/>
      <c r="N13" s="134"/>
      <c r="Q13" s="146">
        <v>1</v>
      </c>
      <c r="R13" s="146">
        <v>3</v>
      </c>
      <c r="S13" s="126">
        <f>SUMIFS(EB_Exist!$AF$8:$AF$12,EB_Exist!$N$8:$N$12,B9)</f>
        <v>0.85</v>
      </c>
      <c r="T13" s="123"/>
      <c r="U13" s="123"/>
      <c r="W13" s="137"/>
      <c r="AC13" s="123"/>
      <c r="AD13" s="123"/>
      <c r="AE13" s="123"/>
      <c r="AF13" s="123"/>
      <c r="AG13" s="123"/>
      <c r="AH13" s="123"/>
      <c r="AI13" s="123"/>
      <c r="AL13" s="136"/>
      <c r="AN13" s="137"/>
      <c r="AO13" s="137"/>
      <c r="AP13" s="137"/>
      <c r="AQ13" s="123"/>
      <c r="AT13" s="123"/>
    </row>
    <row r="14" spans="1:58" x14ac:dyDescent="0.3">
      <c r="B14" s="123" t="str">
        <f>'ITEM_Tech_BASE_JM '!B10</f>
        <v>IPPREC-E</v>
      </c>
      <c r="C14" s="123" t="str">
        <f>'ITEM_Tech_BASE_JM '!C10</f>
        <v>Paper - Recovery Mill</v>
      </c>
      <c r="D14" t="str">
        <f>'ITEMS_Comm_BASE_JM '!B16</f>
        <v>IPPREC</v>
      </c>
      <c r="H14" s="136">
        <f>SUMIFS(EB_Exist!$AC$8:$AC$17,EB_Exist!$N$8:$N$17,B14)</f>
        <v>1.719529411764706</v>
      </c>
      <c r="I14" s="132">
        <f>H14</f>
        <v>1.719529411764706</v>
      </c>
      <c r="J14" s="134">
        <v>0</v>
      </c>
      <c r="K14" s="134">
        <v>0</v>
      </c>
      <c r="L14" s="134">
        <v>0</v>
      </c>
      <c r="M14" s="143">
        <v>3</v>
      </c>
      <c r="N14" s="134">
        <f>H14</f>
        <v>1.719529411764706</v>
      </c>
      <c r="T14" s="123"/>
      <c r="U14" s="123"/>
      <c r="V14">
        <v>-1</v>
      </c>
      <c r="W14" s="137">
        <f>INDEX(EB_Exist!$R$8:$AB$18,MATCH($B$14,EB_Exist!$N$8:$N$18,0),MATCH($E$18,EB_Exist!$R$4:$AB$4,0))</f>
        <v>1.218</v>
      </c>
      <c r="AB14">
        <v>1</v>
      </c>
      <c r="AC14" s="123"/>
      <c r="AD14" s="123"/>
      <c r="AE14" s="123"/>
      <c r="AF14" s="123"/>
      <c r="AG14" s="136">
        <f>ABS(INDEX(EB_Exist!$R$8:$AB$18,MATCH($B$14,EB_Exist!$N$8:$N$18,0),MATCH(AG$5,EB_Exist!$R$4:$AB$4,0))/INDEX(EB_Exist!$R$8:$AB$18,MATCH($B$14,EB_Exist!$N$8:$N$18,0),MATCH($E$18,EB_Exist!$R$4:$AB$4,0)))</f>
        <v>1.4893267651888342</v>
      </c>
      <c r="AH14" s="123"/>
      <c r="AI14" s="123"/>
      <c r="AL14" s="136"/>
      <c r="AN14" s="137"/>
      <c r="AO14" s="137">
        <f>AG14</f>
        <v>1.4893267651888342</v>
      </c>
      <c r="AP14" s="137"/>
      <c r="AQ14" s="123"/>
      <c r="AT14" s="123"/>
    </row>
    <row r="15" spans="1:58" x14ac:dyDescent="0.3">
      <c r="D15" t="str">
        <f>'ITEMS_Comm_BASE_JM '!B9</f>
        <v>IPPELC</v>
      </c>
      <c r="H15" s="136"/>
      <c r="I15" s="132"/>
      <c r="J15" s="134"/>
      <c r="K15" s="134"/>
      <c r="L15" s="134"/>
      <c r="M15" s="143"/>
      <c r="N15" s="134"/>
      <c r="S15" s="123"/>
      <c r="T15" s="123"/>
      <c r="U15" s="123"/>
      <c r="W15" s="137"/>
      <c r="AC15" s="123">
        <f>ABS(INDEX(EB_Exist!$R$8:$AB$18,MATCH($B$14,EB_Exist!$N$8:$N$18,0),MATCH(AC$5,EB_Exist!$R$4:$AB$4,0))/INDEX(EB_Exist!$R$8:$AB$18,MATCH($B$14,EB_Exist!$N$8:$N$18,0),MATCH($E$18,EB_Exist!$R$4:$AB$4,0)))</f>
        <v>0.63121997572180577</v>
      </c>
      <c r="AD15" s="123"/>
      <c r="AE15" s="123"/>
      <c r="AF15" s="123"/>
      <c r="AG15" s="123"/>
      <c r="AH15" s="123"/>
      <c r="AI15" s="123"/>
      <c r="AL15" s="136">
        <f>AC15</f>
        <v>0.63121997572180577</v>
      </c>
      <c r="AN15" s="137"/>
      <c r="AO15" s="137"/>
      <c r="AP15" s="137"/>
      <c r="AQ15" s="136"/>
      <c r="AT15" s="123"/>
    </row>
    <row r="16" spans="1:58" x14ac:dyDescent="0.3">
      <c r="D16" t="str">
        <f>'ITEMS_Comm_BASE_JM '!B17</f>
        <v>IPPSTM</v>
      </c>
      <c r="H16" s="136"/>
      <c r="I16" s="132"/>
      <c r="J16" s="134"/>
      <c r="K16" s="134"/>
      <c r="L16" s="134"/>
      <c r="M16" s="143"/>
      <c r="N16" s="134"/>
      <c r="S16" s="123"/>
      <c r="T16" s="123"/>
      <c r="U16" s="123"/>
      <c r="W16" s="137"/>
      <c r="AC16" s="123"/>
      <c r="AD16" s="123">
        <f>ABS(INDEX(EB_Exist!$R$8:$AB$18,MATCH($B$14,EB_Exist!$N$8:$N$18,0),MATCH(AD$5,EB_Exist!$R$4:$AB$4,0))/INDEX(EB_Exist!$R$8:$AB$18,MATCH($B$14,EB_Exist!$N$8:$N$18,0),MATCH($E$18,EB_Exist!$R$4:$AB$4,0)))</f>
        <v>1.0382968436917361</v>
      </c>
      <c r="AE16" s="123"/>
      <c r="AF16" s="123"/>
      <c r="AG16" s="123"/>
      <c r="AH16" s="123"/>
      <c r="AL16" s="136"/>
      <c r="AM16">
        <f>AD16</f>
        <v>1.0382968436917361</v>
      </c>
      <c r="AN16" s="137"/>
      <c r="AO16" s="137"/>
      <c r="AP16" s="137"/>
      <c r="AQ16" s="123"/>
      <c r="AT16" s="123"/>
    </row>
    <row r="17" spans="2:48" x14ac:dyDescent="0.3">
      <c r="D17" s="326" t="str">
        <f>'ITEMS_Comm_BASE_JM '!B11</f>
        <v>IPPBIP</v>
      </c>
      <c r="H17" s="136"/>
      <c r="I17" s="132"/>
      <c r="J17" s="134"/>
      <c r="K17" s="134"/>
      <c r="L17" s="134"/>
      <c r="M17" s="143"/>
      <c r="N17" s="134"/>
      <c r="S17" s="123"/>
      <c r="T17" s="123"/>
      <c r="U17" s="123"/>
      <c r="W17" s="137"/>
      <c r="AC17" s="123"/>
      <c r="AD17" s="123"/>
      <c r="AE17" s="123"/>
      <c r="AF17" s="326">
        <f>EB_Exist!AC31</f>
        <v>1.5172655923305569</v>
      </c>
      <c r="AG17" s="123"/>
      <c r="AH17" s="123"/>
      <c r="AL17" s="136"/>
      <c r="AN17" s="137"/>
      <c r="AO17" s="137"/>
      <c r="AP17" s="747">
        <f>AF17</f>
        <v>1.5172655923305569</v>
      </c>
      <c r="AQ17" s="123"/>
      <c r="AT17" s="123"/>
    </row>
    <row r="18" spans="2:48" x14ac:dyDescent="0.3">
      <c r="E18" t="str">
        <f>'ITEMS_Comm_BASE_JM '!B18</f>
        <v>IPPPULP</v>
      </c>
      <c r="H18" s="136"/>
      <c r="I18" s="132"/>
      <c r="J18" s="134"/>
      <c r="K18" s="134"/>
      <c r="L18" s="134"/>
      <c r="M18" s="143"/>
      <c r="N18" s="134"/>
      <c r="Q18">
        <v>1</v>
      </c>
      <c r="R18">
        <v>3</v>
      </c>
      <c r="S18" s="123">
        <f>SUMIFS(EB_Exist!$AF$8:$AF$12,EB_Exist!$N$8:$N$12,B14)</f>
        <v>0.85</v>
      </c>
      <c r="T18" s="123"/>
      <c r="U18" s="123"/>
      <c r="W18" s="137"/>
      <c r="AC18" s="123"/>
      <c r="AD18" s="123"/>
      <c r="AE18" s="123"/>
      <c r="AG18" s="123"/>
      <c r="AH18" s="123"/>
      <c r="AL18" s="136"/>
      <c r="AN18" s="137"/>
      <c r="AO18" s="137"/>
      <c r="AP18" s="137"/>
      <c r="AQ18" s="123"/>
      <c r="AT18" s="123"/>
    </row>
    <row r="19" spans="2:48" ht="19.2" customHeight="1" x14ac:dyDescent="0.3">
      <c r="B19" s="123" t="str">
        <f>'ITEM_Tech_BASE_JM '!B11</f>
        <v>IPPDIS-E</v>
      </c>
      <c r="C19" s="123" t="str">
        <f>'ITEM_Tech_BASE_JM '!C11</f>
        <v>Pulping - Dissolving</v>
      </c>
      <c r="D19" t="str">
        <f>'ITEMS_Comm_BASE_JM '!B9</f>
        <v>IPPELC</v>
      </c>
      <c r="H19" s="136">
        <f>SUMIFS(EB_Exist!$AC$8:$AC$17,EB_Exist!$N$8:$N$17,B19)</f>
        <v>0.9305042796234908</v>
      </c>
      <c r="I19" s="132">
        <f>H19</f>
        <v>0.9305042796234908</v>
      </c>
      <c r="J19" s="134">
        <v>0</v>
      </c>
      <c r="K19" s="134">
        <v>0</v>
      </c>
      <c r="L19" s="134">
        <v>0</v>
      </c>
      <c r="M19" s="143">
        <v>3</v>
      </c>
      <c r="N19" s="134">
        <f>H19</f>
        <v>0.9305042796234908</v>
      </c>
      <c r="T19" s="123"/>
      <c r="U19" s="123"/>
      <c r="V19">
        <v>-1</v>
      </c>
      <c r="W19" s="137">
        <f>INDEX(EB_Exist!$R$8:$AB$18,MATCH($B$19,EB_Exist!$N$8:$N$18,0),MATCH($E$23,EB_Exist!$R$4:$AB$4,0))</f>
        <v>0.65910719806663931</v>
      </c>
      <c r="AB19">
        <v>1</v>
      </c>
      <c r="AC19" s="123">
        <f>ABS(INDEX(EB_Exist!$R$8:$AB$18,MATCH($B$19,EB_Exist!$N$8:$N$18,0),MATCH(AC$5,EB_Exist!$R$4:$AB$4,0))/INDEX(EB_Exist!$R$8:$AB$18,MATCH($B$19,EB_Exist!$N$8:$N$18,0),MATCH($E$23,EB_Exist!$R$4:$AB$4,0)))</f>
        <v>3.3106023746174635</v>
      </c>
      <c r="AD19" s="123"/>
      <c r="AE19" s="123"/>
      <c r="AF19" s="123"/>
      <c r="AG19" s="123"/>
      <c r="AH19" s="123"/>
      <c r="AI19" s="123"/>
      <c r="AL19" s="136">
        <f>AC19</f>
        <v>3.3106023746174635</v>
      </c>
      <c r="AN19" s="137"/>
      <c r="AO19" s="137"/>
      <c r="AP19" s="137"/>
      <c r="AQ19" s="123"/>
      <c r="AT19" s="123"/>
    </row>
    <row r="20" spans="2:48" x14ac:dyDescent="0.3">
      <c r="D20" t="str">
        <f>'ITEMS_Comm_BASE_JM '!B17</f>
        <v>IPPSTM</v>
      </c>
      <c r="H20" s="136"/>
      <c r="I20" s="132"/>
      <c r="J20" s="134"/>
      <c r="K20" s="134"/>
      <c r="L20" s="134"/>
      <c r="M20" s="143"/>
      <c r="N20" s="134"/>
      <c r="S20" s="123"/>
      <c r="T20" s="123"/>
      <c r="U20" s="123"/>
      <c r="W20" s="137"/>
      <c r="AC20" s="123"/>
      <c r="AD20" s="123">
        <f>ABS(INDEX(EB_Exist!$R$8:$AB$18,MATCH($B$19,EB_Exist!$N$8:$N$18,0),MATCH(AD$5,EB_Exist!$R$4:$AB$4,0))/INDEX(EB_Exist!$R$8:$AB$18,MATCH($B$19,EB_Exist!$N$8:$N$18,0),MATCH($E$23,EB_Exist!$R$4:$AB$4,0)))</f>
        <v>13.300000000000004</v>
      </c>
      <c r="AE20" s="123"/>
      <c r="AF20" s="123"/>
      <c r="AG20" s="123"/>
      <c r="AI20" s="123"/>
      <c r="AL20" s="136"/>
      <c r="AM20" s="137">
        <f>AD20</f>
        <v>13.300000000000004</v>
      </c>
      <c r="AQ20" s="136"/>
      <c r="AR20" s="137"/>
      <c r="AT20" s="136"/>
    </row>
    <row r="21" spans="2:48" ht="15" customHeight="1" x14ac:dyDescent="0.3">
      <c r="D21" t="str">
        <f>RES!B7</f>
        <v>INDCOA</v>
      </c>
      <c r="H21" s="136"/>
      <c r="I21" s="132"/>
      <c r="J21" s="134"/>
      <c r="K21" s="134"/>
      <c r="L21" s="134"/>
      <c r="M21" s="143"/>
      <c r="N21" s="134"/>
      <c r="S21" s="123"/>
      <c r="T21" s="123"/>
      <c r="U21" s="123"/>
      <c r="W21" s="137"/>
      <c r="AC21" s="123"/>
      <c r="AD21" s="123"/>
      <c r="AE21" s="123"/>
      <c r="AF21" s="123"/>
      <c r="AG21" s="123"/>
      <c r="AH21" s="136">
        <f>ABS(INDEX(EB_Exist!$R$8:$AB$18,MATCH($B$19,EB_Exist!$N$8:$N$18,0),MATCH(AH$5,EB_Exist!$R$4:$AB$4,0))/INDEX(EB_Exist!$R$8:$AB$18,MATCH($B$19,EB_Exist!$N$8:$N$18,0),MATCH($E$23,EB_Exist!$R$4:$AB$4,0)))</f>
        <v>3.45</v>
      </c>
      <c r="AI21" s="123"/>
      <c r="AL21" s="136"/>
      <c r="AM21" s="137"/>
      <c r="AN21" s="137">
        <f>AH21</f>
        <v>3.45</v>
      </c>
      <c r="AO21" s="137"/>
      <c r="AP21" s="137"/>
      <c r="AQ21" s="136"/>
      <c r="AR21" s="137"/>
      <c r="AS21" s="137"/>
      <c r="AT21" s="136"/>
      <c r="AU21" s="137"/>
      <c r="AV21" s="137"/>
    </row>
    <row r="22" spans="2:48" x14ac:dyDescent="0.3">
      <c r="D22" s="326" t="str">
        <f>'ITEMS_Comm_BASE_JM '!B11</f>
        <v>IPPBIP</v>
      </c>
      <c r="H22" s="136"/>
      <c r="I22" s="132"/>
      <c r="J22" s="134"/>
      <c r="K22" s="134"/>
      <c r="L22" s="134"/>
      <c r="M22" s="143"/>
      <c r="N22" s="134"/>
      <c r="S22" s="123"/>
      <c r="T22" s="123"/>
      <c r="U22" s="123"/>
      <c r="W22" s="137"/>
      <c r="AC22" s="123"/>
      <c r="AD22" s="123"/>
      <c r="AE22" s="123"/>
      <c r="AF22" s="326">
        <f>EB_Exist!AB31</f>
        <v>19.262080000000001</v>
      </c>
      <c r="AG22" s="123"/>
      <c r="AH22" s="136"/>
      <c r="AI22" s="123"/>
      <c r="AL22" s="136"/>
      <c r="AM22" s="137"/>
      <c r="AN22" s="137"/>
      <c r="AO22" s="137"/>
      <c r="AP22" s="747">
        <f>AF22</f>
        <v>19.262080000000001</v>
      </c>
      <c r="AQ22" s="136"/>
      <c r="AR22" s="137"/>
      <c r="AS22" s="137"/>
      <c r="AT22" s="136"/>
      <c r="AU22" s="137"/>
      <c r="AV22" s="137"/>
    </row>
    <row r="23" spans="2:48" x14ac:dyDescent="0.3">
      <c r="E23" t="str">
        <f>'ITEMS_Comm_BASE_JM '!B20</f>
        <v>IPPPULPD</v>
      </c>
      <c r="H23" s="136"/>
      <c r="I23" s="132"/>
      <c r="J23" s="134"/>
      <c r="K23" s="134"/>
      <c r="L23" s="134"/>
      <c r="M23" s="143"/>
      <c r="N23" s="134"/>
      <c r="Q23">
        <v>1</v>
      </c>
      <c r="R23">
        <v>3</v>
      </c>
      <c r="S23" s="123">
        <f>SUMIFS(EB_Exist!$AF$8:$AF$12,EB_Exist!$N$8:$N$12,B19)</f>
        <v>0.85</v>
      </c>
      <c r="T23" s="123"/>
      <c r="U23" s="123"/>
      <c r="W23" s="137"/>
      <c r="AB23">
        <v>1</v>
      </c>
      <c r="AC23" s="123"/>
      <c r="AD23" s="123"/>
      <c r="AE23" s="123"/>
      <c r="AF23" s="123"/>
      <c r="AG23" s="123"/>
      <c r="AH23" s="136"/>
      <c r="AL23" s="136"/>
      <c r="AM23" s="137"/>
      <c r="AN23" s="137"/>
      <c r="AO23" s="137"/>
      <c r="AP23" s="137"/>
    </row>
    <row r="24" spans="2:48" x14ac:dyDescent="0.3">
      <c r="E24" t="str">
        <f>'ITEMS_Comm_BASE_JM '!B19</f>
        <v>IPPBLQ</v>
      </c>
      <c r="H24" s="136"/>
      <c r="I24" s="132"/>
      <c r="J24" s="134"/>
      <c r="K24" s="134"/>
      <c r="L24" s="134"/>
      <c r="M24" s="143"/>
      <c r="N24" s="134"/>
      <c r="T24" s="123"/>
      <c r="U24" s="123"/>
      <c r="W24" s="137"/>
      <c r="AC24" s="123"/>
      <c r="AD24" s="123"/>
      <c r="AG24" s="123"/>
      <c r="AH24" s="136"/>
      <c r="AI24" s="123">
        <f>ABS(INDEX(EB_Exist!$R$8:$AB$18,MATCH($B$19,EB_Exist!$N$8:$N$18,0),MATCH(AI$5,EB_Exist!$R$4:$AB$4,0))/INDEX(EB_Exist!$R$8:$AB$18,MATCH($B$19,EB_Exist!$N$8:$N$18,0),MATCH($E$23,EB_Exist!$R$4:$AB$4,0)))</f>
        <v>31.398533121995733</v>
      </c>
      <c r="AL24" s="136"/>
      <c r="AM24" s="137"/>
      <c r="AN24" s="137"/>
      <c r="AO24" s="137"/>
      <c r="AP24" s="137"/>
      <c r="AQ24" s="136"/>
      <c r="AR24" s="137"/>
      <c r="AS24" s="137"/>
      <c r="AT24" s="136"/>
      <c r="AU24" s="137"/>
      <c r="AV24" s="137"/>
    </row>
    <row r="25" spans="2:48" x14ac:dyDescent="0.3">
      <c r="B25" s="123" t="str">
        <f>'ITEM_Tech_BASE_JM '!B12</f>
        <v>IPPCHE-E</v>
      </c>
      <c r="C25" s="123" t="str">
        <f>'ITEM_Tech_BASE_JM '!C12</f>
        <v>Pulping - Chemical</v>
      </c>
      <c r="D25" t="s">
        <v>22</v>
      </c>
      <c r="H25" s="136">
        <f>SUMIFS(EB_Exist!$AC$8:$AC$17,EB_Exist!$N$8:$N$17,B25)</f>
        <v>1.0643442529852034</v>
      </c>
      <c r="I25" s="132">
        <f>H25</f>
        <v>1.0643442529852034</v>
      </c>
      <c r="J25" s="134">
        <v>0</v>
      </c>
      <c r="K25" s="134">
        <v>0</v>
      </c>
      <c r="L25" s="134">
        <v>0</v>
      </c>
      <c r="M25" s="143">
        <v>3</v>
      </c>
      <c r="N25" s="134">
        <f>H25</f>
        <v>1.0643442529852034</v>
      </c>
      <c r="T25" s="123"/>
      <c r="U25" s="123"/>
      <c r="V25">
        <v>-1</v>
      </c>
      <c r="W25" s="137">
        <f>INDEX(EB_Exist!$R$8:$AB$18,MATCH($B$25,EB_Exist!$N$8:$N$18,0),MATCH($E$29,EB_Exist!$R$4:$AB$4,0))</f>
        <v>0.75391051253118579</v>
      </c>
      <c r="AB25">
        <v>1</v>
      </c>
      <c r="AC25" s="123">
        <f>ABS(INDEX(EB_Exist!$R$8:$AB$18,MATCH($B$25,EB_Exist!$N$8:$N$18,0),MATCH(AC$5,EB_Exist!$R$4:$AB$4,0))/INDEX(EB_Exist!$R$8:$AB$18,MATCH($B$25,EB_Exist!$N$8:$N$18,0),MATCH($E$29,EB_Exist!$R$4:$AB$4,0)))</f>
        <v>5.4333281828562692</v>
      </c>
      <c r="AD25" s="123"/>
      <c r="AE25" s="123"/>
      <c r="AF25" s="123"/>
      <c r="AG25" s="123"/>
      <c r="AH25" s="123"/>
      <c r="AL25" s="136">
        <f>AC25</f>
        <v>5.4333281828562692</v>
      </c>
      <c r="AN25" s="137"/>
      <c r="AO25" s="137"/>
      <c r="AP25" s="137"/>
      <c r="AQ25" s="136"/>
      <c r="AT25" s="123"/>
    </row>
    <row r="26" spans="2:48" x14ac:dyDescent="0.3">
      <c r="D26" t="s">
        <v>29</v>
      </c>
      <c r="H26" s="136"/>
      <c r="I26" s="132"/>
      <c r="J26" s="134"/>
      <c r="K26" s="134"/>
      <c r="L26" s="134"/>
      <c r="M26" s="143"/>
      <c r="N26" s="134"/>
      <c r="S26" s="123"/>
      <c r="T26" s="123"/>
      <c r="U26" s="123"/>
      <c r="W26" s="137"/>
      <c r="AC26" s="123"/>
      <c r="AD26" s="123">
        <f>ABS(INDEX(EB_Exist!$R$8:$AB$18,MATCH($B$25,EB_Exist!$N$8:$N$18,0),MATCH(AD$5,EB_Exist!$R$4:$AB$4,0))/INDEX(EB_Exist!$R$8:$AB$18,MATCH($B$25,EB_Exist!$N$8:$N$18,0),MATCH($E$29,EB_Exist!$R$4:$AB$4,0)))</f>
        <v>20.654552368397468</v>
      </c>
      <c r="AE26" s="123"/>
      <c r="AF26" s="123"/>
      <c r="AG26" s="123"/>
      <c r="AH26" s="123"/>
      <c r="AI26" s="123"/>
      <c r="AL26" s="136"/>
      <c r="AM26">
        <f>AD26</f>
        <v>20.654552368397468</v>
      </c>
      <c r="AN26" s="137"/>
      <c r="AO26" s="137"/>
      <c r="AP26" s="137"/>
      <c r="AQ26" s="123"/>
      <c r="AT26" s="123"/>
    </row>
    <row r="27" spans="2:48" x14ac:dyDescent="0.3">
      <c r="D27" t="str">
        <f>RES!B7</f>
        <v>INDCOA</v>
      </c>
      <c r="H27" s="136"/>
      <c r="I27" s="132"/>
      <c r="J27" s="134"/>
      <c r="K27" s="134"/>
      <c r="L27" s="134"/>
      <c r="M27" s="143"/>
      <c r="N27" s="134"/>
      <c r="S27" s="123"/>
      <c r="T27" s="123"/>
      <c r="U27" s="123"/>
      <c r="W27" s="137"/>
      <c r="AC27" s="123"/>
      <c r="AD27" s="123"/>
      <c r="AE27" s="123"/>
      <c r="AF27" s="123"/>
      <c r="AG27" s="123"/>
      <c r="AH27" s="136">
        <f>ABS(INDEX(EB_Exist!$R$8:$AB$18,MATCH($B$25,EB_Exist!$N$8:$N$18,0),MATCH(AH$5,EB_Exist!$R$4:$AB$4,0))/INDEX(EB_Exist!$R$8:$AB$18,MATCH($B$25,EB_Exist!$N$8:$N$18,0),MATCH($E$29,EB_Exist!$R$4:$AB$4,0)))</f>
        <v>5.1826921071993644</v>
      </c>
      <c r="AI27" s="123"/>
      <c r="AL27" s="136"/>
      <c r="AN27" s="137">
        <f>AH27</f>
        <v>5.1826921071993644</v>
      </c>
      <c r="AO27" s="137"/>
      <c r="AP27" s="747"/>
      <c r="AQ27" s="123"/>
      <c r="AT27" s="123"/>
      <c r="AU27" s="137"/>
      <c r="AV27" s="137"/>
    </row>
    <row r="28" spans="2:48" x14ac:dyDescent="0.3">
      <c r="D28" s="326" t="str">
        <f>'ITEMS_Comm_BASE_JM '!B11</f>
        <v>IPPBIP</v>
      </c>
      <c r="H28" s="136"/>
      <c r="I28" s="132"/>
      <c r="J28" s="134"/>
      <c r="K28" s="134"/>
      <c r="L28" s="134"/>
      <c r="M28" s="143"/>
      <c r="N28" s="134"/>
      <c r="S28" s="123"/>
      <c r="T28" s="123"/>
      <c r="U28" s="123"/>
      <c r="W28" s="137"/>
      <c r="AC28" s="123"/>
      <c r="AD28" s="123"/>
      <c r="AE28" s="123"/>
      <c r="AF28" s="326">
        <f>EB_Exist!AA31</f>
        <v>29.960045560449764</v>
      </c>
      <c r="AG28" s="123"/>
      <c r="AH28" s="136"/>
      <c r="AI28" s="123"/>
      <c r="AL28" s="136"/>
      <c r="AN28" s="137"/>
      <c r="AO28" s="137"/>
      <c r="AP28" s="747">
        <f>AF28</f>
        <v>29.960045560449764</v>
      </c>
      <c r="AQ28" s="123"/>
      <c r="AT28" s="123"/>
      <c r="AU28" s="137"/>
      <c r="AV28" s="137"/>
    </row>
    <row r="29" spans="2:48" x14ac:dyDescent="0.3">
      <c r="E29" t="s">
        <v>30</v>
      </c>
      <c r="H29" s="136"/>
      <c r="I29" s="132"/>
      <c r="J29" s="134"/>
      <c r="K29" s="134"/>
      <c r="L29" s="134"/>
      <c r="M29" s="143"/>
      <c r="N29" s="134"/>
      <c r="Q29">
        <v>1</v>
      </c>
      <c r="R29">
        <v>3</v>
      </c>
      <c r="S29" s="123">
        <f>SUMIFS(EB_Exist!$AF$8:$AF$12,EB_Exist!$N$8:$N$12,B25)</f>
        <v>0.85</v>
      </c>
      <c r="T29" s="123"/>
      <c r="U29" s="123"/>
      <c r="W29" s="137"/>
      <c r="AC29" s="123"/>
      <c r="AD29" s="123"/>
      <c r="AE29" s="123"/>
      <c r="AF29" s="123"/>
      <c r="AG29" s="123"/>
      <c r="AH29" s="136"/>
      <c r="AI29" s="123"/>
      <c r="AL29" s="136"/>
      <c r="AN29" s="137"/>
      <c r="AO29" s="137"/>
      <c r="AP29" s="747"/>
      <c r="AQ29" s="123"/>
      <c r="AT29" s="123"/>
      <c r="AU29" s="137"/>
      <c r="AV29" s="137"/>
    </row>
    <row r="30" spans="2:48" x14ac:dyDescent="0.3">
      <c r="E30" t="s">
        <v>27</v>
      </c>
      <c r="H30" s="136"/>
      <c r="I30" s="132"/>
      <c r="J30" s="134"/>
      <c r="K30" s="134"/>
      <c r="L30" s="134"/>
      <c r="M30" s="143"/>
      <c r="N30" s="134"/>
      <c r="S30" s="123"/>
      <c r="T30" s="123"/>
      <c r="U30" s="123"/>
      <c r="W30" s="137"/>
      <c r="AC30" s="123"/>
      <c r="AD30" s="123"/>
      <c r="AE30" s="123"/>
      <c r="AF30" s="123"/>
      <c r="AG30" s="123"/>
      <c r="AH30" s="136"/>
      <c r="AI30" s="123">
        <f>ABS(INDEX(EB_Exist!$R$8:$AB$18,MATCH($B$25,EB_Exist!$N$8:$N$18,0),MATCH(AI$5,EB_Exist!$R$4:$AB$4,0))/INDEX(EB_Exist!$R$8:$AB$18,MATCH($B$25,EB_Exist!$N$8:$N$18,0),MATCH($E$29,EB_Exist!$R$4:$AB$4,0)))</f>
        <v>27.450206417681596</v>
      </c>
      <c r="AL30" s="136"/>
      <c r="AN30" s="137"/>
      <c r="AO30" s="137"/>
      <c r="AP30" s="747"/>
      <c r="AQ30" s="123"/>
      <c r="AT30" s="123"/>
      <c r="AU30" s="137"/>
      <c r="AV30" s="137"/>
    </row>
    <row r="31" spans="2:48" x14ac:dyDescent="0.3">
      <c r="B31" s="123" t="str">
        <f>'ITEM_Tech_BASE_JM '!B13</f>
        <v>IPPMCH-E</v>
      </c>
      <c r="C31" s="123" t="str">
        <f>'ITEM_Tech_BASE_JM '!C13</f>
        <v>Pulping - Mechanical</v>
      </c>
      <c r="D31" t="str">
        <f>'ITEMS_Comm_BASE_JM '!B9</f>
        <v>IPPELC</v>
      </c>
      <c r="H31" s="136">
        <f>SUMIFS(EB_Exist!$AC$8:$AC$17,EB_Exist!$N$8:$N$17,B31)</f>
        <v>0.29419692348538479</v>
      </c>
      <c r="I31" s="132">
        <f>H31</f>
        <v>0.29419692348538479</v>
      </c>
      <c r="J31" s="134">
        <v>0</v>
      </c>
      <c r="K31" s="134">
        <v>0</v>
      </c>
      <c r="L31" s="134">
        <v>0</v>
      </c>
      <c r="M31" s="143">
        <v>3</v>
      </c>
      <c r="N31" s="134">
        <f>H31</f>
        <v>0.29419692348538479</v>
      </c>
      <c r="T31" s="123"/>
      <c r="U31" s="123"/>
      <c r="V31">
        <v>-1</v>
      </c>
      <c r="W31" s="137">
        <f>INDEX(EB_Exist!$R$8:$AB$18,MATCH($B$31,EB_Exist!$N$8:$N$18,0),MATCH($E$34,EB_Exist!$R$4:$AB$4,0))</f>
        <v>0.20838948746881425</v>
      </c>
      <c r="Y31" s="137"/>
      <c r="AB31">
        <v>1</v>
      </c>
      <c r="AC31" s="123">
        <f>ABS(INDEX(EB_Exist!$R$8:$AB$18,MATCH($B$31,EB_Exist!$N$8:$N$18,0),MATCH(AC$5,EB_Exist!$R$4:$AB$4,0))/INDEX(EB_Exist!$R$8:$AB$18,MATCH($B$31,EB_Exist!$N$8:$N$18,0),MATCH($E$34,EB_Exist!$R$4:$AB$4,0)))</f>
        <v>15.941282195487991</v>
      </c>
      <c r="AD31" s="123"/>
      <c r="AE31" s="123"/>
      <c r="AF31" s="123"/>
      <c r="AG31" s="123"/>
      <c r="AH31" s="123"/>
      <c r="AI31" s="123"/>
      <c r="AL31" s="136">
        <f>AC31</f>
        <v>15.941282195487991</v>
      </c>
      <c r="AN31" s="137"/>
      <c r="AO31" s="137"/>
      <c r="AP31" s="747"/>
      <c r="AQ31" s="123"/>
      <c r="AT31" s="123"/>
    </row>
    <row r="32" spans="2:48" x14ac:dyDescent="0.3">
      <c r="D32" t="str">
        <f>'ITEMS_Comm_BASE_JM '!B17</f>
        <v>IPPSTM</v>
      </c>
      <c r="H32" s="123"/>
      <c r="I32" s="132"/>
      <c r="J32" s="134"/>
      <c r="K32" s="134"/>
      <c r="L32" s="134"/>
      <c r="N32" s="123"/>
      <c r="S32" s="123"/>
      <c r="T32" s="123"/>
      <c r="U32" s="123"/>
      <c r="AC32" s="123"/>
      <c r="AD32" s="123">
        <f>ABS(INDEX(EB_Exist!$R$8:$AB$18,MATCH($B$31,EB_Exist!$N$8:$N$18,0),MATCH(AD$5,EB_Exist!$R$4:$AB$4,0))/INDEX(EB_Exist!$R$8:$AB$18,MATCH($B$31,EB_Exist!$N$8:$N$18,0),MATCH($E$34,EB_Exist!$R$4:$AB$4,0)))</f>
        <v>7.2405257379991435</v>
      </c>
      <c r="AE32" s="123"/>
      <c r="AF32" s="123"/>
      <c r="AG32" s="123"/>
      <c r="AH32" s="123"/>
      <c r="AI32" s="123"/>
      <c r="AL32" s="136"/>
      <c r="AM32" s="137">
        <f>AD32</f>
        <v>7.2405257379991435</v>
      </c>
      <c r="AN32" s="137"/>
      <c r="AO32" s="137"/>
      <c r="AP32" s="747"/>
      <c r="AQ32" s="123"/>
      <c r="AR32" s="137"/>
      <c r="AT32" s="123"/>
    </row>
    <row r="33" spans="2:52" x14ac:dyDescent="0.3">
      <c r="D33" s="326" t="str">
        <f>'ITEMS_Comm_BASE_JM '!B11</f>
        <v>IPPBIP</v>
      </c>
      <c r="H33" s="123"/>
      <c r="I33" s="132"/>
      <c r="J33" s="134"/>
      <c r="K33" s="134"/>
      <c r="L33" s="134"/>
      <c r="N33" s="123"/>
      <c r="S33" s="123"/>
      <c r="T33" s="123"/>
      <c r="U33" s="123"/>
      <c r="AC33" s="123"/>
      <c r="AD33" s="123"/>
      <c r="AE33" s="123"/>
      <c r="AF33" s="326">
        <f>EB_Exist!Z31</f>
        <v>19.336746197657551</v>
      </c>
      <c r="AG33" s="123"/>
      <c r="AH33" s="123"/>
      <c r="AI33" s="123"/>
      <c r="AL33" s="136"/>
      <c r="AM33" s="137"/>
      <c r="AP33" s="747">
        <f>AF33</f>
        <v>19.336746197657551</v>
      </c>
      <c r="AQ33" s="123"/>
      <c r="AT33" s="123"/>
    </row>
    <row r="34" spans="2:52" x14ac:dyDescent="0.3">
      <c r="E34" t="str">
        <f>'ITEMS_Comm_BASE_JM '!B18</f>
        <v>IPPPULP</v>
      </c>
      <c r="H34" s="123"/>
      <c r="I34" s="132"/>
      <c r="J34" s="134"/>
      <c r="K34" s="134"/>
      <c r="L34" s="134"/>
      <c r="N34" s="123"/>
      <c r="Q34">
        <v>1</v>
      </c>
      <c r="R34">
        <v>3</v>
      </c>
      <c r="S34" s="123">
        <f>SUMIFS(EB_Exist!$AF$8:$AF$12,EB_Exist!$N$8:$N$12,B31)</f>
        <v>0.85</v>
      </c>
      <c r="T34" s="123"/>
      <c r="U34" s="123"/>
      <c r="AC34" s="123"/>
      <c r="AD34" s="123"/>
      <c r="AE34" s="123"/>
      <c r="AF34" s="123"/>
      <c r="AG34" s="123"/>
      <c r="AH34" s="123"/>
      <c r="AI34" s="123"/>
      <c r="AL34" s="136"/>
      <c r="AM34" s="137"/>
      <c r="AN34" s="137"/>
      <c r="AO34" s="137"/>
      <c r="AP34" s="747"/>
      <c r="AQ34" s="123"/>
      <c r="AR34" s="137"/>
      <c r="AT34" s="123"/>
    </row>
    <row r="35" spans="2:52" x14ac:dyDescent="0.3">
      <c r="B35" s="123" t="str">
        <f>'ITEM_Tech_BASE_JM '!B14</f>
        <v>IPPSTMCOA-E</v>
      </c>
      <c r="C35" s="123" t="str">
        <f>'ITEM_Tech_BASE_JM '!C14</f>
        <v>Boiler - Coal</v>
      </c>
      <c r="D35" t="str">
        <f>RES!B7</f>
        <v>INDCOA</v>
      </c>
      <c r="E35" t="str">
        <f>'ITEMS_Comm_BASE_JM '!B17</f>
        <v>IPPSTM</v>
      </c>
      <c r="G35" s="136">
        <f>EB_Exist!AD14</f>
        <v>0.33025099075297226</v>
      </c>
      <c r="H35" s="136">
        <f>SUMIFS(EB_Exist!$AC$8:$AC$17,EB_Exist!$N$8:$N$17,B35)</f>
        <v>45.42</v>
      </c>
      <c r="I35" s="132">
        <f>H35</f>
        <v>45.42</v>
      </c>
      <c r="J35" s="134"/>
      <c r="K35" s="134">
        <v>0</v>
      </c>
      <c r="L35" s="134"/>
      <c r="N35" s="123"/>
      <c r="O35">
        <f>O69</f>
        <v>10.907793673159219</v>
      </c>
      <c r="Q35">
        <v>1</v>
      </c>
      <c r="S35" s="123"/>
      <c r="T35" s="123"/>
      <c r="U35" s="123"/>
      <c r="Y35" s="137">
        <f>ABS(INDEX(EB_Exist!$R$8:$AB$18,MATCH($B35,EB_Exist!$N$8:$N$18,0),MATCH($E35,EB_Exist!$R$4:$AB$4,0)))</f>
        <v>15</v>
      </c>
      <c r="AB35">
        <v>1</v>
      </c>
      <c r="AC35" s="123"/>
      <c r="AD35" s="123"/>
      <c r="AE35" s="123"/>
      <c r="AF35" s="123"/>
      <c r="AG35" s="123"/>
      <c r="AH35" s="123"/>
      <c r="AI35" s="123"/>
      <c r="AL35" s="136"/>
      <c r="AN35" s="137"/>
      <c r="AO35" s="137"/>
      <c r="AP35" s="137"/>
    </row>
    <row r="36" spans="2:52" x14ac:dyDescent="0.3">
      <c r="B36" s="123" t="str">
        <f>'ITEM_Tech_BASE_JM '!B15</f>
        <v>IPPSTMGAS-E</v>
      </c>
      <c r="C36" s="123" t="str">
        <f>'ITEM_Tech_BASE_JM '!C15</f>
        <v>Boiler - Gas</v>
      </c>
      <c r="D36" t="str">
        <f>'ITEMS_Comm_BASE_JM '!B25</f>
        <v>INDGAS</v>
      </c>
      <c r="E36" t="str">
        <f>'ITEMS_Comm_BASE_JM '!B17</f>
        <v>IPPSTM</v>
      </c>
      <c r="G36" s="136">
        <f>EB_Exist!AD16</f>
        <v>0.55391979116996026</v>
      </c>
      <c r="H36" s="136">
        <f>SUMIFS(EB_Exist!$AC$8:$AC$17,EB_Exist!$N$8:$N$17,B36)</f>
        <v>4.3467270540352576</v>
      </c>
      <c r="I36" s="132">
        <f>H36</f>
        <v>4.3467270540352576</v>
      </c>
      <c r="J36" s="134"/>
      <c r="K36" s="134">
        <v>0</v>
      </c>
      <c r="L36" s="134"/>
      <c r="N36" s="2"/>
      <c r="O36">
        <f>O70</f>
        <v>3.4725519618527039</v>
      </c>
      <c r="Q36">
        <v>1</v>
      </c>
      <c r="S36" s="123"/>
      <c r="T36" s="123">
        <v>3</v>
      </c>
      <c r="U36" s="123">
        <v>0.85</v>
      </c>
      <c r="Y36" s="137">
        <f>ABS(INDEX(EB_Exist!$R$8:$AB$18,MATCH($B36,EB_Exist!$N$8:$N$18,0),MATCH($E36,EB_Exist!$R$4:$AB$4,0)))</f>
        <v>2.4077381420440265</v>
      </c>
      <c r="AB36">
        <v>1</v>
      </c>
      <c r="AC36" s="123"/>
      <c r="AD36" s="123"/>
      <c r="AE36" s="123"/>
      <c r="AF36" s="123"/>
      <c r="AG36" s="123"/>
      <c r="AH36" s="123"/>
      <c r="AI36" s="123"/>
      <c r="AL36" s="136"/>
    </row>
    <row r="37" spans="2:52" x14ac:dyDescent="0.3">
      <c r="B37" s="123" t="str">
        <f>'ITEM_Tech_BASE_JM '!B16</f>
        <v>IPPSTMBLQ-E</v>
      </c>
      <c r="C37" s="123" t="str">
        <f>'ITEM_Tech_BASE_JM '!C16</f>
        <v>Boiler - black liquor</v>
      </c>
      <c r="D37" t="str">
        <f>'ITEMS_Comm_BASE_JM '!B15</f>
        <v>IPPBLQ</v>
      </c>
      <c r="E37" t="str">
        <f>'ITEMS_Comm_BASE_JM '!B17</f>
        <v>IPPSTM</v>
      </c>
      <c r="G37" s="136">
        <f>-EB_Exist!W17/EB_Exist!U17</f>
        <v>0.60401065424431821</v>
      </c>
      <c r="H37" s="136">
        <f>SUMIFS(EB_Exist!$AC$8:$AC$17,EB_Exist!$N$8:$N$17,B37)</f>
        <v>41.389998378882353</v>
      </c>
      <c r="I37" s="132">
        <f>H37</f>
        <v>41.389998378882353</v>
      </c>
      <c r="J37" s="134"/>
      <c r="K37" s="134">
        <v>0</v>
      </c>
      <c r="L37" s="134"/>
      <c r="N37" s="2"/>
      <c r="O37">
        <f>O71</f>
        <v>17.757840571390471</v>
      </c>
      <c r="Q37">
        <v>1</v>
      </c>
      <c r="S37" s="123"/>
      <c r="T37" s="123"/>
      <c r="U37" s="123"/>
      <c r="Y37" s="137">
        <f>ABS(INDEX(EB_Exist!$R$8:$AB$18,MATCH($B37,EB_Exist!$N$8:$N$18,0),MATCH($E37,EB_Exist!$R$4:$AB$4,0)))</f>
        <v>25</v>
      </c>
      <c r="AB37">
        <v>1</v>
      </c>
      <c r="AC37" s="123"/>
      <c r="AD37" s="123"/>
      <c r="AE37" s="123"/>
      <c r="AF37" s="123"/>
      <c r="AG37" s="123"/>
      <c r="AH37" s="123"/>
      <c r="AI37" s="123"/>
      <c r="AL37" s="136"/>
    </row>
    <row r="38" spans="2:52" x14ac:dyDescent="0.3">
      <c r="B38" s="123" t="str">
        <f>'ITEM_Tech_BASE_JM '!B17</f>
        <v>IPPSTMBIO-E</v>
      </c>
      <c r="C38" s="123" t="str">
        <f>'ITEM_Tech_BASE_JM '!C17</f>
        <v>Boiler - biomass</v>
      </c>
      <c r="D38" t="str">
        <f>'ITEMS_Comm_BASE_JM '!B12</f>
        <v>IPPBIO</v>
      </c>
      <c r="E38" t="str">
        <f>'ITEMS_Comm_BASE_JM '!B17</f>
        <v>IPPSTM</v>
      </c>
      <c r="G38" s="136">
        <f>EB_Exist!AD13</f>
        <v>0.65516342057274379</v>
      </c>
      <c r="H38" s="136">
        <f>SUMIFS(EB_Exist!$AC$8:$AC$17,EB_Exist!$N$8:$N$17,B38)</f>
        <v>3.3579408295975384</v>
      </c>
      <c r="I38" s="132">
        <f>H38</f>
        <v>3.3579408295975384</v>
      </c>
      <c r="J38" s="134"/>
      <c r="K38" s="134">
        <v>0</v>
      </c>
      <c r="L38" s="134"/>
      <c r="N38" s="2"/>
      <c r="O38">
        <f>O72</f>
        <v>17.757840571390471</v>
      </c>
      <c r="Q38">
        <v>1</v>
      </c>
      <c r="S38" s="123"/>
      <c r="T38" s="123"/>
      <c r="U38" s="123"/>
      <c r="Y38" s="137">
        <f>ABS(INDEX(EB_Exist!$R$8:$AB$18,MATCH($B38,EB_Exist!$N$8:$N$18,0),MATCH($E38,EB_Exist!$R$4:$AB$4,0)))</f>
        <v>2.2000000000000002</v>
      </c>
      <c r="AB38">
        <v>1</v>
      </c>
      <c r="AC38" s="123"/>
      <c r="AD38" s="123"/>
      <c r="AE38" s="123"/>
      <c r="AF38" s="123"/>
      <c r="AG38" s="123"/>
      <c r="AH38" s="123"/>
      <c r="AI38" s="123"/>
      <c r="AL38" s="136"/>
    </row>
    <row r="39" spans="2:52" x14ac:dyDescent="0.3">
      <c r="B39" s="123" t="str">
        <f>'ITEM_Tech_BASE_JM '!B18</f>
        <v>IPPSTMCOAOIL</v>
      </c>
      <c r="C39" s="123" t="str">
        <f>'ITEM_Tech_BASE_JM '!C18</f>
        <v>Boiler - coal + hfo</v>
      </c>
      <c r="D39" t="str">
        <f>RES!B7</f>
        <v>INDCOA</v>
      </c>
      <c r="E39" t="str">
        <f>'ITEMS_Comm_BASE_JM '!B17</f>
        <v>IPPSTM</v>
      </c>
      <c r="G39" s="136">
        <f>EB_Exist!AD15</f>
        <v>0.48211637235548876</v>
      </c>
      <c r="H39" s="136">
        <f>SUMIFS(EB_Exist!$AC$8:$AC$17,EB_Exist!$N$8:$N$17,B39)</f>
        <v>12.445128072887549</v>
      </c>
      <c r="I39" s="132">
        <f>H39</f>
        <v>12.445128072887549</v>
      </c>
      <c r="J39" s="134"/>
      <c r="K39" s="134">
        <v>0</v>
      </c>
      <c r="L39" s="134"/>
      <c r="N39" s="2"/>
      <c r="O39">
        <f>'Capital costs'!E26*0.05</f>
        <v>7.3401846858323614</v>
      </c>
      <c r="Q39">
        <v>1</v>
      </c>
      <c r="S39" s="123"/>
      <c r="T39" s="123"/>
      <c r="U39" s="123"/>
      <c r="Y39" s="137">
        <f>ABS(INDEX(EB_Exist!$R$8:$AB$18,MATCH($B39,EB_Exist!$N$8:$N$18,0),MATCH($E39,EB_Exist!$R$4:$AB$4,0)))</f>
        <v>6</v>
      </c>
      <c r="AB39">
        <v>1</v>
      </c>
      <c r="AC39" s="123"/>
      <c r="AD39" s="123"/>
      <c r="AE39" s="123"/>
      <c r="AF39" s="123"/>
      <c r="AG39" s="123"/>
      <c r="AH39" s="123"/>
      <c r="AI39" s="123"/>
      <c r="AL39" s="136"/>
      <c r="AY39">
        <v>3</v>
      </c>
      <c r="AZ39" s="62">
        <f>EB_Exist!R29</f>
        <v>0.9650728620181509</v>
      </c>
    </row>
    <row r="40" spans="2:52" x14ac:dyDescent="0.3">
      <c r="D40" t="str">
        <f>'ITEMS_Comm_BASE_JM '!B14</f>
        <v>IPPOHF</v>
      </c>
      <c r="G40" s="137"/>
      <c r="H40" s="136"/>
      <c r="I40" s="132"/>
      <c r="J40" s="134"/>
      <c r="K40" s="134"/>
      <c r="L40" s="134"/>
      <c r="N40" s="2"/>
      <c r="S40" s="123"/>
      <c r="T40" s="123"/>
      <c r="U40" s="123"/>
      <c r="AC40" s="123"/>
      <c r="AD40" s="123"/>
      <c r="AE40" s="123"/>
      <c r="AF40" s="123"/>
      <c r="AG40" s="123"/>
      <c r="AH40" s="123"/>
      <c r="AI40" s="123"/>
      <c r="AL40" s="136"/>
    </row>
    <row r="41" spans="2:52" x14ac:dyDescent="0.3">
      <c r="B41" s="123" t="str">
        <f>'ITEM_Tech_BASE_JM '!B19</f>
        <v>IPPELCSTM-E</v>
      </c>
      <c r="C41" s="123" t="str">
        <f>'ITEM_Tech_BASE_JM '!C19</f>
        <v>Steam to elec</v>
      </c>
      <c r="D41" t="str">
        <f>'ITEMS_Comm_BASE_JM '!B17</f>
        <v>IPPSTM</v>
      </c>
      <c r="E41" t="str">
        <f>'ITEMS_Comm_BASE_JM '!B9</f>
        <v>IPPELC</v>
      </c>
      <c r="G41">
        <v>0.85</v>
      </c>
      <c r="H41" s="136">
        <f>EB_Exist!AC19</f>
        <v>11.175388224000002</v>
      </c>
      <c r="I41" s="132">
        <f>H41</f>
        <v>11.175388224000002</v>
      </c>
      <c r="J41" s="134"/>
      <c r="K41" s="134">
        <v>0</v>
      </c>
      <c r="L41" s="134"/>
      <c r="N41" s="2"/>
      <c r="O41" s="650">
        <f>'Capital costs'!F12</f>
        <v>18.158522513173889</v>
      </c>
      <c r="Q41">
        <v>1</v>
      </c>
      <c r="S41" s="123"/>
      <c r="T41" s="123">
        <v>3</v>
      </c>
      <c r="U41" s="123">
        <v>1</v>
      </c>
      <c r="AB41">
        <v>1</v>
      </c>
      <c r="AC41" s="123"/>
      <c r="AD41" s="123"/>
      <c r="AE41" s="123"/>
      <c r="AF41" s="123"/>
      <c r="AG41" s="123"/>
      <c r="AH41" s="123"/>
      <c r="AI41" s="123"/>
      <c r="AL41" s="136"/>
    </row>
    <row r="42" spans="2:52" x14ac:dyDescent="0.3">
      <c r="B42" s="123" t="str">
        <f>'ITEM_Tech_BASE_JM '!B30</f>
        <v>IPPPAP-N</v>
      </c>
      <c r="C42" s="123" t="str">
        <f>'ITEM_Tech_BASE_JM '!C30</f>
        <v>Paper - Mill New</v>
      </c>
      <c r="D42" t="str">
        <f>'ITEMS_Comm_BASE_JM '!B9</f>
        <v>IPPELC</v>
      </c>
      <c r="H42" s="2"/>
      <c r="N42" s="2"/>
      <c r="T42" s="123"/>
      <c r="U42" s="123"/>
      <c r="AB42">
        <v>1</v>
      </c>
      <c r="AC42" s="136">
        <f>AC9</f>
        <v>2.5287346885513151</v>
      </c>
      <c r="AD42" s="123"/>
      <c r="AE42" s="123"/>
      <c r="AF42" s="123"/>
      <c r="AG42" s="123"/>
      <c r="AH42" s="123"/>
      <c r="AI42" s="123"/>
    </row>
    <row r="43" spans="2:52" x14ac:dyDescent="0.3">
      <c r="D43" t="str">
        <f>'ITEMS_Comm_BASE_JM '!B17</f>
        <v>IPPSTM</v>
      </c>
      <c r="H43" s="2"/>
      <c r="N43" s="2"/>
      <c r="P43" s="114"/>
      <c r="S43" s="123"/>
      <c r="T43" s="123"/>
      <c r="U43" s="123"/>
      <c r="AD43" s="136">
        <f>AD10</f>
        <v>10.6</v>
      </c>
      <c r="AE43" s="123"/>
      <c r="AF43" s="123"/>
      <c r="AG43" s="123"/>
      <c r="AH43" s="123"/>
      <c r="AI43" s="123"/>
    </row>
    <row r="44" spans="2:52" x14ac:dyDescent="0.3">
      <c r="D44" t="str">
        <f>'ITEMS_Comm_BASE_JM '!B18</f>
        <v>IPPPULP</v>
      </c>
      <c r="H44" s="2"/>
      <c r="N44" s="2"/>
      <c r="P44" s="114"/>
      <c r="S44" s="123"/>
      <c r="T44" s="123"/>
      <c r="U44" s="123"/>
      <c r="AC44" s="136"/>
      <c r="AE44" s="136">
        <f>AE11</f>
        <v>1.0001100887131547</v>
      </c>
      <c r="AF44" s="136"/>
      <c r="AG44" s="123"/>
      <c r="AH44" s="123"/>
      <c r="AI44" s="123"/>
    </row>
    <row r="45" spans="2:52" x14ac:dyDescent="0.3">
      <c r="D45" t="str">
        <f>RES!B7</f>
        <v>INDCOA</v>
      </c>
      <c r="H45" s="2"/>
      <c r="N45" s="2"/>
      <c r="P45" s="114"/>
      <c r="S45" s="123"/>
      <c r="T45" s="123"/>
      <c r="U45" s="123"/>
      <c r="AC45" s="136"/>
      <c r="AD45" s="136"/>
      <c r="AG45" s="123"/>
      <c r="AH45" s="123">
        <f>AH12</f>
        <v>0.89999999999999991</v>
      </c>
      <c r="AI45" s="123"/>
    </row>
    <row r="46" spans="2:52" x14ac:dyDescent="0.3">
      <c r="E46" t="str">
        <f>'ITEMS_Comm_BASE_JM '!B21</f>
        <v>IPPPAP</v>
      </c>
      <c r="H46" s="123"/>
      <c r="I46" s="123"/>
      <c r="N46" s="2"/>
      <c r="P46">
        <f>INDEX('Capital costs'!$E$3:$E$26,MATCH(B42,'Capital costs'!$B$3:$B$26,0))</f>
        <v>26139.486049354622</v>
      </c>
      <c r="Q46">
        <v>1</v>
      </c>
      <c r="S46">
        <v>0.85</v>
      </c>
      <c r="U46" s="123"/>
      <c r="AC46" s="136"/>
      <c r="AD46" s="136"/>
      <c r="AG46" s="123"/>
      <c r="AH46" s="123"/>
      <c r="AI46" s="123"/>
      <c r="AJ46" s="123">
        <v>2025</v>
      </c>
      <c r="AK46" s="123">
        <v>25</v>
      </c>
    </row>
    <row r="47" spans="2:52" x14ac:dyDescent="0.3">
      <c r="B47" s="123" t="str">
        <f>'ITEM_Tech_BASE_JM '!B31</f>
        <v>IPPREC-N</v>
      </c>
      <c r="C47" s="123" t="str">
        <f>'ITEM_Tech_BASE_JM '!C31</f>
        <v>Paper - Recovery Mill New</v>
      </c>
      <c r="D47" t="str">
        <f>'ITEMS_Comm_BASE_JM '!B16</f>
        <v>IPPREC</v>
      </c>
      <c r="H47" s="123"/>
      <c r="I47" s="123"/>
      <c r="N47" s="2"/>
      <c r="U47" s="123"/>
      <c r="AB47">
        <v>1</v>
      </c>
      <c r="AC47" s="123"/>
      <c r="AD47" s="123"/>
      <c r="AE47" s="123"/>
      <c r="AF47" s="123"/>
      <c r="AG47" s="136">
        <f>'Processes_JM '!AG14</f>
        <v>1.4893267651888342</v>
      </c>
      <c r="AH47" s="123"/>
      <c r="AI47" s="123"/>
      <c r="AJ47">
        <v>2025</v>
      </c>
      <c r="AK47" s="123">
        <v>25</v>
      </c>
    </row>
    <row r="48" spans="2:52" x14ac:dyDescent="0.3">
      <c r="D48" t="str">
        <f>'ITEMS_Comm_BASE_JM '!B9</f>
        <v>IPPELC</v>
      </c>
      <c r="H48" s="123"/>
      <c r="I48" s="123"/>
      <c r="N48" s="2"/>
      <c r="U48" s="123"/>
      <c r="AC48" s="136">
        <f>'Processes_JM '!AC15</f>
        <v>0.63121997572180577</v>
      </c>
      <c r="AD48" s="123"/>
      <c r="AE48" s="123"/>
      <c r="AF48" s="123"/>
      <c r="AG48" s="123"/>
      <c r="AH48" s="123"/>
      <c r="AI48" s="123"/>
      <c r="AK48" s="123"/>
    </row>
    <row r="49" spans="2:46" x14ac:dyDescent="0.3">
      <c r="D49" t="str">
        <f>'ITEMS_Comm_BASE_JM '!B17</f>
        <v>IPPSTM</v>
      </c>
      <c r="H49" s="123"/>
      <c r="I49" s="123"/>
      <c r="N49" s="2"/>
      <c r="U49" s="123"/>
      <c r="AC49" s="136"/>
      <c r="AD49" s="136">
        <f>'Processes_JM '!AD16</f>
        <v>1.0382968436917361</v>
      </c>
      <c r="AE49" s="123"/>
      <c r="AF49" s="123"/>
      <c r="AG49" s="123"/>
      <c r="AH49" s="123"/>
      <c r="AI49" s="123"/>
      <c r="AK49" s="123"/>
    </row>
    <row r="50" spans="2:46" x14ac:dyDescent="0.3">
      <c r="D50" s="326" t="str">
        <f>'ITEMS_Comm_BASE_JM '!B11</f>
        <v>IPPBIP</v>
      </c>
      <c r="H50" s="123"/>
      <c r="I50" s="123"/>
      <c r="N50" s="2"/>
      <c r="U50" s="123"/>
      <c r="AC50" s="136"/>
      <c r="AD50" s="136"/>
      <c r="AE50" s="123"/>
      <c r="AF50" s="326">
        <f>'Processes_JM '!AF17</f>
        <v>1.5172655923305569</v>
      </c>
      <c r="AG50" s="123"/>
      <c r="AH50" s="123"/>
      <c r="AI50" s="123"/>
      <c r="AK50" s="123"/>
      <c r="AQ50">
        <v>3</v>
      </c>
      <c r="AS50">
        <f>EB_Exist!AN11</f>
        <v>0.55863871944227861</v>
      </c>
    </row>
    <row r="51" spans="2:46" x14ac:dyDescent="0.3">
      <c r="E51" t="str">
        <f>'ITEMS_Comm_BASE_JM '!B18</f>
        <v>IPPPULP</v>
      </c>
      <c r="H51" s="123"/>
      <c r="I51" s="123"/>
      <c r="N51" s="2"/>
      <c r="P51">
        <f>INDEX('Capital costs'!$E$3:$E$26,MATCH(B47,'Capital costs'!$B$3:$B$26,0))</f>
        <v>4309.4828351638689</v>
      </c>
      <c r="Q51">
        <v>1</v>
      </c>
      <c r="S51">
        <v>0.85</v>
      </c>
      <c r="U51" s="123"/>
      <c r="AC51" s="136"/>
      <c r="AD51" s="136"/>
      <c r="AE51" s="123"/>
      <c r="AF51" s="123"/>
      <c r="AG51" s="123"/>
      <c r="AH51" s="123"/>
      <c r="AI51" s="123"/>
      <c r="AK51" s="123"/>
    </row>
    <row r="52" spans="2:46" x14ac:dyDescent="0.3">
      <c r="B52" s="123" t="str">
        <f>'ITEM_Tech_BASE_JM '!B32</f>
        <v>IPPDIS-N</v>
      </c>
      <c r="C52" s="123" t="str">
        <f>'ITEM_Tech_BASE_JM '!C32</f>
        <v>Pulping - Dissolving New</v>
      </c>
      <c r="D52" t="str">
        <f>'ITEMS_Comm_BASE_JM '!B9</f>
        <v>IPPELC</v>
      </c>
      <c r="H52" s="123"/>
      <c r="I52" s="123"/>
      <c r="N52" s="2"/>
      <c r="U52" s="123"/>
      <c r="AB52">
        <v>1</v>
      </c>
      <c r="AC52" s="123">
        <f>'Processes_JM '!AC19</f>
        <v>3.3106023746174635</v>
      </c>
      <c r="AD52" s="123"/>
      <c r="AE52" s="123"/>
      <c r="AF52" s="123"/>
      <c r="AG52" s="123"/>
      <c r="AH52" s="123"/>
      <c r="AJ52">
        <v>2025</v>
      </c>
      <c r="AK52" s="123">
        <v>25</v>
      </c>
    </row>
    <row r="53" spans="2:46" x14ac:dyDescent="0.3">
      <c r="D53" t="str">
        <f>'ITEMS_Comm_BASE_JM '!B17</f>
        <v>IPPSTM</v>
      </c>
      <c r="H53" s="123"/>
      <c r="I53" s="123"/>
      <c r="N53" s="2"/>
      <c r="U53" s="123"/>
      <c r="AC53" s="123"/>
      <c r="AD53" s="123">
        <f>'Processes_JM '!AD20</f>
        <v>13.300000000000004</v>
      </c>
      <c r="AE53" s="123"/>
      <c r="AF53" s="123"/>
      <c r="AG53" s="123"/>
      <c r="AH53" s="123"/>
      <c r="AK53" s="123"/>
    </row>
    <row r="54" spans="2:46" x14ac:dyDescent="0.3">
      <c r="D54" t="str">
        <f>RES!B7</f>
        <v>INDCOA</v>
      </c>
      <c r="H54" s="123"/>
      <c r="I54" s="123"/>
      <c r="N54" s="2"/>
      <c r="U54" s="123"/>
      <c r="AC54" s="123"/>
      <c r="AD54" s="123"/>
      <c r="AE54" s="123"/>
      <c r="AF54" s="123"/>
      <c r="AG54" s="123"/>
      <c r="AH54" s="136">
        <f>'Processes_JM '!AH27</f>
        <v>5.1826921071993644</v>
      </c>
      <c r="AI54" s="123"/>
      <c r="AK54" s="123"/>
    </row>
    <row r="55" spans="2:46" x14ac:dyDescent="0.3">
      <c r="D55" s="326" t="str">
        <f>'ITEMS_Comm_BASE_JM '!B11</f>
        <v>IPPBIP</v>
      </c>
      <c r="H55" s="123"/>
      <c r="I55" s="123"/>
      <c r="N55" s="2"/>
      <c r="U55" s="123"/>
      <c r="AC55" s="123"/>
      <c r="AD55" s="123"/>
      <c r="AE55" s="123"/>
      <c r="AF55" s="326">
        <f>'Processes_JM '!AF22</f>
        <v>19.262080000000001</v>
      </c>
      <c r="AG55" s="123"/>
      <c r="AH55" s="136"/>
      <c r="AI55" s="123"/>
      <c r="AK55" s="123"/>
    </row>
    <row r="56" spans="2:46" x14ac:dyDescent="0.3">
      <c r="E56" t="str">
        <f>'Processes_JM '!E23</f>
        <v>IPPPULPD</v>
      </c>
      <c r="H56" s="123"/>
      <c r="I56" s="123"/>
      <c r="N56" s="2"/>
      <c r="P56">
        <f>INDEX('Capital costs'!$E$3:$E$26,MATCH(B52,'Capital costs'!$B$3:$B$26,0))</f>
        <v>13069.743024677311</v>
      </c>
      <c r="Q56">
        <v>1</v>
      </c>
      <c r="S56">
        <v>0.85</v>
      </c>
      <c r="U56" s="123"/>
      <c r="AC56" s="123"/>
      <c r="AD56" s="123"/>
      <c r="AE56" s="123"/>
      <c r="AF56" s="326"/>
      <c r="AG56" s="123"/>
      <c r="AH56" s="136"/>
      <c r="AI56" s="123"/>
      <c r="AK56" s="123"/>
    </row>
    <row r="57" spans="2:46" x14ac:dyDescent="0.3">
      <c r="E57" t="str">
        <f>'ITEMS_Comm_BASE_JM '!B15</f>
        <v>IPPBLQ</v>
      </c>
      <c r="H57" s="123"/>
      <c r="I57" s="123"/>
      <c r="N57" s="2"/>
      <c r="U57" s="123"/>
      <c r="AC57" s="123"/>
      <c r="AD57" s="123"/>
      <c r="AE57" s="123"/>
      <c r="AF57" s="326"/>
      <c r="AG57" s="123"/>
      <c r="AH57" s="136"/>
      <c r="AI57" s="136">
        <f>'Processes_JM '!AI24</f>
        <v>31.398533121995733</v>
      </c>
      <c r="AK57" s="123"/>
    </row>
    <row r="58" spans="2:46" x14ac:dyDescent="0.3">
      <c r="B58" s="123" t="str">
        <f>'ITEM_Tech_BASE_JM '!B33</f>
        <v>IPPCHE-N</v>
      </c>
      <c r="C58" s="123" t="str">
        <f>'ITEM_Tech_BASE_JM '!C33</f>
        <v>Pulping - Chemical New</v>
      </c>
      <c r="D58" t="str">
        <f>'ITEMS_Comm_BASE_JM '!B9</f>
        <v>IPPELC</v>
      </c>
      <c r="H58" s="123"/>
      <c r="I58" s="123"/>
      <c r="N58" s="2"/>
      <c r="U58" s="123"/>
      <c r="AB58">
        <v>1</v>
      </c>
      <c r="AC58" s="123">
        <f>AC25</f>
        <v>5.4333281828562692</v>
      </c>
      <c r="AD58" s="123"/>
      <c r="AE58" s="123"/>
      <c r="AF58" s="326"/>
      <c r="AG58" s="123"/>
      <c r="AH58" s="123"/>
      <c r="AI58" s="123"/>
      <c r="AJ58">
        <v>2025</v>
      </c>
      <c r="AK58" s="123">
        <v>25</v>
      </c>
    </row>
    <row r="59" spans="2:46" x14ac:dyDescent="0.3">
      <c r="D59" t="str">
        <f>'ITEMS_Comm_BASE_JM '!B17</f>
        <v>IPPSTM</v>
      </c>
      <c r="H59" s="123"/>
      <c r="I59" s="123"/>
      <c r="N59" s="2"/>
      <c r="U59" s="123"/>
      <c r="AC59" s="123"/>
      <c r="AD59" s="123">
        <f>AD26</f>
        <v>20.654552368397468</v>
      </c>
      <c r="AE59" s="123"/>
      <c r="AF59" s="326"/>
      <c r="AG59" s="123"/>
      <c r="AH59" s="123"/>
      <c r="AK59" s="123"/>
    </row>
    <row r="60" spans="2:46" x14ac:dyDescent="0.3">
      <c r="D60" t="str">
        <f>RES!B7</f>
        <v>INDCOA</v>
      </c>
      <c r="H60" s="123"/>
      <c r="I60" s="123"/>
      <c r="N60" s="2"/>
      <c r="U60" s="123"/>
      <c r="AC60" s="123"/>
      <c r="AD60" s="123"/>
      <c r="AE60" s="123"/>
      <c r="AF60" s="326"/>
      <c r="AG60" s="123"/>
      <c r="AH60" s="136">
        <f>AH27</f>
        <v>5.1826921071993644</v>
      </c>
      <c r="AI60" s="123"/>
      <c r="AK60" s="123"/>
    </row>
    <row r="61" spans="2:46" x14ac:dyDescent="0.3">
      <c r="D61" s="326" t="str">
        <f>'ITEMS_Comm_BASE_JM '!B11</f>
        <v>IPPBIP</v>
      </c>
      <c r="H61" s="123"/>
      <c r="I61" s="123"/>
      <c r="N61" s="2"/>
      <c r="U61" s="123"/>
      <c r="AC61" s="123"/>
      <c r="AD61" s="123"/>
      <c r="AE61" s="123"/>
      <c r="AF61" s="326">
        <f>AF28</f>
        <v>29.960045560449764</v>
      </c>
      <c r="AG61" s="123"/>
      <c r="AH61" s="136"/>
      <c r="AI61" s="123"/>
      <c r="AK61" s="123"/>
      <c r="AQ61">
        <v>3</v>
      </c>
      <c r="AT61">
        <f>EB_Exist!AN8</f>
        <v>0.34578292552914086</v>
      </c>
    </row>
    <row r="62" spans="2:46" x14ac:dyDescent="0.3">
      <c r="E62" t="str">
        <f>'ITEMS_Comm_BASE_JM '!B18</f>
        <v>IPPPULP</v>
      </c>
      <c r="H62" s="123"/>
      <c r="I62" s="123"/>
      <c r="N62" s="2"/>
      <c r="P62">
        <f>INDEX('Capital costs'!$E$3:$E$26,MATCH(B58,'Capital costs'!$B$3:$B$26,0))</f>
        <v>26139.486049354622</v>
      </c>
      <c r="Q62">
        <v>1</v>
      </c>
      <c r="S62">
        <v>0.85</v>
      </c>
      <c r="U62" s="123"/>
      <c r="AC62" s="123"/>
      <c r="AD62" s="123"/>
      <c r="AE62" s="123"/>
      <c r="AF62" s="326"/>
      <c r="AG62" s="123"/>
      <c r="AH62" s="136"/>
      <c r="AI62" s="123"/>
      <c r="AK62" s="123"/>
    </row>
    <row r="63" spans="2:46" x14ac:dyDescent="0.3">
      <c r="E63" t="str">
        <f>'ITEMS_Comm_BASE_JM '!B19</f>
        <v>IPPBLQ</v>
      </c>
      <c r="H63" s="123"/>
      <c r="I63" s="123"/>
      <c r="N63" s="2"/>
      <c r="U63" s="123"/>
      <c r="AC63" s="123"/>
      <c r="AD63" s="123"/>
      <c r="AE63" s="123"/>
      <c r="AF63" s="326"/>
      <c r="AG63" s="123"/>
      <c r="AH63" s="136"/>
      <c r="AI63" s="136">
        <f>AI30</f>
        <v>27.450206417681596</v>
      </c>
      <c r="AK63" s="123"/>
    </row>
    <row r="64" spans="2:46" x14ac:dyDescent="0.3">
      <c r="B64" s="123" t="str">
        <f>'ITEM_Tech_BASE_JM '!B34</f>
        <v>IPPMCH-N</v>
      </c>
      <c r="C64" s="123" t="str">
        <f>'ITEM_Tech_BASE_JM '!C34</f>
        <v>Pulping - Mechanical New</v>
      </c>
      <c r="D64" t="str">
        <f>'ITEMS_Comm_BASE_JM '!B9</f>
        <v>IPPELC</v>
      </c>
      <c r="H64" s="123"/>
      <c r="I64" s="123"/>
      <c r="N64" s="2"/>
      <c r="U64" s="123"/>
      <c r="AB64">
        <v>1</v>
      </c>
      <c r="AC64" s="123">
        <f>AD32</f>
        <v>7.2405257379991435</v>
      </c>
      <c r="AE64" s="123"/>
      <c r="AF64" s="326"/>
      <c r="AG64" s="123"/>
      <c r="AH64" s="123"/>
      <c r="AI64" s="123"/>
      <c r="AJ64">
        <v>2025</v>
      </c>
      <c r="AK64" s="123">
        <v>25</v>
      </c>
    </row>
    <row r="65" spans="2:50" x14ac:dyDescent="0.3">
      <c r="D65" t="str">
        <f>'ITEMS_Comm_BASE_JM '!B17</f>
        <v>IPPSTM</v>
      </c>
      <c r="H65" s="123"/>
      <c r="I65" s="123"/>
      <c r="N65" s="2"/>
      <c r="U65" s="123"/>
      <c r="AC65" s="123"/>
      <c r="AD65" s="123">
        <f>AC31</f>
        <v>15.941282195487991</v>
      </c>
      <c r="AE65" s="123"/>
      <c r="AF65" s="326"/>
      <c r="AG65" s="123"/>
      <c r="AH65" s="123"/>
      <c r="AI65" s="123"/>
      <c r="AK65" s="123"/>
    </row>
    <row r="66" spans="2:50" x14ac:dyDescent="0.3">
      <c r="D66" s="326" t="str">
        <f>'ITEMS_Comm_BASE_JM '!B11</f>
        <v>IPPBIP</v>
      </c>
      <c r="H66" s="123"/>
      <c r="I66" s="123"/>
      <c r="N66" s="2"/>
      <c r="U66" s="123"/>
      <c r="AC66" s="123"/>
      <c r="AD66" s="123"/>
      <c r="AE66" s="123"/>
      <c r="AF66" s="326">
        <f>AF33</f>
        <v>19.336746197657551</v>
      </c>
      <c r="AG66" s="123"/>
      <c r="AH66" s="123"/>
      <c r="AI66" s="123"/>
      <c r="AK66" s="123"/>
      <c r="AQ66">
        <v>3</v>
      </c>
      <c r="AR66">
        <f>EB_Exist!AN9</f>
        <v>9.5578355028580586E-2</v>
      </c>
    </row>
    <row r="67" spans="2:50" x14ac:dyDescent="0.3">
      <c r="E67" t="str">
        <f>'ITEMS_Comm_BASE_JM '!B18</f>
        <v>IPPPULP</v>
      </c>
      <c r="H67" s="123"/>
      <c r="I67" s="123"/>
      <c r="N67" s="2"/>
      <c r="P67">
        <f>INDEX('Capital costs'!$E$3:$E$26,MATCH(B64,'Capital costs'!$B$3:$B$26,0))</f>
        <v>4309.4828351638689</v>
      </c>
      <c r="Q67">
        <v>1</v>
      </c>
      <c r="S67">
        <v>0.85</v>
      </c>
      <c r="U67" s="123"/>
      <c r="AC67" s="123"/>
      <c r="AD67" s="123"/>
      <c r="AE67" s="123"/>
      <c r="AF67" s="123"/>
      <c r="AG67" s="123"/>
      <c r="AH67" s="123"/>
      <c r="AI67" s="123"/>
      <c r="AK67" s="123"/>
    </row>
    <row r="68" spans="2:50" x14ac:dyDescent="0.3">
      <c r="B68" s="123" t="s">
        <v>1544</v>
      </c>
      <c r="C68" s="123" t="s">
        <v>1545</v>
      </c>
      <c r="D68" t="s">
        <v>29</v>
      </c>
      <c r="E68" t="s">
        <v>22</v>
      </c>
      <c r="G68">
        <v>0.85</v>
      </c>
      <c r="H68" s="136"/>
      <c r="I68" s="132"/>
      <c r="J68" s="134"/>
      <c r="K68" s="134"/>
      <c r="L68" s="134"/>
      <c r="N68" s="2"/>
      <c r="O68" s="650">
        <f>'Capital costs'!F12</f>
        <v>18.158522513173889</v>
      </c>
      <c r="P68">
        <f>'Capital costs'!E12</f>
        <v>363.17045026347773</v>
      </c>
      <c r="Q68">
        <v>1</v>
      </c>
      <c r="S68" s="123"/>
      <c r="T68" s="123"/>
      <c r="U68" s="123"/>
      <c r="AB68">
        <v>1</v>
      </c>
      <c r="AC68" s="123"/>
      <c r="AD68" s="123"/>
      <c r="AE68" s="123"/>
      <c r="AF68" s="123"/>
      <c r="AG68" s="123"/>
      <c r="AH68" s="123"/>
      <c r="AI68" s="123"/>
      <c r="AL68" s="136"/>
    </row>
    <row r="69" spans="2:50" x14ac:dyDescent="0.3">
      <c r="B69" s="123" t="str">
        <f>'ITEM_Tech_BASE_JM '!B35</f>
        <v>IPPSTMCOA-N</v>
      </c>
      <c r="C69" s="123" t="str">
        <f>'ITEM_Tech_BASE_JM '!C35</f>
        <v>Boiler - Coal New</v>
      </c>
      <c r="D69" t="str">
        <f>RES!B7</f>
        <v>INDCOA</v>
      </c>
      <c r="E69" t="str">
        <f>'ITEMS_Comm_BASE_JM '!B17</f>
        <v>IPPSTM</v>
      </c>
      <c r="G69" s="137">
        <f>G35</f>
        <v>0.33025099075297226</v>
      </c>
      <c r="H69" s="123"/>
      <c r="I69" s="123"/>
      <c r="N69" s="2"/>
      <c r="O69">
        <f>5%*P69</f>
        <v>10.907793673159219</v>
      </c>
      <c r="P69">
        <f>INDEX('Capital costs'!$E$3:$E$26,MATCH(B69,'Capital costs'!$B$3:$B$26,0))</f>
        <v>218.15587346318435</v>
      </c>
      <c r="Q69">
        <v>1</v>
      </c>
      <c r="S69">
        <v>0.85</v>
      </c>
      <c r="U69" s="123"/>
      <c r="AB69">
        <v>1</v>
      </c>
      <c r="AC69" s="123"/>
      <c r="AD69" s="123"/>
      <c r="AE69" s="123"/>
      <c r="AF69" s="123"/>
      <c r="AG69" s="123"/>
      <c r="AH69" s="123"/>
      <c r="AI69" s="123"/>
      <c r="AJ69" s="51">
        <v>2020</v>
      </c>
      <c r="AK69" s="123">
        <v>40</v>
      </c>
      <c r="AU69">
        <v>3</v>
      </c>
      <c r="AV69">
        <v>0.5</v>
      </c>
      <c r="AW69">
        <v>1</v>
      </c>
      <c r="AX69" s="2">
        <v>2.5</v>
      </c>
    </row>
    <row r="70" spans="2:50" x14ac:dyDescent="0.3">
      <c r="B70" s="123" t="str">
        <f>'ITEM_Tech_BASE_JM '!B36</f>
        <v>IPPSTMGAS-N</v>
      </c>
      <c r="C70" s="123" t="str">
        <f>'ITEM_Tech_BASE_JM '!C36</f>
        <v>Boiler - Gas New</v>
      </c>
      <c r="D70" t="str">
        <f>D36</f>
        <v>INDGAS</v>
      </c>
      <c r="E70" t="str">
        <f>'ITEMS_Comm_BASE_JM '!B17</f>
        <v>IPPSTM</v>
      </c>
      <c r="G70" s="137">
        <f>G36</f>
        <v>0.55391979116996026</v>
      </c>
      <c r="H70" s="123"/>
      <c r="I70" s="123"/>
      <c r="N70" s="2"/>
      <c r="O70">
        <f t="shared" ref="O70:O72" si="0">5%*P70</f>
        <v>3.4725519618527039</v>
      </c>
      <c r="P70">
        <f>INDEX('Capital costs'!$E$3:$E$26,MATCH(B70,'Capital costs'!$B$3:$B$26,0))</f>
        <v>69.451039237054076</v>
      </c>
      <c r="Q70">
        <v>1</v>
      </c>
      <c r="S70">
        <v>0.85</v>
      </c>
      <c r="U70" s="123"/>
      <c r="AB70">
        <v>1</v>
      </c>
      <c r="AC70" s="123"/>
      <c r="AD70" s="123"/>
      <c r="AE70" s="123"/>
      <c r="AF70" s="123"/>
      <c r="AG70" s="123"/>
      <c r="AH70" s="123"/>
      <c r="AI70" s="123"/>
      <c r="AJ70" s="51">
        <v>2020</v>
      </c>
      <c r="AK70" s="123">
        <v>40</v>
      </c>
      <c r="AU70">
        <v>3</v>
      </c>
      <c r="AV70">
        <v>0.5</v>
      </c>
      <c r="AW70">
        <v>1</v>
      </c>
      <c r="AX70" s="2">
        <v>2.5</v>
      </c>
    </row>
    <row r="71" spans="2:50" x14ac:dyDescent="0.3">
      <c r="B71" s="123" t="str">
        <f>'ITEM_Tech_BASE_JM '!B37</f>
        <v>IPPSTMBLQ-N</v>
      </c>
      <c r="C71" s="123" t="str">
        <f>'ITEM_Tech_BASE_JM '!C37</f>
        <v>Boiler - black liquor New</v>
      </c>
      <c r="D71" t="str">
        <f>'ITEMS_Comm_BASE_JM '!B19</f>
        <v>IPPBLQ</v>
      </c>
      <c r="E71" t="str">
        <f>'ITEMS_Comm_BASE_JM '!B17</f>
        <v>IPPSTM</v>
      </c>
      <c r="G71" s="137">
        <f>G37</f>
        <v>0.60401065424431821</v>
      </c>
      <c r="H71" s="123"/>
      <c r="I71" s="123"/>
      <c r="N71" s="2"/>
      <c r="O71">
        <f t="shared" si="0"/>
        <v>17.757840571390471</v>
      </c>
      <c r="P71">
        <f>INDEX('Capital costs'!$E$3:$E$26,MATCH(B72,'Capital costs'!$B$3:$B$26,0))</f>
        <v>355.15681142780943</v>
      </c>
      <c r="Q71">
        <v>1</v>
      </c>
      <c r="S71">
        <v>0.85</v>
      </c>
      <c r="U71" s="123"/>
      <c r="AB71">
        <v>1</v>
      </c>
      <c r="AC71" s="123"/>
      <c r="AD71" s="123"/>
      <c r="AE71" s="123"/>
      <c r="AF71" s="123"/>
      <c r="AG71" s="123"/>
      <c r="AH71" s="123"/>
      <c r="AI71" s="123"/>
      <c r="AJ71" s="51">
        <v>2020</v>
      </c>
      <c r="AK71" s="123">
        <v>40</v>
      </c>
    </row>
    <row r="72" spans="2:50" x14ac:dyDescent="0.3">
      <c r="B72" s="123" t="str">
        <f>'ITEM_Tech_BASE_JM '!B38</f>
        <v>IPPSTMBIO-N</v>
      </c>
      <c r="C72" s="123" t="str">
        <f>'ITEM_Tech_BASE_JM '!C38</f>
        <v>Boiler - biomass New</v>
      </c>
      <c r="D72" t="str">
        <f>'ITEMS_Comm_BASE_JM '!B12</f>
        <v>IPPBIO</v>
      </c>
      <c r="E72" t="str">
        <f>'ITEMS_Comm_BASE_JM '!B17</f>
        <v>IPPSTM</v>
      </c>
      <c r="G72" s="137">
        <f>G38</f>
        <v>0.65516342057274379</v>
      </c>
      <c r="H72" s="123"/>
      <c r="I72" s="123"/>
      <c r="N72" s="2"/>
      <c r="O72">
        <f t="shared" si="0"/>
        <v>17.757840571390471</v>
      </c>
      <c r="P72">
        <f>INDEX('Capital costs'!$E$3:$E$26,MATCH(B72,'Capital costs'!$B$3:$B$26,0))</f>
        <v>355.15681142780943</v>
      </c>
      <c r="Q72">
        <v>1</v>
      </c>
      <c r="S72">
        <v>0.85</v>
      </c>
      <c r="U72" s="123"/>
      <c r="AB72">
        <v>1</v>
      </c>
      <c r="AC72" s="123"/>
      <c r="AD72" s="123"/>
      <c r="AE72" s="123"/>
      <c r="AF72" s="123"/>
      <c r="AG72" s="123"/>
      <c r="AH72" s="123"/>
      <c r="AI72" s="123"/>
      <c r="AJ72" s="51">
        <v>2020</v>
      </c>
      <c r="AK72" s="123">
        <v>40</v>
      </c>
      <c r="AU72">
        <v>3</v>
      </c>
      <c r="AV72">
        <v>0.5</v>
      </c>
      <c r="AW72">
        <v>1</v>
      </c>
      <c r="AX72" s="2">
        <v>2.5</v>
      </c>
    </row>
    <row r="73" spans="2:50" x14ac:dyDescent="0.3">
      <c r="B73" s="123" t="str">
        <f>'ITEM_Tech_BASE_JM '!B47</f>
        <v>XIPPREC</v>
      </c>
      <c r="C73" s="123" t="str">
        <f>'ITEM_Tech_BASE_JM '!C47</f>
        <v>Industry - PP - Source of recovery paper</v>
      </c>
      <c r="E73" t="str">
        <f>'ITEMS_Comm_BASE_JM '!B16</f>
        <v>IPPREC</v>
      </c>
      <c r="H73" s="123"/>
      <c r="I73" s="123"/>
      <c r="N73" s="2"/>
      <c r="Z73">
        <v>5</v>
      </c>
      <c r="AA73" s="123">
        <f>'PAMS levers'!E22</f>
        <v>2.7210000000000001</v>
      </c>
      <c r="AC73" s="123"/>
      <c r="AD73" s="123"/>
      <c r="AE73" s="123"/>
      <c r="AF73" s="123"/>
      <c r="AG73" s="123"/>
      <c r="AH73" s="123"/>
      <c r="AI73" s="123"/>
      <c r="AK73" s="123"/>
    </row>
    <row r="74" spans="2:50" x14ac:dyDescent="0.3">
      <c r="D74" s="124"/>
      <c r="H74" s="123"/>
      <c r="I74" s="123"/>
      <c r="N74" s="2"/>
      <c r="AC74" s="123"/>
      <c r="AD74" s="123"/>
      <c r="AE74" s="123"/>
      <c r="AF74" s="123"/>
      <c r="AG74" s="123"/>
      <c r="AH74" s="123"/>
      <c r="AI74" s="123"/>
    </row>
    <row r="75" spans="2:50" x14ac:dyDescent="0.3">
      <c r="H75" s="123"/>
      <c r="I75" s="123"/>
      <c r="N75" s="2"/>
      <c r="AC75" s="123"/>
      <c r="AD75" s="123"/>
      <c r="AE75" s="123"/>
      <c r="AF75" s="123"/>
      <c r="AG75" s="123"/>
      <c r="AH75" s="123"/>
      <c r="AI75" s="123"/>
    </row>
    <row r="76" spans="2:50" x14ac:dyDescent="0.3">
      <c r="D76" s="124"/>
      <c r="H76" s="123"/>
      <c r="I76" s="123"/>
      <c r="N76" s="2"/>
      <c r="AC76" s="123"/>
      <c r="AD76" s="123"/>
      <c r="AE76" s="123"/>
      <c r="AF76" s="123"/>
      <c r="AG76" s="123"/>
      <c r="AH76" s="123"/>
      <c r="AI76" s="123"/>
    </row>
    <row r="77" spans="2:50" x14ac:dyDescent="0.3">
      <c r="D77" s="124"/>
      <c r="N77" s="2"/>
      <c r="AC77" s="123"/>
      <c r="AD77" s="123"/>
      <c r="AE77" s="123"/>
      <c r="AF77" s="123"/>
      <c r="AG77" s="123"/>
      <c r="AH77" s="123"/>
      <c r="AI77" s="123"/>
    </row>
    <row r="78" spans="2:50" x14ac:dyDescent="0.3">
      <c r="D78" s="124"/>
      <c r="N78" s="2"/>
      <c r="AC78" s="123"/>
      <c r="AD78" s="123"/>
      <c r="AE78" s="123"/>
      <c r="AF78" s="123"/>
      <c r="AG78" s="123"/>
      <c r="AH78" s="123"/>
      <c r="AI78" s="123"/>
    </row>
    <row r="79" spans="2:50" x14ac:dyDescent="0.3">
      <c r="D79" s="124"/>
      <c r="N79" s="2"/>
      <c r="AC79" s="123"/>
      <c r="AD79" s="123"/>
      <c r="AE79" s="123"/>
      <c r="AF79" s="123"/>
      <c r="AG79" s="123"/>
      <c r="AH79" s="123"/>
      <c r="AI79" s="123"/>
    </row>
    <row r="80" spans="2:50" x14ac:dyDescent="0.3">
      <c r="D80" s="124"/>
    </row>
    <row r="81" spans="4:4" x14ac:dyDescent="0.3">
      <c r="D81" s="124"/>
    </row>
  </sheetData>
  <phoneticPr fontId="88" type="noConversion"/>
  <pageMargins left="0.7" right="0.7" top="0.75" bottom="0.75" header="0.3" footer="0.3"/>
  <pageSetup orientation="portrait" r:id="rId1"/>
  <drawing r:id="rId2"/>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0BF62-9222-4CA0-A2AC-65D5F2069BC5}">
  <sheetPr>
    <tabColor rgb="FF0070C0"/>
  </sheetPr>
  <dimension ref="A1"/>
  <sheetViews>
    <sheetView workbookViewId="0">
      <selection activeCell="A13" sqref="A1:XFD13"/>
    </sheetView>
  </sheetViews>
  <sheetFormatPr defaultRowHeight="14.4" x14ac:dyDescent="0.3"/>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5"/>
  <sheetViews>
    <sheetView zoomScale="120" zoomScaleNormal="120" workbookViewId="0">
      <selection activeCell="K20" sqref="K20"/>
    </sheetView>
  </sheetViews>
  <sheetFormatPr defaultColWidth="8.88671875" defaultRowHeight="10.199999999999999" x14ac:dyDescent="0.2"/>
  <cols>
    <col min="1" max="1" width="8.88671875" style="6"/>
    <col min="2" max="2" width="13.88671875" style="6" customWidth="1"/>
    <col min="3" max="3" width="29.33203125" style="6" customWidth="1"/>
    <col min="4" max="4" width="10.88671875" style="6" customWidth="1"/>
    <col min="5" max="5" width="10.33203125" style="6" customWidth="1"/>
    <col min="6" max="6" width="14.33203125" style="6" customWidth="1"/>
    <col min="7" max="16384" width="8.88671875" style="6"/>
  </cols>
  <sheetData>
    <row r="1" spans="1:22" x14ac:dyDescent="0.2">
      <c r="A1" s="6" t="s">
        <v>123</v>
      </c>
      <c r="B1" s="114" t="s">
        <v>14</v>
      </c>
      <c r="G1" s="46"/>
      <c r="H1" s="114"/>
      <c r="I1" s="114"/>
      <c r="J1" s="114"/>
      <c r="K1" s="114"/>
      <c r="L1" s="114"/>
      <c r="M1" s="114"/>
      <c r="N1" s="114"/>
      <c r="O1" s="114"/>
      <c r="P1" s="114"/>
      <c r="Q1" s="114"/>
      <c r="R1" s="114"/>
      <c r="S1" s="114"/>
      <c r="T1" s="114"/>
      <c r="U1" s="114"/>
      <c r="V1" s="114"/>
    </row>
    <row r="2" spans="1:22" ht="13.2" x14ac:dyDescent="0.25">
      <c r="A2" s="168" t="str">
        <f ca="1">MID(CELL("filename",A1),FIND("]",CELL("filename",A1))+1,255)</f>
        <v>ProcData_Xtechs_JM</v>
      </c>
      <c r="B2" s="147"/>
      <c r="G2" s="46"/>
      <c r="H2" s="46" t="s">
        <v>214</v>
      </c>
      <c r="I2" s="46"/>
      <c r="J2" s="46"/>
      <c r="K2" s="46"/>
      <c r="L2" s="46"/>
      <c r="M2" s="46"/>
      <c r="N2" s="114"/>
      <c r="O2" s="114"/>
      <c r="P2" s="114"/>
      <c r="Q2" s="114"/>
      <c r="R2" s="114"/>
      <c r="S2" s="114"/>
      <c r="T2" s="114"/>
      <c r="U2" s="114"/>
      <c r="V2" s="114"/>
    </row>
    <row r="3" spans="1:22" ht="20.399999999999999" x14ac:dyDescent="0.2">
      <c r="G3" s="117" t="s">
        <v>142</v>
      </c>
      <c r="H3" s="117" t="s">
        <v>143</v>
      </c>
      <c r="I3" s="117" t="s">
        <v>143</v>
      </c>
      <c r="J3" s="117" t="s">
        <v>143</v>
      </c>
      <c r="K3" s="117" t="s">
        <v>143</v>
      </c>
      <c r="L3" s="117" t="s">
        <v>143</v>
      </c>
      <c r="M3" s="117" t="s">
        <v>155</v>
      </c>
      <c r="N3" s="117" t="s">
        <v>158</v>
      </c>
      <c r="O3" s="117" t="s">
        <v>144</v>
      </c>
      <c r="P3" s="114" t="s">
        <v>162</v>
      </c>
      <c r="Q3" s="114" t="s">
        <v>162</v>
      </c>
      <c r="R3" s="114" t="s">
        <v>162</v>
      </c>
      <c r="S3" s="114" t="s">
        <v>162</v>
      </c>
      <c r="T3" s="114"/>
      <c r="U3" s="131"/>
      <c r="V3" s="114"/>
    </row>
    <row r="4" spans="1:22" x14ac:dyDescent="0.2">
      <c r="G4" s="44" t="s">
        <v>145</v>
      </c>
      <c r="H4" s="44" t="s">
        <v>148</v>
      </c>
      <c r="I4" s="44" t="s">
        <v>148</v>
      </c>
      <c r="J4" s="44" t="s">
        <v>148</v>
      </c>
      <c r="K4" s="44" t="s">
        <v>148</v>
      </c>
      <c r="L4" s="44" t="s">
        <v>148</v>
      </c>
      <c r="M4" s="44" t="s">
        <v>156</v>
      </c>
      <c r="N4" s="44" t="s">
        <v>165</v>
      </c>
      <c r="O4" s="44" t="s">
        <v>149</v>
      </c>
      <c r="P4" s="128" t="s">
        <v>170</v>
      </c>
      <c r="Q4" s="128" t="s">
        <v>170</v>
      </c>
      <c r="R4" s="128" t="s">
        <v>170</v>
      </c>
      <c r="S4" s="128" t="s">
        <v>170</v>
      </c>
      <c r="T4" s="128" t="s">
        <v>170</v>
      </c>
      <c r="U4" s="128" t="s">
        <v>147</v>
      </c>
      <c r="V4" s="114"/>
    </row>
    <row r="5" spans="1:22" x14ac:dyDescent="0.2">
      <c r="G5" s="44" t="s">
        <v>150</v>
      </c>
      <c r="H5" s="44"/>
      <c r="I5" s="44"/>
      <c r="J5" s="44"/>
      <c r="K5" s="44"/>
      <c r="L5" s="44"/>
      <c r="M5" s="45"/>
      <c r="N5" s="114"/>
      <c r="O5" s="129"/>
      <c r="P5" s="128" t="str">
        <f>E8</f>
        <v>IPPBIO</v>
      </c>
      <c r="Q5" s="128" t="str">
        <f>E10</f>
        <v>IPPCOA</v>
      </c>
      <c r="R5" s="128" t="str">
        <f>E11</f>
        <v>IPPGAS</v>
      </c>
      <c r="S5" s="128" t="str">
        <f>E12</f>
        <v>IPPOHF</v>
      </c>
      <c r="T5" s="128" t="str">
        <f>E13</f>
        <v>IPPREC</v>
      </c>
      <c r="U5" s="131"/>
      <c r="V5" s="114"/>
    </row>
    <row r="6" spans="1:22" x14ac:dyDescent="0.2">
      <c r="B6" s="114"/>
      <c r="C6" s="114"/>
      <c r="D6" s="114"/>
      <c r="E6" s="114" t="s">
        <v>1305</v>
      </c>
      <c r="F6" s="114"/>
      <c r="G6" s="44" t="s">
        <v>151</v>
      </c>
      <c r="H6" s="44"/>
      <c r="I6" s="44"/>
      <c r="J6" s="44"/>
      <c r="K6" s="44"/>
      <c r="L6" s="44"/>
      <c r="M6" s="131"/>
      <c r="N6" s="114"/>
      <c r="O6" s="129"/>
      <c r="P6" s="114"/>
      <c r="Q6" s="114"/>
      <c r="R6" s="114"/>
      <c r="S6" s="114"/>
      <c r="T6" s="114"/>
      <c r="U6" s="131"/>
      <c r="V6" s="114"/>
    </row>
    <row r="7" spans="1:22" ht="20.399999999999999" x14ac:dyDescent="0.2">
      <c r="A7" s="114"/>
      <c r="B7" s="115" t="s">
        <v>1294</v>
      </c>
      <c r="C7" s="115" t="s">
        <v>1306</v>
      </c>
      <c r="D7" s="115" t="s">
        <v>1307</v>
      </c>
      <c r="E7" s="115" t="s">
        <v>1308</v>
      </c>
      <c r="F7" s="115" t="s">
        <v>1309</v>
      </c>
      <c r="G7" s="46" t="str">
        <f>IFERROR(REPLACE(G4,SEARCH("-",G4),1,"~"),G4)</f>
        <v>ACT_EFF</v>
      </c>
      <c r="H7" s="117" t="s">
        <v>1310</v>
      </c>
      <c r="I7" s="117" t="s">
        <v>1311</v>
      </c>
      <c r="J7" s="117" t="s">
        <v>1312</v>
      </c>
      <c r="K7" s="117" t="s">
        <v>1313</v>
      </c>
      <c r="L7" s="117" t="s">
        <v>1314</v>
      </c>
      <c r="M7" s="643" t="s">
        <v>1329</v>
      </c>
      <c r="N7" s="164" t="s">
        <v>165</v>
      </c>
      <c r="O7" s="640" t="s">
        <v>149</v>
      </c>
      <c r="P7" s="642" t="s">
        <v>170</v>
      </c>
      <c r="Q7" s="642" t="s">
        <v>170</v>
      </c>
      <c r="R7" s="642" t="s">
        <v>170</v>
      </c>
      <c r="S7" s="642" t="s">
        <v>170</v>
      </c>
      <c r="T7" s="642" t="s">
        <v>170</v>
      </c>
      <c r="U7" s="642" t="s">
        <v>1328</v>
      </c>
      <c r="V7" s="114"/>
    </row>
    <row r="8" spans="1:22" x14ac:dyDescent="0.2">
      <c r="B8" s="114" t="str">
        <f>'ITEM_Tech_BASE_JM '!B43</f>
        <v>XIPPBIO</v>
      </c>
      <c r="C8" s="114" t="str">
        <f>'ITEM_Tech_BASE_JM '!C43</f>
        <v>Industry - IPP - Biomass</v>
      </c>
      <c r="D8" s="114" t="str">
        <f>'ITEMS_Comm_BASE_JM '!B23</f>
        <v>INDBIW</v>
      </c>
      <c r="E8" s="114" t="str">
        <f>'ITEMS_Comm_BASE_JM '!B12</f>
        <v>IPPBIO</v>
      </c>
      <c r="F8" s="114"/>
      <c r="G8" s="148">
        <v>1</v>
      </c>
      <c r="M8" s="131"/>
      <c r="N8" s="6">
        <v>0</v>
      </c>
      <c r="O8" s="6">
        <v>1</v>
      </c>
      <c r="P8" s="6">
        <v>1</v>
      </c>
      <c r="U8" s="114">
        <v>25</v>
      </c>
    </row>
    <row r="9" spans="1:22" x14ac:dyDescent="0.2">
      <c r="B9" s="114"/>
      <c r="C9" s="114"/>
      <c r="D9" s="114"/>
      <c r="E9" s="114" t="str">
        <f>'ITEMS_Comm_BASE_JM '!B11</f>
        <v>IPPBIP</v>
      </c>
      <c r="F9" s="114"/>
      <c r="G9" s="148"/>
      <c r="M9" s="131"/>
      <c r="U9" s="114"/>
    </row>
    <row r="10" spans="1:22" x14ac:dyDescent="0.2">
      <c r="B10" s="114" t="str">
        <f>'ITEM_Tech_BASE_JM '!B44</f>
        <v>XIPPCOA</v>
      </c>
      <c r="C10" s="114" t="str">
        <f>'ITEM_Tech_BASE_JM '!C44</f>
        <v>Industry - IPP - Coal</v>
      </c>
      <c r="D10" s="114" t="str">
        <f>'ITEMS_Comm_BASE_JM '!B24</f>
        <v>INDCOA</v>
      </c>
      <c r="E10" s="114" t="str">
        <f>'ITEMS_Comm_BASE_JM '!B10</f>
        <v>IPPCOA</v>
      </c>
      <c r="G10" s="148">
        <v>1</v>
      </c>
      <c r="N10" s="6">
        <v>0</v>
      </c>
      <c r="O10" s="6">
        <v>1</v>
      </c>
      <c r="Q10" s="6">
        <v>1</v>
      </c>
      <c r="U10" s="114">
        <v>25</v>
      </c>
    </row>
    <row r="11" spans="1:22" x14ac:dyDescent="0.2">
      <c r="B11" s="114" t="str">
        <f>'ITEM_Tech_BASE_JM '!B45</f>
        <v>XIPPGAS</v>
      </c>
      <c r="C11" s="114" t="str">
        <f>'ITEM_Tech_BASE_JM '!C45</f>
        <v>Industry - IPP - Gas</v>
      </c>
      <c r="D11" s="114" t="str">
        <f>'ITEMS_Comm_BASE_JM '!B25</f>
        <v>INDGAS</v>
      </c>
      <c r="E11" s="114" t="str">
        <f>'ITEMS_Comm_BASE_JM '!B13</f>
        <v>IPPGAS</v>
      </c>
      <c r="G11" s="148">
        <v>1</v>
      </c>
      <c r="N11" s="6">
        <v>0</v>
      </c>
      <c r="O11" s="6">
        <v>1</v>
      </c>
      <c r="R11" s="6">
        <v>1</v>
      </c>
      <c r="U11" s="114">
        <v>25</v>
      </c>
    </row>
    <row r="12" spans="1:22" x14ac:dyDescent="0.2">
      <c r="B12" s="114" t="str">
        <f>'ITEM_Tech_BASE_JM '!B46</f>
        <v>XIPPOTH</v>
      </c>
      <c r="C12" s="114" t="str">
        <f>'ITEM_Tech_BASE_JM '!C46</f>
        <v>Industry - IPP - HFO</v>
      </c>
      <c r="D12" s="114" t="str">
        <f>'ITEMS_Comm_BASE_JM '!B26</f>
        <v>INDOHF</v>
      </c>
      <c r="E12" s="114" t="str">
        <f>'ITEMS_Comm_BASE_JM '!B14</f>
        <v>IPPOHF</v>
      </c>
      <c r="G12" s="148">
        <v>1</v>
      </c>
      <c r="N12" s="6">
        <v>0</v>
      </c>
      <c r="O12" s="6">
        <v>1</v>
      </c>
      <c r="S12" s="6">
        <v>1</v>
      </c>
      <c r="U12" s="114">
        <v>25</v>
      </c>
    </row>
    <row r="13" spans="1:22" x14ac:dyDescent="0.2">
      <c r="B13" s="114" t="str">
        <f>'ITEM_Tech_BASE_JM '!B47</f>
        <v>XIPPREC</v>
      </c>
      <c r="C13" s="114" t="str">
        <f>'ITEM_Tech_BASE_JM '!C47</f>
        <v>Industry - PP - Source of recovery paper</v>
      </c>
      <c r="D13" s="114"/>
      <c r="E13" s="114" t="str">
        <f>'ITEMS_Comm_BASE_JM '!B16</f>
        <v>IPPREC</v>
      </c>
      <c r="G13" s="148"/>
      <c r="N13" s="6">
        <v>0</v>
      </c>
      <c r="O13" s="6">
        <v>1</v>
      </c>
      <c r="T13" s="6">
        <v>1</v>
      </c>
      <c r="U13" s="114">
        <v>25</v>
      </c>
    </row>
    <row r="14" spans="1:22" x14ac:dyDescent="0.2">
      <c r="U14" s="131"/>
    </row>
    <row r="15" spans="1:22" x14ac:dyDescent="0.2">
      <c r="U15" s="131"/>
    </row>
  </sheetData>
  <phoneticPr fontId="8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4.4" x14ac:dyDescent="0.3"/>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E5" sqref="E5"/>
    </sheetView>
  </sheetViews>
  <sheetFormatPr defaultRowHeight="14.4" x14ac:dyDescent="0.3"/>
  <cols>
    <col min="2" max="2" width="12.5546875" customWidth="1"/>
    <col min="19" max="19" width="8.88671875" style="2"/>
    <col min="22" max="22" width="8.88671875" style="2"/>
    <col min="24" max="24" width="8.88671875" style="2"/>
  </cols>
  <sheetData>
    <row r="1" spans="1:25" x14ac:dyDescent="0.3">
      <c r="A1" s="6" t="s">
        <v>123</v>
      </c>
      <c r="B1" s="114" t="s">
        <v>14</v>
      </c>
      <c r="C1" s="6"/>
      <c r="D1" s="6"/>
      <c r="E1" s="6"/>
      <c r="F1" s="6"/>
      <c r="G1" s="46"/>
      <c r="H1" s="114"/>
      <c r="I1" s="114"/>
      <c r="J1" s="114"/>
      <c r="K1" s="114"/>
      <c r="L1" s="114"/>
      <c r="M1" s="114"/>
      <c r="N1" s="114"/>
      <c r="O1" s="114"/>
      <c r="P1" s="114"/>
      <c r="Q1" s="114"/>
      <c r="R1" s="114"/>
      <c r="S1" s="131"/>
      <c r="T1" s="114"/>
      <c r="U1" s="114"/>
      <c r="V1" s="131"/>
      <c r="W1" s="114"/>
      <c r="X1" s="131"/>
      <c r="Y1" s="114"/>
    </row>
    <row r="2" spans="1:25" x14ac:dyDescent="0.3">
      <c r="A2" s="168" t="str">
        <f ca="1">MID(CELL("filename",A1),FIND("]",CELL("filename",A1))+1,255)</f>
        <v>ProcData_CHP_JM</v>
      </c>
      <c r="B2" s="147"/>
      <c r="C2" s="6"/>
      <c r="D2" s="6"/>
      <c r="E2" s="6"/>
      <c r="F2" s="6"/>
      <c r="G2" s="46"/>
      <c r="H2" s="46" t="s">
        <v>214</v>
      </c>
      <c r="I2" s="46"/>
      <c r="J2" s="46"/>
      <c r="K2" s="46"/>
      <c r="L2" s="46"/>
      <c r="M2" s="46"/>
      <c r="N2" s="46"/>
      <c r="O2" s="114"/>
      <c r="P2" s="114"/>
      <c r="Q2" s="114"/>
      <c r="R2" s="114"/>
      <c r="S2" s="131"/>
      <c r="T2" s="114"/>
      <c r="U2" s="114"/>
      <c r="V2" s="131"/>
      <c r="W2" s="114"/>
      <c r="X2" s="131"/>
      <c r="Y2" s="114"/>
    </row>
    <row r="3" spans="1:25" ht="21.6" x14ac:dyDescent="0.3">
      <c r="A3" s="6"/>
      <c r="B3" s="6"/>
      <c r="C3" s="6"/>
      <c r="D3" s="6"/>
      <c r="E3" s="6"/>
      <c r="F3" s="6"/>
      <c r="G3" s="117" t="s">
        <v>142</v>
      </c>
      <c r="H3" s="117" t="s">
        <v>143</v>
      </c>
      <c r="I3" s="117" t="s">
        <v>143</v>
      </c>
      <c r="J3" s="117" t="s">
        <v>143</v>
      </c>
      <c r="K3" s="117" t="s">
        <v>143</v>
      </c>
      <c r="L3" s="117" t="s">
        <v>143</v>
      </c>
      <c r="M3" s="117" t="s">
        <v>155</v>
      </c>
      <c r="N3" s="165" t="s">
        <v>155</v>
      </c>
      <c r="O3" s="117" t="s">
        <v>157</v>
      </c>
      <c r="P3" s="117" t="s">
        <v>158</v>
      </c>
      <c r="Q3" s="117" t="s">
        <v>144</v>
      </c>
      <c r="R3" s="117"/>
      <c r="S3" s="165"/>
      <c r="T3" s="114" t="s">
        <v>162</v>
      </c>
      <c r="U3" s="46"/>
      <c r="V3" s="131"/>
      <c r="W3" s="114"/>
      <c r="X3" s="131"/>
      <c r="Y3" s="114"/>
    </row>
    <row r="4" spans="1:25" ht="21.6" x14ac:dyDescent="0.3">
      <c r="A4" s="6"/>
      <c r="B4" s="6"/>
      <c r="C4" s="6"/>
      <c r="D4" s="6"/>
      <c r="E4" s="6"/>
      <c r="F4" s="6"/>
      <c r="G4" s="44" t="s">
        <v>145</v>
      </c>
      <c r="H4" s="44" t="s">
        <v>148</v>
      </c>
      <c r="I4" s="44" t="s">
        <v>148</v>
      </c>
      <c r="J4" s="44" t="s">
        <v>148</v>
      </c>
      <c r="K4" s="44" t="s">
        <v>148</v>
      </c>
      <c r="L4" s="44" t="s">
        <v>148</v>
      </c>
      <c r="M4" s="118" t="s">
        <v>156</v>
      </c>
      <c r="N4" s="118" t="s">
        <v>156</v>
      </c>
      <c r="O4" s="118" t="s">
        <v>164</v>
      </c>
      <c r="P4" s="118" t="s">
        <v>165</v>
      </c>
      <c r="Q4" s="118" t="s">
        <v>149</v>
      </c>
      <c r="R4" s="118" t="s">
        <v>146</v>
      </c>
      <c r="S4" s="118" t="s">
        <v>146</v>
      </c>
      <c r="T4" s="118" t="s">
        <v>170</v>
      </c>
      <c r="U4" s="118" t="s">
        <v>172</v>
      </c>
      <c r="V4" s="118" t="s">
        <v>147</v>
      </c>
      <c r="W4" s="118" t="s">
        <v>215</v>
      </c>
      <c r="X4" s="118" t="s">
        <v>215</v>
      </c>
      <c r="Y4" s="114"/>
    </row>
    <row r="5" spans="1:25" x14ac:dyDescent="0.3">
      <c r="A5" s="6"/>
      <c r="B5" s="6"/>
      <c r="C5" s="6"/>
      <c r="D5" s="6"/>
      <c r="E5" s="6"/>
      <c r="F5" s="6"/>
      <c r="G5" s="44" t="s">
        <v>150</v>
      </c>
      <c r="H5" s="44"/>
      <c r="I5" s="44"/>
      <c r="J5" s="44"/>
      <c r="K5" s="44"/>
      <c r="L5" s="44"/>
      <c r="M5" s="44"/>
      <c r="N5" s="44"/>
      <c r="O5" s="114"/>
      <c r="P5" s="114"/>
      <c r="Q5" s="129"/>
      <c r="R5" s="114"/>
      <c r="S5" s="131"/>
      <c r="T5" s="128" t="s">
        <v>33</v>
      </c>
      <c r="U5" s="114"/>
      <c r="V5" s="131"/>
      <c r="W5" s="114"/>
      <c r="X5" s="131"/>
      <c r="Y5" s="114"/>
    </row>
    <row r="6" spans="1:25" x14ac:dyDescent="0.3">
      <c r="A6" s="6"/>
      <c r="B6" s="114"/>
      <c r="C6" s="114"/>
      <c r="D6" s="114"/>
      <c r="E6" s="114"/>
      <c r="F6" s="114"/>
      <c r="G6" s="44" t="s">
        <v>151</v>
      </c>
      <c r="H6" s="44"/>
      <c r="I6" s="44"/>
      <c r="J6" s="44"/>
      <c r="K6" s="44"/>
      <c r="L6" s="44"/>
      <c r="M6" s="114"/>
      <c r="N6" s="114"/>
      <c r="O6" s="114"/>
      <c r="P6" s="114"/>
      <c r="Q6" s="129"/>
      <c r="R6" s="129"/>
      <c r="S6" s="45"/>
      <c r="T6" s="114"/>
      <c r="U6" s="46"/>
      <c r="V6" s="131"/>
      <c r="W6" s="114"/>
      <c r="X6" s="131"/>
      <c r="Y6" s="114"/>
    </row>
    <row r="7" spans="1:25" ht="21.6" x14ac:dyDescent="0.3">
      <c r="A7" s="114"/>
      <c r="B7" s="115" t="s">
        <v>1294</v>
      </c>
      <c r="C7" s="115" t="s">
        <v>1306</v>
      </c>
      <c r="D7" s="115" t="s">
        <v>1307</v>
      </c>
      <c r="E7" s="115" t="s">
        <v>1308</v>
      </c>
      <c r="F7" s="115" t="s">
        <v>1309</v>
      </c>
      <c r="G7" s="46" t="str">
        <f>IFERROR(REPLACE(G4,SEARCH("-",G4),1,"~"),G4)</f>
        <v>ACT_EFF</v>
      </c>
      <c r="H7" s="643" t="s">
        <v>1310</v>
      </c>
      <c r="I7" s="643" t="s">
        <v>1311</v>
      </c>
      <c r="J7" s="643" t="s">
        <v>1312</v>
      </c>
      <c r="K7" s="643" t="s">
        <v>1313</v>
      </c>
      <c r="L7" s="643" t="s">
        <v>1314</v>
      </c>
      <c r="M7" s="164" t="s">
        <v>1315</v>
      </c>
      <c r="N7" s="643" t="s">
        <v>1329</v>
      </c>
      <c r="O7" s="164" t="s">
        <v>164</v>
      </c>
      <c r="P7" s="164" t="s">
        <v>165</v>
      </c>
      <c r="Q7" s="640" t="s">
        <v>149</v>
      </c>
      <c r="R7" s="640" t="s">
        <v>1316</v>
      </c>
      <c r="S7" s="640" t="s">
        <v>1324</v>
      </c>
      <c r="T7" s="640" t="s">
        <v>170</v>
      </c>
      <c r="U7" s="46" t="s">
        <v>172</v>
      </c>
      <c r="V7" s="640" t="s">
        <v>1328</v>
      </c>
      <c r="W7" s="164" t="s">
        <v>1322</v>
      </c>
      <c r="X7" s="640" t="s">
        <v>1330</v>
      </c>
      <c r="Y7" s="114"/>
    </row>
    <row r="8" spans="1:25" x14ac:dyDescent="0.3">
      <c r="B8" s="111" t="s">
        <v>127</v>
      </c>
      <c r="C8" s="114"/>
      <c r="D8" s="114"/>
      <c r="E8" s="149"/>
      <c r="F8" s="110"/>
      <c r="G8" s="151"/>
      <c r="H8" s="151"/>
      <c r="I8" s="151"/>
      <c r="J8" s="151"/>
      <c r="K8" s="151"/>
      <c r="L8" s="151"/>
      <c r="M8" s="114"/>
      <c r="N8" s="151"/>
      <c r="O8" s="114"/>
      <c r="P8" s="114"/>
      <c r="Q8" s="114"/>
      <c r="R8" s="114"/>
      <c r="S8" s="131"/>
      <c r="T8" s="114"/>
      <c r="U8" s="114"/>
      <c r="V8" s="131"/>
      <c r="W8" s="114"/>
      <c r="X8" s="131"/>
      <c r="Y8" s="114"/>
    </row>
    <row r="9" spans="1:25" x14ac:dyDescent="0.3">
      <c r="A9" s="114" t="s">
        <v>15</v>
      </c>
      <c r="B9" s="46" t="str">
        <f>'ITEM_Tech_BASE_JM '!B40</f>
        <v>IPPCHPGAS-N</v>
      </c>
      <c r="C9" s="46" t="str">
        <f>'ITEM_Tech_BASE_JM '!C40</f>
        <v>Gas CHP</v>
      </c>
      <c r="D9" s="149" t="str">
        <f>RES!G2</f>
        <v>IPPGAS</v>
      </c>
      <c r="E9" s="153" t="str">
        <f>RES!D2</f>
        <v>IPPELC</v>
      </c>
      <c r="G9" s="151">
        <v>0.25</v>
      </c>
      <c r="H9" s="151">
        <v>0.8</v>
      </c>
      <c r="I9" s="151">
        <v>0.8</v>
      </c>
      <c r="J9" s="151">
        <v>0</v>
      </c>
      <c r="K9" s="151"/>
      <c r="L9" s="151"/>
      <c r="M9" s="130"/>
      <c r="N9" s="151"/>
      <c r="O9" s="114"/>
      <c r="P9" s="114">
        <f>INDEX('Capital costs'!$C$3:$C$26,MATCH(B9,'Capital costs'!$B$3:$B$26,0))</f>
        <v>499.50877429595533</v>
      </c>
      <c r="Q9" s="130">
        <v>1</v>
      </c>
      <c r="R9" s="130"/>
      <c r="S9" s="130">
        <v>0.9</v>
      </c>
      <c r="T9" s="130">
        <v>1</v>
      </c>
      <c r="U9" s="130">
        <v>2025</v>
      </c>
      <c r="V9" s="130">
        <v>30</v>
      </c>
      <c r="W9" s="130"/>
      <c r="X9" s="130">
        <v>2.2000000000000002</v>
      </c>
      <c r="Y9" s="130"/>
    </row>
    <row r="10" spans="1:25" x14ac:dyDescent="0.3">
      <c r="A10" s="114" t="s">
        <v>15</v>
      </c>
      <c r="B10" s="130"/>
      <c r="C10" s="130"/>
      <c r="D10" s="149"/>
      <c r="E10" s="153" t="str">
        <f>RES!O2</f>
        <v>IPPSTM</v>
      </c>
      <c r="G10" s="151"/>
      <c r="H10" s="151"/>
      <c r="I10" s="151"/>
      <c r="J10" s="151"/>
      <c r="K10" s="151"/>
      <c r="L10" s="151"/>
      <c r="M10" s="130"/>
      <c r="N10" s="151"/>
      <c r="O10" s="114"/>
      <c r="P10" s="114"/>
      <c r="Q10" s="130"/>
      <c r="R10" s="130"/>
      <c r="S10" s="130"/>
      <c r="T10" s="130"/>
      <c r="U10" s="130"/>
      <c r="V10" s="130"/>
      <c r="W10" s="130"/>
      <c r="X10" s="130"/>
      <c r="Y10" s="130"/>
    </row>
    <row r="11" spans="1:25" x14ac:dyDescent="0.3">
      <c r="A11" s="114" t="s">
        <v>15</v>
      </c>
      <c r="B11" s="130"/>
      <c r="C11" s="130"/>
      <c r="D11" s="130"/>
      <c r="E11" s="110"/>
      <c r="Y11" s="130"/>
    </row>
    <row r="12" spans="1:25" x14ac:dyDescent="0.3">
      <c r="A12" s="114"/>
      <c r="B12" s="130"/>
      <c r="C12" s="130"/>
      <c r="D12" s="130"/>
      <c r="E12" s="110"/>
      <c r="F12" s="130"/>
      <c r="G12" s="151"/>
      <c r="H12" s="151"/>
      <c r="I12" s="151"/>
      <c r="J12" s="151"/>
      <c r="K12" s="151"/>
      <c r="L12" s="151"/>
      <c r="M12" s="130"/>
      <c r="N12" s="151"/>
      <c r="O12" s="114"/>
      <c r="P12" s="114"/>
      <c r="Q12" s="130"/>
      <c r="R12" s="130"/>
      <c r="S12" s="249"/>
      <c r="T12" s="130"/>
      <c r="U12" s="130"/>
      <c r="V12" s="249"/>
      <c r="W12" s="130"/>
      <c r="X12" s="249"/>
      <c r="Y12" s="130"/>
    </row>
    <row r="13" spans="1:25" x14ac:dyDescent="0.3">
      <c r="A13" s="114"/>
      <c r="B13" s="114"/>
      <c r="C13" s="114"/>
      <c r="D13" s="114"/>
      <c r="E13" s="149"/>
      <c r="F13" s="110"/>
      <c r="G13" s="151"/>
      <c r="H13" s="151"/>
      <c r="I13" s="151"/>
      <c r="J13" s="151"/>
      <c r="K13" s="151"/>
      <c r="L13" s="151"/>
      <c r="M13" s="130"/>
      <c r="N13" s="151"/>
      <c r="O13" s="114"/>
      <c r="P13" s="114"/>
      <c r="Q13" s="114"/>
      <c r="R13" s="114"/>
      <c r="S13" s="131"/>
      <c r="T13" s="130"/>
      <c r="U13" s="130"/>
      <c r="V13" s="249"/>
      <c r="W13" s="130"/>
      <c r="X13" s="249"/>
      <c r="Y13" s="130"/>
    </row>
    <row r="14" spans="1:25" x14ac:dyDescent="0.3">
      <c r="A14" s="114"/>
      <c r="B14" s="46"/>
      <c r="C14" s="46"/>
      <c r="D14" s="46"/>
      <c r="E14" s="149"/>
      <c r="F14" s="110"/>
      <c r="G14" s="151"/>
      <c r="H14" s="151"/>
      <c r="I14" s="151"/>
      <c r="J14" s="151"/>
      <c r="K14" s="151"/>
      <c r="L14" s="151"/>
      <c r="M14" s="130"/>
      <c r="N14" s="152"/>
      <c r="O14" s="114"/>
      <c r="P14" s="114"/>
      <c r="Q14" s="114"/>
      <c r="R14" s="114"/>
      <c r="S14" s="131"/>
      <c r="T14" s="130"/>
      <c r="U14" s="130"/>
      <c r="V14" s="249"/>
      <c r="W14" s="130"/>
      <c r="X14" s="249"/>
      <c r="Y14" s="130"/>
    </row>
    <row r="15" spans="1:25" x14ac:dyDescent="0.3">
      <c r="A15" s="114"/>
      <c r="B15" s="130"/>
      <c r="C15" s="114"/>
      <c r="D15" s="114"/>
      <c r="E15" s="149"/>
      <c r="F15" s="110"/>
      <c r="G15" s="114"/>
      <c r="H15" s="114"/>
      <c r="I15" s="114"/>
      <c r="J15" s="114"/>
      <c r="K15" s="114"/>
      <c r="L15" s="114"/>
      <c r="M15" s="130"/>
      <c r="N15" s="114"/>
      <c r="O15" s="114"/>
      <c r="P15" s="114"/>
      <c r="Q15" s="130"/>
      <c r="R15" s="130"/>
      <c r="S15" s="249"/>
      <c r="T15" s="130"/>
      <c r="U15" s="130"/>
      <c r="V15" s="249"/>
      <c r="W15" s="130"/>
      <c r="X15" s="249"/>
      <c r="Y15" s="130"/>
    </row>
    <row r="16" spans="1:25" x14ac:dyDescent="0.3">
      <c r="A16" s="114"/>
      <c r="B16" s="114"/>
      <c r="C16" s="114"/>
      <c r="D16" s="114"/>
      <c r="E16" s="149"/>
      <c r="F16" s="130"/>
      <c r="G16" s="114"/>
      <c r="H16" s="114"/>
      <c r="I16" s="114"/>
      <c r="J16" s="114"/>
      <c r="K16" s="114"/>
      <c r="L16" s="114"/>
      <c r="M16" s="130"/>
      <c r="N16" s="114"/>
      <c r="O16" s="114"/>
      <c r="P16" s="114"/>
      <c r="Q16" s="114"/>
      <c r="R16" s="114"/>
      <c r="S16" s="131"/>
      <c r="T16" s="130"/>
      <c r="U16" s="130"/>
      <c r="V16" s="249"/>
      <c r="W16" s="130"/>
      <c r="X16" s="249"/>
      <c r="Y16" s="130"/>
    </row>
    <row r="17" spans="1:25" x14ac:dyDescent="0.3">
      <c r="A17" s="114"/>
      <c r="B17" s="114"/>
      <c r="C17" s="114"/>
      <c r="D17" s="114"/>
      <c r="E17" s="114"/>
      <c r="F17" s="149"/>
      <c r="G17" s="114"/>
      <c r="H17" s="151"/>
      <c r="I17" s="151"/>
      <c r="J17" s="151"/>
      <c r="K17" s="151"/>
      <c r="L17" s="151"/>
      <c r="M17" s="114"/>
      <c r="N17" s="151"/>
      <c r="O17" s="114"/>
      <c r="P17" s="114"/>
      <c r="Q17" s="114"/>
      <c r="R17" s="114"/>
      <c r="S17" s="131"/>
      <c r="T17" s="130"/>
      <c r="U17" s="114"/>
      <c r="V17" s="131"/>
      <c r="W17" s="114"/>
      <c r="X17" s="131"/>
      <c r="Y17" s="114"/>
    </row>
  </sheetData>
  <phoneticPr fontId="88" type="noConversion"/>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42"/>
  <sheetViews>
    <sheetView topLeftCell="B4" workbookViewId="0">
      <selection activeCell="E42" sqref="E42"/>
    </sheetView>
  </sheetViews>
  <sheetFormatPr defaultRowHeight="14.4" x14ac:dyDescent="0.3"/>
  <cols>
    <col min="2" max="2" width="19.33203125" customWidth="1"/>
    <col min="3" max="3" width="72.6640625" customWidth="1"/>
    <col min="4" max="4" width="18.88671875" customWidth="1"/>
    <col min="5" max="5" width="22.109375" customWidth="1"/>
    <col min="6" max="6" width="12" customWidth="1"/>
  </cols>
  <sheetData>
    <row r="1" spans="1:21" x14ac:dyDescent="0.3">
      <c r="A1" s="47" t="s">
        <v>236</v>
      </c>
      <c r="B1" s="114" t="s">
        <v>14</v>
      </c>
      <c r="C1" s="6"/>
      <c r="D1" s="6"/>
      <c r="E1" s="6"/>
      <c r="F1" s="6"/>
      <c r="G1" s="6" t="s">
        <v>15</v>
      </c>
      <c r="H1" s="6"/>
      <c r="I1" s="6"/>
      <c r="J1" s="6"/>
      <c r="K1" s="6"/>
      <c r="L1" s="6"/>
      <c r="M1" s="6"/>
      <c r="N1" s="6"/>
      <c r="O1" s="6"/>
      <c r="P1" s="6"/>
      <c r="Q1" s="6"/>
      <c r="R1" s="6"/>
      <c r="S1" s="6"/>
      <c r="T1" s="6"/>
      <c r="U1" s="6"/>
    </row>
    <row r="2" spans="1:21" x14ac:dyDescent="0.3">
      <c r="A2" s="168" t="str">
        <f ca="1">MID(CELL("filename",A1),FIND("]",CELL("filename",A1))+1,255)</f>
        <v>ITEMS_GRP_P&amp;P_JM</v>
      </c>
      <c r="B2" s="147"/>
      <c r="C2" s="6"/>
      <c r="D2" s="6"/>
      <c r="E2" s="6"/>
      <c r="F2" s="6"/>
      <c r="G2" s="6"/>
      <c r="H2" s="6"/>
      <c r="I2" s="6"/>
      <c r="J2" s="6"/>
      <c r="K2" s="6"/>
      <c r="L2" s="6"/>
      <c r="M2" s="6"/>
      <c r="N2" s="6"/>
      <c r="O2" s="6"/>
      <c r="P2" s="6"/>
      <c r="Q2" s="6"/>
      <c r="R2" s="6"/>
      <c r="S2" s="6"/>
      <c r="T2" s="6"/>
      <c r="U2" s="6"/>
    </row>
    <row r="3" spans="1:21" ht="42" x14ac:dyDescent="0.3">
      <c r="A3" s="6"/>
      <c r="B3" s="6"/>
      <c r="C3" s="6"/>
      <c r="D3" s="6"/>
      <c r="E3" s="6"/>
      <c r="F3" s="6"/>
      <c r="G3" s="6"/>
      <c r="H3" s="164" t="s">
        <v>239</v>
      </c>
      <c r="I3" s="164" t="s">
        <v>239</v>
      </c>
      <c r="J3" s="164" t="s">
        <v>239</v>
      </c>
      <c r="K3" s="164" t="s">
        <v>239</v>
      </c>
      <c r="L3" s="164" t="s">
        <v>239</v>
      </c>
      <c r="M3" s="164" t="s">
        <v>239</v>
      </c>
      <c r="N3" s="164" t="s">
        <v>239</v>
      </c>
      <c r="O3" s="164" t="s">
        <v>239</v>
      </c>
      <c r="P3" s="164" t="s">
        <v>239</v>
      </c>
      <c r="Q3" s="164" t="s">
        <v>239</v>
      </c>
      <c r="R3" s="164" t="s">
        <v>239</v>
      </c>
      <c r="S3" s="164" t="s">
        <v>239</v>
      </c>
      <c r="T3" s="164" t="s">
        <v>239</v>
      </c>
      <c r="U3" s="164" t="s">
        <v>239</v>
      </c>
    </row>
    <row r="4" spans="1:21" x14ac:dyDescent="0.3">
      <c r="A4" s="6"/>
      <c r="B4" s="6"/>
      <c r="C4" s="6"/>
      <c r="D4" s="6"/>
      <c r="E4" s="6"/>
      <c r="F4" s="6"/>
      <c r="G4" s="6"/>
      <c r="H4" s="44" t="s">
        <v>240</v>
      </c>
      <c r="I4" s="44" t="s">
        <v>240</v>
      </c>
      <c r="J4" s="44" t="s">
        <v>240</v>
      </c>
      <c r="K4" s="44" t="s">
        <v>240</v>
      </c>
      <c r="L4" s="44" t="s">
        <v>240</v>
      </c>
      <c r="M4" s="44" t="s">
        <v>240</v>
      </c>
      <c r="N4" s="44" t="s">
        <v>240</v>
      </c>
      <c r="O4" s="44" t="s">
        <v>240</v>
      </c>
      <c r="P4" s="44" t="s">
        <v>240</v>
      </c>
      <c r="Q4" s="44" t="s">
        <v>240</v>
      </c>
      <c r="R4" s="44" t="s">
        <v>240</v>
      </c>
      <c r="S4" s="44" t="s">
        <v>240</v>
      </c>
      <c r="T4" s="44" t="s">
        <v>240</v>
      </c>
      <c r="U4" s="44" t="s">
        <v>240</v>
      </c>
    </row>
    <row r="5" spans="1:21" ht="21.6" x14ac:dyDescent="0.3">
      <c r="A5" s="6"/>
      <c r="B5" s="6"/>
      <c r="C5" s="6"/>
      <c r="D5" s="6"/>
      <c r="E5" s="6"/>
      <c r="F5" s="6"/>
      <c r="G5" s="6"/>
      <c r="H5" s="165" t="s">
        <v>1335</v>
      </c>
      <c r="I5" s="165" t="s">
        <v>1336</v>
      </c>
      <c r="J5" s="165" t="s">
        <v>1337</v>
      </c>
      <c r="K5" s="165" t="s">
        <v>1338</v>
      </c>
      <c r="L5" s="165" t="s">
        <v>1339</v>
      </c>
      <c r="M5" s="165" t="s">
        <v>1340</v>
      </c>
      <c r="N5" s="165" t="s">
        <v>1341</v>
      </c>
      <c r="O5" s="165" t="s">
        <v>1342</v>
      </c>
      <c r="P5" s="165" t="s">
        <v>1343</v>
      </c>
      <c r="Q5" s="165" t="s">
        <v>1344</v>
      </c>
      <c r="R5" s="165" t="s">
        <v>1345</v>
      </c>
      <c r="S5" s="165" t="s">
        <v>1346</v>
      </c>
      <c r="T5" s="165" t="s">
        <v>1347</v>
      </c>
      <c r="U5" s="165" t="s">
        <v>1348</v>
      </c>
    </row>
    <row r="6" spans="1:21" x14ac:dyDescent="0.3">
      <c r="A6" s="6"/>
      <c r="B6" s="114"/>
      <c r="C6" s="114"/>
      <c r="D6" s="114"/>
      <c r="E6" s="114" t="s">
        <v>1305</v>
      </c>
      <c r="F6" s="114"/>
      <c r="G6" s="6"/>
      <c r="H6" s="6"/>
      <c r="I6" s="6"/>
      <c r="J6" s="6"/>
      <c r="K6" s="6"/>
      <c r="L6" s="6"/>
      <c r="M6" s="6"/>
      <c r="N6" s="6"/>
      <c r="O6" s="6"/>
      <c r="P6" s="6"/>
      <c r="Q6" s="6"/>
      <c r="R6" s="6"/>
      <c r="S6" s="6"/>
      <c r="T6" s="6"/>
      <c r="U6" s="6"/>
    </row>
    <row r="7" spans="1:21" x14ac:dyDescent="0.3">
      <c r="A7" s="114"/>
      <c r="B7" s="115" t="s">
        <v>237</v>
      </c>
      <c r="C7" s="115" t="s">
        <v>238</v>
      </c>
      <c r="D7" s="162" t="s">
        <v>18</v>
      </c>
      <c r="E7" s="115" t="s">
        <v>19</v>
      </c>
      <c r="F7" s="115" t="s">
        <v>20</v>
      </c>
      <c r="G7" s="6"/>
      <c r="H7" s="6"/>
      <c r="I7" s="6"/>
      <c r="J7" s="6"/>
      <c r="K7" s="6"/>
      <c r="L7" s="6"/>
      <c r="M7" s="6"/>
      <c r="N7" s="6"/>
      <c r="O7" s="6"/>
      <c r="P7" s="6"/>
      <c r="Q7" s="6"/>
      <c r="R7" s="6"/>
      <c r="S7" s="6"/>
      <c r="T7" s="6"/>
      <c r="U7" s="6"/>
    </row>
    <row r="8" spans="1:21" x14ac:dyDescent="0.3">
      <c r="A8" s="114" t="s">
        <v>15</v>
      </c>
      <c r="B8" s="163"/>
      <c r="C8" s="115"/>
      <c r="D8" s="115"/>
      <c r="E8" s="115"/>
      <c r="F8" s="115"/>
      <c r="G8" s="6"/>
      <c r="H8" s="6"/>
      <c r="I8" s="6"/>
      <c r="J8" s="6"/>
      <c r="K8" s="6"/>
      <c r="L8" s="6"/>
      <c r="M8" s="6"/>
      <c r="N8" s="6"/>
      <c r="O8" s="6"/>
      <c r="P8" s="6"/>
      <c r="Q8" s="6"/>
      <c r="R8" s="6"/>
      <c r="S8" s="6"/>
      <c r="T8" s="6"/>
      <c r="U8" s="6"/>
    </row>
    <row r="9" spans="1:21" x14ac:dyDescent="0.3">
      <c r="A9" s="42" t="s">
        <v>15</v>
      </c>
      <c r="B9" s="42" t="s">
        <v>33</v>
      </c>
      <c r="C9" s="42" t="s">
        <v>75</v>
      </c>
      <c r="D9" s="42" t="s">
        <v>21</v>
      </c>
      <c r="E9" s="42" t="s">
        <v>76</v>
      </c>
      <c r="F9" s="6"/>
      <c r="G9" s="6"/>
      <c r="H9" s="6"/>
      <c r="I9" s="6"/>
      <c r="J9" s="6"/>
      <c r="K9" s="6"/>
      <c r="L9" s="6"/>
      <c r="M9" s="6"/>
      <c r="N9" s="6"/>
      <c r="O9" s="6"/>
      <c r="P9" s="6"/>
      <c r="Q9" s="6"/>
      <c r="R9" s="6"/>
      <c r="S9" s="6"/>
      <c r="T9" s="6"/>
      <c r="U9" s="6"/>
    </row>
    <row r="10" spans="1:21" x14ac:dyDescent="0.3">
      <c r="A10" s="6"/>
      <c r="B10" s="167" t="s">
        <v>241</v>
      </c>
      <c r="C10" s="167" t="s">
        <v>256</v>
      </c>
      <c r="D10" s="6"/>
      <c r="E10" s="166" t="s">
        <v>271</v>
      </c>
      <c r="F10" s="6"/>
      <c r="G10" s="6"/>
      <c r="H10" s="6"/>
      <c r="I10" s="6"/>
      <c r="J10" s="6"/>
      <c r="K10" s="6"/>
      <c r="L10" s="6"/>
      <c r="M10" s="6"/>
      <c r="N10" s="6"/>
      <c r="O10" s="6"/>
      <c r="P10" s="6"/>
      <c r="Q10" s="6"/>
      <c r="R10" s="6"/>
      <c r="S10" s="6"/>
      <c r="T10" s="6"/>
      <c r="U10" s="6"/>
    </row>
    <row r="11" spans="1:21" x14ac:dyDescent="0.3">
      <c r="A11" s="6"/>
      <c r="B11" s="167" t="s">
        <v>242</v>
      </c>
      <c r="C11" s="167" t="s">
        <v>257</v>
      </c>
      <c r="D11" s="6"/>
      <c r="E11" s="166" t="s">
        <v>271</v>
      </c>
      <c r="F11" s="6"/>
      <c r="G11" s="6"/>
      <c r="H11" s="6"/>
      <c r="I11" s="6"/>
      <c r="J11" s="6"/>
      <c r="K11" s="6"/>
      <c r="L11" s="6"/>
      <c r="M11" s="6"/>
      <c r="N11" s="6"/>
      <c r="O11" s="6"/>
      <c r="P11" s="6"/>
      <c r="Q11" s="6"/>
      <c r="R11" s="6"/>
      <c r="S11" s="6"/>
      <c r="T11" s="6"/>
      <c r="U11" s="6"/>
    </row>
    <row r="12" spans="1:21" x14ac:dyDescent="0.3">
      <c r="A12" s="6"/>
      <c r="B12" s="167" t="s">
        <v>243</v>
      </c>
      <c r="C12" s="167" t="s">
        <v>258</v>
      </c>
      <c r="D12" s="6"/>
      <c r="E12" s="166" t="s">
        <v>271</v>
      </c>
      <c r="F12" s="6"/>
      <c r="G12" s="6"/>
      <c r="H12" s="6"/>
      <c r="I12" s="6"/>
      <c r="J12" s="6"/>
      <c r="K12" s="6"/>
      <c r="L12" s="6"/>
      <c r="M12" s="6"/>
      <c r="N12" s="6"/>
      <c r="O12" s="6"/>
      <c r="P12" s="6"/>
      <c r="Q12" s="6"/>
      <c r="R12" s="6"/>
      <c r="S12" s="6"/>
      <c r="T12" s="6"/>
      <c r="U12" s="6"/>
    </row>
    <row r="13" spans="1:21" x14ac:dyDescent="0.3">
      <c r="A13" s="6"/>
      <c r="B13" s="167" t="s">
        <v>244</v>
      </c>
      <c r="C13" s="167" t="s">
        <v>259</v>
      </c>
      <c r="D13" s="6"/>
      <c r="E13" s="166" t="s">
        <v>271</v>
      </c>
      <c r="F13" s="6"/>
      <c r="G13" s="6"/>
      <c r="H13" s="6"/>
      <c r="I13" s="6"/>
      <c r="J13" s="6"/>
      <c r="K13" s="6"/>
      <c r="L13" s="6"/>
      <c r="M13" s="6"/>
      <c r="N13" s="6"/>
      <c r="O13" s="6"/>
      <c r="P13" s="6"/>
      <c r="Q13" s="6"/>
      <c r="R13" s="6"/>
      <c r="S13" s="6"/>
      <c r="T13" s="6"/>
      <c r="U13" s="6"/>
    </row>
    <row r="14" spans="1:21" x14ac:dyDescent="0.3">
      <c r="A14" s="6"/>
      <c r="B14" s="167" t="s">
        <v>245</v>
      </c>
      <c r="C14" s="167" t="s">
        <v>260</v>
      </c>
      <c r="D14" s="6"/>
      <c r="E14" s="166" t="s">
        <v>271</v>
      </c>
      <c r="F14" s="6"/>
      <c r="G14" s="6"/>
      <c r="H14" s="6"/>
      <c r="I14" s="6"/>
      <c r="J14" s="6"/>
      <c r="K14" s="6"/>
      <c r="L14" s="6"/>
      <c r="M14" s="6"/>
      <c r="N14" s="6"/>
      <c r="O14" s="6"/>
      <c r="P14" s="6"/>
      <c r="Q14" s="6"/>
      <c r="R14" s="6"/>
      <c r="S14" s="6"/>
      <c r="T14" s="6"/>
      <c r="U14" s="6"/>
    </row>
    <row r="15" spans="1:21" x14ac:dyDescent="0.3">
      <c r="A15" s="6"/>
      <c r="B15" s="167" t="s">
        <v>246</v>
      </c>
      <c r="C15" s="167" t="s">
        <v>261</v>
      </c>
      <c r="D15" s="6"/>
      <c r="E15" s="166" t="s">
        <v>271</v>
      </c>
      <c r="F15" s="6"/>
      <c r="G15" s="6"/>
      <c r="H15" s="6"/>
      <c r="I15" s="6"/>
      <c r="J15" s="6"/>
      <c r="K15" s="6"/>
      <c r="L15" s="6"/>
      <c r="M15" s="6"/>
      <c r="N15" s="6"/>
      <c r="O15" s="6"/>
      <c r="P15" s="6"/>
      <c r="Q15" s="6"/>
      <c r="R15" s="6"/>
      <c r="S15" s="6"/>
      <c r="T15" s="6"/>
      <c r="U15" s="6"/>
    </row>
    <row r="16" spans="1:21" x14ac:dyDescent="0.3">
      <c r="A16" s="6"/>
      <c r="B16" s="167" t="s">
        <v>247</v>
      </c>
      <c r="C16" s="167" t="s">
        <v>262</v>
      </c>
      <c r="D16" s="6"/>
      <c r="E16" s="166" t="s">
        <v>271</v>
      </c>
      <c r="F16" s="6"/>
      <c r="G16" s="6"/>
      <c r="H16" s="6"/>
      <c r="I16" s="6"/>
      <c r="J16" s="6"/>
      <c r="K16" s="6"/>
      <c r="L16" s="6"/>
      <c r="M16" s="6"/>
      <c r="N16" s="6"/>
      <c r="O16" s="6"/>
      <c r="P16" s="6"/>
      <c r="Q16" s="6"/>
      <c r="R16" s="6"/>
      <c r="S16" s="6"/>
      <c r="T16" s="6"/>
      <c r="U16" s="6"/>
    </row>
    <row r="17" spans="1:21" x14ac:dyDescent="0.3">
      <c r="A17" s="6"/>
      <c r="B17" s="167" t="s">
        <v>248</v>
      </c>
      <c r="C17" s="167" t="s">
        <v>263</v>
      </c>
      <c r="D17" s="6"/>
      <c r="E17" s="166" t="s">
        <v>271</v>
      </c>
      <c r="F17" s="6"/>
      <c r="G17" s="6"/>
      <c r="H17" s="6"/>
      <c r="I17" s="6"/>
      <c r="J17" s="6"/>
      <c r="K17" s="6"/>
      <c r="L17" s="6"/>
      <c r="M17" s="6"/>
      <c r="N17" s="6"/>
      <c r="O17" s="6"/>
      <c r="P17" s="6"/>
      <c r="Q17" s="6"/>
      <c r="R17" s="6"/>
      <c r="S17" s="6"/>
      <c r="T17" s="6"/>
      <c r="U17" s="6"/>
    </row>
    <row r="18" spans="1:21" x14ac:dyDescent="0.3">
      <c r="A18" s="6"/>
      <c r="B18" s="167" t="s">
        <v>249</v>
      </c>
      <c r="C18" s="167" t="s">
        <v>264</v>
      </c>
      <c r="D18" s="6"/>
      <c r="E18" s="166" t="s">
        <v>271</v>
      </c>
      <c r="F18" s="6"/>
      <c r="G18" s="6"/>
      <c r="H18" s="6"/>
      <c r="I18" s="6"/>
      <c r="J18" s="6"/>
      <c r="K18" s="6"/>
      <c r="L18" s="6"/>
      <c r="M18" s="6"/>
      <c r="N18" s="6"/>
      <c r="O18" s="6"/>
      <c r="P18" s="6"/>
      <c r="Q18" s="6"/>
      <c r="R18" s="6"/>
      <c r="S18" s="6"/>
      <c r="T18" s="6"/>
      <c r="U18" s="6"/>
    </row>
    <row r="19" spans="1:21" x14ac:dyDescent="0.3">
      <c r="A19" s="6"/>
      <c r="B19" s="167" t="s">
        <v>250</v>
      </c>
      <c r="C19" s="167" t="s">
        <v>265</v>
      </c>
      <c r="D19" s="6"/>
      <c r="E19" s="166" t="s">
        <v>271</v>
      </c>
      <c r="F19" s="6"/>
      <c r="G19" s="6"/>
      <c r="H19" s="6"/>
      <c r="I19" s="6"/>
      <c r="J19" s="6"/>
      <c r="K19" s="6"/>
      <c r="L19" s="6"/>
      <c r="M19" s="6"/>
      <c r="N19" s="6"/>
      <c r="O19" s="6"/>
      <c r="P19" s="6"/>
      <c r="Q19" s="6"/>
      <c r="R19" s="6"/>
      <c r="S19" s="6"/>
      <c r="T19" s="6"/>
      <c r="U19" s="6"/>
    </row>
    <row r="20" spans="1:21" x14ac:dyDescent="0.3">
      <c r="A20" s="6"/>
      <c r="B20" s="167" t="s">
        <v>251</v>
      </c>
      <c r="C20" s="167" t="s">
        <v>266</v>
      </c>
      <c r="D20" s="6"/>
      <c r="E20" s="166" t="s">
        <v>271</v>
      </c>
      <c r="F20" s="6"/>
      <c r="G20" s="6"/>
      <c r="H20" s="6"/>
      <c r="I20" s="6"/>
      <c r="J20" s="6"/>
      <c r="K20" s="6"/>
      <c r="L20" s="6"/>
      <c r="M20" s="6"/>
      <c r="N20" s="6"/>
      <c r="O20" s="6"/>
      <c r="P20" s="6"/>
      <c r="Q20" s="6"/>
      <c r="R20" s="6"/>
      <c r="S20" s="6"/>
      <c r="T20" s="6"/>
      <c r="U20" s="6"/>
    </row>
    <row r="21" spans="1:21" x14ac:dyDescent="0.3">
      <c r="A21" s="6"/>
      <c r="B21" s="167" t="s">
        <v>252</v>
      </c>
      <c r="C21" s="167" t="s">
        <v>267</v>
      </c>
      <c r="D21" s="6"/>
      <c r="E21" s="166" t="s">
        <v>271</v>
      </c>
      <c r="F21" s="6"/>
      <c r="G21" s="6"/>
      <c r="H21" s="6"/>
      <c r="I21" s="6"/>
      <c r="J21" s="6"/>
      <c r="K21" s="6"/>
      <c r="L21" s="6"/>
      <c r="M21" s="6"/>
      <c r="N21" s="6"/>
      <c r="O21" s="6"/>
      <c r="P21" s="6"/>
      <c r="Q21" s="6"/>
      <c r="R21" s="6"/>
      <c r="S21" s="6"/>
      <c r="T21" s="6"/>
      <c r="U21" s="6"/>
    </row>
    <row r="22" spans="1:21" x14ac:dyDescent="0.3">
      <c r="A22" s="6"/>
      <c r="B22" s="167" t="s">
        <v>253</v>
      </c>
      <c r="C22" s="167" t="s">
        <v>268</v>
      </c>
      <c r="D22" s="6"/>
      <c r="E22" s="166" t="s">
        <v>271</v>
      </c>
      <c r="F22" s="6"/>
      <c r="G22" s="6"/>
      <c r="H22" s="6"/>
      <c r="I22" s="6"/>
      <c r="J22" s="6"/>
      <c r="K22" s="6"/>
      <c r="L22" s="6"/>
      <c r="M22" s="6"/>
      <c r="N22" s="6"/>
      <c r="O22" s="6"/>
      <c r="P22" s="6"/>
      <c r="Q22" s="6"/>
      <c r="R22" s="6"/>
      <c r="S22" s="6"/>
      <c r="T22" s="6"/>
      <c r="U22" s="6"/>
    </row>
    <row r="23" spans="1:21" x14ac:dyDescent="0.3">
      <c r="A23" s="6"/>
      <c r="B23" s="167" t="s">
        <v>254</v>
      </c>
      <c r="C23" s="167" t="s">
        <v>269</v>
      </c>
      <c r="D23" s="6"/>
      <c r="E23" s="166" t="s">
        <v>271</v>
      </c>
      <c r="F23" s="6"/>
      <c r="G23" s="6"/>
      <c r="H23" s="6"/>
      <c r="I23" s="6"/>
      <c r="J23" s="6"/>
      <c r="K23" s="6"/>
      <c r="L23" s="6"/>
      <c r="M23" s="6"/>
      <c r="N23" s="6"/>
      <c r="O23" s="6"/>
      <c r="P23" s="6"/>
      <c r="Q23" s="6"/>
      <c r="R23" s="6"/>
      <c r="S23" s="6"/>
      <c r="T23" s="6"/>
      <c r="U23" s="6"/>
    </row>
    <row r="24" spans="1:21" x14ac:dyDescent="0.3">
      <c r="A24" s="6"/>
      <c r="B24" s="167" t="s">
        <v>255</v>
      </c>
      <c r="C24" s="167" t="s">
        <v>270</v>
      </c>
      <c r="D24" s="6"/>
      <c r="E24" s="166" t="s">
        <v>271</v>
      </c>
      <c r="F24" s="6"/>
      <c r="G24" s="6"/>
      <c r="H24" s="6"/>
      <c r="I24" s="6"/>
      <c r="J24" s="6"/>
      <c r="K24" s="6"/>
      <c r="L24" s="6"/>
      <c r="M24" s="6"/>
      <c r="N24" s="6"/>
      <c r="O24" s="6"/>
      <c r="P24" s="6"/>
      <c r="Q24" s="6"/>
      <c r="R24" s="6"/>
      <c r="S24" s="6"/>
      <c r="T24" s="6"/>
      <c r="U24" s="6"/>
    </row>
    <row r="25" spans="1:21" x14ac:dyDescent="0.3">
      <c r="E25" s="166"/>
    </row>
    <row r="42" spans="5:5" x14ac:dyDescent="0.3">
      <c r="E42" t="s">
        <v>1369</v>
      </c>
    </row>
  </sheetData>
  <conditionalFormatting sqref="B10:B24">
    <cfRule type="duplicateValues" dxfId="0" priority="1"/>
  </conditionalFormatting>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4.4" x14ac:dyDescent="0.3"/>
  <cols>
    <col min="2" max="2" width="33.44140625" customWidth="1"/>
    <col min="3" max="3" width="17.33203125" customWidth="1"/>
    <col min="4" max="4" width="12.33203125" customWidth="1"/>
    <col min="5" max="5" width="15.44140625" customWidth="1"/>
    <col min="6" max="6" width="14.33203125" customWidth="1"/>
  </cols>
  <sheetData>
    <row r="1" spans="1:11" x14ac:dyDescent="0.3">
      <c r="A1" s="168" t="s">
        <v>141</v>
      </c>
      <c r="B1" s="46" t="s">
        <v>14</v>
      </c>
      <c r="C1" s="109"/>
      <c r="D1" s="109"/>
      <c r="E1" s="109"/>
      <c r="F1" s="109"/>
      <c r="G1" s="255"/>
      <c r="H1" s="255" t="s">
        <v>15</v>
      </c>
      <c r="I1" s="255" t="s">
        <v>15</v>
      </c>
      <c r="J1" s="255" t="s">
        <v>15</v>
      </c>
      <c r="K1" s="255" t="s">
        <v>15</v>
      </c>
    </row>
    <row r="2" spans="1:11" x14ac:dyDescent="0.3">
      <c r="A2" s="256"/>
      <c r="B2" s="257"/>
      <c r="C2" s="258"/>
      <c r="D2" s="258"/>
      <c r="E2" s="258"/>
      <c r="F2" s="258"/>
      <c r="G2" s="259"/>
      <c r="H2" s="259"/>
    </row>
    <row r="3" spans="1:11" ht="42" x14ac:dyDescent="0.3">
      <c r="A3" t="s">
        <v>15</v>
      </c>
      <c r="B3" s="133"/>
      <c r="C3" s="260"/>
      <c r="D3" s="260"/>
      <c r="E3" s="260"/>
      <c r="F3" s="260"/>
      <c r="G3" s="261"/>
      <c r="H3" s="261"/>
      <c r="I3" s="252" t="s">
        <v>448</v>
      </c>
      <c r="J3" s="252" t="s">
        <v>448</v>
      </c>
      <c r="K3" s="252" t="s">
        <v>448</v>
      </c>
    </row>
    <row r="4" spans="1:11" x14ac:dyDescent="0.3">
      <c r="A4" t="s">
        <v>15</v>
      </c>
      <c r="B4" s="133"/>
      <c r="C4" s="133"/>
      <c r="D4" s="133"/>
      <c r="E4" s="133"/>
      <c r="F4" s="133"/>
      <c r="G4" s="259"/>
      <c r="H4" s="259"/>
      <c r="I4" s="44" t="s">
        <v>449</v>
      </c>
      <c r="J4" s="44" t="s">
        <v>449</v>
      </c>
      <c r="K4" s="44" t="s">
        <v>449</v>
      </c>
    </row>
    <row r="5" spans="1:11" x14ac:dyDescent="0.3">
      <c r="A5" t="s">
        <v>15</v>
      </c>
      <c r="B5" s="133"/>
      <c r="C5" s="46"/>
      <c r="D5" s="133"/>
      <c r="E5" s="133"/>
      <c r="F5" s="133"/>
      <c r="G5" s="259"/>
      <c r="H5" s="259"/>
      <c r="I5" s="253" t="e">
        <f>#REF!</f>
        <v>#REF!</v>
      </c>
      <c r="J5" s="253" t="e">
        <f>#REF!</f>
        <v>#REF!</v>
      </c>
      <c r="K5" s="253" t="e">
        <f>#REF!</f>
        <v>#REF!</v>
      </c>
    </row>
    <row r="6" spans="1:11" x14ac:dyDescent="0.3">
      <c r="A6" t="s">
        <v>15</v>
      </c>
      <c r="B6" s="133"/>
      <c r="C6" s="258"/>
      <c r="D6" s="258"/>
      <c r="E6" s="258"/>
      <c r="F6" s="258"/>
      <c r="G6" s="262"/>
      <c r="H6" s="262"/>
      <c r="I6" s="44" t="s">
        <v>151</v>
      </c>
      <c r="J6" s="44" t="s">
        <v>151</v>
      </c>
      <c r="K6" s="44" t="s">
        <v>151</v>
      </c>
    </row>
    <row r="7" spans="1:11" x14ac:dyDescent="0.3">
      <c r="A7" t="s">
        <v>15</v>
      </c>
      <c r="B7" s="109" t="s">
        <v>124</v>
      </c>
      <c r="C7" s="109" t="s">
        <v>125</v>
      </c>
      <c r="D7" s="263" t="s">
        <v>126</v>
      </c>
      <c r="E7" s="260" t="s">
        <v>152</v>
      </c>
      <c r="F7" s="260" t="s">
        <v>153</v>
      </c>
      <c r="G7" s="263" t="s">
        <v>154</v>
      </c>
      <c r="H7" s="263"/>
      <c r="I7" s="254">
        <v>2017</v>
      </c>
      <c r="J7" s="254">
        <v>2017</v>
      </c>
      <c r="K7" s="254">
        <v>2017</v>
      </c>
    </row>
    <row r="8" spans="1:11" x14ac:dyDescent="0.3">
      <c r="A8" t="s">
        <v>15</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4.4" x14ac:dyDescent="0.3"/>
  <cols>
    <col min="2" max="2" width="32.33203125" customWidth="1"/>
  </cols>
  <sheetData>
    <row r="1" spans="2:3" x14ac:dyDescent="0.3">
      <c r="B1" t="s">
        <v>216</v>
      </c>
      <c r="C1" t="b">
        <f>'PAMS levers'!B4</f>
        <v>1</v>
      </c>
    </row>
    <row r="3" spans="2:3" x14ac:dyDescent="0.3">
      <c r="C3" s="68" t="s">
        <v>148</v>
      </c>
    </row>
    <row r="4" spans="2:3" x14ac:dyDescent="0.3">
      <c r="B4" t="str">
        <f>'Processes_JM '!B25</f>
        <v>IPPCHE-E</v>
      </c>
      <c r="C4" s="276">
        <f>'Processes_JM '!I25</f>
        <v>1.0643442529852034</v>
      </c>
    </row>
    <row r="5" spans="2:3" x14ac:dyDescent="0.3">
      <c r="B5" t="str">
        <f>'Processes_JM '!B19</f>
        <v>IPPDIS-E</v>
      </c>
      <c r="C5" s="276">
        <f>'Processes_JM '!I19</f>
        <v>0.9305042796234908</v>
      </c>
    </row>
    <row r="6" spans="2:3" x14ac:dyDescent="0.3">
      <c r="B6" t="str">
        <f>'Processes_JM '!B31</f>
        <v>IPPMCH-E</v>
      </c>
      <c r="C6" s="276">
        <f>'Processes_JM '!I31</f>
        <v>0.29419692348538479</v>
      </c>
    </row>
    <row r="7" spans="2:3" x14ac:dyDescent="0.3">
      <c r="B7" t="str">
        <f>'Processes_JM '!B9</f>
        <v>IPPPAP-E</v>
      </c>
      <c r="C7" s="276">
        <f>'Processes_JM '!I9</f>
        <v>3.0777317647058822</v>
      </c>
    </row>
    <row r="8" spans="2:3" x14ac:dyDescent="0.3">
      <c r="B8" t="str">
        <f>'Processes_JM '!B14</f>
        <v>IPPREC-E</v>
      </c>
      <c r="C8" s="276">
        <f>'Processes_JM '!I14</f>
        <v>1.719529411764706</v>
      </c>
    </row>
    <row r="12" spans="2:3" x14ac:dyDescent="0.3">
      <c r="C12" s="67">
        <v>2030</v>
      </c>
    </row>
    <row r="13" spans="2:3" x14ac:dyDescent="0.3">
      <c r="B13" t="s">
        <v>217</v>
      </c>
      <c r="C13" s="139">
        <f>'PAMS levers'!E17</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4.4" x14ac:dyDescent="0.3"/>
  <cols>
    <col min="3" max="3" width="46.88671875" customWidth="1"/>
    <col min="4" max="4" width="16" customWidth="1"/>
    <col min="5" max="5" width="31.5546875" customWidth="1"/>
    <col min="6" max="6" width="28.109375" customWidth="1"/>
    <col min="7" max="7" width="43.5546875" customWidth="1"/>
    <col min="8" max="8" width="16.109375" customWidth="1"/>
    <col min="9" max="10" width="13.33203125" customWidth="1"/>
  </cols>
  <sheetData>
    <row r="2" spans="2:10" x14ac:dyDescent="0.3">
      <c r="C2" s="123"/>
      <c r="D2" s="123"/>
      <c r="E2" s="123"/>
      <c r="F2" s="123"/>
      <c r="G2" s="123"/>
      <c r="H2" s="773" t="s">
        <v>492</v>
      </c>
      <c r="I2" s="773"/>
      <c r="J2" s="2"/>
    </row>
    <row r="3" spans="2:10" x14ac:dyDescent="0.3">
      <c r="C3" s="265" t="s">
        <v>491</v>
      </c>
      <c r="D3" s="265" t="s">
        <v>490</v>
      </c>
      <c r="E3" s="265" t="s">
        <v>489</v>
      </c>
      <c r="F3" s="265" t="s">
        <v>488</v>
      </c>
      <c r="G3" s="265" t="s">
        <v>487</v>
      </c>
      <c r="H3" s="265" t="s">
        <v>486</v>
      </c>
      <c r="I3" s="265" t="s">
        <v>485</v>
      </c>
      <c r="J3" s="265" t="s">
        <v>484</v>
      </c>
    </row>
    <row r="4" spans="2:10" x14ac:dyDescent="0.3">
      <c r="B4">
        <v>1</v>
      </c>
      <c r="C4" s="2" t="s">
        <v>1349</v>
      </c>
      <c r="D4" t="s">
        <v>483</v>
      </c>
      <c r="E4" t="s">
        <v>482</v>
      </c>
      <c r="F4" t="s">
        <v>462</v>
      </c>
      <c r="G4" t="s">
        <v>481</v>
      </c>
      <c r="H4" s="137">
        <v>-33.598596833438897</v>
      </c>
      <c r="I4" s="137">
        <v>18.484894496673501</v>
      </c>
      <c r="J4" s="264" t="s">
        <v>480</v>
      </c>
    </row>
    <row r="5" spans="2:10" x14ac:dyDescent="0.3">
      <c r="B5">
        <f t="shared" ref="B5:B14" si="0">B4+1</f>
        <v>2</v>
      </c>
      <c r="C5" t="s">
        <v>1350</v>
      </c>
      <c r="D5" t="s">
        <v>479</v>
      </c>
      <c r="E5" t="s">
        <v>478</v>
      </c>
      <c r="F5" t="s">
        <v>462</v>
      </c>
      <c r="G5" t="s">
        <v>477</v>
      </c>
      <c r="H5" s="137">
        <v>-26.2056054634939</v>
      </c>
      <c r="I5" s="137">
        <v>28.440786766569801</v>
      </c>
      <c r="J5" s="264" t="s">
        <v>476</v>
      </c>
    </row>
    <row r="6" spans="2:10" x14ac:dyDescent="0.3">
      <c r="B6">
        <f t="shared" si="0"/>
        <v>3</v>
      </c>
      <c r="C6" t="s">
        <v>837</v>
      </c>
      <c r="D6" t="s">
        <v>475</v>
      </c>
      <c r="E6" t="s">
        <v>467</v>
      </c>
      <c r="F6" t="s">
        <v>466</v>
      </c>
      <c r="G6" t="s">
        <v>474</v>
      </c>
      <c r="H6" s="137">
        <v>-25.578295000000001</v>
      </c>
      <c r="I6" s="137">
        <v>30.659866000000001</v>
      </c>
      <c r="J6" s="264" t="s">
        <v>473</v>
      </c>
    </row>
    <row r="7" spans="2:10" x14ac:dyDescent="0.3">
      <c r="B7">
        <f t="shared" si="0"/>
        <v>4</v>
      </c>
      <c r="C7" t="s">
        <v>835</v>
      </c>
      <c r="D7" t="s">
        <v>454</v>
      </c>
      <c r="E7" t="s">
        <v>467</v>
      </c>
      <c r="F7" t="s">
        <v>466</v>
      </c>
      <c r="G7" t="s">
        <v>472</v>
      </c>
      <c r="H7" s="137">
        <v>-30.181718</v>
      </c>
      <c r="I7" s="137">
        <v>30.773743</v>
      </c>
      <c r="J7" s="264" t="s">
        <v>471</v>
      </c>
    </row>
    <row r="8" spans="2:10" x14ac:dyDescent="0.3">
      <c r="B8">
        <f t="shared" si="0"/>
        <v>5</v>
      </c>
      <c r="C8" t="s">
        <v>834</v>
      </c>
      <c r="D8" t="s">
        <v>454</v>
      </c>
      <c r="E8" t="s">
        <v>467</v>
      </c>
      <c r="F8" t="s">
        <v>470</v>
      </c>
      <c r="G8" t="s">
        <v>469</v>
      </c>
      <c r="H8" s="137">
        <v>-29.152183999999998</v>
      </c>
      <c r="I8" s="137">
        <v>31.405106</v>
      </c>
      <c r="J8" s="264" t="s">
        <v>468</v>
      </c>
    </row>
    <row r="9" spans="2:10" x14ac:dyDescent="0.3">
      <c r="B9">
        <f t="shared" si="0"/>
        <v>6</v>
      </c>
      <c r="C9" t="s">
        <v>833</v>
      </c>
      <c r="D9" t="s">
        <v>454</v>
      </c>
      <c r="E9" t="s">
        <v>467</v>
      </c>
      <c r="F9" t="s">
        <v>466</v>
      </c>
      <c r="G9" t="s">
        <v>465</v>
      </c>
      <c r="H9" s="137">
        <v>-29.364719260072199</v>
      </c>
      <c r="I9" s="137">
        <v>31.295347641824002</v>
      </c>
      <c r="J9" s="264" t="s">
        <v>464</v>
      </c>
    </row>
    <row r="10" spans="2:10" x14ac:dyDescent="0.3">
      <c r="B10">
        <f t="shared" si="0"/>
        <v>7</v>
      </c>
      <c r="C10" t="s">
        <v>828</v>
      </c>
      <c r="D10" t="s">
        <v>454</v>
      </c>
      <c r="E10" s="123" t="s">
        <v>1351</v>
      </c>
      <c r="F10" t="s">
        <v>462</v>
      </c>
      <c r="G10" t="s">
        <v>463</v>
      </c>
      <c r="H10" s="137">
        <v>-28.761801976509499</v>
      </c>
      <c r="I10" s="137">
        <v>31.993476569154801</v>
      </c>
      <c r="J10" s="264" t="s">
        <v>460</v>
      </c>
    </row>
    <row r="11" spans="2:10" x14ac:dyDescent="0.3">
      <c r="B11">
        <f t="shared" si="0"/>
        <v>8</v>
      </c>
      <c r="C11" t="s">
        <v>827</v>
      </c>
      <c r="D11" t="s">
        <v>454</v>
      </c>
      <c r="E11" s="123" t="s">
        <v>1351</v>
      </c>
      <c r="F11" t="s">
        <v>462</v>
      </c>
      <c r="G11" t="s">
        <v>461</v>
      </c>
      <c r="H11" s="137">
        <v>-29.959745000000002</v>
      </c>
      <c r="I11" s="137">
        <v>30.967808000000002</v>
      </c>
      <c r="J11" s="264" t="s">
        <v>460</v>
      </c>
    </row>
    <row r="12" spans="2:10" x14ac:dyDescent="0.3">
      <c r="B12">
        <f t="shared" si="0"/>
        <v>9</v>
      </c>
      <c r="C12" t="s">
        <v>695</v>
      </c>
      <c r="D12" t="s">
        <v>454</v>
      </c>
      <c r="E12" t="s">
        <v>453</v>
      </c>
      <c r="F12" t="s">
        <v>459</v>
      </c>
      <c r="G12" t="s">
        <v>458</v>
      </c>
      <c r="H12" s="137">
        <v>-28.836818999999998</v>
      </c>
      <c r="I12" s="137">
        <v>31.895440000000001</v>
      </c>
      <c r="J12" s="264" t="s">
        <v>457</v>
      </c>
    </row>
    <row r="13" spans="2:10" x14ac:dyDescent="0.3">
      <c r="B13">
        <f t="shared" si="0"/>
        <v>10</v>
      </c>
      <c r="C13" t="s">
        <v>826</v>
      </c>
      <c r="D13" t="s">
        <v>454</v>
      </c>
      <c r="E13" t="s">
        <v>453</v>
      </c>
      <c r="F13" t="s">
        <v>452</v>
      </c>
      <c r="G13" t="s">
        <v>456</v>
      </c>
      <c r="H13" s="137">
        <v>-26.9384731336805</v>
      </c>
      <c r="I13" s="137">
        <v>30.767094911737701</v>
      </c>
      <c r="J13" s="264" t="s">
        <v>455</v>
      </c>
    </row>
    <row r="14" spans="2:10" x14ac:dyDescent="0.3">
      <c r="B14">
        <f t="shared" si="0"/>
        <v>11</v>
      </c>
      <c r="C14" t="s">
        <v>697</v>
      </c>
      <c r="D14" t="s">
        <v>454</v>
      </c>
      <c r="E14" t="s">
        <v>453</v>
      </c>
      <c r="F14" t="s">
        <v>452</v>
      </c>
      <c r="G14" t="s">
        <v>451</v>
      </c>
      <c r="H14" s="137">
        <v>-26.258756000000002</v>
      </c>
      <c r="I14" s="137">
        <v>28.411182</v>
      </c>
      <c r="J14" s="264" t="s">
        <v>450</v>
      </c>
    </row>
    <row r="16" spans="2:10" x14ac:dyDescent="0.3">
      <c r="J16" s="264"/>
    </row>
    <row r="17" spans="3:10" x14ac:dyDescent="0.3">
      <c r="C17" s="2"/>
    </row>
    <row r="18" spans="3:10" x14ac:dyDescent="0.3">
      <c r="J18" s="264"/>
    </row>
    <row r="20" spans="3:10" x14ac:dyDescent="0.3">
      <c r="J20" s="264"/>
    </row>
    <row r="22" spans="3:10" x14ac:dyDescent="0.3">
      <c r="J22" s="264"/>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zoomScale="130" zoomScaleNormal="130" workbookViewId="0">
      <selection activeCell="H55" sqref="H55"/>
    </sheetView>
  </sheetViews>
  <sheetFormatPr defaultRowHeight="14.4" x14ac:dyDescent="0.3"/>
  <cols>
    <col min="3" max="3" width="32.33203125" customWidth="1"/>
    <col min="4" max="4" width="15.33203125" bestFit="1" customWidth="1"/>
    <col min="5" max="5" width="11" customWidth="1"/>
    <col min="6" max="6" width="10.88671875" customWidth="1"/>
    <col min="7" max="7" width="15.33203125" bestFit="1" customWidth="1"/>
    <col min="13" max="13" width="18.5546875" customWidth="1"/>
    <col min="14" max="14" width="14.6640625" customWidth="1"/>
  </cols>
  <sheetData>
    <row r="2" spans="2:28" x14ac:dyDescent="0.3">
      <c r="C2" t="s">
        <v>1282</v>
      </c>
    </row>
    <row r="5" spans="2:28" x14ac:dyDescent="0.3">
      <c r="C5" t="s">
        <v>1281</v>
      </c>
      <c r="F5" t="s">
        <v>1225</v>
      </c>
      <c r="G5" t="s">
        <v>1280</v>
      </c>
    </row>
    <row r="6" spans="2:28" x14ac:dyDescent="0.3">
      <c r="F6">
        <v>2006</v>
      </c>
      <c r="G6">
        <v>2012</v>
      </c>
      <c r="V6" s="67" t="s">
        <v>1279</v>
      </c>
    </row>
    <row r="7" spans="2:28" x14ac:dyDescent="0.3">
      <c r="D7" t="s">
        <v>46</v>
      </c>
      <c r="F7">
        <v>2.61</v>
      </c>
      <c r="G7" s="632">
        <f>'PP prod. and Capacity (OLD)'!G157/1000</f>
        <v>2.431</v>
      </c>
      <c r="I7">
        <f>(F7-G7)/F7</f>
        <v>6.8582375478927135E-2</v>
      </c>
      <c r="V7" s="52" t="s">
        <v>1278</v>
      </c>
      <c r="W7" s="53"/>
      <c r="X7" s="53"/>
      <c r="Y7" s="53"/>
      <c r="Z7" s="53"/>
      <c r="AA7" s="53"/>
      <c r="AB7" s="55"/>
    </row>
    <row r="8" spans="2:28" x14ac:dyDescent="0.3">
      <c r="D8" t="s">
        <v>45</v>
      </c>
      <c r="F8">
        <v>0.55600000000000005</v>
      </c>
      <c r="G8" s="632">
        <f>H17/1000000</f>
        <v>0.73497500000000004</v>
      </c>
      <c r="I8">
        <f>(F8-G8)/F8</f>
        <v>-0.32189748201438845</v>
      </c>
      <c r="V8" s="50"/>
      <c r="AB8" s="66"/>
    </row>
    <row r="9" spans="2:28" x14ac:dyDescent="0.3">
      <c r="V9" s="50" t="s">
        <v>88</v>
      </c>
      <c r="W9">
        <v>2006</v>
      </c>
      <c r="X9" t="s">
        <v>1277</v>
      </c>
      <c r="Z9" t="s">
        <v>1276</v>
      </c>
      <c r="AB9" s="66"/>
    </row>
    <row r="10" spans="2:28" x14ac:dyDescent="0.3">
      <c r="M10" s="52" t="s">
        <v>1275</v>
      </c>
      <c r="N10" s="53"/>
      <c r="O10" s="53"/>
      <c r="P10" s="53"/>
      <c r="Q10" s="53"/>
      <c r="R10" s="53"/>
      <c r="S10" s="53"/>
      <c r="T10" s="55"/>
      <c r="V10" s="50"/>
      <c r="AB10" s="66"/>
    </row>
    <row r="11" spans="2:28" x14ac:dyDescent="0.3">
      <c r="B11" t="s">
        <v>1274</v>
      </c>
      <c r="M11" s="50"/>
      <c r="S11" t="s">
        <v>1273</v>
      </c>
      <c r="T11" s="66"/>
      <c r="V11" s="50" t="s">
        <v>38</v>
      </c>
      <c r="W11" s="62">
        <v>1.1764490000000001</v>
      </c>
      <c r="X11" s="62">
        <v>1.1764490000000001</v>
      </c>
      <c r="Z11">
        <v>41.21</v>
      </c>
      <c r="AB11" s="66"/>
    </row>
    <row r="12" spans="2:28" x14ac:dyDescent="0.3">
      <c r="B12" s="52" t="s">
        <v>1272</v>
      </c>
      <c r="C12" s="53"/>
      <c r="D12" s="53"/>
      <c r="E12" s="53"/>
      <c r="F12" s="53"/>
      <c r="G12" s="53"/>
      <c r="H12" s="53"/>
      <c r="I12" s="53"/>
      <c r="J12" s="55"/>
      <c r="M12" s="50"/>
      <c r="S12" t="s">
        <v>1271</v>
      </c>
      <c r="T12" s="66" t="s">
        <v>1270</v>
      </c>
      <c r="V12" s="50" t="s">
        <v>37</v>
      </c>
      <c r="W12" s="62">
        <v>54.509901999999997</v>
      </c>
      <c r="X12" s="62">
        <v>54.286402000000002</v>
      </c>
      <c r="Z12">
        <v>71.463600000000014</v>
      </c>
      <c r="AB12" s="66"/>
    </row>
    <row r="13" spans="2:28" x14ac:dyDescent="0.3">
      <c r="B13" s="50"/>
      <c r="D13" t="s">
        <v>1269</v>
      </c>
      <c r="H13">
        <v>2011</v>
      </c>
      <c r="J13" s="66"/>
      <c r="M13" s="50"/>
      <c r="N13" t="s">
        <v>1268</v>
      </c>
      <c r="P13" t="s">
        <v>1267</v>
      </c>
      <c r="Q13" t="s">
        <v>1266</v>
      </c>
      <c r="S13" s="478">
        <f>1-T13</f>
        <v>0.23213230950974606</v>
      </c>
      <c r="T13" s="631">
        <f>'2006 PP model inputs (OLD)'!K48</f>
        <v>0.76786769049025394</v>
      </c>
      <c r="V13" s="50" t="s">
        <v>39</v>
      </c>
      <c r="W13" s="62">
        <v>1.3812500000000001</v>
      </c>
      <c r="X13" s="62">
        <v>1.3812500000000001</v>
      </c>
      <c r="Z13">
        <v>4.8360000000000003</v>
      </c>
      <c r="AB13" s="66"/>
    </row>
    <row r="14" spans="2:28" x14ac:dyDescent="0.3">
      <c r="B14" s="50" t="s">
        <v>1265</v>
      </c>
      <c r="J14" s="66"/>
      <c r="M14" s="50" t="s">
        <v>46</v>
      </c>
      <c r="N14">
        <f>'PP prod. and Capacity (OLD)'!G157/1000</f>
        <v>2.431</v>
      </c>
      <c r="P14">
        <v>0.85</v>
      </c>
      <c r="Q14">
        <f>N14/P14</f>
        <v>2.8600000000000003</v>
      </c>
      <c r="T14" s="66"/>
      <c r="V14" s="50" t="s">
        <v>535</v>
      </c>
      <c r="W14" s="62">
        <v>0.16450000000000001</v>
      </c>
      <c r="X14" s="62">
        <v>0.14499999999999999</v>
      </c>
      <c r="AB14" s="629"/>
    </row>
    <row r="15" spans="2:28" x14ac:dyDescent="0.3">
      <c r="B15" s="50"/>
      <c r="D15" t="s">
        <v>1264</v>
      </c>
      <c r="H15">
        <v>1190000</v>
      </c>
      <c r="J15" s="66"/>
      <c r="M15" s="50" t="s">
        <v>44</v>
      </c>
      <c r="N15">
        <f>'PP prod. and Capacity (OLD)'!G158/1000</f>
        <v>2.2770000000000001</v>
      </c>
      <c r="P15">
        <v>0.85</v>
      </c>
      <c r="Q15" s="62">
        <f>N15/P15</f>
        <v>2.678823529411765</v>
      </c>
      <c r="S15" s="62">
        <f>$Q$15*(S13)</f>
        <v>0.62184149265140221</v>
      </c>
      <c r="T15" s="630">
        <f>$Q$15*(T13)</f>
        <v>2.0569820367603628</v>
      </c>
      <c r="V15" s="50" t="s">
        <v>40</v>
      </c>
      <c r="W15" s="62">
        <v>35.394764000000002</v>
      </c>
      <c r="X15" s="62">
        <v>31.539292</v>
      </c>
      <c r="AB15" s="629"/>
    </row>
    <row r="16" spans="2:28" x14ac:dyDescent="0.3">
      <c r="B16" s="50"/>
      <c r="D16" t="s">
        <v>1263</v>
      </c>
      <c r="H16">
        <v>100000</v>
      </c>
      <c r="J16" s="66"/>
      <c r="M16" s="50" t="s">
        <v>556</v>
      </c>
      <c r="N16" s="62">
        <f>G8</f>
        <v>0.73497500000000004</v>
      </c>
      <c r="T16" s="66"/>
      <c r="V16" s="50" t="s">
        <v>111</v>
      </c>
      <c r="W16" s="62">
        <v>0.67490000000000006</v>
      </c>
      <c r="X16" s="62">
        <v>0.67490000000000006</v>
      </c>
      <c r="AB16" s="66"/>
    </row>
    <row r="17" spans="2:28" x14ac:dyDescent="0.3">
      <c r="B17" s="50"/>
      <c r="D17" s="372" t="s">
        <v>1262</v>
      </c>
      <c r="E17" s="372"/>
      <c r="F17" s="372"/>
      <c r="G17" s="372"/>
      <c r="H17" s="372">
        <v>734975</v>
      </c>
      <c r="J17" s="66"/>
      <c r="M17" s="50" t="s">
        <v>580</v>
      </c>
      <c r="N17" s="276">
        <f>H23/1000000</f>
        <v>1.090198</v>
      </c>
      <c r="T17" s="66"/>
      <c r="V17" s="50" t="s">
        <v>36</v>
      </c>
      <c r="W17" s="62">
        <v>7.9635949999999998</v>
      </c>
      <c r="X17" s="62">
        <v>5.317952</v>
      </c>
      <c r="Z17">
        <v>32.598048734324848</v>
      </c>
      <c r="AB17" s="66"/>
    </row>
    <row r="18" spans="2:28" x14ac:dyDescent="0.3">
      <c r="B18" s="50"/>
      <c r="D18" t="s">
        <v>1261</v>
      </c>
      <c r="H18">
        <v>281000</v>
      </c>
      <c r="J18" s="66"/>
      <c r="M18" s="50"/>
      <c r="T18" s="66"/>
      <c r="V18" s="50"/>
      <c r="AB18" s="629"/>
    </row>
    <row r="19" spans="2:28" x14ac:dyDescent="0.3">
      <c r="B19" s="50"/>
      <c r="C19" t="s">
        <v>1260</v>
      </c>
      <c r="H19">
        <v>2305975</v>
      </c>
      <c r="J19" s="66"/>
      <c r="M19" s="80"/>
      <c r="N19" s="59"/>
      <c r="O19" s="59"/>
      <c r="P19" s="59"/>
      <c r="Q19" s="59"/>
      <c r="R19" s="59"/>
      <c r="S19" s="59"/>
      <c r="T19" s="107"/>
      <c r="V19" s="80"/>
      <c r="W19" s="59"/>
      <c r="X19" s="59"/>
      <c r="Y19" s="59"/>
      <c r="Z19" s="59"/>
      <c r="AA19" s="59"/>
      <c r="AB19" s="628"/>
    </row>
    <row r="20" spans="2:28" x14ac:dyDescent="0.3">
      <c r="B20" s="50"/>
      <c r="C20" t="s">
        <v>1259</v>
      </c>
      <c r="H20">
        <v>79000</v>
      </c>
      <c r="J20" s="66"/>
    </row>
    <row r="21" spans="2:28" x14ac:dyDescent="0.3">
      <c r="B21" s="50"/>
      <c r="C21" t="s">
        <v>1258</v>
      </c>
      <c r="H21" s="627">
        <f>SUM(H19:H20)</f>
        <v>2384975</v>
      </c>
      <c r="J21" s="66"/>
      <c r="M21" s="393" t="s">
        <v>1257</v>
      </c>
    </row>
    <row r="22" spans="2:28" x14ac:dyDescent="0.3">
      <c r="B22" s="50"/>
      <c r="J22" s="66"/>
      <c r="M22" s="52"/>
      <c r="N22" s="53"/>
      <c r="O22" s="53"/>
      <c r="P22" s="53"/>
      <c r="Q22" s="53"/>
      <c r="R22" s="53"/>
      <c r="S22" s="55"/>
    </row>
    <row r="23" spans="2:28" x14ac:dyDescent="0.3">
      <c r="B23" s="50"/>
      <c r="C23" t="s">
        <v>103</v>
      </c>
      <c r="H23">
        <v>1090198</v>
      </c>
      <c r="J23" s="66"/>
      <c r="M23" s="620" t="s">
        <v>1256</v>
      </c>
      <c r="N23" s="626" t="s">
        <v>1255</v>
      </c>
      <c r="O23" s="625" t="s">
        <v>1251</v>
      </c>
      <c r="P23" t="s">
        <v>1254</v>
      </c>
      <c r="Q23" t="s">
        <v>1253</v>
      </c>
      <c r="R23" s="621" t="s">
        <v>1244</v>
      </c>
      <c r="S23" s="66"/>
    </row>
    <row r="24" spans="2:28" x14ac:dyDescent="0.3">
      <c r="B24" s="50"/>
      <c r="J24" s="66"/>
      <c r="M24" s="50" t="s">
        <v>1252</v>
      </c>
      <c r="O24" s="624" t="s">
        <v>1251</v>
      </c>
      <c r="R24" s="621" t="s">
        <v>1244</v>
      </c>
      <c r="S24" s="66"/>
    </row>
    <row r="25" spans="2:28" x14ac:dyDescent="0.3">
      <c r="B25" s="50"/>
      <c r="C25" t="s">
        <v>1250</v>
      </c>
      <c r="H25">
        <f>H23/H21</f>
        <v>0.45711087118313609</v>
      </c>
      <c r="J25" s="66"/>
      <c r="M25" s="50" t="s">
        <v>1249</v>
      </c>
      <c r="N25" s="623" t="s">
        <v>1248</v>
      </c>
      <c r="S25" s="66"/>
    </row>
    <row r="26" spans="2:28" x14ac:dyDescent="0.3">
      <c r="B26" s="50"/>
      <c r="J26" s="66"/>
      <c r="M26" s="620" t="s">
        <v>506</v>
      </c>
      <c r="N26" s="622" t="s">
        <v>1247</v>
      </c>
      <c r="P26" s="85" t="s">
        <v>1246</v>
      </c>
      <c r="Q26" t="s">
        <v>1245</v>
      </c>
      <c r="R26" s="621" t="s">
        <v>1244</v>
      </c>
      <c r="S26" s="66"/>
    </row>
    <row r="27" spans="2:28" x14ac:dyDescent="0.3">
      <c r="B27" s="50" t="s">
        <v>292</v>
      </c>
      <c r="H27">
        <v>2011</v>
      </c>
      <c r="J27" s="66"/>
      <c r="M27" s="620"/>
      <c r="S27" s="66"/>
    </row>
    <row r="28" spans="2:28" x14ac:dyDescent="0.3">
      <c r="B28" s="50"/>
      <c r="C28" t="s">
        <v>1243</v>
      </c>
      <c r="H28">
        <v>2167000</v>
      </c>
      <c r="J28" s="66"/>
      <c r="M28" s="620" t="s">
        <v>1242</v>
      </c>
      <c r="N28" s="619" t="s">
        <v>1241</v>
      </c>
      <c r="S28" s="66"/>
    </row>
    <row r="29" spans="2:28" x14ac:dyDescent="0.3">
      <c r="B29" s="50"/>
      <c r="C29" s="372" t="s">
        <v>1240</v>
      </c>
      <c r="D29" s="372"/>
      <c r="E29" s="372"/>
      <c r="F29" s="372"/>
      <c r="G29" s="372"/>
      <c r="H29" s="372">
        <v>791000</v>
      </c>
      <c r="J29" s="66"/>
      <c r="M29" s="50"/>
      <c r="S29" s="66"/>
    </row>
    <row r="30" spans="2:28" x14ac:dyDescent="0.3">
      <c r="B30" s="50"/>
      <c r="C30" t="s">
        <v>344</v>
      </c>
      <c r="H30">
        <v>317000</v>
      </c>
      <c r="J30" s="66"/>
      <c r="M30" s="50"/>
      <c r="S30" s="66"/>
    </row>
    <row r="31" spans="2:28" x14ac:dyDescent="0.3">
      <c r="B31" s="50"/>
      <c r="C31" t="s">
        <v>1239</v>
      </c>
      <c r="H31">
        <v>474000</v>
      </c>
      <c r="J31" s="66"/>
      <c r="M31" s="80"/>
      <c r="N31" s="59"/>
      <c r="O31" s="59"/>
      <c r="P31" s="59"/>
      <c r="Q31" s="59"/>
      <c r="R31" s="59"/>
      <c r="S31" s="107"/>
    </row>
    <row r="32" spans="2:28" x14ac:dyDescent="0.3">
      <c r="B32" s="50"/>
      <c r="C32" t="s">
        <v>1238</v>
      </c>
      <c r="H32">
        <v>0</v>
      </c>
      <c r="J32" s="66"/>
    </row>
    <row r="33" spans="1:26" x14ac:dyDescent="0.3">
      <c r="B33" s="50"/>
      <c r="C33" t="s">
        <v>1237</v>
      </c>
      <c r="H33">
        <v>428000</v>
      </c>
      <c r="J33" s="66"/>
    </row>
    <row r="34" spans="1:26" x14ac:dyDescent="0.3">
      <c r="B34" s="50"/>
      <c r="C34" t="s">
        <v>1236</v>
      </c>
      <c r="H34">
        <v>46000</v>
      </c>
      <c r="J34" s="66"/>
    </row>
    <row r="35" spans="1:26" x14ac:dyDescent="0.3">
      <c r="B35" s="50"/>
      <c r="C35" s="372" t="s">
        <v>1235</v>
      </c>
      <c r="D35" s="372"/>
      <c r="E35" s="372"/>
      <c r="F35" s="372"/>
      <c r="G35" s="372"/>
      <c r="H35" s="372">
        <v>210000</v>
      </c>
      <c r="J35" s="66"/>
    </row>
    <row r="36" spans="1:26" x14ac:dyDescent="0.3">
      <c r="B36" s="50"/>
      <c r="C36" s="372" t="s">
        <v>1234</v>
      </c>
      <c r="D36" s="372"/>
      <c r="E36" s="372"/>
      <c r="F36" s="372"/>
      <c r="G36" s="372"/>
      <c r="H36" s="372">
        <v>1075000</v>
      </c>
      <c r="J36" s="66"/>
    </row>
    <row r="37" spans="1:26" x14ac:dyDescent="0.3">
      <c r="B37" s="50"/>
      <c r="C37" t="s">
        <v>1233</v>
      </c>
      <c r="H37">
        <v>971000</v>
      </c>
      <c r="J37" s="66"/>
      <c r="O37">
        <v>1.379</v>
      </c>
      <c r="Q37">
        <v>0.65910000000000002</v>
      </c>
    </row>
    <row r="38" spans="1:26" x14ac:dyDescent="0.3">
      <c r="B38" s="50"/>
      <c r="C38" t="s">
        <v>1232</v>
      </c>
      <c r="H38">
        <v>28000</v>
      </c>
      <c r="J38" s="66"/>
      <c r="O38">
        <v>0.1022</v>
      </c>
      <c r="Q38">
        <v>0.94159999999999999</v>
      </c>
    </row>
    <row r="39" spans="1:26" x14ac:dyDescent="0.3">
      <c r="B39" s="50"/>
      <c r="C39" t="s">
        <v>1231</v>
      </c>
      <c r="H39">
        <v>76000</v>
      </c>
      <c r="J39" s="66"/>
    </row>
    <row r="40" spans="1:26" x14ac:dyDescent="0.3">
      <c r="B40" s="50"/>
      <c r="C40" t="s">
        <v>1230</v>
      </c>
      <c r="H40">
        <v>0</v>
      </c>
      <c r="J40" s="66"/>
    </row>
    <row r="41" spans="1:26" x14ac:dyDescent="0.3">
      <c r="B41" s="50"/>
      <c r="C41" s="372" t="s">
        <v>1229</v>
      </c>
      <c r="D41" s="372"/>
      <c r="E41" s="372"/>
      <c r="F41" s="372"/>
      <c r="G41" s="372"/>
      <c r="H41" s="372">
        <v>91000</v>
      </c>
      <c r="J41" s="66"/>
    </row>
    <row r="42" spans="1:26" x14ac:dyDescent="0.3">
      <c r="B42" s="50"/>
      <c r="C42" t="s">
        <v>1228</v>
      </c>
      <c r="H42" s="67">
        <f>H29+H35+H36+H41</f>
        <v>2167000</v>
      </c>
      <c r="J42" s="66"/>
      <c r="L42">
        <f>H21/H42</f>
        <v>1.1005883710198432</v>
      </c>
    </row>
    <row r="43" spans="1:26" x14ac:dyDescent="0.3">
      <c r="B43" s="80"/>
      <c r="C43" s="59"/>
      <c r="D43" s="59"/>
      <c r="E43" s="59"/>
      <c r="F43" s="59"/>
      <c r="G43" s="59"/>
      <c r="H43" s="59"/>
      <c r="I43" s="59"/>
      <c r="J43" s="107"/>
    </row>
    <row r="47" spans="1:26" ht="21" x14ac:dyDescent="0.4">
      <c r="A47" s="275" t="s">
        <v>788</v>
      </c>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9" spans="1:26" x14ac:dyDescent="0.3">
      <c r="C49" s="67" t="s">
        <v>1227</v>
      </c>
    </row>
    <row r="51" spans="1:26" x14ac:dyDescent="0.3">
      <c r="D51" s="618" t="s">
        <v>1226</v>
      </c>
      <c r="E51" t="s">
        <v>1225</v>
      </c>
      <c r="F51" t="s">
        <v>1159</v>
      </c>
      <c r="H51" t="s">
        <v>1224</v>
      </c>
    </row>
    <row r="52" spans="1:26" x14ac:dyDescent="0.3">
      <c r="E52" s="67">
        <v>2006</v>
      </c>
      <c r="F52" s="67">
        <v>2012</v>
      </c>
      <c r="G52" s="67">
        <v>2015</v>
      </c>
      <c r="H52" s="67">
        <v>2017</v>
      </c>
    </row>
    <row r="53" spans="1:26" x14ac:dyDescent="0.3">
      <c r="C53" s="67" t="s">
        <v>46</v>
      </c>
      <c r="E53">
        <f>F7</f>
        <v>2.61</v>
      </c>
      <c r="F53" s="272">
        <f>'PP prod. and Capacity (OLD)'!G157/1000</f>
        <v>2.431</v>
      </c>
      <c r="H53" s="62">
        <f>'PP prod. and Capacity (OLD)'!D213/1000000</f>
        <v>2.1800600000000001</v>
      </c>
    </row>
    <row r="54" spans="1:26" x14ac:dyDescent="0.3">
      <c r="C54" s="67" t="s">
        <v>44</v>
      </c>
      <c r="F54" s="272">
        <f>'PP prod. and Capacity (OLD)'!G158/1000</f>
        <v>2.2770000000000001</v>
      </c>
    </row>
    <row r="55" spans="1:26" x14ac:dyDescent="0.3">
      <c r="C55" s="67" t="s">
        <v>45</v>
      </c>
      <c r="E55">
        <f>F8</f>
        <v>0.55600000000000005</v>
      </c>
      <c r="F55" s="62">
        <f>H17/1000000</f>
        <v>0.73497500000000004</v>
      </c>
      <c r="H55" s="62">
        <f>(H53/F53)*F55</f>
        <v>0.65910719806663931</v>
      </c>
    </row>
    <row r="56" spans="1:26" x14ac:dyDescent="0.3">
      <c r="C56" s="67"/>
    </row>
    <row r="57" spans="1:26" x14ac:dyDescent="0.3">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x14ac:dyDescent="0.3">
      <c r="B58" t="s">
        <v>1223</v>
      </c>
    </row>
    <row r="60" spans="1:26" x14ac:dyDescent="0.3">
      <c r="B60" s="67" t="s">
        <v>1222</v>
      </c>
      <c r="E60" s="751">
        <v>2010</v>
      </c>
      <c r="F60" s="751"/>
      <c r="G60" s="751">
        <v>2011</v>
      </c>
      <c r="H60" s="751"/>
      <c r="I60" s="751">
        <v>2012</v>
      </c>
      <c r="J60" s="751"/>
      <c r="K60" s="751">
        <v>2013</v>
      </c>
      <c r="L60" s="751"/>
      <c r="M60" s="67">
        <v>2014</v>
      </c>
      <c r="N60" s="67">
        <v>2015</v>
      </c>
    </row>
    <row r="61" spans="1:26" ht="39.6" x14ac:dyDescent="0.3">
      <c r="B61" s="608"/>
      <c r="C61" s="608"/>
      <c r="D61" s="608"/>
      <c r="E61" s="608" t="s">
        <v>1221</v>
      </c>
      <c r="F61" s="608" t="s">
        <v>1220</v>
      </c>
      <c r="G61" s="608" t="s">
        <v>1221</v>
      </c>
      <c r="H61" s="608" t="s">
        <v>1220</v>
      </c>
      <c r="I61" s="608" t="s">
        <v>1221</v>
      </c>
      <c r="J61" s="608" t="s">
        <v>1220</v>
      </c>
      <c r="K61" s="608" t="s">
        <v>1221</v>
      </c>
      <c r="L61" s="608" t="s">
        <v>1220</v>
      </c>
      <c r="M61" s="608" t="s">
        <v>1221</v>
      </c>
      <c r="N61" s="608" t="s">
        <v>1220</v>
      </c>
    </row>
    <row r="62" spans="1:26" x14ac:dyDescent="0.3">
      <c r="B62" s="609">
        <v>1</v>
      </c>
      <c r="C62" s="595" t="s">
        <v>1219</v>
      </c>
      <c r="D62" s="604"/>
      <c r="E62" s="603">
        <v>1780</v>
      </c>
      <c r="F62" s="584">
        <v>300</v>
      </c>
      <c r="G62" s="601">
        <v>1780</v>
      </c>
      <c r="H62" s="584">
        <v>300</v>
      </c>
      <c r="I62" s="601">
        <v>1560</v>
      </c>
      <c r="J62" s="584">
        <v>300</v>
      </c>
      <c r="K62" s="601">
        <v>1560</v>
      </c>
      <c r="L62" s="602">
        <v>300</v>
      </c>
      <c r="M62" s="601">
        <v>1560</v>
      </c>
      <c r="N62" s="584">
        <v>1560</v>
      </c>
    </row>
    <row r="63" spans="1:26" x14ac:dyDescent="0.3">
      <c r="B63" s="597">
        <v>1.1000000000000001</v>
      </c>
      <c r="C63" s="587" t="s">
        <v>1218</v>
      </c>
      <c r="D63" s="608"/>
      <c r="E63" s="607">
        <v>100</v>
      </c>
      <c r="F63" s="615" t="s">
        <v>1193</v>
      </c>
      <c r="G63" s="605">
        <v>100</v>
      </c>
      <c r="H63" s="615" t="s">
        <v>1193</v>
      </c>
      <c r="I63" s="605">
        <v>100</v>
      </c>
      <c r="J63" s="615" t="s">
        <v>1193</v>
      </c>
      <c r="K63" s="605">
        <v>100</v>
      </c>
      <c r="L63" s="614" t="s">
        <v>1193</v>
      </c>
      <c r="M63" s="605">
        <v>100</v>
      </c>
      <c r="N63" s="581">
        <v>100</v>
      </c>
    </row>
    <row r="64" spans="1:26" x14ac:dyDescent="0.3">
      <c r="B64" s="596">
        <v>1.1100000000000001</v>
      </c>
      <c r="C64" s="585" t="s">
        <v>1217</v>
      </c>
      <c r="D64" s="604"/>
      <c r="E64" s="603">
        <v>0</v>
      </c>
      <c r="F64" s="613" t="s">
        <v>1193</v>
      </c>
      <c r="G64" s="617" t="s">
        <v>1193</v>
      </c>
      <c r="H64" s="613" t="s">
        <v>1193</v>
      </c>
      <c r="I64" s="617" t="s">
        <v>1193</v>
      </c>
      <c r="J64" s="613" t="s">
        <v>1193</v>
      </c>
      <c r="K64" s="617" t="s">
        <v>1193</v>
      </c>
      <c r="L64" s="612" t="s">
        <v>1193</v>
      </c>
      <c r="M64" s="617" t="s">
        <v>1193</v>
      </c>
      <c r="N64" s="613" t="s">
        <v>1193</v>
      </c>
    </row>
    <row r="65" spans="2:14" x14ac:dyDescent="0.3">
      <c r="B65" s="594">
        <v>1.1200000000000001</v>
      </c>
      <c r="C65" s="582" t="s">
        <v>1216</v>
      </c>
      <c r="D65" s="608"/>
      <c r="E65" s="607">
        <v>100</v>
      </c>
      <c r="F65" s="615" t="s">
        <v>1193</v>
      </c>
      <c r="G65" s="605">
        <v>100</v>
      </c>
      <c r="H65" s="615" t="s">
        <v>1193</v>
      </c>
      <c r="I65" s="605">
        <v>100</v>
      </c>
      <c r="J65" s="615" t="s">
        <v>1193</v>
      </c>
      <c r="K65" s="605">
        <v>100</v>
      </c>
      <c r="L65" s="614" t="s">
        <v>1193</v>
      </c>
      <c r="M65" s="605">
        <v>100</v>
      </c>
      <c r="N65" s="581">
        <v>100</v>
      </c>
    </row>
    <row r="66" spans="2:14" x14ac:dyDescent="0.3">
      <c r="B66" s="598">
        <v>1.2</v>
      </c>
      <c r="C66" s="590" t="s">
        <v>1215</v>
      </c>
      <c r="D66" s="604"/>
      <c r="E66" s="603">
        <v>220</v>
      </c>
      <c r="F66" s="613" t="s">
        <v>1193</v>
      </c>
      <c r="G66" s="601">
        <v>220</v>
      </c>
      <c r="H66" s="613" t="s">
        <v>1193</v>
      </c>
      <c r="I66" s="601">
        <v>0</v>
      </c>
      <c r="J66" s="584">
        <v>0</v>
      </c>
      <c r="K66" s="601">
        <v>0</v>
      </c>
      <c r="L66" s="602">
        <v>0</v>
      </c>
      <c r="M66" s="601">
        <v>0</v>
      </c>
      <c r="N66" s="584">
        <v>0</v>
      </c>
    </row>
    <row r="67" spans="2:14" ht="20.399999999999999" x14ac:dyDescent="0.3">
      <c r="B67" s="594">
        <v>1.21</v>
      </c>
      <c r="C67" s="582" t="s">
        <v>1214</v>
      </c>
      <c r="D67" s="608"/>
      <c r="E67" s="607">
        <v>0</v>
      </c>
      <c r="F67" s="615" t="s">
        <v>1193</v>
      </c>
      <c r="G67" s="616" t="s">
        <v>1193</v>
      </c>
      <c r="H67" s="615" t="s">
        <v>1193</v>
      </c>
      <c r="I67" s="605">
        <v>0</v>
      </c>
      <c r="J67" s="581">
        <v>0</v>
      </c>
      <c r="K67" s="605">
        <v>0</v>
      </c>
      <c r="L67" s="606">
        <v>0</v>
      </c>
      <c r="M67" s="605">
        <v>0</v>
      </c>
      <c r="N67" s="581">
        <v>0</v>
      </c>
    </row>
    <row r="68" spans="2:14" x14ac:dyDescent="0.3">
      <c r="B68" s="596">
        <v>1.22</v>
      </c>
      <c r="C68" s="585" t="s">
        <v>1213</v>
      </c>
      <c r="D68" s="604"/>
      <c r="E68" s="603">
        <v>220</v>
      </c>
      <c r="F68" s="613" t="s">
        <v>1193</v>
      </c>
      <c r="G68" s="601">
        <v>220</v>
      </c>
      <c r="H68" s="613" t="s">
        <v>1193</v>
      </c>
      <c r="I68" s="601">
        <v>0</v>
      </c>
      <c r="J68" s="584">
        <v>0</v>
      </c>
      <c r="K68" s="601">
        <v>0</v>
      </c>
      <c r="L68" s="602">
        <v>0</v>
      </c>
      <c r="M68" s="601">
        <v>0</v>
      </c>
      <c r="N68" s="584">
        <v>0</v>
      </c>
    </row>
    <row r="69" spans="2:14" x14ac:dyDescent="0.3">
      <c r="B69" s="597">
        <v>1.3</v>
      </c>
      <c r="C69" s="587" t="s">
        <v>1212</v>
      </c>
      <c r="D69" s="608"/>
      <c r="E69" s="607">
        <v>0</v>
      </c>
      <c r="F69" s="581">
        <v>0</v>
      </c>
      <c r="G69" s="605">
        <v>0</v>
      </c>
      <c r="H69" s="581">
        <v>0</v>
      </c>
      <c r="I69" s="605">
        <v>0</v>
      </c>
      <c r="J69" s="581">
        <v>0</v>
      </c>
      <c r="K69" s="605">
        <v>0</v>
      </c>
      <c r="L69" s="606">
        <v>0</v>
      </c>
      <c r="M69" s="605">
        <v>0</v>
      </c>
      <c r="N69" s="581">
        <v>0</v>
      </c>
    </row>
    <row r="70" spans="2:14" x14ac:dyDescent="0.3">
      <c r="B70" s="596">
        <v>1.31</v>
      </c>
      <c r="C70" s="585" t="s">
        <v>1211</v>
      </c>
      <c r="D70" s="604"/>
      <c r="E70" s="603">
        <v>0</v>
      </c>
      <c r="F70" s="584">
        <v>0</v>
      </c>
      <c r="G70" s="601">
        <v>0</v>
      </c>
      <c r="H70" s="584">
        <v>0</v>
      </c>
      <c r="I70" s="601">
        <v>0</v>
      </c>
      <c r="J70" s="584">
        <v>0</v>
      </c>
      <c r="K70" s="601">
        <v>0</v>
      </c>
      <c r="L70" s="602">
        <v>0</v>
      </c>
      <c r="M70" s="601">
        <v>0</v>
      </c>
      <c r="N70" s="584">
        <v>0</v>
      </c>
    </row>
    <row r="71" spans="2:14" x14ac:dyDescent="0.3">
      <c r="B71" s="594">
        <v>1.32</v>
      </c>
      <c r="C71" s="582" t="s">
        <v>1210</v>
      </c>
      <c r="D71" s="608"/>
      <c r="E71" s="607">
        <v>0</v>
      </c>
      <c r="F71" s="581">
        <v>0</v>
      </c>
      <c r="G71" s="605">
        <v>0</v>
      </c>
      <c r="H71" s="581">
        <v>0</v>
      </c>
      <c r="I71" s="605">
        <v>0</v>
      </c>
      <c r="J71" s="581">
        <v>0</v>
      </c>
      <c r="K71" s="605">
        <v>0</v>
      </c>
      <c r="L71" s="606">
        <v>0</v>
      </c>
      <c r="M71" s="605">
        <v>0</v>
      </c>
      <c r="N71" s="581">
        <v>0</v>
      </c>
    </row>
    <row r="72" spans="2:14" x14ac:dyDescent="0.3">
      <c r="B72" s="598">
        <v>1.4</v>
      </c>
      <c r="C72" s="590" t="s">
        <v>1209</v>
      </c>
      <c r="D72" s="604"/>
      <c r="E72" s="603">
        <v>1460</v>
      </c>
      <c r="F72" s="613" t="s">
        <v>1193</v>
      </c>
      <c r="G72" s="601">
        <v>1460</v>
      </c>
      <c r="H72" s="613" t="s">
        <v>1193</v>
      </c>
      <c r="I72" s="601">
        <v>1460</v>
      </c>
      <c r="J72" s="613" t="s">
        <v>1193</v>
      </c>
      <c r="K72" s="601">
        <v>1460</v>
      </c>
      <c r="L72" s="612" t="s">
        <v>1193</v>
      </c>
      <c r="M72" s="601">
        <v>1460</v>
      </c>
      <c r="N72" s="584">
        <v>1460</v>
      </c>
    </row>
    <row r="73" spans="2:14" x14ac:dyDescent="0.3">
      <c r="B73" s="594">
        <v>1.41</v>
      </c>
      <c r="C73" s="582" t="s">
        <v>1208</v>
      </c>
      <c r="D73" s="608"/>
      <c r="E73" s="607">
        <v>0</v>
      </c>
      <c r="F73" s="581">
        <v>0</v>
      </c>
      <c r="G73" s="605">
        <v>0</v>
      </c>
      <c r="H73" s="581">
        <v>0</v>
      </c>
      <c r="I73" s="605">
        <v>0</v>
      </c>
      <c r="J73" s="581">
        <v>0</v>
      </c>
      <c r="K73" s="605">
        <v>0</v>
      </c>
      <c r="L73" s="606">
        <v>0</v>
      </c>
      <c r="M73" s="605">
        <v>0</v>
      </c>
      <c r="N73" s="581">
        <v>0</v>
      </c>
    </row>
    <row r="74" spans="2:14" ht="20.399999999999999" x14ac:dyDescent="0.3">
      <c r="B74" s="591">
        <v>1.411</v>
      </c>
      <c r="C74" s="585" t="s">
        <v>1207</v>
      </c>
      <c r="D74" s="604"/>
      <c r="E74" s="603">
        <v>0</v>
      </c>
      <c r="F74" s="584">
        <v>0</v>
      </c>
      <c r="G74" s="601">
        <v>0</v>
      </c>
      <c r="H74" s="584">
        <v>0</v>
      </c>
      <c r="I74" s="601">
        <v>0</v>
      </c>
      <c r="J74" s="584">
        <v>0</v>
      </c>
      <c r="K74" s="601">
        <v>0</v>
      </c>
      <c r="L74" s="602">
        <v>0</v>
      </c>
      <c r="M74" s="601">
        <v>0</v>
      </c>
      <c r="N74" s="584">
        <v>0</v>
      </c>
    </row>
    <row r="75" spans="2:14" x14ac:dyDescent="0.3">
      <c r="B75" s="588">
        <v>1.4119999999999999</v>
      </c>
      <c r="C75" s="582" t="s">
        <v>1206</v>
      </c>
      <c r="D75" s="608"/>
      <c r="E75" s="607">
        <v>0</v>
      </c>
      <c r="F75" s="581">
        <v>0</v>
      </c>
      <c r="G75" s="605">
        <v>0</v>
      </c>
      <c r="H75" s="581">
        <v>0</v>
      </c>
      <c r="I75" s="605">
        <v>0</v>
      </c>
      <c r="J75" s="581">
        <v>0</v>
      </c>
      <c r="K75" s="605">
        <v>0</v>
      </c>
      <c r="L75" s="606">
        <v>0</v>
      </c>
      <c r="M75" s="605">
        <v>0</v>
      </c>
      <c r="N75" s="581">
        <v>0</v>
      </c>
    </row>
    <row r="76" spans="2:14" x14ac:dyDescent="0.3">
      <c r="B76" s="596">
        <v>1.42</v>
      </c>
      <c r="C76" s="585" t="s">
        <v>1205</v>
      </c>
      <c r="D76" s="604"/>
      <c r="E76" s="603">
        <v>0</v>
      </c>
      <c r="F76" s="584">
        <v>0</v>
      </c>
      <c r="G76" s="601">
        <v>0</v>
      </c>
      <c r="H76" s="584">
        <v>0</v>
      </c>
      <c r="I76" s="601">
        <v>0</v>
      </c>
      <c r="J76" s="584">
        <v>0</v>
      </c>
      <c r="K76" s="601">
        <v>0</v>
      </c>
      <c r="L76" s="602">
        <v>0</v>
      </c>
      <c r="M76" s="601">
        <v>0</v>
      </c>
      <c r="N76" s="584">
        <v>0</v>
      </c>
    </row>
    <row r="77" spans="2:14" ht="20.399999999999999" x14ac:dyDescent="0.3">
      <c r="B77" s="588">
        <v>1.421</v>
      </c>
      <c r="C77" s="582" t="s">
        <v>1204</v>
      </c>
      <c r="D77" s="608"/>
      <c r="E77" s="607">
        <v>0</v>
      </c>
      <c r="F77" s="581">
        <v>0</v>
      </c>
      <c r="G77" s="605">
        <v>0</v>
      </c>
      <c r="H77" s="581">
        <v>0</v>
      </c>
      <c r="I77" s="605">
        <v>0</v>
      </c>
      <c r="J77" s="581">
        <v>0</v>
      </c>
      <c r="K77" s="605">
        <v>0</v>
      </c>
      <c r="L77" s="606">
        <v>0</v>
      </c>
      <c r="M77" s="605">
        <v>0</v>
      </c>
      <c r="N77" s="581">
        <v>0</v>
      </c>
    </row>
    <row r="78" spans="2:14" x14ac:dyDescent="0.3">
      <c r="B78" s="591">
        <v>1.4219999999999999</v>
      </c>
      <c r="C78" s="585" t="s">
        <v>1203</v>
      </c>
      <c r="D78" s="604"/>
      <c r="E78" s="603">
        <v>0</v>
      </c>
      <c r="F78" s="584">
        <v>0</v>
      </c>
      <c r="G78" s="601">
        <v>0</v>
      </c>
      <c r="H78" s="584">
        <v>0</v>
      </c>
      <c r="I78" s="601">
        <v>0</v>
      </c>
      <c r="J78" s="584">
        <v>0</v>
      </c>
      <c r="K78" s="601">
        <v>0</v>
      </c>
      <c r="L78" s="602">
        <v>0</v>
      </c>
      <c r="M78" s="601">
        <v>0</v>
      </c>
      <c r="N78" s="584">
        <v>0</v>
      </c>
    </row>
    <row r="79" spans="2:14" x14ac:dyDescent="0.3">
      <c r="B79" s="594">
        <v>1.43</v>
      </c>
      <c r="C79" s="582" t="s">
        <v>1202</v>
      </c>
      <c r="D79" s="608"/>
      <c r="E79" s="607">
        <v>540</v>
      </c>
      <c r="F79" s="615" t="s">
        <v>1193</v>
      </c>
      <c r="G79" s="605">
        <v>540</v>
      </c>
      <c r="H79" s="615" t="s">
        <v>1193</v>
      </c>
      <c r="I79" s="605">
        <v>540</v>
      </c>
      <c r="J79" s="615" t="s">
        <v>1193</v>
      </c>
      <c r="K79" s="605">
        <v>540</v>
      </c>
      <c r="L79" s="614" t="s">
        <v>1193</v>
      </c>
      <c r="M79" s="605">
        <v>540</v>
      </c>
      <c r="N79" s="581">
        <v>540</v>
      </c>
    </row>
    <row r="80" spans="2:14" ht="20.399999999999999" x14ac:dyDescent="0.3">
      <c r="B80" s="591">
        <v>1.431</v>
      </c>
      <c r="C80" s="585" t="s">
        <v>1201</v>
      </c>
      <c r="D80" s="604"/>
      <c r="E80" s="603">
        <v>60</v>
      </c>
      <c r="F80" s="613" t="s">
        <v>1193</v>
      </c>
      <c r="G80" s="601">
        <v>60</v>
      </c>
      <c r="H80" s="613" t="s">
        <v>1193</v>
      </c>
      <c r="I80" s="601">
        <v>60</v>
      </c>
      <c r="J80" s="613" t="s">
        <v>1193</v>
      </c>
      <c r="K80" s="601">
        <v>60</v>
      </c>
      <c r="L80" s="612" t="s">
        <v>1193</v>
      </c>
      <c r="M80" s="601">
        <v>60</v>
      </c>
      <c r="N80" s="584">
        <v>60</v>
      </c>
    </row>
    <row r="81" spans="2:14" x14ac:dyDescent="0.3">
      <c r="B81" s="588">
        <v>1.4319999999999999</v>
      </c>
      <c r="C81" s="582" t="s">
        <v>1200</v>
      </c>
      <c r="D81" s="608"/>
      <c r="E81" s="607">
        <v>480</v>
      </c>
      <c r="F81" s="615" t="s">
        <v>1193</v>
      </c>
      <c r="G81" s="605">
        <v>480</v>
      </c>
      <c r="H81" s="615" t="s">
        <v>1193</v>
      </c>
      <c r="I81" s="605">
        <v>480</v>
      </c>
      <c r="J81" s="615" t="s">
        <v>1193</v>
      </c>
      <c r="K81" s="605">
        <v>480</v>
      </c>
      <c r="L81" s="614" t="s">
        <v>1193</v>
      </c>
      <c r="M81" s="605">
        <v>480</v>
      </c>
      <c r="N81" s="581">
        <v>480</v>
      </c>
    </row>
    <row r="82" spans="2:14" x14ac:dyDescent="0.3">
      <c r="B82" s="596">
        <v>1.44</v>
      </c>
      <c r="C82" s="585" t="s">
        <v>1199</v>
      </c>
      <c r="D82" s="604"/>
      <c r="E82" s="603">
        <v>920</v>
      </c>
      <c r="F82" s="613" t="s">
        <v>1193</v>
      </c>
      <c r="G82" s="601">
        <v>920</v>
      </c>
      <c r="H82" s="613" t="s">
        <v>1193</v>
      </c>
      <c r="I82" s="601">
        <v>920</v>
      </c>
      <c r="J82" s="613" t="s">
        <v>1193</v>
      </c>
      <c r="K82" s="601">
        <v>920</v>
      </c>
      <c r="L82" s="612" t="s">
        <v>1193</v>
      </c>
      <c r="M82" s="601">
        <v>920</v>
      </c>
      <c r="N82" s="584">
        <v>920</v>
      </c>
    </row>
    <row r="83" spans="2:14" ht="20.399999999999999" x14ac:dyDescent="0.3">
      <c r="B83" s="588">
        <v>1.4410000000000001</v>
      </c>
      <c r="C83" s="582" t="s">
        <v>1198</v>
      </c>
      <c r="D83" s="608"/>
      <c r="E83" s="607">
        <v>790</v>
      </c>
      <c r="F83" s="615" t="s">
        <v>1193</v>
      </c>
      <c r="G83" s="605">
        <v>790</v>
      </c>
      <c r="H83" s="615" t="s">
        <v>1193</v>
      </c>
      <c r="I83" s="605">
        <v>790</v>
      </c>
      <c r="J83" s="615" t="s">
        <v>1193</v>
      </c>
      <c r="K83" s="605">
        <v>790</v>
      </c>
      <c r="L83" s="614" t="s">
        <v>1193</v>
      </c>
      <c r="M83" s="605">
        <v>790</v>
      </c>
      <c r="N83" s="581">
        <v>790</v>
      </c>
    </row>
    <row r="84" spans="2:14" ht="20.399999999999999" x14ac:dyDescent="0.3">
      <c r="B84" s="591">
        <v>1.4419999999999999</v>
      </c>
      <c r="C84" s="585" t="s">
        <v>1197</v>
      </c>
      <c r="D84" s="604"/>
      <c r="E84" s="603">
        <v>130</v>
      </c>
      <c r="F84" s="613" t="s">
        <v>1193</v>
      </c>
      <c r="G84" s="601">
        <v>130</v>
      </c>
      <c r="H84" s="613" t="s">
        <v>1193</v>
      </c>
      <c r="I84" s="601">
        <v>130</v>
      </c>
      <c r="J84" s="613" t="s">
        <v>1193</v>
      </c>
      <c r="K84" s="601">
        <v>130</v>
      </c>
      <c r="L84" s="612" t="s">
        <v>1193</v>
      </c>
      <c r="M84" s="601">
        <v>130</v>
      </c>
      <c r="N84" s="584">
        <v>130</v>
      </c>
    </row>
    <row r="85" spans="2:14" x14ac:dyDescent="0.3">
      <c r="B85" s="610"/>
      <c r="C85" s="610"/>
      <c r="D85" s="610"/>
      <c r="E85" s="610"/>
      <c r="F85" s="610"/>
      <c r="G85" s="610"/>
      <c r="H85" s="610"/>
      <c r="I85" s="610"/>
      <c r="J85" s="610"/>
      <c r="K85" s="610"/>
      <c r="L85" s="611"/>
      <c r="M85" s="610"/>
      <c r="N85" s="610"/>
    </row>
    <row r="86" spans="2:14" x14ac:dyDescent="0.3">
      <c r="B86" s="609">
        <v>2</v>
      </c>
      <c r="C86" s="595" t="s">
        <v>1196</v>
      </c>
      <c r="D86" s="604"/>
      <c r="E86" s="603">
        <v>115</v>
      </c>
      <c r="F86" s="613" t="s">
        <v>1193</v>
      </c>
      <c r="G86" s="601">
        <v>115</v>
      </c>
      <c r="H86" s="613" t="s">
        <v>1193</v>
      </c>
      <c r="I86" s="601">
        <v>115</v>
      </c>
      <c r="J86" s="613" t="s">
        <v>1193</v>
      </c>
      <c r="K86" s="601">
        <v>115</v>
      </c>
      <c r="L86" s="612" t="s">
        <v>1193</v>
      </c>
      <c r="M86" s="601">
        <v>115</v>
      </c>
      <c r="N86" s="584">
        <v>115</v>
      </c>
    </row>
    <row r="87" spans="2:14" x14ac:dyDescent="0.3">
      <c r="B87" s="597">
        <v>2.1</v>
      </c>
      <c r="C87" s="587" t="s">
        <v>1195</v>
      </c>
      <c r="D87" s="608"/>
      <c r="E87" s="607">
        <v>0</v>
      </c>
      <c r="F87" s="581">
        <v>0</v>
      </c>
      <c r="G87" s="605">
        <v>0</v>
      </c>
      <c r="H87" s="581">
        <v>0</v>
      </c>
      <c r="I87" s="605">
        <v>0</v>
      </c>
      <c r="J87" s="581">
        <v>0</v>
      </c>
      <c r="K87" s="605">
        <v>0</v>
      </c>
      <c r="L87" s="606">
        <v>0</v>
      </c>
      <c r="M87" s="605">
        <v>0</v>
      </c>
      <c r="N87" s="581">
        <v>0</v>
      </c>
    </row>
    <row r="88" spans="2:14" x14ac:dyDescent="0.3">
      <c r="B88" s="598">
        <v>2.2000000000000002</v>
      </c>
      <c r="C88" s="590" t="s">
        <v>1194</v>
      </c>
      <c r="D88" s="604"/>
      <c r="E88" s="603">
        <v>115</v>
      </c>
      <c r="F88" s="613" t="s">
        <v>1193</v>
      </c>
      <c r="G88" s="601">
        <v>115</v>
      </c>
      <c r="H88" s="613" t="s">
        <v>1193</v>
      </c>
      <c r="I88" s="601">
        <v>115</v>
      </c>
      <c r="J88" s="613" t="s">
        <v>1193</v>
      </c>
      <c r="K88" s="601">
        <v>115</v>
      </c>
      <c r="L88" s="612" t="s">
        <v>1193</v>
      </c>
      <c r="M88" s="601">
        <v>115</v>
      </c>
      <c r="N88" s="584">
        <v>115</v>
      </c>
    </row>
    <row r="89" spans="2:14" x14ac:dyDescent="0.3">
      <c r="B89" s="597">
        <v>2.2999999999999998</v>
      </c>
      <c r="C89" s="587" t="s">
        <v>1192</v>
      </c>
      <c r="D89" s="608"/>
      <c r="E89" s="607">
        <v>0</v>
      </c>
      <c r="F89" s="581">
        <v>0</v>
      </c>
      <c r="G89" s="605">
        <v>0</v>
      </c>
      <c r="H89" s="581">
        <v>0</v>
      </c>
      <c r="I89" s="605">
        <v>0</v>
      </c>
      <c r="J89" s="581">
        <v>0</v>
      </c>
      <c r="K89" s="605">
        <v>0</v>
      </c>
      <c r="L89" s="606">
        <v>0</v>
      </c>
      <c r="M89" s="605">
        <v>0</v>
      </c>
      <c r="N89" s="581">
        <v>0</v>
      </c>
    </row>
    <row r="90" spans="2:14" x14ac:dyDescent="0.3">
      <c r="B90" s="598">
        <v>2.4</v>
      </c>
      <c r="C90" s="590" t="s">
        <v>1191</v>
      </c>
      <c r="D90" s="604"/>
      <c r="E90" s="603">
        <v>0</v>
      </c>
      <c r="F90" s="584">
        <v>0</v>
      </c>
      <c r="G90" s="601">
        <v>0</v>
      </c>
      <c r="H90" s="584">
        <v>0</v>
      </c>
      <c r="I90" s="601">
        <v>0</v>
      </c>
      <c r="J90" s="584">
        <v>0</v>
      </c>
      <c r="K90" s="601">
        <v>0</v>
      </c>
      <c r="L90" s="602">
        <v>0</v>
      </c>
      <c r="M90" s="601">
        <v>0</v>
      </c>
      <c r="N90" s="584">
        <v>0</v>
      </c>
    </row>
    <row r="91" spans="2:14" x14ac:dyDescent="0.3">
      <c r="B91" s="610"/>
      <c r="C91" s="610"/>
      <c r="D91" s="610"/>
      <c r="E91" s="610"/>
      <c r="F91" s="610"/>
      <c r="G91" s="610"/>
      <c r="H91" s="610"/>
      <c r="I91" s="610"/>
      <c r="J91" s="610"/>
      <c r="K91" s="610"/>
      <c r="L91" s="611"/>
      <c r="M91" s="610"/>
      <c r="N91" s="610"/>
    </row>
    <row r="92" spans="2:14" ht="20.399999999999999" x14ac:dyDescent="0.3">
      <c r="B92" s="609">
        <v>3</v>
      </c>
      <c r="C92" s="595" t="s">
        <v>1190</v>
      </c>
      <c r="D92" s="604"/>
      <c r="E92" s="603">
        <v>800</v>
      </c>
      <c r="F92" s="584">
        <v>800</v>
      </c>
      <c r="G92" s="601">
        <v>800</v>
      </c>
      <c r="H92" s="584">
        <v>800</v>
      </c>
      <c r="I92" s="601">
        <v>1010</v>
      </c>
      <c r="J92" s="584">
        <v>1010</v>
      </c>
      <c r="K92" s="601">
        <v>1010</v>
      </c>
      <c r="L92" s="602">
        <v>1010</v>
      </c>
      <c r="M92" s="601">
        <v>1010</v>
      </c>
      <c r="N92" s="584">
        <v>1010</v>
      </c>
    </row>
    <row r="93" spans="2:14" x14ac:dyDescent="0.3">
      <c r="B93" s="597">
        <v>3.1</v>
      </c>
      <c r="C93" s="587" t="s">
        <v>1189</v>
      </c>
      <c r="D93" s="608"/>
      <c r="E93" s="607">
        <v>800</v>
      </c>
      <c r="F93" s="581">
        <v>800</v>
      </c>
      <c r="G93" s="605">
        <v>800</v>
      </c>
      <c r="H93" s="581">
        <v>800</v>
      </c>
      <c r="I93" s="605">
        <v>1010</v>
      </c>
      <c r="J93" s="581">
        <v>1010</v>
      </c>
      <c r="K93" s="605">
        <v>1010</v>
      </c>
      <c r="L93" s="606">
        <v>1010</v>
      </c>
      <c r="M93" s="605">
        <v>1010</v>
      </c>
      <c r="N93" s="581">
        <v>1010</v>
      </c>
    </row>
    <row r="94" spans="2:14" x14ac:dyDescent="0.3">
      <c r="B94" s="598">
        <v>3.2</v>
      </c>
      <c r="C94" s="590" t="s">
        <v>1188</v>
      </c>
      <c r="D94" s="604"/>
      <c r="E94" s="603">
        <v>0</v>
      </c>
      <c r="F94" s="584">
        <v>0</v>
      </c>
      <c r="G94" s="601">
        <v>0</v>
      </c>
      <c r="H94" s="584">
        <v>0</v>
      </c>
      <c r="I94" s="601">
        <v>0</v>
      </c>
      <c r="J94" s="584">
        <v>0</v>
      </c>
      <c r="K94" s="601">
        <v>0</v>
      </c>
      <c r="L94" s="602">
        <v>0</v>
      </c>
      <c r="M94" s="601">
        <v>0</v>
      </c>
      <c r="N94" s="584">
        <v>0</v>
      </c>
    </row>
    <row r="99" spans="2:10" x14ac:dyDescent="0.3">
      <c r="C99" t="s">
        <v>1187</v>
      </c>
    </row>
    <row r="100" spans="2:10" x14ac:dyDescent="0.3">
      <c r="J100" s="600"/>
    </row>
    <row r="101" spans="2:10" x14ac:dyDescent="0.3">
      <c r="D101" s="67">
        <v>2010</v>
      </c>
      <c r="E101" s="67">
        <v>2011</v>
      </c>
      <c r="F101" s="67">
        <v>2012</v>
      </c>
      <c r="G101" s="67">
        <v>2013</v>
      </c>
      <c r="H101" s="67">
        <v>2014</v>
      </c>
      <c r="I101" s="599">
        <v>2015</v>
      </c>
    </row>
    <row r="102" spans="2:10" x14ac:dyDescent="0.3">
      <c r="B102" s="598">
        <v>4</v>
      </c>
      <c r="C102" s="595" t="s">
        <v>1186</v>
      </c>
      <c r="D102" s="584">
        <v>2870</v>
      </c>
      <c r="E102" s="584">
        <v>2885</v>
      </c>
      <c r="F102" s="584">
        <v>2915</v>
      </c>
      <c r="G102" s="584">
        <v>2930</v>
      </c>
      <c r="H102" s="584">
        <v>2930</v>
      </c>
      <c r="I102" s="584">
        <v>2975</v>
      </c>
    </row>
    <row r="103" spans="2:10" x14ac:dyDescent="0.3">
      <c r="B103" s="597">
        <v>4.0999999999999996</v>
      </c>
      <c r="C103" s="593" t="s">
        <v>1185</v>
      </c>
      <c r="D103" s="581">
        <v>370</v>
      </c>
      <c r="E103" s="581">
        <v>370</v>
      </c>
      <c r="F103" s="581">
        <v>370</v>
      </c>
      <c r="G103" s="581">
        <v>370</v>
      </c>
      <c r="H103" s="581">
        <v>370</v>
      </c>
      <c r="I103" s="581">
        <v>370</v>
      </c>
    </row>
    <row r="104" spans="2:10" x14ac:dyDescent="0.3">
      <c r="B104" s="598">
        <v>4.2</v>
      </c>
      <c r="C104" s="595" t="s">
        <v>1184</v>
      </c>
      <c r="D104" s="584">
        <v>750</v>
      </c>
      <c r="E104" s="584">
        <v>750</v>
      </c>
      <c r="F104" s="584">
        <v>750</v>
      </c>
      <c r="G104" s="584">
        <v>750</v>
      </c>
      <c r="H104" s="584">
        <v>750</v>
      </c>
      <c r="I104" s="584">
        <v>750</v>
      </c>
    </row>
    <row r="105" spans="2:10" x14ac:dyDescent="0.3">
      <c r="B105" s="594">
        <v>4.21</v>
      </c>
      <c r="C105" s="593" t="s">
        <v>1183</v>
      </c>
      <c r="D105" s="581">
        <v>80</v>
      </c>
      <c r="E105" s="581">
        <v>80</v>
      </c>
      <c r="F105" s="581">
        <v>80</v>
      </c>
      <c r="G105" s="581">
        <v>80</v>
      </c>
      <c r="H105" s="581">
        <v>80</v>
      </c>
      <c r="I105" s="581">
        <v>80</v>
      </c>
    </row>
    <row r="106" spans="2:10" ht="20.399999999999999" x14ac:dyDescent="0.3">
      <c r="B106" s="591">
        <v>4.2110000000000003</v>
      </c>
      <c r="C106" s="590" t="s">
        <v>1182</v>
      </c>
      <c r="D106" s="584">
        <v>0</v>
      </c>
      <c r="E106" s="584">
        <v>0</v>
      </c>
      <c r="F106" s="584">
        <v>0</v>
      </c>
      <c r="G106" s="584">
        <v>0</v>
      </c>
      <c r="H106" s="584">
        <v>0</v>
      </c>
      <c r="I106" s="584">
        <v>0</v>
      </c>
    </row>
    <row r="107" spans="2:10" ht="20.399999999999999" x14ac:dyDescent="0.3">
      <c r="B107" s="588">
        <v>4.2119999999999997</v>
      </c>
      <c r="C107" s="587" t="s">
        <v>1181</v>
      </c>
      <c r="D107" s="581">
        <v>80</v>
      </c>
      <c r="E107" s="581">
        <v>80</v>
      </c>
      <c r="F107" s="581">
        <v>80</v>
      </c>
      <c r="G107" s="581">
        <v>80</v>
      </c>
      <c r="H107" s="581">
        <v>80</v>
      </c>
      <c r="I107" s="581">
        <v>80</v>
      </c>
    </row>
    <row r="108" spans="2:10" x14ac:dyDescent="0.3">
      <c r="B108" s="596">
        <v>4.22</v>
      </c>
      <c r="C108" s="595" t="s">
        <v>1180</v>
      </c>
      <c r="D108" s="584">
        <v>670</v>
      </c>
      <c r="E108" s="584">
        <v>670</v>
      </c>
      <c r="F108" s="584">
        <v>670</v>
      </c>
      <c r="G108" s="584">
        <v>670</v>
      </c>
      <c r="H108" s="584">
        <v>670</v>
      </c>
      <c r="I108" s="584">
        <v>670</v>
      </c>
    </row>
    <row r="109" spans="2:10" ht="20.399999999999999" x14ac:dyDescent="0.3">
      <c r="B109" s="588">
        <v>4.2210000000000001</v>
      </c>
      <c r="C109" s="587" t="s">
        <v>1179</v>
      </c>
      <c r="D109" s="581">
        <v>0</v>
      </c>
      <c r="E109" s="581">
        <v>0</v>
      </c>
      <c r="F109" s="581">
        <v>0</v>
      </c>
      <c r="G109" s="581">
        <v>0</v>
      </c>
      <c r="H109" s="581">
        <v>0</v>
      </c>
      <c r="I109" s="581">
        <v>0</v>
      </c>
    </row>
    <row r="110" spans="2:10" ht="20.399999999999999" x14ac:dyDescent="0.3">
      <c r="B110" s="591">
        <v>4.2220000000000004</v>
      </c>
      <c r="C110" s="595" t="s">
        <v>1178</v>
      </c>
      <c r="D110" s="584">
        <v>670</v>
      </c>
      <c r="E110" s="584">
        <v>670</v>
      </c>
      <c r="F110" s="584">
        <v>670</v>
      </c>
      <c r="G110" s="584">
        <v>670</v>
      </c>
      <c r="H110" s="584">
        <v>670</v>
      </c>
      <c r="I110" s="584">
        <v>670</v>
      </c>
    </row>
    <row r="111" spans="2:10" x14ac:dyDescent="0.3">
      <c r="B111" s="597">
        <v>4.3</v>
      </c>
      <c r="C111" s="593" t="s">
        <v>1177</v>
      </c>
      <c r="D111" s="581">
        <v>1750</v>
      </c>
      <c r="E111" s="581">
        <v>1765</v>
      </c>
      <c r="F111" s="581">
        <v>1795</v>
      </c>
      <c r="G111" s="581">
        <v>1810</v>
      </c>
      <c r="H111" s="581">
        <v>1810</v>
      </c>
      <c r="I111" s="581">
        <v>1855</v>
      </c>
    </row>
    <row r="112" spans="2:10" x14ac:dyDescent="0.3">
      <c r="B112" s="596">
        <v>4.3099999999999996</v>
      </c>
      <c r="C112" s="595" t="s">
        <v>1176</v>
      </c>
      <c r="D112" s="584">
        <v>220</v>
      </c>
      <c r="E112" s="584">
        <v>235</v>
      </c>
      <c r="F112" s="584">
        <v>235</v>
      </c>
      <c r="G112" s="584">
        <v>250</v>
      </c>
      <c r="H112" s="584">
        <v>250</v>
      </c>
      <c r="I112" s="584">
        <v>265</v>
      </c>
    </row>
    <row r="113" spans="2:9" x14ac:dyDescent="0.3">
      <c r="B113" s="594">
        <v>4.32</v>
      </c>
      <c r="C113" s="593" t="s">
        <v>1175</v>
      </c>
      <c r="D113" s="581">
        <v>1495</v>
      </c>
      <c r="E113" s="581">
        <v>1495</v>
      </c>
      <c r="F113" s="581">
        <v>1525</v>
      </c>
      <c r="G113" s="581">
        <v>1525</v>
      </c>
      <c r="H113" s="581">
        <v>1525</v>
      </c>
      <c r="I113" s="581">
        <v>1555</v>
      </c>
    </row>
    <row r="114" spans="2:9" x14ac:dyDescent="0.3">
      <c r="B114" s="591">
        <v>4.3209999999999997</v>
      </c>
      <c r="C114" s="590" t="s">
        <v>1174</v>
      </c>
      <c r="D114" s="584">
        <v>825</v>
      </c>
      <c r="E114" s="584">
        <v>825</v>
      </c>
      <c r="F114" s="584">
        <v>855</v>
      </c>
      <c r="G114" s="584">
        <v>855</v>
      </c>
      <c r="H114" s="584">
        <v>855</v>
      </c>
      <c r="I114" s="584">
        <v>885</v>
      </c>
    </row>
    <row r="115" spans="2:9" x14ac:dyDescent="0.3">
      <c r="B115" s="589">
        <v>4.3211000000000004</v>
      </c>
      <c r="C115" s="582" t="s">
        <v>1173</v>
      </c>
      <c r="D115" s="581">
        <v>640</v>
      </c>
      <c r="E115" s="581">
        <v>640</v>
      </c>
      <c r="F115" s="581">
        <v>640</v>
      </c>
      <c r="G115" s="581">
        <v>640</v>
      </c>
      <c r="H115" s="581">
        <v>640</v>
      </c>
      <c r="I115" s="581">
        <v>640</v>
      </c>
    </row>
    <row r="116" spans="2:9" x14ac:dyDescent="0.3">
      <c r="B116" s="592">
        <v>4.32111</v>
      </c>
      <c r="C116" s="585" t="s">
        <v>1172</v>
      </c>
      <c r="D116" s="584">
        <v>610</v>
      </c>
      <c r="E116" s="584">
        <v>610</v>
      </c>
      <c r="F116" s="584">
        <v>610</v>
      </c>
      <c r="G116" s="584">
        <v>610</v>
      </c>
      <c r="H116" s="584">
        <v>610</v>
      </c>
      <c r="I116" s="584">
        <v>610</v>
      </c>
    </row>
    <row r="117" spans="2:9" x14ac:dyDescent="0.3">
      <c r="B117" s="583">
        <v>4.3211199999999996</v>
      </c>
      <c r="C117" s="582" t="s">
        <v>1171</v>
      </c>
      <c r="D117" s="581">
        <v>30</v>
      </c>
      <c r="E117" s="581">
        <v>30</v>
      </c>
      <c r="F117" s="581">
        <v>30</v>
      </c>
      <c r="G117" s="581">
        <v>30</v>
      </c>
      <c r="H117" s="581">
        <v>30</v>
      </c>
      <c r="I117" s="581">
        <v>30</v>
      </c>
    </row>
    <row r="118" spans="2:9" x14ac:dyDescent="0.3">
      <c r="B118" s="586">
        <v>4.3212000000000002</v>
      </c>
      <c r="C118" s="585" t="s">
        <v>1170</v>
      </c>
      <c r="D118" s="584">
        <v>185</v>
      </c>
      <c r="E118" s="584">
        <v>185</v>
      </c>
      <c r="F118" s="584">
        <v>215</v>
      </c>
      <c r="G118" s="584">
        <v>215</v>
      </c>
      <c r="H118" s="584">
        <v>215</v>
      </c>
      <c r="I118" s="584">
        <v>245</v>
      </c>
    </row>
    <row r="119" spans="2:9" x14ac:dyDescent="0.3">
      <c r="B119" s="588">
        <v>4.3220000000000001</v>
      </c>
      <c r="C119" s="587" t="s">
        <v>1169</v>
      </c>
      <c r="D119" s="581">
        <v>340</v>
      </c>
      <c r="E119" s="581">
        <v>340</v>
      </c>
      <c r="F119" s="581">
        <v>340</v>
      </c>
      <c r="G119" s="581">
        <v>340</v>
      </c>
      <c r="H119" s="581">
        <v>340</v>
      </c>
      <c r="I119" s="581">
        <v>340</v>
      </c>
    </row>
    <row r="120" spans="2:9" x14ac:dyDescent="0.3">
      <c r="B120" s="586">
        <v>4.3220999999999998</v>
      </c>
      <c r="C120" s="585" t="s">
        <v>1168</v>
      </c>
      <c r="D120" s="584">
        <v>150</v>
      </c>
      <c r="E120" s="584">
        <v>150</v>
      </c>
      <c r="F120" s="584">
        <v>150</v>
      </c>
      <c r="G120" s="584">
        <v>150</v>
      </c>
      <c r="H120" s="584">
        <v>150</v>
      </c>
      <c r="I120" s="584">
        <v>150</v>
      </c>
    </row>
    <row r="121" spans="2:9" x14ac:dyDescent="0.3">
      <c r="B121" s="589">
        <v>4.3221999999999996</v>
      </c>
      <c r="C121" s="582" t="s">
        <v>1167</v>
      </c>
      <c r="D121" s="581">
        <v>190</v>
      </c>
      <c r="E121" s="581">
        <v>190</v>
      </c>
      <c r="F121" s="581">
        <v>190</v>
      </c>
      <c r="G121" s="581">
        <v>190</v>
      </c>
      <c r="H121" s="581">
        <v>190</v>
      </c>
      <c r="I121" s="581">
        <v>190</v>
      </c>
    </row>
    <row r="122" spans="2:9" x14ac:dyDescent="0.3">
      <c r="B122" s="591">
        <v>4.3230000000000004</v>
      </c>
      <c r="C122" s="590" t="s">
        <v>1166</v>
      </c>
      <c r="D122" s="584">
        <v>90</v>
      </c>
      <c r="E122" s="584">
        <v>90</v>
      </c>
      <c r="F122" s="584">
        <v>90</v>
      </c>
      <c r="G122" s="584">
        <v>90</v>
      </c>
      <c r="H122" s="584">
        <v>90</v>
      </c>
      <c r="I122" s="584">
        <v>90</v>
      </c>
    </row>
    <row r="123" spans="2:9" x14ac:dyDescent="0.3">
      <c r="B123" s="589">
        <v>4.3231000000000002</v>
      </c>
      <c r="C123" s="582" t="s">
        <v>1165</v>
      </c>
      <c r="D123" s="581">
        <v>70</v>
      </c>
      <c r="E123" s="581">
        <v>70</v>
      </c>
      <c r="F123" s="581">
        <v>70</v>
      </c>
      <c r="G123" s="581">
        <v>70</v>
      </c>
      <c r="H123" s="581">
        <v>70</v>
      </c>
      <c r="I123" s="581">
        <v>70</v>
      </c>
    </row>
    <row r="124" spans="2:9" x14ac:dyDescent="0.3">
      <c r="B124" s="586">
        <v>4.3231999999999999</v>
      </c>
      <c r="C124" s="585" t="s">
        <v>1164</v>
      </c>
      <c r="D124" s="584">
        <v>20</v>
      </c>
      <c r="E124" s="584">
        <v>20</v>
      </c>
      <c r="F124" s="584">
        <v>20</v>
      </c>
      <c r="G124" s="584">
        <v>20</v>
      </c>
      <c r="H124" s="584">
        <v>20</v>
      </c>
      <c r="I124" s="584">
        <v>20</v>
      </c>
    </row>
    <row r="125" spans="2:9" x14ac:dyDescent="0.3">
      <c r="B125" s="588">
        <v>4.3239999999999998</v>
      </c>
      <c r="C125" s="587" t="s">
        <v>1163</v>
      </c>
      <c r="D125" s="581">
        <v>105</v>
      </c>
      <c r="E125" s="581">
        <v>105</v>
      </c>
      <c r="F125" s="581">
        <v>105</v>
      </c>
      <c r="G125" s="581">
        <v>105</v>
      </c>
      <c r="H125" s="581">
        <v>105</v>
      </c>
      <c r="I125" s="581">
        <v>105</v>
      </c>
    </row>
    <row r="126" spans="2:9" x14ac:dyDescent="0.3">
      <c r="B126" s="586">
        <v>4.3240999999999996</v>
      </c>
      <c r="C126" s="585" t="s">
        <v>1162</v>
      </c>
      <c r="D126" s="584">
        <v>0</v>
      </c>
      <c r="E126" s="584">
        <v>0</v>
      </c>
      <c r="F126" s="584">
        <v>0</v>
      </c>
      <c r="G126" s="584">
        <v>0</v>
      </c>
      <c r="H126" s="584">
        <v>0</v>
      </c>
      <c r="I126" s="584">
        <v>0</v>
      </c>
    </row>
    <row r="127" spans="2:9" ht="20.399999999999999" x14ac:dyDescent="0.3">
      <c r="B127" s="583">
        <v>4.3241100000000001</v>
      </c>
      <c r="C127" s="582" t="s">
        <v>1161</v>
      </c>
      <c r="D127" s="581">
        <v>0</v>
      </c>
      <c r="E127" s="581">
        <v>0</v>
      </c>
      <c r="F127" s="581">
        <v>0</v>
      </c>
      <c r="G127" s="581">
        <v>0</v>
      </c>
      <c r="H127" s="581">
        <v>0</v>
      </c>
      <c r="I127" s="581">
        <v>0</v>
      </c>
    </row>
    <row r="130" spans="2:25" x14ac:dyDescent="0.3">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row>
    <row r="131" spans="2:25" x14ac:dyDescent="0.3">
      <c r="B131" t="s">
        <v>1160</v>
      </c>
      <c r="C131" t="s">
        <v>1159</v>
      </c>
      <c r="D131" s="264" t="s">
        <v>1158</v>
      </c>
    </row>
    <row r="132" spans="2:25" x14ac:dyDescent="0.3">
      <c r="C132" t="s">
        <v>1157</v>
      </c>
    </row>
    <row r="133" spans="2:25" x14ac:dyDescent="0.3">
      <c r="B133" t="s">
        <v>1156</v>
      </c>
    </row>
    <row r="152" spans="4:9" x14ac:dyDescent="0.3">
      <c r="F152">
        <v>2006</v>
      </c>
      <c r="G152">
        <v>2012</v>
      </c>
    </row>
    <row r="153" spans="4:9" x14ac:dyDescent="0.3">
      <c r="D153" s="67" t="s">
        <v>367</v>
      </c>
      <c r="E153" s="580" t="s">
        <v>1155</v>
      </c>
    </row>
    <row r="154" spans="4:9" x14ac:dyDescent="0.3">
      <c r="D154" t="s">
        <v>1154</v>
      </c>
      <c r="F154">
        <v>1050</v>
      </c>
      <c r="G154">
        <v>796</v>
      </c>
      <c r="I154" s="478">
        <f>(G154-F154)/F154</f>
        <v>-0.2419047619047619</v>
      </c>
    </row>
    <row r="155" spans="4:9" x14ac:dyDescent="0.3">
      <c r="D155" t="s">
        <v>376</v>
      </c>
      <c r="F155">
        <v>1369</v>
      </c>
      <c r="G155">
        <v>1419</v>
      </c>
      <c r="I155" s="478">
        <f>(G155-F155)/F155</f>
        <v>3.6523009495982466E-2</v>
      </c>
    </row>
    <row r="156" spans="4:9" x14ac:dyDescent="0.3">
      <c r="D156" t="s">
        <v>1112</v>
      </c>
      <c r="F156">
        <v>191</v>
      </c>
      <c r="G156">
        <v>216</v>
      </c>
      <c r="I156" s="478">
        <f>(G156-F156)/F156</f>
        <v>0.13089005235602094</v>
      </c>
    </row>
    <row r="157" spans="4:9" x14ac:dyDescent="0.3">
      <c r="D157" s="67" t="s">
        <v>1136</v>
      </c>
      <c r="E157" s="67"/>
      <c r="F157" s="67">
        <v>2610</v>
      </c>
      <c r="G157" s="67">
        <v>2431</v>
      </c>
      <c r="I157" s="478">
        <f>(G157-F157)/F157</f>
        <v>-6.8582375478927204E-2</v>
      </c>
    </row>
    <row r="158" spans="4:9" x14ac:dyDescent="0.3">
      <c r="D158" s="67" t="s">
        <v>1135</v>
      </c>
      <c r="E158" s="67"/>
      <c r="F158" s="67">
        <v>2222</v>
      </c>
      <c r="G158" s="67">
        <v>2277</v>
      </c>
      <c r="I158" s="478">
        <f>(G158-F158)/F158</f>
        <v>2.4752475247524754E-2</v>
      </c>
    </row>
    <row r="160" spans="4:9" x14ac:dyDescent="0.3">
      <c r="D160" t="s">
        <v>291</v>
      </c>
    </row>
    <row r="161" spans="3:12" x14ac:dyDescent="0.3">
      <c r="D161" t="s">
        <v>46</v>
      </c>
      <c r="F161">
        <v>670</v>
      </c>
      <c r="G161">
        <v>865</v>
      </c>
      <c r="I161" s="478">
        <f>(G161-F161)/F161</f>
        <v>0.29104477611940299</v>
      </c>
    </row>
    <row r="162" spans="3:12" x14ac:dyDescent="0.3">
      <c r="D162" t="s">
        <v>44</v>
      </c>
      <c r="F162">
        <v>127</v>
      </c>
      <c r="G162">
        <v>88</v>
      </c>
      <c r="I162" s="478">
        <f>(G162-F162)/F162</f>
        <v>-0.30708661417322836</v>
      </c>
    </row>
    <row r="164" spans="3:12" x14ac:dyDescent="0.3">
      <c r="D164" s="67" t="s">
        <v>1153</v>
      </c>
      <c r="E164" s="67" t="s">
        <v>1152</v>
      </c>
    </row>
    <row r="165" spans="3:12" x14ac:dyDescent="0.3">
      <c r="D165" t="s">
        <v>1151</v>
      </c>
      <c r="F165">
        <v>13179</v>
      </c>
      <c r="G165">
        <v>17444</v>
      </c>
      <c r="I165" s="478">
        <f>(G165-F165)/F165</f>
        <v>0.32362091205706045</v>
      </c>
    </row>
    <row r="166" spans="3:12" x14ac:dyDescent="0.3">
      <c r="D166" t="s">
        <v>1150</v>
      </c>
      <c r="F166">
        <v>2851</v>
      </c>
      <c r="G166">
        <v>6051</v>
      </c>
      <c r="I166" s="478">
        <f>(G166-F166)/F166</f>
        <v>1.1224131883549631</v>
      </c>
    </row>
    <row r="167" spans="3:12" x14ac:dyDescent="0.3">
      <c r="D167" t="s">
        <v>1149</v>
      </c>
      <c r="F167">
        <v>2816</v>
      </c>
      <c r="G167">
        <v>3127</v>
      </c>
      <c r="I167" s="478">
        <f>(G167-F167)/F167</f>
        <v>0.11044034090909091</v>
      </c>
    </row>
    <row r="172" spans="3:12" x14ac:dyDescent="0.3">
      <c r="C172" t="s">
        <v>1148</v>
      </c>
    </row>
    <row r="173" spans="3:12" x14ac:dyDescent="0.3">
      <c r="C173" s="579" t="s">
        <v>1147</v>
      </c>
    </row>
    <row r="174" spans="3:12" x14ac:dyDescent="0.3">
      <c r="C174" s="52"/>
      <c r="D174" s="53"/>
      <c r="E174" s="53"/>
      <c r="F174" s="53"/>
      <c r="G174" s="53"/>
      <c r="H174" s="53"/>
      <c r="I174" s="53"/>
      <c r="J174" s="53"/>
      <c r="K174" s="53"/>
      <c r="L174" s="55"/>
    </row>
    <row r="175" spans="3:12" ht="30" x14ac:dyDescent="0.3">
      <c r="C175" s="578" t="s">
        <v>1146</v>
      </c>
      <c r="D175" s="577">
        <v>2008</v>
      </c>
      <c r="E175" s="577">
        <v>2009</v>
      </c>
      <c r="F175" s="577">
        <v>2010</v>
      </c>
      <c r="G175" s="577">
        <v>2011</v>
      </c>
      <c r="H175" s="577">
        <v>2012</v>
      </c>
      <c r="I175" s="577">
        <v>2013</v>
      </c>
      <c r="J175" s="577">
        <v>2014</v>
      </c>
      <c r="K175" s="577">
        <v>2015</v>
      </c>
      <c r="L175" s="66"/>
    </row>
    <row r="176" spans="3:12" x14ac:dyDescent="0.3">
      <c r="C176" s="568" t="s">
        <v>367</v>
      </c>
      <c r="D176" s="567"/>
      <c r="E176" s="567"/>
      <c r="F176" s="567"/>
      <c r="G176" s="567"/>
      <c r="H176" s="567"/>
      <c r="I176" s="567"/>
      <c r="J176" s="567"/>
      <c r="K176" s="567"/>
      <c r="L176" s="66"/>
    </row>
    <row r="177" spans="3:12" ht="28.8" x14ac:dyDescent="0.3">
      <c r="C177" s="576" t="s">
        <v>1145</v>
      </c>
      <c r="D177" s="575" t="s">
        <v>1144</v>
      </c>
      <c r="E177" s="574" t="s">
        <v>1143</v>
      </c>
      <c r="F177" s="574" t="s">
        <v>1142</v>
      </c>
      <c r="G177" s="574" t="s">
        <v>1141</v>
      </c>
      <c r="H177" s="574" t="s">
        <v>1140</v>
      </c>
      <c r="I177" s="574" t="s">
        <v>1139</v>
      </c>
      <c r="J177" s="574" t="s">
        <v>1138</v>
      </c>
      <c r="K177" s="574" t="s">
        <v>1137</v>
      </c>
      <c r="L177" s="66"/>
    </row>
    <row r="178" spans="3:12" x14ac:dyDescent="0.3">
      <c r="C178" s="560" t="s">
        <v>1112</v>
      </c>
      <c r="D178" s="566">
        <v>220</v>
      </c>
      <c r="E178" s="566">
        <v>224</v>
      </c>
      <c r="F178" s="566">
        <v>217</v>
      </c>
      <c r="G178" s="566">
        <v>219</v>
      </c>
      <c r="H178" s="566">
        <v>220</v>
      </c>
      <c r="I178" s="566">
        <v>223</v>
      </c>
      <c r="J178" s="566">
        <v>240</v>
      </c>
      <c r="K178" s="566">
        <v>214</v>
      </c>
      <c r="L178" s="66"/>
    </row>
    <row r="179" spans="3:12" x14ac:dyDescent="0.3">
      <c r="C179" s="573" t="s">
        <v>1136</v>
      </c>
      <c r="D179" s="572">
        <v>2726</v>
      </c>
      <c r="E179" s="572">
        <v>2244</v>
      </c>
      <c r="F179" s="572">
        <v>2497</v>
      </c>
      <c r="G179" s="572">
        <v>2261</v>
      </c>
      <c r="H179" s="572">
        <v>2427</v>
      </c>
      <c r="I179" s="572">
        <v>2313</v>
      </c>
      <c r="J179" s="572">
        <v>2261</v>
      </c>
      <c r="K179" s="572">
        <v>2289</v>
      </c>
      <c r="L179" s="66"/>
    </row>
    <row r="180" spans="3:12" x14ac:dyDescent="0.3">
      <c r="C180" s="571" t="s">
        <v>1135</v>
      </c>
      <c r="D180" s="570">
        <v>2572</v>
      </c>
      <c r="E180" s="570">
        <v>2130</v>
      </c>
      <c r="F180" s="570">
        <v>2307</v>
      </c>
      <c r="G180" s="570">
        <v>2321</v>
      </c>
      <c r="H180" s="570">
        <v>2259</v>
      </c>
      <c r="I180" s="570">
        <v>1985</v>
      </c>
      <c r="J180" s="570">
        <v>1967</v>
      </c>
      <c r="K180" s="570">
        <v>1982</v>
      </c>
      <c r="L180" s="66"/>
    </row>
    <row r="181" spans="3:12" ht="20.399999999999999" x14ac:dyDescent="0.3">
      <c r="C181" s="568" t="s">
        <v>1134</v>
      </c>
      <c r="D181" s="567"/>
      <c r="E181" s="567"/>
      <c r="F181" s="569" t="s">
        <v>1133</v>
      </c>
      <c r="G181" s="567"/>
      <c r="H181" s="567"/>
      <c r="I181" s="567"/>
      <c r="J181" s="567"/>
      <c r="K181" s="567"/>
      <c r="L181" s="66"/>
    </row>
    <row r="182" spans="3:12" x14ac:dyDescent="0.3">
      <c r="C182" s="560" t="s">
        <v>46</v>
      </c>
      <c r="D182" s="566">
        <v>486</v>
      </c>
      <c r="E182" s="566">
        <v>549</v>
      </c>
      <c r="F182" s="566">
        <v>524</v>
      </c>
      <c r="G182" s="566">
        <v>528</v>
      </c>
      <c r="H182" s="566">
        <v>600</v>
      </c>
      <c r="I182" s="566">
        <v>602</v>
      </c>
      <c r="J182" s="566">
        <v>537</v>
      </c>
      <c r="K182" s="566">
        <v>550</v>
      </c>
      <c r="L182" s="66"/>
    </row>
    <row r="183" spans="3:12" x14ac:dyDescent="0.3">
      <c r="C183" s="560" t="s">
        <v>1120</v>
      </c>
      <c r="D183" s="566">
        <v>109</v>
      </c>
      <c r="E183" s="566">
        <v>112</v>
      </c>
      <c r="F183" s="566">
        <v>138</v>
      </c>
      <c r="G183" s="566">
        <v>152</v>
      </c>
      <c r="H183" s="566">
        <v>177</v>
      </c>
      <c r="I183" s="566">
        <v>201</v>
      </c>
      <c r="J183" s="566">
        <v>204</v>
      </c>
      <c r="K183" s="566">
        <v>203</v>
      </c>
      <c r="L183" s="66"/>
    </row>
    <row r="184" spans="3:12" x14ac:dyDescent="0.3">
      <c r="C184" s="560" t="s">
        <v>1112</v>
      </c>
      <c r="D184" s="566">
        <v>50</v>
      </c>
      <c r="E184" s="566">
        <v>45</v>
      </c>
      <c r="F184" s="566">
        <v>46</v>
      </c>
      <c r="G184" s="566">
        <v>58</v>
      </c>
      <c r="H184" s="566">
        <v>28</v>
      </c>
      <c r="I184" s="566">
        <v>22</v>
      </c>
      <c r="J184" s="566">
        <v>21</v>
      </c>
      <c r="K184" s="566">
        <v>38</v>
      </c>
      <c r="L184" s="66"/>
    </row>
    <row r="185" spans="3:12" x14ac:dyDescent="0.3">
      <c r="C185" s="558" t="s">
        <v>44</v>
      </c>
      <c r="D185" s="565">
        <v>114</v>
      </c>
      <c r="E185" s="565">
        <v>99</v>
      </c>
      <c r="F185" s="565">
        <v>77</v>
      </c>
      <c r="G185" s="565">
        <v>79</v>
      </c>
      <c r="H185" s="565">
        <v>88</v>
      </c>
      <c r="I185" s="565">
        <v>144</v>
      </c>
      <c r="J185" s="565">
        <v>230</v>
      </c>
      <c r="K185" s="565">
        <v>214</v>
      </c>
      <c r="L185" s="66"/>
    </row>
    <row r="186" spans="3:12" x14ac:dyDescent="0.3">
      <c r="C186" s="568" t="s">
        <v>290</v>
      </c>
      <c r="D186" s="567"/>
      <c r="E186" s="567"/>
      <c r="F186" s="567"/>
      <c r="G186" s="567"/>
      <c r="H186" s="567"/>
      <c r="I186" s="567"/>
      <c r="J186" s="567"/>
      <c r="K186" s="567"/>
      <c r="L186" s="66"/>
    </row>
    <row r="187" spans="3:12" x14ac:dyDescent="0.3">
      <c r="C187" s="560" t="s">
        <v>46</v>
      </c>
      <c r="D187" s="566">
        <v>640</v>
      </c>
      <c r="E187" s="566">
        <v>372</v>
      </c>
      <c r="F187" s="566">
        <v>312</v>
      </c>
      <c r="G187" s="566">
        <v>190</v>
      </c>
      <c r="H187" s="566">
        <v>182</v>
      </c>
      <c r="I187" s="566">
        <v>264</v>
      </c>
      <c r="J187" s="566">
        <v>277</v>
      </c>
      <c r="K187" s="566">
        <v>179</v>
      </c>
      <c r="L187" s="66"/>
    </row>
    <row r="188" spans="3:12" x14ac:dyDescent="0.3">
      <c r="C188" s="560" t="s">
        <v>1120</v>
      </c>
      <c r="D188" s="566">
        <v>437</v>
      </c>
      <c r="E188" s="566">
        <v>413</v>
      </c>
      <c r="F188" s="566">
        <v>411</v>
      </c>
      <c r="G188" s="566">
        <v>346</v>
      </c>
      <c r="H188" s="566">
        <v>371</v>
      </c>
      <c r="I188" s="566">
        <v>332</v>
      </c>
      <c r="J188" s="566">
        <v>426</v>
      </c>
      <c r="K188" s="566">
        <v>455</v>
      </c>
      <c r="L188" s="66"/>
    </row>
    <row r="189" spans="3:12" x14ac:dyDescent="0.3">
      <c r="C189" s="560" t="s">
        <v>1112</v>
      </c>
      <c r="D189" s="566">
        <v>7</v>
      </c>
      <c r="E189" s="566">
        <v>9</v>
      </c>
      <c r="F189" s="566">
        <v>12</v>
      </c>
      <c r="G189" s="566">
        <v>11</v>
      </c>
      <c r="H189" s="566">
        <v>12</v>
      </c>
      <c r="I189" s="566">
        <v>15</v>
      </c>
      <c r="J189" s="566">
        <v>30</v>
      </c>
      <c r="K189" s="566">
        <v>32</v>
      </c>
      <c r="L189" s="66"/>
    </row>
    <row r="190" spans="3:12" x14ac:dyDescent="0.3">
      <c r="C190" s="558" t="s">
        <v>44</v>
      </c>
      <c r="D190" s="565">
        <v>849</v>
      </c>
      <c r="E190" s="564" t="s">
        <v>1132</v>
      </c>
      <c r="F190" s="565">
        <v>985</v>
      </c>
      <c r="G190" s="564" t="s">
        <v>1131</v>
      </c>
      <c r="H190" s="565">
        <v>998</v>
      </c>
      <c r="I190" s="564" t="s">
        <v>1130</v>
      </c>
      <c r="J190" s="564" t="s">
        <v>1129</v>
      </c>
      <c r="K190" s="564" t="s">
        <v>1128</v>
      </c>
      <c r="L190" s="66"/>
    </row>
    <row r="191" spans="3:12" ht="28.8" x14ac:dyDescent="0.3">
      <c r="C191" s="563" t="s">
        <v>1127</v>
      </c>
      <c r="D191" s="562">
        <v>2008</v>
      </c>
      <c r="E191" s="562">
        <v>2009</v>
      </c>
      <c r="F191" s="562">
        <v>2010</v>
      </c>
      <c r="G191" s="562">
        <v>2011</v>
      </c>
      <c r="H191" s="562">
        <v>2012</v>
      </c>
      <c r="I191" s="562">
        <v>2013</v>
      </c>
      <c r="J191" s="562">
        <v>2014</v>
      </c>
      <c r="K191" s="562">
        <v>2015</v>
      </c>
      <c r="L191" s="66"/>
    </row>
    <row r="192" spans="3:12" x14ac:dyDescent="0.3">
      <c r="C192" s="560" t="s">
        <v>46</v>
      </c>
      <c r="D192" s="559">
        <v>911</v>
      </c>
      <c r="E192" s="561" t="s">
        <v>1126</v>
      </c>
      <c r="F192" s="561" t="s">
        <v>1125</v>
      </c>
      <c r="G192" s="561" t="s">
        <v>1124</v>
      </c>
      <c r="H192" s="561" t="s">
        <v>1123</v>
      </c>
      <c r="I192" s="561" t="s">
        <v>1122</v>
      </c>
      <c r="J192" s="559">
        <v>979</v>
      </c>
      <c r="K192" s="561" t="s">
        <v>1121</v>
      </c>
      <c r="L192" s="66"/>
    </row>
    <row r="193" spans="3:12" x14ac:dyDescent="0.3">
      <c r="C193" s="560" t="s">
        <v>1120</v>
      </c>
      <c r="D193" s="561" t="s">
        <v>1119</v>
      </c>
      <c r="E193" s="559">
        <v>795</v>
      </c>
      <c r="F193" s="561" t="s">
        <v>1118</v>
      </c>
      <c r="G193" s="561" t="s">
        <v>1117</v>
      </c>
      <c r="H193" s="561" t="s">
        <v>1116</v>
      </c>
      <c r="I193" s="561" t="s">
        <v>1115</v>
      </c>
      <c r="J193" s="561" t="s">
        <v>1114</v>
      </c>
      <c r="K193" s="561" t="s">
        <v>1113</v>
      </c>
      <c r="L193" s="66"/>
    </row>
    <row r="194" spans="3:12" x14ac:dyDescent="0.3">
      <c r="C194" s="560" t="s">
        <v>1112</v>
      </c>
      <c r="D194" s="559">
        <v>263</v>
      </c>
      <c r="E194" s="559">
        <v>261</v>
      </c>
      <c r="F194" s="559">
        <v>251</v>
      </c>
      <c r="G194" s="559">
        <v>266</v>
      </c>
      <c r="H194" s="559">
        <v>237</v>
      </c>
      <c r="I194" s="559">
        <v>230</v>
      </c>
      <c r="J194" s="559">
        <v>230</v>
      </c>
      <c r="K194" s="559">
        <v>220</v>
      </c>
      <c r="L194" s="66"/>
    </row>
    <row r="195" spans="3:12" x14ac:dyDescent="0.3">
      <c r="C195" s="558" t="s">
        <v>44</v>
      </c>
      <c r="D195" s="557" t="s">
        <v>1111</v>
      </c>
      <c r="E195" s="557" t="s">
        <v>1110</v>
      </c>
      <c r="F195" s="557" t="s">
        <v>1109</v>
      </c>
      <c r="G195" s="557" t="s">
        <v>1108</v>
      </c>
      <c r="H195" s="557" t="s">
        <v>1107</v>
      </c>
      <c r="I195" s="557" t="s">
        <v>1106</v>
      </c>
      <c r="J195" s="557" t="s">
        <v>1105</v>
      </c>
      <c r="K195" s="557" t="s">
        <v>1104</v>
      </c>
      <c r="L195" s="66"/>
    </row>
    <row r="196" spans="3:12" x14ac:dyDescent="0.3">
      <c r="C196" s="80"/>
      <c r="D196" s="59"/>
      <c r="E196" s="59"/>
      <c r="F196" s="59"/>
      <c r="G196" s="59"/>
      <c r="H196" s="59"/>
      <c r="I196" s="59"/>
      <c r="J196" s="59"/>
      <c r="K196" s="59"/>
      <c r="L196" s="107"/>
    </row>
    <row r="199" spans="3:12" x14ac:dyDescent="0.3">
      <c r="C199" t="s">
        <v>1103</v>
      </c>
    </row>
    <row r="200" spans="3:12" x14ac:dyDescent="0.3">
      <c r="C200" t="s">
        <v>1102</v>
      </c>
    </row>
    <row r="201" spans="3:12" x14ac:dyDescent="0.3">
      <c r="C201" s="52"/>
      <c r="D201" s="53"/>
      <c r="E201" s="53"/>
      <c r="F201" s="53"/>
      <c r="G201" s="53"/>
      <c r="H201" s="55"/>
    </row>
    <row r="202" spans="3:12" x14ac:dyDescent="0.3">
      <c r="C202" s="50" t="s">
        <v>1101</v>
      </c>
      <c r="D202" s="142">
        <f>D213</f>
        <v>2180060</v>
      </c>
      <c r="E202" t="s">
        <v>1100</v>
      </c>
      <c r="H202" s="66"/>
    </row>
    <row r="203" spans="3:12" x14ac:dyDescent="0.3">
      <c r="C203" s="50"/>
      <c r="E203" t="s">
        <v>1099</v>
      </c>
      <c r="H203" s="66"/>
    </row>
    <row r="204" spans="3:12" ht="21" x14ac:dyDescent="0.4">
      <c r="C204" s="556"/>
      <c r="D204" s="535"/>
      <c r="E204" s="535"/>
      <c r="F204" s="535"/>
      <c r="G204" s="535"/>
      <c r="H204" s="539"/>
      <c r="I204" s="535"/>
    </row>
    <row r="205" spans="3:12" ht="46.8" x14ac:dyDescent="0.4">
      <c r="C205" s="555" t="s">
        <v>1098</v>
      </c>
      <c r="D205" s="554" t="s">
        <v>1097</v>
      </c>
      <c r="E205" s="554" t="s">
        <v>1096</v>
      </c>
      <c r="F205" s="554" t="s">
        <v>1095</v>
      </c>
      <c r="G205" s="553" t="s">
        <v>1094</v>
      </c>
      <c r="H205" s="539"/>
      <c r="I205" s="535"/>
    </row>
    <row r="206" spans="3:12" ht="21" x14ac:dyDescent="0.4">
      <c r="C206" s="550" t="s">
        <v>344</v>
      </c>
      <c r="D206" s="548">
        <v>180727</v>
      </c>
      <c r="E206" s="548">
        <v>3746</v>
      </c>
      <c r="F206" s="548">
        <v>36980</v>
      </c>
      <c r="G206" s="548">
        <v>147493</v>
      </c>
      <c r="H206" s="539"/>
      <c r="I206" s="535"/>
    </row>
    <row r="207" spans="3:12" ht="21" x14ac:dyDescent="0.4">
      <c r="C207" s="552" t="s">
        <v>619</v>
      </c>
      <c r="D207" s="551">
        <v>342457</v>
      </c>
      <c r="E207" s="551">
        <v>487581</v>
      </c>
      <c r="F207" s="551">
        <v>136243</v>
      </c>
      <c r="G207" s="551">
        <v>693796</v>
      </c>
      <c r="H207" s="539"/>
      <c r="I207" s="535"/>
    </row>
    <row r="208" spans="3:12" ht="31.2" x14ac:dyDescent="0.4">
      <c r="C208" s="547" t="s">
        <v>1093</v>
      </c>
      <c r="D208" s="546">
        <v>1208571</v>
      </c>
      <c r="E208" s="546">
        <v>141038</v>
      </c>
      <c r="F208" s="546">
        <v>326947</v>
      </c>
      <c r="G208" s="546">
        <v>1022661</v>
      </c>
      <c r="H208" s="539"/>
      <c r="I208" s="535"/>
    </row>
    <row r="209" spans="3:9" ht="21" x14ac:dyDescent="0.4">
      <c r="C209" s="550" t="s">
        <v>1092</v>
      </c>
      <c r="D209" s="548">
        <v>46950</v>
      </c>
      <c r="E209" s="549"/>
      <c r="F209" s="549"/>
      <c r="G209" s="548">
        <v>46950</v>
      </c>
      <c r="H209" s="539"/>
      <c r="I209" s="535"/>
    </row>
    <row r="210" spans="3:9" ht="21" x14ac:dyDescent="0.4">
      <c r="C210" s="547" t="s">
        <v>1091</v>
      </c>
      <c r="D210" s="546">
        <v>228991</v>
      </c>
      <c r="E210" s="546">
        <v>35879</v>
      </c>
      <c r="F210" s="546">
        <v>36282</v>
      </c>
      <c r="G210" s="546">
        <v>228588</v>
      </c>
      <c r="H210" s="539"/>
      <c r="I210" s="535"/>
    </row>
    <row r="211" spans="3:9" ht="21" x14ac:dyDescent="0.4">
      <c r="C211" s="545" t="s">
        <v>377</v>
      </c>
      <c r="D211" s="543">
        <v>138186</v>
      </c>
      <c r="E211" s="543">
        <v>47227</v>
      </c>
      <c r="F211" s="543">
        <v>104005</v>
      </c>
      <c r="G211" s="543">
        <v>81408</v>
      </c>
      <c r="H211" s="539"/>
      <c r="I211" s="535"/>
    </row>
    <row r="212" spans="3:9" ht="21" x14ac:dyDescent="0.4">
      <c r="C212" s="545" t="s">
        <v>374</v>
      </c>
      <c r="D212" s="543">
        <v>34178</v>
      </c>
      <c r="E212" s="544"/>
      <c r="F212" s="544"/>
      <c r="G212" s="543">
        <v>34178</v>
      </c>
      <c r="H212" s="539"/>
      <c r="I212" s="535"/>
    </row>
    <row r="213" spans="3:9" ht="21" x14ac:dyDescent="0.4">
      <c r="C213" s="541" t="s">
        <v>617</v>
      </c>
      <c r="D213" s="542">
        <f>SUM(D206:D212)</f>
        <v>2180060</v>
      </c>
      <c r="E213" s="542">
        <f>SUM(E206:E212)</f>
        <v>715471</v>
      </c>
      <c r="F213" s="542">
        <f>SUM(F206:F212)</f>
        <v>640457</v>
      </c>
      <c r="G213" s="542">
        <f>SUM(G206:G212)</f>
        <v>2255074</v>
      </c>
      <c r="H213" s="539"/>
      <c r="I213" s="535"/>
    </row>
    <row r="214" spans="3:9" ht="21" x14ac:dyDescent="0.4">
      <c r="C214" s="541"/>
      <c r="D214" s="540"/>
      <c r="E214" s="540"/>
      <c r="F214" s="540"/>
      <c r="G214" s="540"/>
      <c r="H214" s="539"/>
      <c r="I214" s="535"/>
    </row>
    <row r="215" spans="3:9" ht="21" x14ac:dyDescent="0.4">
      <c r="C215" s="538"/>
      <c r="D215" s="537"/>
      <c r="E215" s="537"/>
      <c r="F215" s="537"/>
      <c r="G215" s="537"/>
      <c r="H215" s="536"/>
      <c r="I215" s="535"/>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4.4" x14ac:dyDescent="0.3"/>
  <cols>
    <col min="2" max="2" width="13.6640625" customWidth="1"/>
    <col min="8" max="8" width="12" bestFit="1" customWidth="1"/>
    <col min="14" max="14" width="12.44140625" customWidth="1"/>
    <col min="15" max="15" width="12" bestFit="1" customWidth="1"/>
  </cols>
  <sheetData>
    <row r="2" spans="2:12" x14ac:dyDescent="0.3">
      <c r="B2" s="67" t="s">
        <v>325</v>
      </c>
    </row>
    <row r="3" spans="2:12" x14ac:dyDescent="0.3">
      <c r="C3" t="s">
        <v>54</v>
      </c>
    </row>
    <row r="5" spans="2:12" x14ac:dyDescent="0.3">
      <c r="B5" t="s">
        <v>876</v>
      </c>
      <c r="C5" t="s">
        <v>23</v>
      </c>
      <c r="D5">
        <v>0.99580000000000002</v>
      </c>
    </row>
    <row r="6" spans="2:12" x14ac:dyDescent="0.3">
      <c r="B6" t="s">
        <v>876</v>
      </c>
      <c r="C6" t="s">
        <v>23</v>
      </c>
      <c r="D6">
        <v>1.2171000000000001</v>
      </c>
    </row>
    <row r="7" spans="2:12" x14ac:dyDescent="0.3">
      <c r="B7" t="s">
        <v>876</v>
      </c>
      <c r="C7" t="s">
        <v>23</v>
      </c>
      <c r="D7">
        <v>0.44259999999999999</v>
      </c>
    </row>
    <row r="8" spans="2:12" x14ac:dyDescent="0.3">
      <c r="B8" t="s">
        <v>876</v>
      </c>
      <c r="C8" t="s">
        <v>23</v>
      </c>
      <c r="D8">
        <v>0.36720000000000003</v>
      </c>
    </row>
    <row r="9" spans="2:12" x14ac:dyDescent="0.3">
      <c r="B9" t="s">
        <v>876</v>
      </c>
      <c r="C9" t="s">
        <v>23</v>
      </c>
      <c r="D9">
        <v>0.18360000000000001</v>
      </c>
    </row>
    <row r="10" spans="2:12" x14ac:dyDescent="0.3">
      <c r="B10" t="s">
        <v>876</v>
      </c>
      <c r="C10" t="s">
        <v>23</v>
      </c>
      <c r="D10">
        <v>0.32129999999999997</v>
      </c>
    </row>
    <row r="11" spans="2:12" x14ac:dyDescent="0.3">
      <c r="B11" t="s">
        <v>876</v>
      </c>
      <c r="C11" t="s">
        <v>23</v>
      </c>
      <c r="D11">
        <v>0.13769999999999999</v>
      </c>
    </row>
    <row r="12" spans="2:12" x14ac:dyDescent="0.3">
      <c r="B12" t="s">
        <v>876</v>
      </c>
      <c r="C12" t="s">
        <v>23</v>
      </c>
      <c r="D12">
        <v>9.1800000000000007E-2</v>
      </c>
      <c r="J12" t="s">
        <v>876</v>
      </c>
      <c r="L12" t="s">
        <v>875</v>
      </c>
    </row>
    <row r="13" spans="2:12" x14ac:dyDescent="0.3">
      <c r="B13" t="s">
        <v>876</v>
      </c>
      <c r="C13" t="s">
        <v>22</v>
      </c>
      <c r="D13">
        <v>0.70730000000000004</v>
      </c>
    </row>
    <row r="14" spans="2:12" x14ac:dyDescent="0.3">
      <c r="B14" t="s">
        <v>876</v>
      </c>
      <c r="C14" t="s">
        <v>22</v>
      </c>
      <c r="D14">
        <v>0.86450000000000005</v>
      </c>
      <c r="I14" t="s">
        <v>23</v>
      </c>
      <c r="J14" s="62">
        <f>SUMIFS($D$5:$D$37,$B$5:$B$37,J$12,$C$5:$C$37,$I14)</f>
        <v>3.7571000000000008</v>
      </c>
      <c r="L14">
        <f>SUMIFS($D$5:$D$37,$B$5:$B$37,L$12,$C$5:$C$37,$I14)</f>
        <v>0</v>
      </c>
    </row>
    <row r="15" spans="2:12" x14ac:dyDescent="0.3">
      <c r="B15" t="s">
        <v>876</v>
      </c>
      <c r="C15" t="s">
        <v>22</v>
      </c>
      <c r="D15">
        <v>0.31440000000000001</v>
      </c>
      <c r="I15" t="s">
        <v>22</v>
      </c>
      <c r="J15" s="62">
        <f>SUMIFS($D$5:$D$37,$B$5:$B$37,J$12,$C$5:$C$37,$I15)</f>
        <v>2.6686000000000001</v>
      </c>
      <c r="L15">
        <f>SUMIFS($D$5:$D$37,$B$5:$B$37,L$12,$C$5:$C$37,$I15)</f>
        <v>0</v>
      </c>
    </row>
    <row r="16" spans="2:12" x14ac:dyDescent="0.3">
      <c r="B16" t="s">
        <v>876</v>
      </c>
      <c r="C16" t="s">
        <v>22</v>
      </c>
      <c r="D16">
        <v>0.26079999999999998</v>
      </c>
      <c r="I16" t="s">
        <v>29</v>
      </c>
      <c r="J16" s="62">
        <f>SUMIFS($D$5:$D$37,$B$5:$B$37,J$12,$C$5:$C$37,$I16)</f>
        <v>12.580500000000001</v>
      </c>
      <c r="L16">
        <f>SUMIFS($D$5:$D$37,$B$5:$B$37,L$12,$C$5:$C$37,$I16)</f>
        <v>0</v>
      </c>
    </row>
    <row r="17" spans="2:19" x14ac:dyDescent="0.3">
      <c r="B17" t="s">
        <v>876</v>
      </c>
      <c r="C17" t="s">
        <v>22</v>
      </c>
      <c r="D17">
        <v>0.13039999999999999</v>
      </c>
      <c r="I17" t="s">
        <v>27</v>
      </c>
      <c r="J17">
        <f>SUMIFS($D$5:$D$37,$B$5:$B$37,J$12,$C$5:$C$37,$I17)</f>
        <v>0</v>
      </c>
      <c r="L17" s="62">
        <f>SUMIFS($D$5:$D$37,$B$5:$B$37,L$12,$C$5:$C$37,$I17)</f>
        <v>7.7351000000000001</v>
      </c>
      <c r="N17">
        <f>(J15+J16)/L18</f>
        <v>13.800090497737557</v>
      </c>
      <c r="O17" t="s">
        <v>908</v>
      </c>
      <c r="S17" t="s">
        <v>907</v>
      </c>
    </row>
    <row r="18" spans="2:19" x14ac:dyDescent="0.3">
      <c r="B18" t="s">
        <v>876</v>
      </c>
      <c r="C18" t="s">
        <v>22</v>
      </c>
      <c r="D18">
        <v>0.22819999999999999</v>
      </c>
      <c r="I18" t="s">
        <v>30</v>
      </c>
      <c r="J18">
        <f>SUMIFS($D$5:$D$37,$B$5:$B$37,J$12,$C$5:$C$37,$I18)</f>
        <v>0</v>
      </c>
      <c r="L18" s="62">
        <f>SUMIFS($D$5:$D$37,$B$5:$B$37,L$12,$C$5:$C$37,$I18)</f>
        <v>1.105</v>
      </c>
      <c r="N18">
        <f>J14/L18</f>
        <v>3.4000904977375574</v>
      </c>
      <c r="O18" t="s">
        <v>906</v>
      </c>
    </row>
    <row r="19" spans="2:19" x14ac:dyDescent="0.3">
      <c r="B19" t="s">
        <v>876</v>
      </c>
      <c r="C19" t="s">
        <v>22</v>
      </c>
      <c r="D19">
        <v>9.7799999999999998E-2</v>
      </c>
    </row>
    <row r="20" spans="2:19" x14ac:dyDescent="0.3">
      <c r="B20" t="s">
        <v>876</v>
      </c>
      <c r="C20" t="s">
        <v>22</v>
      </c>
      <c r="D20">
        <v>6.5199999999999994E-2</v>
      </c>
    </row>
    <row r="21" spans="2:19" x14ac:dyDescent="0.3">
      <c r="B21" t="s">
        <v>876</v>
      </c>
      <c r="C21" t="s">
        <v>29</v>
      </c>
      <c r="D21">
        <v>3.3344999999999998</v>
      </c>
      <c r="M21" t="s">
        <v>22</v>
      </c>
      <c r="N21">
        <f>J15/(J15+J16)</f>
        <v>0.17500049183230487</v>
      </c>
      <c r="O21" t="s">
        <v>905</v>
      </c>
    </row>
    <row r="22" spans="2:19" x14ac:dyDescent="0.3">
      <c r="B22" t="s">
        <v>876</v>
      </c>
      <c r="C22" t="s">
        <v>29</v>
      </c>
      <c r="D22">
        <v>4.0754000000000001</v>
      </c>
    </row>
    <row r="23" spans="2:19" x14ac:dyDescent="0.3">
      <c r="B23" t="s">
        <v>876</v>
      </c>
      <c r="C23" t="s">
        <v>29</v>
      </c>
      <c r="D23">
        <v>1.482</v>
      </c>
    </row>
    <row r="24" spans="2:19" x14ac:dyDescent="0.3">
      <c r="B24" t="s">
        <v>876</v>
      </c>
      <c r="C24" t="s">
        <v>29</v>
      </c>
      <c r="D24">
        <v>1.2296</v>
      </c>
      <c r="N24">
        <f>L17/L18</f>
        <v>7.0000904977375571</v>
      </c>
      <c r="O24" t="s">
        <v>171</v>
      </c>
      <c r="Q24" t="s">
        <v>904</v>
      </c>
    </row>
    <row r="25" spans="2:19" x14ac:dyDescent="0.3">
      <c r="B25" t="s">
        <v>876</v>
      </c>
      <c r="C25" t="s">
        <v>29</v>
      </c>
      <c r="D25">
        <v>0.61480000000000001</v>
      </c>
    </row>
    <row r="26" spans="2:19" x14ac:dyDescent="0.3">
      <c r="B26" t="s">
        <v>876</v>
      </c>
      <c r="C26" t="s">
        <v>29</v>
      </c>
      <c r="D26">
        <v>1.0758000000000001</v>
      </c>
    </row>
    <row r="27" spans="2:19" x14ac:dyDescent="0.3">
      <c r="B27" t="s">
        <v>876</v>
      </c>
      <c r="C27" t="s">
        <v>29</v>
      </c>
      <c r="D27">
        <v>0.46100000000000002</v>
      </c>
    </row>
    <row r="28" spans="2:19" x14ac:dyDescent="0.3">
      <c r="B28" t="s">
        <v>876</v>
      </c>
      <c r="C28" t="s">
        <v>29</v>
      </c>
      <c r="D28">
        <v>0.30740000000000001</v>
      </c>
    </row>
    <row r="29" spans="2:19" x14ac:dyDescent="0.3">
      <c r="B29" t="s">
        <v>875</v>
      </c>
      <c r="C29" t="s">
        <v>27</v>
      </c>
      <c r="D29">
        <v>2.0501999999999998</v>
      </c>
    </row>
    <row r="30" spans="2:19" x14ac:dyDescent="0.3">
      <c r="B30" t="s">
        <v>875</v>
      </c>
      <c r="C30" t="s">
        <v>27</v>
      </c>
      <c r="D30">
        <v>2.5057</v>
      </c>
    </row>
    <row r="31" spans="2:19" x14ac:dyDescent="0.3">
      <c r="B31" t="s">
        <v>875</v>
      </c>
      <c r="C31" t="s">
        <v>27</v>
      </c>
      <c r="D31">
        <v>0.91120000000000001</v>
      </c>
    </row>
    <row r="32" spans="2:19" x14ac:dyDescent="0.3">
      <c r="B32" t="s">
        <v>875</v>
      </c>
      <c r="C32" t="s">
        <v>27</v>
      </c>
      <c r="D32">
        <v>0.75600000000000001</v>
      </c>
    </row>
    <row r="33" spans="2:29" x14ac:dyDescent="0.3">
      <c r="B33" t="s">
        <v>875</v>
      </c>
      <c r="C33" t="s">
        <v>27</v>
      </c>
      <c r="D33">
        <v>0.378</v>
      </c>
    </row>
    <row r="34" spans="2:29" x14ac:dyDescent="0.3">
      <c r="B34" t="s">
        <v>875</v>
      </c>
      <c r="C34" t="s">
        <v>27</v>
      </c>
      <c r="D34">
        <v>0.66149999999999998</v>
      </c>
      <c r="N34" s="52" t="s">
        <v>903</v>
      </c>
      <c r="O34" s="53"/>
      <c r="P34" s="53"/>
      <c r="Q34" s="55"/>
    </row>
    <row r="35" spans="2:29" x14ac:dyDescent="0.3">
      <c r="B35" t="s">
        <v>875</v>
      </c>
      <c r="C35" t="s">
        <v>27</v>
      </c>
      <c r="D35">
        <v>0.28349999999999997</v>
      </c>
      <c r="N35" s="50"/>
      <c r="Q35" s="66"/>
      <c r="V35" s="67" t="s">
        <v>902</v>
      </c>
    </row>
    <row r="36" spans="2:29" x14ac:dyDescent="0.3">
      <c r="B36" t="s">
        <v>875</v>
      </c>
      <c r="C36" t="s">
        <v>27</v>
      </c>
      <c r="D36">
        <v>0.189</v>
      </c>
      <c r="N36" s="50" t="s">
        <v>901</v>
      </c>
      <c r="O36" t="s">
        <v>900</v>
      </c>
      <c r="Q36" s="66"/>
      <c r="V36" t="s">
        <v>899</v>
      </c>
      <c r="W36" t="s">
        <v>898</v>
      </c>
      <c r="X36" t="s">
        <v>897</v>
      </c>
      <c r="Y36" t="s">
        <v>575</v>
      </c>
      <c r="Z36" s="67" t="s">
        <v>617</v>
      </c>
    </row>
    <row r="37" spans="2:29" x14ac:dyDescent="0.3">
      <c r="B37" t="s">
        <v>875</v>
      </c>
      <c r="C37" t="s">
        <v>30</v>
      </c>
      <c r="D37">
        <v>1.105</v>
      </c>
      <c r="N37" s="50"/>
      <c r="Q37" s="66"/>
      <c r="T37" t="s">
        <v>23</v>
      </c>
      <c r="U37" t="s">
        <v>37</v>
      </c>
      <c r="V37" s="481">
        <f t="shared" ref="V37:V44" si="0">SUMIFS($J$14:$J$20,$I$14:$I$20,$T37)</f>
        <v>3.7571000000000008</v>
      </c>
      <c r="W37" s="481">
        <f t="shared" ref="W37:W44" si="1">SUMIFS($J$102:$J$108,$I$102:$I$108,$T37)</f>
        <v>0</v>
      </c>
      <c r="X37" s="481">
        <f t="shared" ref="X37:X44" si="2">SUMIFS($J$56:$J$62,$I$56:$I$62,$T37)</f>
        <v>2.3121000000000005</v>
      </c>
      <c r="Y37" s="481">
        <f t="shared" ref="Y37:Y44" si="3">SUMIFS($J$123:$J$130,$I$123:$I$130,$T37)</f>
        <v>0</v>
      </c>
      <c r="Z37" s="65">
        <f t="shared" ref="Z37:Z44" si="4">SUM(V37:Y37)</f>
        <v>6.0692000000000013</v>
      </c>
    </row>
    <row r="38" spans="2:29" x14ac:dyDescent="0.3">
      <c r="N38" s="50" t="s">
        <v>37</v>
      </c>
      <c r="O38" s="272">
        <v>71.463600000000014</v>
      </c>
      <c r="Q38" s="66"/>
      <c r="T38" t="s">
        <v>22</v>
      </c>
      <c r="U38" t="s">
        <v>802</v>
      </c>
      <c r="V38" s="481">
        <f t="shared" si="0"/>
        <v>2.6686000000000001</v>
      </c>
      <c r="W38" s="481">
        <f t="shared" si="1"/>
        <v>2.5417000000000005</v>
      </c>
      <c r="X38" s="481">
        <f t="shared" si="2"/>
        <v>1.7083000000000002</v>
      </c>
      <c r="Y38" s="481">
        <f t="shared" si="3"/>
        <v>2.4512999999999998</v>
      </c>
      <c r="Z38" s="65">
        <f t="shared" si="4"/>
        <v>9.3699000000000012</v>
      </c>
    </row>
    <row r="39" spans="2:29" x14ac:dyDescent="0.3">
      <c r="N39" s="50" t="s">
        <v>896</v>
      </c>
      <c r="O39" s="272">
        <v>0</v>
      </c>
      <c r="Q39" s="66"/>
      <c r="T39" t="s">
        <v>505</v>
      </c>
      <c r="U39" t="s">
        <v>535</v>
      </c>
      <c r="V39" s="481">
        <f t="shared" si="0"/>
        <v>0</v>
      </c>
      <c r="W39" s="481">
        <f t="shared" si="1"/>
        <v>0</v>
      </c>
      <c r="X39" s="481">
        <f t="shared" si="2"/>
        <v>3.39E-2</v>
      </c>
      <c r="Y39" s="481">
        <f t="shared" si="3"/>
        <v>0.10009999999999999</v>
      </c>
      <c r="Z39" s="65">
        <f t="shared" si="4"/>
        <v>0.13400000000000001</v>
      </c>
    </row>
    <row r="40" spans="2:29" x14ac:dyDescent="0.3">
      <c r="N40" s="50" t="s">
        <v>895</v>
      </c>
      <c r="O40" s="272">
        <v>0</v>
      </c>
      <c r="Q40" s="66"/>
      <c r="T40" t="s">
        <v>29</v>
      </c>
      <c r="U40" t="s">
        <v>43</v>
      </c>
      <c r="V40" s="481">
        <f t="shared" si="0"/>
        <v>12.580500000000001</v>
      </c>
      <c r="W40" s="481">
        <f t="shared" si="1"/>
        <v>0.86549999999999994</v>
      </c>
      <c r="X40" s="481">
        <f t="shared" si="2"/>
        <v>9.0356999999999985</v>
      </c>
      <c r="Y40" s="481">
        <f t="shared" si="3"/>
        <v>13.5695</v>
      </c>
      <c r="Z40" s="65">
        <f t="shared" si="4"/>
        <v>36.051200000000001</v>
      </c>
    </row>
    <row r="41" spans="2:29" x14ac:dyDescent="0.3">
      <c r="N41" s="50" t="s">
        <v>36</v>
      </c>
      <c r="O41" s="272">
        <v>32.598048734324848</v>
      </c>
      <c r="Q41" s="66"/>
      <c r="T41" t="s">
        <v>27</v>
      </c>
      <c r="U41" t="s">
        <v>101</v>
      </c>
      <c r="V41" s="481">
        <f t="shared" si="0"/>
        <v>0</v>
      </c>
      <c r="W41" s="481">
        <f t="shared" si="1"/>
        <v>0</v>
      </c>
      <c r="X41" s="481">
        <f t="shared" si="2"/>
        <v>0</v>
      </c>
      <c r="Y41" s="481">
        <f t="shared" si="3"/>
        <v>0</v>
      </c>
      <c r="Z41" s="65">
        <f t="shared" si="4"/>
        <v>0</v>
      </c>
    </row>
    <row r="42" spans="2:29" x14ac:dyDescent="0.3">
      <c r="N42" s="50" t="s">
        <v>39</v>
      </c>
      <c r="O42" s="272">
        <v>4.8360000000000003</v>
      </c>
      <c r="Q42" s="66"/>
      <c r="T42" t="s">
        <v>31</v>
      </c>
      <c r="U42" t="s">
        <v>45</v>
      </c>
      <c r="V42" s="481">
        <f t="shared" si="0"/>
        <v>0</v>
      </c>
      <c r="W42" s="481">
        <f t="shared" si="1"/>
        <v>0</v>
      </c>
      <c r="X42" s="481">
        <f t="shared" si="2"/>
        <v>0</v>
      </c>
      <c r="Y42" s="481">
        <f t="shared" si="3"/>
        <v>0</v>
      </c>
      <c r="Z42" s="65">
        <f t="shared" si="4"/>
        <v>0</v>
      </c>
    </row>
    <row r="43" spans="2:29" x14ac:dyDescent="0.3">
      <c r="N43" s="50" t="s">
        <v>894</v>
      </c>
      <c r="O43" s="272">
        <v>0</v>
      </c>
      <c r="Q43" s="66"/>
      <c r="T43" t="s">
        <v>30</v>
      </c>
      <c r="U43" t="s">
        <v>44</v>
      </c>
      <c r="V43" s="481">
        <f t="shared" si="0"/>
        <v>0</v>
      </c>
      <c r="W43" s="481">
        <f t="shared" si="1"/>
        <v>0</v>
      </c>
      <c r="X43" s="481">
        <f t="shared" si="2"/>
        <v>0</v>
      </c>
      <c r="Y43" s="481">
        <f t="shared" si="3"/>
        <v>2.2028999999999996</v>
      </c>
      <c r="Z43" s="65">
        <f t="shared" si="4"/>
        <v>2.2028999999999996</v>
      </c>
    </row>
    <row r="44" spans="2:29" x14ac:dyDescent="0.3">
      <c r="N44" s="50" t="s">
        <v>893</v>
      </c>
      <c r="O44" s="272">
        <v>0</v>
      </c>
      <c r="Q44" s="66"/>
      <c r="T44" t="s">
        <v>32</v>
      </c>
      <c r="U44" t="s">
        <v>46</v>
      </c>
      <c r="V44" s="481">
        <f t="shared" si="0"/>
        <v>0</v>
      </c>
      <c r="W44" s="481">
        <f t="shared" si="1"/>
        <v>0</v>
      </c>
      <c r="X44" s="481">
        <f t="shared" si="2"/>
        <v>0</v>
      </c>
      <c r="Y44" s="481">
        <f t="shared" si="3"/>
        <v>0</v>
      </c>
      <c r="Z44" s="65">
        <f t="shared" si="4"/>
        <v>0</v>
      </c>
    </row>
    <row r="45" spans="2:29" x14ac:dyDescent="0.3">
      <c r="N45" s="50" t="s">
        <v>892</v>
      </c>
      <c r="O45" s="272">
        <v>41.21</v>
      </c>
      <c r="Q45" s="66"/>
      <c r="V45" s="65">
        <f>SUM(V37:V40)</f>
        <v>19.0062</v>
      </c>
      <c r="W45" s="65">
        <f>SUM(W37:W40)</f>
        <v>3.4072000000000005</v>
      </c>
      <c r="X45" s="65">
        <f>SUM(X37:X40)</f>
        <v>13.09</v>
      </c>
      <c r="Y45" s="65">
        <f>SUM(Y37:Y40)</f>
        <v>16.120899999999999</v>
      </c>
      <c r="Z45" s="65">
        <f>SUM(Z37:Z40)</f>
        <v>51.624300000000005</v>
      </c>
      <c r="AB45" s="71">
        <f>SUM(Z37:Z39)</f>
        <v>15.573100000000004</v>
      </c>
      <c r="AC45" t="s">
        <v>891</v>
      </c>
    </row>
    <row r="46" spans="2:29" x14ac:dyDescent="0.3">
      <c r="N46" s="80"/>
      <c r="O46" s="480">
        <f>SUM(O38:O45)</f>
        <v>150.10764873432487</v>
      </c>
      <c r="P46" s="59"/>
      <c r="Q46" s="107"/>
    </row>
    <row r="47" spans="2:29" x14ac:dyDescent="0.3">
      <c r="T47" t="s">
        <v>528</v>
      </c>
      <c r="U47" t="s">
        <v>37</v>
      </c>
      <c r="Z47" s="475">
        <f>I166</f>
        <v>47.076900000000002</v>
      </c>
    </row>
    <row r="48" spans="2:29" x14ac:dyDescent="0.3">
      <c r="U48" t="s">
        <v>101</v>
      </c>
      <c r="Z48" s="475">
        <f>H166</f>
        <v>18.307700000000001</v>
      </c>
    </row>
    <row r="49" spans="2:29" x14ac:dyDescent="0.3">
      <c r="U49" t="s">
        <v>39</v>
      </c>
      <c r="Z49" s="475">
        <f>J166</f>
        <v>1.3813</v>
      </c>
    </row>
    <row r="50" spans="2:29" x14ac:dyDescent="0.3">
      <c r="B50" s="67" t="s">
        <v>507</v>
      </c>
      <c r="U50" t="s">
        <v>38</v>
      </c>
      <c r="Z50" s="475">
        <f>G166</f>
        <v>1.1763999999999999</v>
      </c>
    </row>
    <row r="51" spans="2:29" x14ac:dyDescent="0.3">
      <c r="C51" t="s">
        <v>56</v>
      </c>
      <c r="U51" t="s">
        <v>40</v>
      </c>
      <c r="Z51" s="479">
        <f>K166</f>
        <v>4.5</v>
      </c>
      <c r="AB51" s="71">
        <f>SUM(Z47:Z51)-Z48</f>
        <v>54.134600000000006</v>
      </c>
      <c r="AC51" t="s">
        <v>890</v>
      </c>
    </row>
    <row r="53" spans="2:29" x14ac:dyDescent="0.3">
      <c r="C53" t="s">
        <v>876</v>
      </c>
      <c r="E53" t="s">
        <v>23</v>
      </c>
      <c r="F53" t="s">
        <v>887</v>
      </c>
      <c r="G53">
        <v>0.61280000000000001</v>
      </c>
    </row>
    <row r="54" spans="2:29" x14ac:dyDescent="0.3">
      <c r="C54" t="s">
        <v>876</v>
      </c>
      <c r="E54" t="s">
        <v>23</v>
      </c>
      <c r="F54" t="s">
        <v>886</v>
      </c>
      <c r="G54">
        <v>0.749</v>
      </c>
      <c r="J54" t="s">
        <v>876</v>
      </c>
      <c r="L54" t="s">
        <v>875</v>
      </c>
      <c r="T54" t="s">
        <v>889</v>
      </c>
    </row>
    <row r="55" spans="2:29" x14ac:dyDescent="0.3">
      <c r="C55" t="s">
        <v>876</v>
      </c>
      <c r="E55" t="s">
        <v>23</v>
      </c>
      <c r="F55" t="s">
        <v>885</v>
      </c>
      <c r="G55">
        <v>0.27239999999999998</v>
      </c>
      <c r="T55" t="s">
        <v>107</v>
      </c>
      <c r="U55" s="71">
        <f>AB45</f>
        <v>15.573100000000004</v>
      </c>
      <c r="V55" s="478">
        <f>U55/$U$57</f>
        <v>0.22340573566478308</v>
      </c>
    </row>
    <row r="56" spans="2:29" x14ac:dyDescent="0.3">
      <c r="C56" t="s">
        <v>876</v>
      </c>
      <c r="E56" t="s">
        <v>23</v>
      </c>
      <c r="F56" t="s">
        <v>884</v>
      </c>
      <c r="G56">
        <v>0.22600000000000001</v>
      </c>
      <c r="I56" t="s">
        <v>23</v>
      </c>
      <c r="J56" s="272">
        <f t="shared" ref="J56:J61" si="5">SUMIFS($G$53:$G$93,$C$53:$C$93,J$54,$E$53:$E$93,$I56)</f>
        <v>2.3121000000000005</v>
      </c>
      <c r="K56" s="272"/>
      <c r="L56" s="272">
        <f t="shared" ref="L56:L61" si="6">SUMIFS($G$53:$G$93,$C$53:$C$93,L$54,$E$53:$E$93,$I56)</f>
        <v>0</v>
      </c>
      <c r="T56" t="s">
        <v>528</v>
      </c>
      <c r="U56" s="71">
        <f>AB51</f>
        <v>54.134600000000006</v>
      </c>
      <c r="V56" s="478">
        <f>U56/$U$57</f>
        <v>0.77659426433521683</v>
      </c>
    </row>
    <row r="57" spans="2:29" x14ac:dyDescent="0.3">
      <c r="C57" t="s">
        <v>876</v>
      </c>
      <c r="E57" t="s">
        <v>23</v>
      </c>
      <c r="F57" t="s">
        <v>883</v>
      </c>
      <c r="G57">
        <v>0.113</v>
      </c>
      <c r="I57" t="s">
        <v>22</v>
      </c>
      <c r="J57" s="272">
        <f t="shared" si="5"/>
        <v>1.7083000000000002</v>
      </c>
      <c r="K57" s="272"/>
      <c r="L57" s="272">
        <f t="shared" si="6"/>
        <v>0</v>
      </c>
      <c r="U57" s="65">
        <f>SUM(U55:U56)</f>
        <v>69.707700000000017</v>
      </c>
    </row>
    <row r="58" spans="2:29" x14ac:dyDescent="0.3">
      <c r="C58" t="s">
        <v>876</v>
      </c>
      <c r="E58" t="s">
        <v>23</v>
      </c>
      <c r="F58" t="s">
        <v>882</v>
      </c>
      <c r="G58">
        <v>0.19769999999999999</v>
      </c>
      <c r="I58" t="s">
        <v>505</v>
      </c>
      <c r="J58" s="272">
        <f t="shared" si="5"/>
        <v>3.39E-2</v>
      </c>
      <c r="K58" s="272"/>
      <c r="L58" s="272">
        <f t="shared" si="6"/>
        <v>0</v>
      </c>
    </row>
    <row r="59" spans="2:29" x14ac:dyDescent="0.3">
      <c r="C59" t="s">
        <v>876</v>
      </c>
      <c r="E59" t="s">
        <v>23</v>
      </c>
      <c r="F59" t="s">
        <v>881</v>
      </c>
      <c r="G59">
        <v>8.4699999999999998E-2</v>
      </c>
      <c r="I59" t="s">
        <v>29</v>
      </c>
      <c r="J59" s="272">
        <f t="shared" si="5"/>
        <v>9.0356999999999985</v>
      </c>
      <c r="K59" s="272"/>
      <c r="L59" s="272">
        <f t="shared" si="6"/>
        <v>0</v>
      </c>
    </row>
    <row r="60" spans="2:29" x14ac:dyDescent="0.3">
      <c r="C60" t="s">
        <v>876</v>
      </c>
      <c r="E60" t="s">
        <v>23</v>
      </c>
      <c r="F60" t="s">
        <v>880</v>
      </c>
      <c r="G60">
        <v>5.6500000000000002E-2</v>
      </c>
      <c r="I60" t="s">
        <v>27</v>
      </c>
      <c r="J60" s="272">
        <f t="shared" si="5"/>
        <v>0</v>
      </c>
      <c r="K60" s="272"/>
      <c r="L60" s="272">
        <f t="shared" si="6"/>
        <v>4.7598000000000003</v>
      </c>
    </row>
    <row r="61" spans="2:29" x14ac:dyDescent="0.3">
      <c r="C61" t="s">
        <v>876</v>
      </c>
      <c r="E61" t="s">
        <v>22</v>
      </c>
      <c r="F61" t="s">
        <v>887</v>
      </c>
      <c r="G61">
        <v>0.45279999999999998</v>
      </c>
      <c r="I61" t="s">
        <v>31</v>
      </c>
      <c r="J61" s="272">
        <f t="shared" si="5"/>
        <v>0</v>
      </c>
      <c r="K61" s="272"/>
      <c r="L61" s="272">
        <f t="shared" si="6"/>
        <v>0.68</v>
      </c>
      <c r="T61" s="477" t="s">
        <v>888</v>
      </c>
    </row>
    <row r="62" spans="2:29" x14ac:dyDescent="0.3">
      <c r="C62" t="s">
        <v>876</v>
      </c>
      <c r="E62" t="s">
        <v>22</v>
      </c>
      <c r="F62" t="s">
        <v>886</v>
      </c>
      <c r="G62">
        <v>0.5534</v>
      </c>
      <c r="U62" t="s">
        <v>37</v>
      </c>
      <c r="V62" t="s">
        <v>38</v>
      </c>
      <c r="W62" t="s">
        <v>39</v>
      </c>
      <c r="X62" t="s">
        <v>36</v>
      </c>
      <c r="Y62" t="s">
        <v>535</v>
      </c>
      <c r="Z62" t="s">
        <v>40</v>
      </c>
    </row>
    <row r="63" spans="2:29" x14ac:dyDescent="0.3">
      <c r="C63" t="s">
        <v>876</v>
      </c>
      <c r="E63" t="s">
        <v>22</v>
      </c>
      <c r="F63" t="s">
        <v>885</v>
      </c>
      <c r="G63">
        <v>0.20119999999999999</v>
      </c>
      <c r="T63" s="67" t="s">
        <v>107</v>
      </c>
      <c r="U63" s="139">
        <f>Z37/(Z37+Z47)</f>
        <v>0.1141984077853314</v>
      </c>
      <c r="V63" s="139"/>
      <c r="W63" s="139"/>
      <c r="X63" s="139">
        <v>1</v>
      </c>
      <c r="Y63" s="139">
        <v>1</v>
      </c>
    </row>
    <row r="64" spans="2:29" x14ac:dyDescent="0.3">
      <c r="C64" t="s">
        <v>876</v>
      </c>
      <c r="E64" t="s">
        <v>22</v>
      </c>
      <c r="F64" t="s">
        <v>884</v>
      </c>
      <c r="G64">
        <v>0.16700000000000001</v>
      </c>
      <c r="J64" t="s">
        <v>37</v>
      </c>
      <c r="K64" s="272">
        <f>J56</f>
        <v>2.3121000000000005</v>
      </c>
      <c r="T64" s="67" t="s">
        <v>528</v>
      </c>
      <c r="U64" s="139">
        <f>1-U63</f>
        <v>0.88580159221466859</v>
      </c>
      <c r="V64" s="139">
        <v>1</v>
      </c>
      <c r="W64" s="139">
        <v>1</v>
      </c>
      <c r="Z64" s="139">
        <v>1</v>
      </c>
    </row>
    <row r="65" spans="3:11" x14ac:dyDescent="0.3">
      <c r="C65" t="s">
        <v>876</v>
      </c>
      <c r="E65" t="s">
        <v>22</v>
      </c>
      <c r="F65" t="s">
        <v>883</v>
      </c>
      <c r="G65">
        <v>8.3500000000000005E-2</v>
      </c>
      <c r="J65" t="s">
        <v>802</v>
      </c>
      <c r="K65" s="272">
        <f>J57</f>
        <v>1.7083000000000002</v>
      </c>
    </row>
    <row r="66" spans="3:11" x14ac:dyDescent="0.3">
      <c r="C66" t="s">
        <v>876</v>
      </c>
      <c r="E66" t="s">
        <v>22</v>
      </c>
      <c r="F66" t="s">
        <v>882</v>
      </c>
      <c r="G66">
        <v>0.14610000000000001</v>
      </c>
      <c r="J66" t="s">
        <v>43</v>
      </c>
      <c r="K66" s="272">
        <f>J59</f>
        <v>9.0356999999999985</v>
      </c>
    </row>
    <row r="67" spans="3:11" x14ac:dyDescent="0.3">
      <c r="C67" t="s">
        <v>876</v>
      </c>
      <c r="E67" t="s">
        <v>22</v>
      </c>
      <c r="F67" t="s">
        <v>881</v>
      </c>
      <c r="G67">
        <v>6.2600000000000003E-2</v>
      </c>
    </row>
    <row r="68" spans="3:11" x14ac:dyDescent="0.3">
      <c r="C68" t="s">
        <v>876</v>
      </c>
      <c r="E68" t="s">
        <v>22</v>
      </c>
      <c r="F68" t="s">
        <v>880</v>
      </c>
      <c r="G68">
        <v>4.1700000000000001E-2</v>
      </c>
    </row>
    <row r="69" spans="3:11" x14ac:dyDescent="0.3">
      <c r="C69" t="s">
        <v>876</v>
      </c>
      <c r="E69" t="s">
        <v>505</v>
      </c>
      <c r="F69" t="s">
        <v>887</v>
      </c>
      <c r="G69">
        <v>8.9999999999999993E-3</v>
      </c>
    </row>
    <row r="70" spans="3:11" x14ac:dyDescent="0.3">
      <c r="C70" t="s">
        <v>876</v>
      </c>
      <c r="E70" t="s">
        <v>505</v>
      </c>
      <c r="F70" t="s">
        <v>886</v>
      </c>
      <c r="G70">
        <v>1.0999999999999999E-2</v>
      </c>
    </row>
    <row r="71" spans="3:11" x14ac:dyDescent="0.3">
      <c r="C71" t="s">
        <v>876</v>
      </c>
      <c r="E71" t="s">
        <v>505</v>
      </c>
      <c r="F71" t="s">
        <v>885</v>
      </c>
      <c r="G71">
        <v>4.0000000000000001E-3</v>
      </c>
    </row>
    <row r="72" spans="3:11" x14ac:dyDescent="0.3">
      <c r="C72" t="s">
        <v>876</v>
      </c>
      <c r="E72" t="s">
        <v>505</v>
      </c>
      <c r="F72" t="s">
        <v>884</v>
      </c>
      <c r="G72">
        <v>3.3E-3</v>
      </c>
    </row>
    <row r="73" spans="3:11" x14ac:dyDescent="0.3">
      <c r="C73" t="s">
        <v>876</v>
      </c>
      <c r="E73" t="s">
        <v>505</v>
      </c>
      <c r="F73" t="s">
        <v>883</v>
      </c>
      <c r="G73">
        <v>1.6999999999999999E-3</v>
      </c>
    </row>
    <row r="74" spans="3:11" x14ac:dyDescent="0.3">
      <c r="C74" t="s">
        <v>876</v>
      </c>
      <c r="E74" t="s">
        <v>505</v>
      </c>
      <c r="F74" t="s">
        <v>882</v>
      </c>
      <c r="G74">
        <v>2.8999999999999998E-3</v>
      </c>
    </row>
    <row r="75" spans="3:11" x14ac:dyDescent="0.3">
      <c r="C75" t="s">
        <v>876</v>
      </c>
      <c r="E75" t="s">
        <v>505</v>
      </c>
      <c r="F75" t="s">
        <v>881</v>
      </c>
      <c r="G75">
        <v>1.1999999999999999E-3</v>
      </c>
    </row>
    <row r="76" spans="3:11" x14ac:dyDescent="0.3">
      <c r="C76" t="s">
        <v>876</v>
      </c>
      <c r="E76" t="s">
        <v>505</v>
      </c>
      <c r="F76" t="s">
        <v>880</v>
      </c>
      <c r="G76">
        <v>8.0000000000000004E-4</v>
      </c>
    </row>
    <row r="77" spans="3:11" x14ac:dyDescent="0.3">
      <c r="C77" t="s">
        <v>876</v>
      </c>
      <c r="E77" t="s">
        <v>29</v>
      </c>
      <c r="F77" t="s">
        <v>887</v>
      </c>
      <c r="G77">
        <v>2.3948999999999998</v>
      </c>
    </row>
    <row r="78" spans="3:11" x14ac:dyDescent="0.3">
      <c r="C78" t="s">
        <v>876</v>
      </c>
      <c r="E78" t="s">
        <v>29</v>
      </c>
      <c r="F78" t="s">
        <v>886</v>
      </c>
      <c r="G78">
        <v>2.9270999999999998</v>
      </c>
    </row>
    <row r="79" spans="3:11" x14ac:dyDescent="0.3">
      <c r="C79" t="s">
        <v>876</v>
      </c>
      <c r="E79" t="s">
        <v>29</v>
      </c>
      <c r="F79" t="s">
        <v>885</v>
      </c>
      <c r="G79">
        <v>1.0644</v>
      </c>
    </row>
    <row r="80" spans="3:11" x14ac:dyDescent="0.3">
      <c r="C80" t="s">
        <v>876</v>
      </c>
      <c r="E80" t="s">
        <v>29</v>
      </c>
      <c r="F80" t="s">
        <v>884</v>
      </c>
      <c r="G80">
        <v>0.8831</v>
      </c>
    </row>
    <row r="81" spans="3:7" x14ac:dyDescent="0.3">
      <c r="C81" t="s">
        <v>876</v>
      </c>
      <c r="E81" t="s">
        <v>29</v>
      </c>
      <c r="F81" t="s">
        <v>883</v>
      </c>
      <c r="G81">
        <v>0.44159999999999999</v>
      </c>
    </row>
    <row r="82" spans="3:7" x14ac:dyDescent="0.3">
      <c r="C82" t="s">
        <v>876</v>
      </c>
      <c r="E82" t="s">
        <v>29</v>
      </c>
      <c r="F82" t="s">
        <v>882</v>
      </c>
      <c r="G82">
        <v>0.77270000000000005</v>
      </c>
    </row>
    <row r="83" spans="3:7" x14ac:dyDescent="0.3">
      <c r="C83" t="s">
        <v>876</v>
      </c>
      <c r="E83" t="s">
        <v>29</v>
      </c>
      <c r="F83" t="s">
        <v>881</v>
      </c>
      <c r="G83">
        <v>0.33110000000000001</v>
      </c>
    </row>
    <row r="84" spans="3:7" x14ac:dyDescent="0.3">
      <c r="C84" t="s">
        <v>876</v>
      </c>
      <c r="E84" t="s">
        <v>29</v>
      </c>
      <c r="F84" t="s">
        <v>880</v>
      </c>
      <c r="G84">
        <v>0.2208</v>
      </c>
    </row>
    <row r="85" spans="3:7" x14ac:dyDescent="0.3">
      <c r="C85" t="s">
        <v>875</v>
      </c>
      <c r="E85" t="s">
        <v>27</v>
      </c>
      <c r="F85" t="s">
        <v>887</v>
      </c>
      <c r="G85">
        <v>1.2616000000000001</v>
      </c>
    </row>
    <row r="86" spans="3:7" x14ac:dyDescent="0.3">
      <c r="C86" t="s">
        <v>875</v>
      </c>
      <c r="E86" t="s">
        <v>27</v>
      </c>
      <c r="F86" t="s">
        <v>886</v>
      </c>
      <c r="G86">
        <v>1.542</v>
      </c>
    </row>
    <row r="87" spans="3:7" x14ac:dyDescent="0.3">
      <c r="C87" t="s">
        <v>875</v>
      </c>
      <c r="E87" t="s">
        <v>27</v>
      </c>
      <c r="F87" t="s">
        <v>885</v>
      </c>
      <c r="G87">
        <v>0.56069999999999998</v>
      </c>
    </row>
    <row r="88" spans="3:7" x14ac:dyDescent="0.3">
      <c r="C88" t="s">
        <v>875</v>
      </c>
      <c r="E88" t="s">
        <v>27</v>
      </c>
      <c r="F88" t="s">
        <v>884</v>
      </c>
      <c r="G88">
        <v>0.4652</v>
      </c>
    </row>
    <row r="89" spans="3:7" x14ac:dyDescent="0.3">
      <c r="C89" t="s">
        <v>875</v>
      </c>
      <c r="E89" t="s">
        <v>27</v>
      </c>
      <c r="F89" t="s">
        <v>883</v>
      </c>
      <c r="G89">
        <v>0.2326</v>
      </c>
    </row>
    <row r="90" spans="3:7" x14ac:dyDescent="0.3">
      <c r="C90" t="s">
        <v>875</v>
      </c>
      <c r="E90" t="s">
        <v>27</v>
      </c>
      <c r="F90" t="s">
        <v>882</v>
      </c>
      <c r="G90">
        <v>0.40699999999999997</v>
      </c>
    </row>
    <row r="91" spans="3:7" x14ac:dyDescent="0.3">
      <c r="C91" t="s">
        <v>875</v>
      </c>
      <c r="E91" t="s">
        <v>27</v>
      </c>
      <c r="F91" t="s">
        <v>881</v>
      </c>
      <c r="G91">
        <v>0.1744</v>
      </c>
    </row>
    <row r="92" spans="3:7" x14ac:dyDescent="0.3">
      <c r="C92" t="s">
        <v>875</v>
      </c>
      <c r="E92" t="s">
        <v>27</v>
      </c>
      <c r="F92" t="s">
        <v>880</v>
      </c>
      <c r="G92">
        <v>0.1163</v>
      </c>
    </row>
    <row r="93" spans="3:7" x14ac:dyDescent="0.3">
      <c r="C93" t="s">
        <v>875</v>
      </c>
      <c r="E93" t="s">
        <v>31</v>
      </c>
      <c r="F93" t="s">
        <v>151</v>
      </c>
      <c r="G93">
        <v>0.68</v>
      </c>
    </row>
    <row r="97" spans="2:12" x14ac:dyDescent="0.3">
      <c r="B97" s="67" t="s">
        <v>392</v>
      </c>
    </row>
    <row r="98" spans="2:12" x14ac:dyDescent="0.3">
      <c r="C98" t="s">
        <v>50</v>
      </c>
    </row>
    <row r="99" spans="2:12" x14ac:dyDescent="0.3">
      <c r="C99" t="s">
        <v>876</v>
      </c>
      <c r="E99" t="s">
        <v>22</v>
      </c>
      <c r="F99">
        <v>0.67369999999999997</v>
      </c>
    </row>
    <row r="100" spans="2:12" x14ac:dyDescent="0.3">
      <c r="C100" t="s">
        <v>876</v>
      </c>
      <c r="E100" t="s">
        <v>22</v>
      </c>
      <c r="F100">
        <v>0.82340000000000002</v>
      </c>
      <c r="J100" t="s">
        <v>876</v>
      </c>
      <c r="L100" t="s">
        <v>875</v>
      </c>
    </row>
    <row r="101" spans="2:12" x14ac:dyDescent="0.3">
      <c r="C101" t="s">
        <v>876</v>
      </c>
      <c r="E101" t="s">
        <v>22</v>
      </c>
      <c r="F101">
        <v>0.2994</v>
      </c>
    </row>
    <row r="102" spans="2:12" x14ac:dyDescent="0.3">
      <c r="C102" t="s">
        <v>876</v>
      </c>
      <c r="E102" t="s">
        <v>22</v>
      </c>
      <c r="F102">
        <v>0.24840000000000001</v>
      </c>
      <c r="I102" t="s">
        <v>23</v>
      </c>
      <c r="J102" s="272">
        <f t="shared" ref="J102:J108" si="7">SUMIFS($F$99:$F$115,$C$99:$C$115,J$54,$E$99:$E$115,$I102)</f>
        <v>0</v>
      </c>
      <c r="K102" s="272"/>
      <c r="L102" s="272">
        <f t="shared" ref="L102:L108" si="8">SUMIFS($F$99:$F$115,$C$99:$C$115,L$54,$E$99:$E$115,$I102)</f>
        <v>0</v>
      </c>
    </row>
    <row r="103" spans="2:12" x14ac:dyDescent="0.3">
      <c r="C103" t="s">
        <v>876</v>
      </c>
      <c r="E103" t="s">
        <v>22</v>
      </c>
      <c r="F103">
        <v>0.1242</v>
      </c>
      <c r="I103" t="s">
        <v>22</v>
      </c>
      <c r="J103" s="272">
        <f t="shared" si="7"/>
        <v>2.5417000000000005</v>
      </c>
      <c r="K103" s="272"/>
      <c r="L103" s="272">
        <f t="shared" si="8"/>
        <v>0</v>
      </c>
    </row>
    <row r="104" spans="2:12" x14ac:dyDescent="0.3">
      <c r="C104" t="s">
        <v>876</v>
      </c>
      <c r="E104" t="s">
        <v>22</v>
      </c>
      <c r="F104">
        <v>0.21740000000000001</v>
      </c>
      <c r="I104" t="s">
        <v>505</v>
      </c>
      <c r="J104" s="272">
        <f t="shared" si="7"/>
        <v>0</v>
      </c>
      <c r="K104" s="272"/>
      <c r="L104" s="272">
        <f t="shared" si="8"/>
        <v>0</v>
      </c>
    </row>
    <row r="105" spans="2:12" x14ac:dyDescent="0.3">
      <c r="C105" t="s">
        <v>876</v>
      </c>
      <c r="E105" t="s">
        <v>22</v>
      </c>
      <c r="F105">
        <v>9.3100000000000002E-2</v>
      </c>
      <c r="I105" t="s">
        <v>29</v>
      </c>
      <c r="J105" s="272">
        <f t="shared" si="7"/>
        <v>0.86549999999999994</v>
      </c>
      <c r="K105" s="272"/>
      <c r="L105" s="272">
        <f t="shared" si="8"/>
        <v>0</v>
      </c>
    </row>
    <row r="106" spans="2:12" x14ac:dyDescent="0.3">
      <c r="C106" t="s">
        <v>876</v>
      </c>
      <c r="E106" t="s">
        <v>22</v>
      </c>
      <c r="F106">
        <v>6.2100000000000002E-2</v>
      </c>
      <c r="I106" t="s">
        <v>27</v>
      </c>
      <c r="J106" s="272">
        <f t="shared" si="7"/>
        <v>0</v>
      </c>
      <c r="K106" s="272"/>
      <c r="L106" s="272">
        <f t="shared" si="8"/>
        <v>0</v>
      </c>
    </row>
    <row r="107" spans="2:12" x14ac:dyDescent="0.3">
      <c r="C107" t="s">
        <v>876</v>
      </c>
      <c r="E107" t="s">
        <v>29</v>
      </c>
      <c r="F107">
        <v>0.22939999999999999</v>
      </c>
      <c r="I107" t="s">
        <v>31</v>
      </c>
      <c r="J107" s="272">
        <f t="shared" si="7"/>
        <v>0</v>
      </c>
      <c r="K107" s="272"/>
      <c r="L107" s="272">
        <f t="shared" si="8"/>
        <v>0</v>
      </c>
    </row>
    <row r="108" spans="2:12" x14ac:dyDescent="0.3">
      <c r="C108" t="s">
        <v>876</v>
      </c>
      <c r="E108" t="s">
        <v>29</v>
      </c>
      <c r="F108">
        <v>0.28039999999999998</v>
      </c>
      <c r="I108" t="s">
        <v>30</v>
      </c>
      <c r="J108" s="272">
        <f t="shared" si="7"/>
        <v>0</v>
      </c>
      <c r="L108" s="272">
        <f t="shared" si="8"/>
        <v>0.33410000000000001</v>
      </c>
    </row>
    <row r="109" spans="2:12" x14ac:dyDescent="0.3">
      <c r="C109" t="s">
        <v>876</v>
      </c>
      <c r="E109" t="s">
        <v>29</v>
      </c>
      <c r="F109">
        <v>0.10199999999999999</v>
      </c>
    </row>
    <row r="110" spans="2:12" x14ac:dyDescent="0.3">
      <c r="C110" t="s">
        <v>876</v>
      </c>
      <c r="E110" t="s">
        <v>29</v>
      </c>
      <c r="F110">
        <v>8.4599999999999995E-2</v>
      </c>
    </row>
    <row r="111" spans="2:12" x14ac:dyDescent="0.3">
      <c r="C111" t="s">
        <v>876</v>
      </c>
      <c r="E111" t="s">
        <v>29</v>
      </c>
      <c r="F111">
        <v>4.2299999999999997E-2</v>
      </c>
    </row>
    <row r="112" spans="2:12" x14ac:dyDescent="0.3">
      <c r="C112" t="s">
        <v>876</v>
      </c>
      <c r="E112" t="s">
        <v>29</v>
      </c>
      <c r="F112">
        <v>7.3999999999999996E-2</v>
      </c>
    </row>
    <row r="113" spans="2:12" x14ac:dyDescent="0.3">
      <c r="C113" t="s">
        <v>876</v>
      </c>
      <c r="E113" t="s">
        <v>29</v>
      </c>
      <c r="F113">
        <v>3.1699999999999999E-2</v>
      </c>
    </row>
    <row r="114" spans="2:12" x14ac:dyDescent="0.3">
      <c r="C114" t="s">
        <v>876</v>
      </c>
      <c r="E114" t="s">
        <v>29</v>
      </c>
      <c r="F114">
        <v>2.1100000000000001E-2</v>
      </c>
    </row>
    <row r="115" spans="2:12" x14ac:dyDescent="0.3">
      <c r="C115" t="s">
        <v>875</v>
      </c>
      <c r="E115" t="s">
        <v>30</v>
      </c>
      <c r="F115">
        <v>0.33410000000000001</v>
      </c>
    </row>
    <row r="118" spans="2:12" x14ac:dyDescent="0.3">
      <c r="B118" s="67" t="s">
        <v>540</v>
      </c>
    </row>
    <row r="119" spans="2:12" x14ac:dyDescent="0.3">
      <c r="C119" t="s">
        <v>60</v>
      </c>
    </row>
    <row r="121" spans="2:12" x14ac:dyDescent="0.3">
      <c r="C121" t="s">
        <v>876</v>
      </c>
      <c r="E121" t="s">
        <v>22</v>
      </c>
      <c r="F121">
        <v>0.64970000000000006</v>
      </c>
      <c r="J121" t="s">
        <v>876</v>
      </c>
      <c r="L121" t="s">
        <v>875</v>
      </c>
    </row>
    <row r="122" spans="2:12" x14ac:dyDescent="0.3">
      <c r="C122" t="s">
        <v>876</v>
      </c>
      <c r="E122" t="s">
        <v>22</v>
      </c>
      <c r="F122">
        <v>0.79410000000000003</v>
      </c>
    </row>
    <row r="123" spans="2:12" x14ac:dyDescent="0.3">
      <c r="C123" t="s">
        <v>876</v>
      </c>
      <c r="E123" t="s">
        <v>22</v>
      </c>
      <c r="F123">
        <v>0.2888</v>
      </c>
      <c r="I123" t="s">
        <v>23</v>
      </c>
      <c r="J123" s="272">
        <f t="shared" ref="J123:J130" si="9">SUMIFS($F$121:$F$153,$C$121:$C$153,J$54,$E$121:$E$153,$I123)</f>
        <v>0</v>
      </c>
      <c r="K123" s="272"/>
      <c r="L123" s="272">
        <f t="shared" ref="L123:L130" si="10">SUMIFS($F$121:$F$153,$C$121:$C$153,L$54,$E$121:$E$153,$I123)</f>
        <v>0</v>
      </c>
    </row>
    <row r="124" spans="2:12" x14ac:dyDescent="0.3">
      <c r="C124" t="s">
        <v>876</v>
      </c>
      <c r="E124" t="s">
        <v>22</v>
      </c>
      <c r="F124">
        <v>0.23960000000000001</v>
      </c>
      <c r="I124" t="s">
        <v>22</v>
      </c>
      <c r="J124" s="272">
        <f t="shared" si="9"/>
        <v>2.4512999999999998</v>
      </c>
      <c r="K124" s="272"/>
      <c r="L124" s="272">
        <f t="shared" si="10"/>
        <v>0</v>
      </c>
    </row>
    <row r="125" spans="2:12" x14ac:dyDescent="0.3">
      <c r="C125" t="s">
        <v>876</v>
      </c>
      <c r="E125" t="s">
        <v>22</v>
      </c>
      <c r="F125">
        <v>0.1198</v>
      </c>
      <c r="I125" t="s">
        <v>505</v>
      </c>
      <c r="J125" s="272">
        <f t="shared" si="9"/>
        <v>0.10009999999999999</v>
      </c>
      <c r="K125" s="272"/>
      <c r="L125" s="272">
        <f t="shared" si="10"/>
        <v>0</v>
      </c>
    </row>
    <row r="126" spans="2:12" x14ac:dyDescent="0.3">
      <c r="C126" t="s">
        <v>876</v>
      </c>
      <c r="E126" t="s">
        <v>22</v>
      </c>
      <c r="F126">
        <v>0.20960000000000001</v>
      </c>
      <c r="I126" t="s">
        <v>29</v>
      </c>
      <c r="J126" s="272">
        <f t="shared" si="9"/>
        <v>13.5695</v>
      </c>
      <c r="K126" s="272"/>
      <c r="L126" s="272">
        <f t="shared" si="10"/>
        <v>0</v>
      </c>
    </row>
    <row r="127" spans="2:12" x14ac:dyDescent="0.3">
      <c r="C127" t="s">
        <v>876</v>
      </c>
      <c r="E127" t="s">
        <v>22</v>
      </c>
      <c r="F127">
        <v>8.9800000000000005E-2</v>
      </c>
      <c r="I127" t="s">
        <v>27</v>
      </c>
      <c r="J127" s="272">
        <f t="shared" si="9"/>
        <v>0</v>
      </c>
      <c r="K127" s="272"/>
      <c r="L127" s="272">
        <f t="shared" si="10"/>
        <v>0</v>
      </c>
    </row>
    <row r="128" spans="2:12" x14ac:dyDescent="0.3">
      <c r="C128" t="s">
        <v>876</v>
      </c>
      <c r="E128" t="s">
        <v>22</v>
      </c>
      <c r="F128">
        <v>5.9900000000000002E-2</v>
      </c>
      <c r="I128" t="s">
        <v>31</v>
      </c>
      <c r="J128" s="272">
        <f t="shared" si="9"/>
        <v>0</v>
      </c>
      <c r="K128" s="272"/>
      <c r="L128" s="272">
        <f t="shared" si="10"/>
        <v>0</v>
      </c>
    </row>
    <row r="129" spans="3:12" x14ac:dyDescent="0.3">
      <c r="C129" t="s">
        <v>876</v>
      </c>
      <c r="E129" t="s">
        <v>505</v>
      </c>
      <c r="F129">
        <v>2.6499999999999999E-2</v>
      </c>
      <c r="I129" t="s">
        <v>30</v>
      </c>
      <c r="J129" s="272">
        <f t="shared" si="9"/>
        <v>2.2028999999999996</v>
      </c>
      <c r="L129" s="272">
        <f t="shared" si="10"/>
        <v>0</v>
      </c>
    </row>
    <row r="130" spans="3:12" x14ac:dyDescent="0.3">
      <c r="C130" t="s">
        <v>876</v>
      </c>
      <c r="E130" t="s">
        <v>505</v>
      </c>
      <c r="F130">
        <v>3.2399999999999998E-2</v>
      </c>
      <c r="I130" t="s">
        <v>32</v>
      </c>
      <c r="J130" s="272">
        <f t="shared" si="9"/>
        <v>0</v>
      </c>
      <c r="L130" s="272">
        <f t="shared" si="10"/>
        <v>2.0026000000000002</v>
      </c>
    </row>
    <row r="131" spans="3:12" x14ac:dyDescent="0.3">
      <c r="C131" t="s">
        <v>876</v>
      </c>
      <c r="E131" t="s">
        <v>505</v>
      </c>
      <c r="F131">
        <v>1.18E-2</v>
      </c>
    </row>
    <row r="132" spans="3:12" x14ac:dyDescent="0.3">
      <c r="C132" t="s">
        <v>876</v>
      </c>
      <c r="E132" t="s">
        <v>505</v>
      </c>
      <c r="F132">
        <v>9.7999999999999997E-3</v>
      </c>
    </row>
    <row r="133" spans="3:12" x14ac:dyDescent="0.3">
      <c r="C133" t="s">
        <v>876</v>
      </c>
      <c r="E133" t="s">
        <v>505</v>
      </c>
      <c r="F133">
        <v>4.8999999999999998E-3</v>
      </c>
    </row>
    <row r="134" spans="3:12" x14ac:dyDescent="0.3">
      <c r="C134" t="s">
        <v>876</v>
      </c>
      <c r="E134" t="s">
        <v>505</v>
      </c>
      <c r="F134">
        <v>8.6E-3</v>
      </c>
    </row>
    <row r="135" spans="3:12" x14ac:dyDescent="0.3">
      <c r="C135" t="s">
        <v>876</v>
      </c>
      <c r="E135" t="s">
        <v>505</v>
      </c>
      <c r="F135">
        <v>3.7000000000000002E-3</v>
      </c>
    </row>
    <row r="136" spans="3:12" x14ac:dyDescent="0.3">
      <c r="C136" t="s">
        <v>876</v>
      </c>
      <c r="E136" t="s">
        <v>505</v>
      </c>
      <c r="F136">
        <v>2.3999999999999998E-3</v>
      </c>
    </row>
    <row r="137" spans="3:12" x14ac:dyDescent="0.3">
      <c r="C137" t="s">
        <v>876</v>
      </c>
      <c r="E137" t="s">
        <v>30</v>
      </c>
      <c r="F137">
        <v>0.58389999999999997</v>
      </c>
    </row>
    <row r="138" spans="3:12" x14ac:dyDescent="0.3">
      <c r="C138" t="s">
        <v>876</v>
      </c>
      <c r="E138" t="s">
        <v>30</v>
      </c>
      <c r="F138">
        <v>0.71360000000000001</v>
      </c>
    </row>
    <row r="139" spans="3:12" x14ac:dyDescent="0.3">
      <c r="C139" t="s">
        <v>876</v>
      </c>
      <c r="E139" t="s">
        <v>30</v>
      </c>
      <c r="F139">
        <v>0.25950000000000001</v>
      </c>
    </row>
    <row r="140" spans="3:12" x14ac:dyDescent="0.3">
      <c r="C140" t="s">
        <v>876</v>
      </c>
      <c r="E140" t="s">
        <v>30</v>
      </c>
      <c r="F140">
        <v>0.21529999999999999</v>
      </c>
    </row>
    <row r="141" spans="3:12" x14ac:dyDescent="0.3">
      <c r="C141" t="s">
        <v>876</v>
      </c>
      <c r="E141" t="s">
        <v>30</v>
      </c>
      <c r="F141">
        <v>0.1077</v>
      </c>
    </row>
    <row r="142" spans="3:12" x14ac:dyDescent="0.3">
      <c r="C142" t="s">
        <v>876</v>
      </c>
      <c r="E142" t="s">
        <v>30</v>
      </c>
      <c r="F142">
        <v>0.18840000000000001</v>
      </c>
    </row>
    <row r="143" spans="3:12" x14ac:dyDescent="0.3">
      <c r="C143" t="s">
        <v>876</v>
      </c>
      <c r="E143" t="s">
        <v>30</v>
      </c>
      <c r="F143">
        <v>8.0699999999999994E-2</v>
      </c>
    </row>
    <row r="144" spans="3:12" x14ac:dyDescent="0.3">
      <c r="C144" t="s">
        <v>876</v>
      </c>
      <c r="E144" t="s">
        <v>30</v>
      </c>
      <c r="F144">
        <v>5.3800000000000001E-2</v>
      </c>
    </row>
    <row r="145" spans="2:11" x14ac:dyDescent="0.3">
      <c r="C145" t="s">
        <v>876</v>
      </c>
      <c r="E145" t="s">
        <v>29</v>
      </c>
      <c r="F145">
        <v>3.5966</v>
      </c>
    </row>
    <row r="146" spans="2:11" x14ac:dyDescent="0.3">
      <c r="C146" t="s">
        <v>876</v>
      </c>
      <c r="E146" t="s">
        <v>29</v>
      </c>
      <c r="F146">
        <v>4.3958000000000004</v>
      </c>
    </row>
    <row r="147" spans="2:11" x14ac:dyDescent="0.3">
      <c r="C147" t="s">
        <v>876</v>
      </c>
      <c r="E147" t="s">
        <v>29</v>
      </c>
      <c r="F147">
        <v>1.5985</v>
      </c>
    </row>
    <row r="148" spans="2:11" x14ac:dyDescent="0.3">
      <c r="C148" t="s">
        <v>876</v>
      </c>
      <c r="E148" t="s">
        <v>29</v>
      </c>
      <c r="F148">
        <v>1.3262</v>
      </c>
    </row>
    <row r="149" spans="2:11" x14ac:dyDescent="0.3">
      <c r="C149" t="s">
        <v>876</v>
      </c>
      <c r="E149" t="s">
        <v>29</v>
      </c>
      <c r="F149">
        <v>0.66310000000000002</v>
      </c>
    </row>
    <row r="150" spans="2:11" x14ac:dyDescent="0.3">
      <c r="C150" t="s">
        <v>876</v>
      </c>
      <c r="E150" t="s">
        <v>29</v>
      </c>
      <c r="F150">
        <v>1.1604000000000001</v>
      </c>
    </row>
    <row r="151" spans="2:11" x14ac:dyDescent="0.3">
      <c r="C151" t="s">
        <v>876</v>
      </c>
      <c r="E151" t="s">
        <v>29</v>
      </c>
      <c r="F151">
        <v>0.49730000000000002</v>
      </c>
    </row>
    <row r="152" spans="2:11" x14ac:dyDescent="0.3">
      <c r="C152" t="s">
        <v>876</v>
      </c>
      <c r="E152" t="s">
        <v>29</v>
      </c>
      <c r="F152">
        <v>0.33160000000000001</v>
      </c>
    </row>
    <row r="153" spans="2:11" x14ac:dyDescent="0.3">
      <c r="C153" t="s">
        <v>875</v>
      </c>
      <c r="E153" t="s">
        <v>32</v>
      </c>
      <c r="F153">
        <v>2.0026000000000002</v>
      </c>
    </row>
    <row r="156" spans="2:11" x14ac:dyDescent="0.3">
      <c r="B156" s="67" t="s">
        <v>528</v>
      </c>
    </row>
    <row r="158" spans="2:11" x14ac:dyDescent="0.3">
      <c r="G158" t="s">
        <v>876</v>
      </c>
    </row>
    <row r="159" spans="2:11" x14ac:dyDescent="0.3">
      <c r="G159" t="s">
        <v>24</v>
      </c>
      <c r="H159" t="s">
        <v>27</v>
      </c>
      <c r="I159" t="s">
        <v>23</v>
      </c>
      <c r="J159" t="s">
        <v>25</v>
      </c>
    </row>
    <row r="160" spans="2:11" x14ac:dyDescent="0.3">
      <c r="G160" t="s">
        <v>38</v>
      </c>
      <c r="H160" t="s">
        <v>41</v>
      </c>
      <c r="I160" t="s">
        <v>37</v>
      </c>
      <c r="J160" t="s">
        <v>39</v>
      </c>
      <c r="K160" t="s">
        <v>40</v>
      </c>
    </row>
    <row r="161" spans="3:11" x14ac:dyDescent="0.3">
      <c r="C161" t="s">
        <v>68</v>
      </c>
      <c r="E161" t="s">
        <v>879</v>
      </c>
      <c r="G161" s="476">
        <f t="shared" ref="G161:J164" si="11">SUMIFS($H$176:$H$183,$E$176:$E$183,$C161,$G$176:$G$183,G$159,$C$176:$C$183,$G$158)</f>
        <v>0</v>
      </c>
      <c r="H161" s="476">
        <f t="shared" si="11"/>
        <v>18.307700000000001</v>
      </c>
      <c r="I161" s="476">
        <f t="shared" si="11"/>
        <v>0</v>
      </c>
      <c r="J161" s="476">
        <f t="shared" si="11"/>
        <v>0</v>
      </c>
    </row>
    <row r="162" spans="3:11" x14ac:dyDescent="0.3">
      <c r="C162" t="s">
        <v>64</v>
      </c>
      <c r="E162" t="s">
        <v>37</v>
      </c>
      <c r="G162" s="476">
        <f t="shared" si="11"/>
        <v>0</v>
      </c>
      <c r="H162" s="476">
        <f t="shared" si="11"/>
        <v>0</v>
      </c>
      <c r="I162" s="476">
        <f t="shared" si="11"/>
        <v>47.076900000000002</v>
      </c>
      <c r="J162" s="476">
        <f t="shared" si="11"/>
        <v>0</v>
      </c>
    </row>
    <row r="163" spans="3:11" x14ac:dyDescent="0.3">
      <c r="C163" t="s">
        <v>66</v>
      </c>
      <c r="E163" t="s">
        <v>39</v>
      </c>
      <c r="G163" s="476">
        <f t="shared" si="11"/>
        <v>0</v>
      </c>
      <c r="H163" s="476">
        <f t="shared" si="11"/>
        <v>0</v>
      </c>
      <c r="I163" s="476">
        <f t="shared" si="11"/>
        <v>0</v>
      </c>
      <c r="J163" s="476">
        <f t="shared" si="11"/>
        <v>1.3813</v>
      </c>
    </row>
    <row r="164" spans="3:11" x14ac:dyDescent="0.3">
      <c r="C164" t="s">
        <v>70</v>
      </c>
      <c r="E164" t="s">
        <v>38</v>
      </c>
      <c r="G164" s="476">
        <f t="shared" si="11"/>
        <v>1.1763999999999999</v>
      </c>
      <c r="H164" s="476">
        <f t="shared" si="11"/>
        <v>0</v>
      </c>
      <c r="I164" s="476">
        <f t="shared" si="11"/>
        <v>0</v>
      </c>
      <c r="J164" s="476">
        <f t="shared" si="11"/>
        <v>0</v>
      </c>
    </row>
    <row r="165" spans="3:11" x14ac:dyDescent="0.3">
      <c r="C165" t="s">
        <v>72</v>
      </c>
      <c r="E165" t="s">
        <v>40</v>
      </c>
      <c r="K165">
        <f>H184</f>
        <v>4.5</v>
      </c>
    </row>
    <row r="166" spans="3:11" x14ac:dyDescent="0.3">
      <c r="G166" s="475">
        <f>SUM(G161:G165)</f>
        <v>1.1763999999999999</v>
      </c>
      <c r="H166" s="475">
        <f>SUM(H161:H165)</f>
        <v>18.307700000000001</v>
      </c>
      <c r="I166" s="475">
        <f>SUM(I161:I165)</f>
        <v>47.076900000000002</v>
      </c>
      <c r="J166" s="475">
        <f>SUM(J161:J165)</f>
        <v>1.3813</v>
      </c>
      <c r="K166" s="475">
        <f>SUM(K161:K165)</f>
        <v>4.5</v>
      </c>
    </row>
    <row r="167" spans="3:11" x14ac:dyDescent="0.3">
      <c r="G167" s="475"/>
      <c r="H167" s="475"/>
      <c r="I167" s="475"/>
      <c r="J167" s="475"/>
    </row>
    <row r="168" spans="3:11" x14ac:dyDescent="0.3">
      <c r="C168" t="s">
        <v>878</v>
      </c>
      <c r="E168" t="s">
        <v>70</v>
      </c>
      <c r="H168">
        <v>0.81179999999999997</v>
      </c>
    </row>
    <row r="169" spans="3:11" x14ac:dyDescent="0.3">
      <c r="C169" t="s">
        <v>878</v>
      </c>
      <c r="E169" t="s">
        <v>68</v>
      </c>
      <c r="H169">
        <v>11.9</v>
      </c>
    </row>
    <row r="170" spans="3:11" x14ac:dyDescent="0.3">
      <c r="C170" t="s">
        <v>878</v>
      </c>
      <c r="E170" t="s">
        <v>64</v>
      </c>
      <c r="H170">
        <v>30.6</v>
      </c>
    </row>
    <row r="171" spans="3:11" x14ac:dyDescent="0.3">
      <c r="C171" t="s">
        <v>878</v>
      </c>
      <c r="E171" t="s">
        <v>66</v>
      </c>
      <c r="H171">
        <v>1.105</v>
      </c>
    </row>
    <row r="172" spans="3:11" x14ac:dyDescent="0.3">
      <c r="C172" t="s">
        <v>877</v>
      </c>
      <c r="E172" t="s">
        <v>70</v>
      </c>
      <c r="H172">
        <v>0.95499999999999996</v>
      </c>
    </row>
    <row r="173" spans="3:11" x14ac:dyDescent="0.3">
      <c r="C173" t="s">
        <v>877</v>
      </c>
      <c r="E173" t="s">
        <v>68</v>
      </c>
      <c r="H173">
        <v>14</v>
      </c>
    </row>
    <row r="174" spans="3:11" x14ac:dyDescent="0.3">
      <c r="C174" t="s">
        <v>877</v>
      </c>
      <c r="E174" t="s">
        <v>64</v>
      </c>
      <c r="H174">
        <v>36</v>
      </c>
    </row>
    <row r="175" spans="3:11" x14ac:dyDescent="0.3">
      <c r="C175" t="s">
        <v>877</v>
      </c>
      <c r="E175" t="s">
        <v>66</v>
      </c>
      <c r="H175">
        <v>1.3</v>
      </c>
    </row>
    <row r="176" spans="3:11" x14ac:dyDescent="0.3">
      <c r="C176" t="s">
        <v>876</v>
      </c>
      <c r="E176" t="s">
        <v>70</v>
      </c>
      <c r="G176" t="s">
        <v>24</v>
      </c>
      <c r="H176">
        <v>1.1763999999999999</v>
      </c>
    </row>
    <row r="177" spans="3:8" x14ac:dyDescent="0.3">
      <c r="C177" t="s">
        <v>876</v>
      </c>
      <c r="E177" t="s">
        <v>68</v>
      </c>
      <c r="G177" t="s">
        <v>27</v>
      </c>
      <c r="H177">
        <v>18.307700000000001</v>
      </c>
    </row>
    <row r="178" spans="3:8" x14ac:dyDescent="0.3">
      <c r="C178" t="s">
        <v>876</v>
      </c>
      <c r="E178" t="s">
        <v>64</v>
      </c>
      <c r="G178" t="s">
        <v>23</v>
      </c>
      <c r="H178">
        <v>47.076900000000002</v>
      </c>
    </row>
    <row r="179" spans="3:8" x14ac:dyDescent="0.3">
      <c r="C179" t="s">
        <v>876</v>
      </c>
      <c r="E179" t="s">
        <v>66</v>
      </c>
      <c r="G179" t="s">
        <v>25</v>
      </c>
      <c r="H179">
        <v>1.3813</v>
      </c>
    </row>
    <row r="180" spans="3:8" x14ac:dyDescent="0.3">
      <c r="C180" t="s">
        <v>875</v>
      </c>
      <c r="E180" t="s">
        <v>70</v>
      </c>
      <c r="G180" t="s">
        <v>29</v>
      </c>
      <c r="H180">
        <v>0.81179999999999997</v>
      </c>
    </row>
    <row r="181" spans="3:8" x14ac:dyDescent="0.3">
      <c r="C181" t="s">
        <v>875</v>
      </c>
      <c r="E181" t="s">
        <v>68</v>
      </c>
      <c r="G181" t="s">
        <v>29</v>
      </c>
      <c r="H181">
        <v>11.9</v>
      </c>
    </row>
    <row r="182" spans="3:8" x14ac:dyDescent="0.3">
      <c r="C182" t="s">
        <v>875</v>
      </c>
      <c r="E182" t="s">
        <v>64</v>
      </c>
      <c r="G182" t="s">
        <v>29</v>
      </c>
      <c r="H182">
        <v>30.6</v>
      </c>
    </row>
    <row r="183" spans="3:8" x14ac:dyDescent="0.3">
      <c r="C183" t="s">
        <v>875</v>
      </c>
      <c r="E183" t="s">
        <v>66</v>
      </c>
      <c r="G183" t="s">
        <v>29</v>
      </c>
      <c r="H183">
        <v>1.105</v>
      </c>
    </row>
    <row r="184" spans="3:8" x14ac:dyDescent="0.3">
      <c r="C184" t="s">
        <v>876</v>
      </c>
      <c r="E184" t="s">
        <v>72</v>
      </c>
      <c r="G184" t="s">
        <v>26</v>
      </c>
      <c r="H184">
        <v>4.5</v>
      </c>
    </row>
    <row r="185" spans="3:8" x14ac:dyDescent="0.3">
      <c r="C185" t="s">
        <v>875</v>
      </c>
      <c r="E185" t="s">
        <v>72</v>
      </c>
      <c r="G185" t="s">
        <v>29</v>
      </c>
      <c r="H185">
        <v>3.6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topLeftCell="A52" zoomScale="90" zoomScaleNormal="90" workbookViewId="0">
      <selection activeCell="M90" sqref="M90"/>
    </sheetView>
  </sheetViews>
  <sheetFormatPr defaultColWidth="8.88671875" defaultRowHeight="14.4" x14ac:dyDescent="0.3"/>
  <cols>
    <col min="1" max="1" width="18.33203125" bestFit="1" customWidth="1"/>
    <col min="2" max="2" width="40.33203125" bestFit="1" customWidth="1"/>
    <col min="3" max="3" width="13.109375" bestFit="1" customWidth="1"/>
    <col min="4" max="4" width="14" bestFit="1" customWidth="1"/>
    <col min="5" max="6" width="15.109375" bestFit="1" customWidth="1"/>
    <col min="7" max="7" width="14" bestFit="1" customWidth="1"/>
    <col min="8" max="8" width="12.33203125" bestFit="1" customWidth="1"/>
    <col min="9" max="10" width="13" bestFit="1" customWidth="1"/>
    <col min="11" max="11" width="10" bestFit="1" customWidth="1"/>
    <col min="12" max="12" width="10.44140625" bestFit="1" customWidth="1"/>
    <col min="13" max="13" width="11.44140625" bestFit="1" customWidth="1"/>
    <col min="14" max="14" width="10" bestFit="1" customWidth="1"/>
    <col min="15" max="15" width="10.44140625" bestFit="1" customWidth="1"/>
    <col min="16" max="16" width="11.44140625" bestFit="1" customWidth="1"/>
    <col min="17" max="17" width="10" bestFit="1" customWidth="1"/>
    <col min="18" max="18" width="10.44140625" bestFit="1" customWidth="1"/>
    <col min="19" max="19" width="11.44140625" bestFit="1" customWidth="1"/>
    <col min="20" max="20" width="10" bestFit="1" customWidth="1"/>
    <col min="21" max="21" width="10.44140625" bestFit="1" customWidth="1"/>
    <col min="22" max="22" width="11.44140625" bestFit="1" customWidth="1"/>
    <col min="23" max="23" width="10" bestFit="1" customWidth="1"/>
    <col min="24" max="24" width="10.44140625" bestFit="1" customWidth="1"/>
    <col min="25" max="25" width="11.44140625" bestFit="1" customWidth="1"/>
    <col min="26" max="26" width="10" bestFit="1" customWidth="1"/>
    <col min="27" max="27" width="12" customWidth="1"/>
    <col min="28" max="28" width="18.109375" customWidth="1"/>
    <col min="29" max="30" width="12" customWidth="1"/>
    <col min="32" max="33" width="12" customWidth="1"/>
  </cols>
  <sheetData>
    <row r="1" spans="1:7" x14ac:dyDescent="0.3">
      <c r="A1" s="2" t="s">
        <v>874</v>
      </c>
    </row>
    <row r="2" spans="1:7" x14ac:dyDescent="0.3">
      <c r="A2" s="85" t="s">
        <v>873</v>
      </c>
      <c r="B2" s="85"/>
    </row>
    <row r="5" spans="1:7" x14ac:dyDescent="0.3">
      <c r="A5" s="452"/>
      <c r="B5" s="451"/>
      <c r="C5" s="451"/>
      <c r="D5" s="451"/>
      <c r="E5" s="451"/>
      <c r="F5" s="451"/>
      <c r="G5" s="450"/>
    </row>
    <row r="6" spans="1:7" x14ac:dyDescent="0.3">
      <c r="A6" s="470"/>
      <c r="B6" s="469"/>
      <c r="C6" s="469" t="s">
        <v>36</v>
      </c>
      <c r="D6" s="469" t="s">
        <v>36</v>
      </c>
      <c r="E6" s="469" t="s">
        <v>43</v>
      </c>
      <c r="F6" s="469" t="s">
        <v>606</v>
      </c>
      <c r="G6" s="473" t="s">
        <v>872</v>
      </c>
    </row>
    <row r="7" spans="1:7" x14ac:dyDescent="0.3">
      <c r="A7" s="470"/>
      <c r="B7" s="469"/>
      <c r="C7" s="469" t="s">
        <v>871</v>
      </c>
      <c r="D7" s="469" t="s">
        <v>608</v>
      </c>
      <c r="E7" s="469" t="s">
        <v>740</v>
      </c>
      <c r="F7" s="469"/>
      <c r="G7" s="473" t="s">
        <v>608</v>
      </c>
    </row>
    <row r="8" spans="1:7" x14ac:dyDescent="0.3">
      <c r="A8" s="470"/>
      <c r="B8" s="469"/>
      <c r="C8" s="469"/>
      <c r="D8" s="469"/>
      <c r="E8" s="469"/>
      <c r="F8" s="469"/>
      <c r="G8" s="473"/>
    </row>
    <row r="9" spans="1:7" x14ac:dyDescent="0.3">
      <c r="A9" s="464" t="s">
        <v>864</v>
      </c>
      <c r="B9" s="446" t="s">
        <v>863</v>
      </c>
      <c r="C9" s="446">
        <v>8.5</v>
      </c>
      <c r="D9" s="446">
        <f t="shared" ref="D9:D22" si="0">C9*0.0036</f>
        <v>3.0599999999999999E-2</v>
      </c>
      <c r="E9" s="446"/>
      <c r="F9" s="446"/>
      <c r="G9" s="448"/>
    </row>
    <row r="10" spans="1:7" x14ac:dyDescent="0.3">
      <c r="A10" s="447"/>
      <c r="B10" s="446" t="s">
        <v>862</v>
      </c>
      <c r="C10" s="446">
        <v>30.3</v>
      </c>
      <c r="D10" s="446">
        <f t="shared" si="0"/>
        <v>0.10908</v>
      </c>
      <c r="E10" s="446"/>
      <c r="F10" s="446"/>
      <c r="G10" s="448"/>
    </row>
    <row r="11" spans="1:7" x14ac:dyDescent="0.3">
      <c r="A11" s="464" t="s">
        <v>393</v>
      </c>
      <c r="B11" s="446" t="s">
        <v>861</v>
      </c>
      <c r="C11" s="446">
        <v>1650</v>
      </c>
      <c r="D11" s="446">
        <f t="shared" si="0"/>
        <v>5.9399999999999995</v>
      </c>
      <c r="E11" s="446"/>
      <c r="F11" s="446"/>
      <c r="G11" s="448"/>
    </row>
    <row r="12" spans="1:7" x14ac:dyDescent="0.3">
      <c r="A12" s="447"/>
      <c r="B12" s="466" t="s">
        <v>860</v>
      </c>
      <c r="C12" s="446">
        <v>1972</v>
      </c>
      <c r="D12" s="446">
        <f t="shared" si="0"/>
        <v>7.0991999999999997</v>
      </c>
      <c r="E12" s="466"/>
      <c r="F12" s="466"/>
      <c r="G12" s="448"/>
    </row>
    <row r="13" spans="1:7" x14ac:dyDescent="0.3">
      <c r="A13" s="447"/>
      <c r="B13" s="446" t="s">
        <v>859</v>
      </c>
      <c r="C13" s="446">
        <v>2041</v>
      </c>
      <c r="D13" s="446">
        <f t="shared" si="0"/>
        <v>7.3475999999999999</v>
      </c>
      <c r="E13" s="446">
        <v>0.9</v>
      </c>
      <c r="F13" s="446"/>
      <c r="G13" s="448"/>
    </row>
    <row r="14" spans="1:7" x14ac:dyDescent="0.3">
      <c r="A14" s="447"/>
      <c r="B14" s="446" t="s">
        <v>858</v>
      </c>
      <c r="C14" s="446"/>
      <c r="D14" s="446">
        <f t="shared" si="0"/>
        <v>0</v>
      </c>
      <c r="E14" s="446"/>
      <c r="F14" s="446"/>
      <c r="G14" s="448">
        <v>26.8</v>
      </c>
    </row>
    <row r="15" spans="1:7" x14ac:dyDescent="0.3">
      <c r="A15" s="447"/>
      <c r="B15" s="446" t="s">
        <v>503</v>
      </c>
      <c r="C15" s="446">
        <v>392</v>
      </c>
      <c r="D15" s="446">
        <f t="shared" si="0"/>
        <v>1.4112</v>
      </c>
      <c r="E15" s="446"/>
      <c r="F15" s="446"/>
      <c r="G15" s="448"/>
    </row>
    <row r="16" spans="1:7" x14ac:dyDescent="0.3">
      <c r="A16" s="447"/>
      <c r="B16" s="446" t="s">
        <v>857</v>
      </c>
      <c r="C16" s="446">
        <v>406</v>
      </c>
      <c r="D16" s="446">
        <f t="shared" si="0"/>
        <v>1.4616</v>
      </c>
      <c r="E16" s="446">
        <v>4.4000000000000004</v>
      </c>
      <c r="F16" s="446"/>
      <c r="G16" s="448"/>
    </row>
    <row r="17" spans="1:26" x14ac:dyDescent="0.3">
      <c r="A17" s="447"/>
      <c r="B17" s="446" t="s">
        <v>856</v>
      </c>
      <c r="C17" s="446">
        <v>572</v>
      </c>
      <c r="D17" s="446">
        <f t="shared" si="0"/>
        <v>2.0592000000000001</v>
      </c>
      <c r="E17" s="446">
        <v>4.2</v>
      </c>
      <c r="F17" s="446"/>
      <c r="G17" s="448"/>
    </row>
    <row r="18" spans="1:26" x14ac:dyDescent="0.3">
      <c r="A18" s="447"/>
      <c r="B18" s="446" t="s">
        <v>855</v>
      </c>
      <c r="C18" s="446">
        <v>505</v>
      </c>
      <c r="D18" s="446">
        <f t="shared" si="0"/>
        <v>1.8180000000000001</v>
      </c>
      <c r="E18" s="446">
        <v>5.3</v>
      </c>
      <c r="F18" s="446"/>
      <c r="G18" s="448"/>
    </row>
    <row r="19" spans="1:26" x14ac:dyDescent="0.3">
      <c r="A19" s="464" t="s">
        <v>854</v>
      </c>
      <c r="B19" s="446" t="s">
        <v>853</v>
      </c>
      <c r="C19" s="446">
        <v>25</v>
      </c>
      <c r="D19" s="446">
        <f t="shared" si="0"/>
        <v>0.09</v>
      </c>
      <c r="E19" s="446">
        <v>4.4000000000000004</v>
      </c>
      <c r="F19" s="446"/>
      <c r="G19" s="448"/>
    </row>
    <row r="20" spans="1:26" x14ac:dyDescent="0.3">
      <c r="A20" s="447"/>
      <c r="B20" s="446" t="s">
        <v>749</v>
      </c>
      <c r="C20" s="446">
        <v>58</v>
      </c>
      <c r="D20" s="446">
        <f t="shared" si="0"/>
        <v>0.20879999999999999</v>
      </c>
      <c r="E20" s="446"/>
      <c r="F20" s="446">
        <v>1.1000000000000001</v>
      </c>
      <c r="G20" s="448"/>
    </row>
    <row r="21" spans="1:26" x14ac:dyDescent="0.3">
      <c r="A21" s="447"/>
      <c r="B21" s="446" t="s">
        <v>852</v>
      </c>
      <c r="C21" s="446">
        <v>15</v>
      </c>
      <c r="D21" s="446">
        <f t="shared" si="0"/>
        <v>5.3999999999999999E-2</v>
      </c>
      <c r="E21" s="446"/>
      <c r="F21" s="446">
        <v>2.2999999999999998</v>
      </c>
      <c r="G21" s="448"/>
    </row>
    <row r="22" spans="1:26" x14ac:dyDescent="0.3">
      <c r="A22" s="447"/>
      <c r="B22" s="446" t="s">
        <v>851</v>
      </c>
      <c r="C22" s="446"/>
      <c r="D22" s="446">
        <f t="shared" si="0"/>
        <v>0</v>
      </c>
      <c r="E22" s="446"/>
      <c r="F22" s="446"/>
      <c r="G22" s="448"/>
    </row>
    <row r="23" spans="1:26" x14ac:dyDescent="0.3">
      <c r="A23" s="447"/>
      <c r="B23" s="446" t="s">
        <v>850</v>
      </c>
      <c r="C23" s="446">
        <v>159</v>
      </c>
      <c r="D23" s="446">
        <f>C23*0.0036*I23</f>
        <v>0.57240000000000002</v>
      </c>
      <c r="E23" s="446">
        <f>4.3*I23</f>
        <v>4.3</v>
      </c>
      <c r="F23" s="446"/>
      <c r="G23" s="448"/>
      <c r="I23" s="472">
        <v>1</v>
      </c>
      <c r="J23" s="67" t="s">
        <v>870</v>
      </c>
    </row>
    <row r="24" spans="1:26" x14ac:dyDescent="0.3">
      <c r="A24" s="447"/>
      <c r="B24" s="446" t="s">
        <v>849</v>
      </c>
      <c r="C24" s="446">
        <v>155</v>
      </c>
      <c r="D24" s="446">
        <f>C24*0.0036</f>
        <v>0.55799999999999994</v>
      </c>
      <c r="E24" s="446">
        <v>4.5</v>
      </c>
      <c r="F24" s="446">
        <v>0.05</v>
      </c>
      <c r="G24" s="448"/>
    </row>
    <row r="25" spans="1:26" x14ac:dyDescent="0.3">
      <c r="A25" s="464" t="s">
        <v>379</v>
      </c>
      <c r="B25" s="446" t="s">
        <v>848</v>
      </c>
      <c r="C25" s="446">
        <v>274</v>
      </c>
      <c r="D25" s="446">
        <f>C25*0.0036</f>
        <v>0.98639999999999994</v>
      </c>
      <c r="E25" s="446">
        <v>0.7</v>
      </c>
      <c r="F25" s="446"/>
      <c r="G25" s="448"/>
    </row>
    <row r="26" spans="1:26" x14ac:dyDescent="0.3">
      <c r="A26" s="447"/>
      <c r="B26" s="446" t="s">
        <v>847</v>
      </c>
      <c r="C26" s="446">
        <v>238</v>
      </c>
      <c r="D26" s="446">
        <f>C26*0.0036</f>
        <v>0.85680000000000001</v>
      </c>
      <c r="E26" s="446"/>
      <c r="F26" s="446"/>
      <c r="G26" s="448"/>
    </row>
    <row r="27" spans="1:26" x14ac:dyDescent="0.3">
      <c r="A27" s="447"/>
      <c r="B27" s="446" t="s">
        <v>846</v>
      </c>
      <c r="C27" s="446">
        <v>21</v>
      </c>
      <c r="D27" s="446">
        <f>C27*0.0036</f>
        <v>7.5600000000000001E-2</v>
      </c>
      <c r="E27" s="446">
        <v>9.9</v>
      </c>
      <c r="F27" s="446">
        <v>0.9</v>
      </c>
      <c r="G27" s="448"/>
    </row>
    <row r="28" spans="1:26" x14ac:dyDescent="0.3">
      <c r="A28" s="459"/>
      <c r="B28" s="458"/>
      <c r="C28" s="458"/>
      <c r="D28" s="458"/>
      <c r="E28" s="458"/>
      <c r="F28" s="458"/>
      <c r="G28" s="471"/>
    </row>
    <row r="32" spans="1:26" x14ac:dyDescent="0.3">
      <c r="A32" s="452"/>
      <c r="B32" s="451"/>
      <c r="C32" s="752" t="s">
        <v>869</v>
      </c>
      <c r="D32" s="753"/>
      <c r="E32" s="753"/>
      <c r="F32" s="752" t="s">
        <v>868</v>
      </c>
      <c r="G32" s="753"/>
      <c r="H32" s="753"/>
      <c r="I32" s="752" t="s">
        <v>110</v>
      </c>
      <c r="J32" s="753"/>
      <c r="K32" s="753"/>
      <c r="L32" s="752" t="s">
        <v>867</v>
      </c>
      <c r="M32" s="753"/>
      <c r="N32" s="753"/>
      <c r="O32" s="752" t="s">
        <v>866</v>
      </c>
      <c r="P32" s="753"/>
      <c r="Q32" s="753"/>
      <c r="R32" s="752" t="s">
        <v>865</v>
      </c>
      <c r="S32" s="753"/>
      <c r="T32" s="753"/>
      <c r="U32" s="752" t="s">
        <v>111</v>
      </c>
      <c r="V32" s="753"/>
      <c r="W32" s="753"/>
      <c r="X32" s="752" t="s">
        <v>46</v>
      </c>
      <c r="Y32" s="753"/>
      <c r="Z32" s="754"/>
    </row>
    <row r="33" spans="1:26" x14ac:dyDescent="0.3">
      <c r="A33" s="470"/>
      <c r="B33" s="469"/>
      <c r="C33" s="468" t="s">
        <v>36</v>
      </c>
      <c r="D33" s="449" t="s">
        <v>43</v>
      </c>
      <c r="E33" s="449" t="s">
        <v>606</v>
      </c>
      <c r="F33" s="468" t="s">
        <v>36</v>
      </c>
      <c r="G33" s="449" t="s">
        <v>43</v>
      </c>
      <c r="H33" s="449" t="s">
        <v>606</v>
      </c>
      <c r="I33" s="468" t="s">
        <v>36</v>
      </c>
      <c r="J33" s="449" t="s">
        <v>43</v>
      </c>
      <c r="K33" s="449" t="s">
        <v>606</v>
      </c>
      <c r="L33" s="468" t="s">
        <v>36</v>
      </c>
      <c r="M33" s="449" t="s">
        <v>43</v>
      </c>
      <c r="N33" s="449" t="s">
        <v>606</v>
      </c>
      <c r="O33" s="468" t="s">
        <v>36</v>
      </c>
      <c r="P33" s="449" t="s">
        <v>43</v>
      </c>
      <c r="Q33" s="449" t="s">
        <v>606</v>
      </c>
      <c r="R33" s="468" t="s">
        <v>36</v>
      </c>
      <c r="S33" s="449" t="s">
        <v>43</v>
      </c>
      <c r="T33" s="449" t="s">
        <v>606</v>
      </c>
      <c r="U33" s="468" t="s">
        <v>36</v>
      </c>
      <c r="V33" s="449" t="s">
        <v>43</v>
      </c>
      <c r="W33" s="449" t="s">
        <v>606</v>
      </c>
      <c r="X33" s="468" t="s">
        <v>36</v>
      </c>
      <c r="Y33" s="449" t="s">
        <v>43</v>
      </c>
      <c r="Z33" s="467" t="s">
        <v>606</v>
      </c>
    </row>
    <row r="34" spans="1:26" x14ac:dyDescent="0.3">
      <c r="A34" s="470"/>
      <c r="B34" s="469"/>
      <c r="C34" s="468" t="s">
        <v>608</v>
      </c>
      <c r="D34" s="449" t="s">
        <v>740</v>
      </c>
      <c r="E34" s="449" t="s">
        <v>608</v>
      </c>
      <c r="F34" s="468" t="s">
        <v>608</v>
      </c>
      <c r="G34" s="449" t="s">
        <v>740</v>
      </c>
      <c r="H34" s="449" t="s">
        <v>608</v>
      </c>
      <c r="I34" s="468" t="s">
        <v>608</v>
      </c>
      <c r="J34" s="449" t="s">
        <v>740</v>
      </c>
      <c r="K34" s="449" t="s">
        <v>608</v>
      </c>
      <c r="L34" s="468" t="s">
        <v>608</v>
      </c>
      <c r="M34" s="449" t="s">
        <v>740</v>
      </c>
      <c r="N34" s="449" t="s">
        <v>608</v>
      </c>
      <c r="O34" s="468" t="s">
        <v>608</v>
      </c>
      <c r="P34" s="449" t="s">
        <v>740</v>
      </c>
      <c r="Q34" s="449" t="s">
        <v>608</v>
      </c>
      <c r="R34" s="468" t="s">
        <v>608</v>
      </c>
      <c r="S34" s="449" t="s">
        <v>740</v>
      </c>
      <c r="T34" s="449" t="s">
        <v>608</v>
      </c>
      <c r="U34" s="468" t="s">
        <v>608</v>
      </c>
      <c r="V34" s="449" t="s">
        <v>740</v>
      </c>
      <c r="W34" s="449" t="s">
        <v>608</v>
      </c>
      <c r="X34" s="468" t="s">
        <v>608</v>
      </c>
      <c r="Y34" s="449" t="s">
        <v>740</v>
      </c>
      <c r="Z34" s="467" t="s">
        <v>608</v>
      </c>
    </row>
    <row r="35" spans="1:26" x14ac:dyDescent="0.3">
      <c r="A35" s="470"/>
      <c r="B35" s="469"/>
      <c r="C35" s="468"/>
      <c r="D35" s="449"/>
      <c r="E35" s="449"/>
      <c r="F35" s="468"/>
      <c r="G35" s="449"/>
      <c r="H35" s="449"/>
      <c r="I35" s="468"/>
      <c r="J35" s="449"/>
      <c r="K35" s="449"/>
      <c r="L35" s="468"/>
      <c r="M35" s="449"/>
      <c r="N35" s="449"/>
      <c r="O35" s="468"/>
      <c r="P35" s="449"/>
      <c r="Q35" s="449"/>
      <c r="R35" s="468"/>
      <c r="S35" s="449"/>
      <c r="T35" s="449"/>
      <c r="U35" s="468"/>
      <c r="V35" s="449"/>
      <c r="W35" s="449"/>
      <c r="X35" s="468"/>
      <c r="Y35" s="449"/>
      <c r="Z35" s="467"/>
    </row>
    <row r="36" spans="1:26" x14ac:dyDescent="0.3">
      <c r="A36" s="464" t="s">
        <v>864</v>
      </c>
      <c r="B36" s="446" t="s">
        <v>863</v>
      </c>
      <c r="C36" s="461">
        <f t="shared" ref="C36:E37" si="1">D9</f>
        <v>3.0599999999999999E-2</v>
      </c>
      <c r="D36" s="445">
        <f t="shared" si="1"/>
        <v>0</v>
      </c>
      <c r="E36" s="445">
        <f t="shared" si="1"/>
        <v>0</v>
      </c>
      <c r="F36" s="461">
        <f t="shared" ref="F36:H37" si="2">D9</f>
        <v>3.0599999999999999E-2</v>
      </c>
      <c r="G36" s="445">
        <f t="shared" si="2"/>
        <v>0</v>
      </c>
      <c r="H36" s="445">
        <f t="shared" si="2"/>
        <v>0</v>
      </c>
      <c r="I36" s="461">
        <f t="shared" ref="I36:K37" si="3">D9</f>
        <v>3.0599999999999999E-2</v>
      </c>
      <c r="J36" s="445">
        <f t="shared" si="3"/>
        <v>0</v>
      </c>
      <c r="K36" s="445">
        <f t="shared" si="3"/>
        <v>0</v>
      </c>
      <c r="L36" s="461">
        <f t="shared" ref="L36:N37" si="4">D9</f>
        <v>3.0599999999999999E-2</v>
      </c>
      <c r="M36" s="445">
        <f t="shared" si="4"/>
        <v>0</v>
      </c>
      <c r="N36" s="445">
        <f t="shared" si="4"/>
        <v>0</v>
      </c>
      <c r="O36" s="461">
        <f t="shared" ref="O36:Q37" si="5">D9</f>
        <v>3.0599999999999999E-2</v>
      </c>
      <c r="P36" s="445">
        <f t="shared" si="5"/>
        <v>0</v>
      </c>
      <c r="Q36" s="445">
        <f t="shared" si="5"/>
        <v>0</v>
      </c>
      <c r="R36" s="461">
        <f t="shared" ref="R36:R50" si="6">D9</f>
        <v>3.0599999999999999E-2</v>
      </c>
      <c r="S36" s="445">
        <f t="shared" ref="S36:S50" si="7">E9</f>
        <v>0</v>
      </c>
      <c r="T36" s="445">
        <f t="shared" ref="T36:T50" si="8">F9</f>
        <v>0</v>
      </c>
      <c r="U36" s="463"/>
      <c r="V36" s="462"/>
      <c r="W36" s="462"/>
      <c r="X36" s="463"/>
      <c r="Y36" s="462"/>
      <c r="Z36" s="465"/>
    </row>
    <row r="37" spans="1:26" x14ac:dyDescent="0.3">
      <c r="A37" s="447"/>
      <c r="B37" s="446" t="s">
        <v>862</v>
      </c>
      <c r="C37" s="461">
        <f t="shared" si="1"/>
        <v>0.10908</v>
      </c>
      <c r="D37" s="445">
        <f t="shared" si="1"/>
        <v>0</v>
      </c>
      <c r="E37" s="445">
        <f t="shared" si="1"/>
        <v>0</v>
      </c>
      <c r="F37" s="461">
        <f t="shared" si="2"/>
        <v>0.10908</v>
      </c>
      <c r="G37" s="445">
        <f t="shared" si="2"/>
        <v>0</v>
      </c>
      <c r="H37" s="445">
        <f t="shared" si="2"/>
        <v>0</v>
      </c>
      <c r="I37" s="461">
        <f t="shared" si="3"/>
        <v>0.10908</v>
      </c>
      <c r="J37" s="445">
        <f t="shared" si="3"/>
        <v>0</v>
      </c>
      <c r="K37" s="445">
        <f t="shared" si="3"/>
        <v>0</v>
      </c>
      <c r="L37" s="461">
        <f t="shared" si="4"/>
        <v>0.10908</v>
      </c>
      <c r="M37" s="445">
        <f t="shared" si="4"/>
        <v>0</v>
      </c>
      <c r="N37" s="445">
        <f t="shared" si="4"/>
        <v>0</v>
      </c>
      <c r="O37" s="461">
        <f t="shared" si="5"/>
        <v>0.10908</v>
      </c>
      <c r="P37" s="445">
        <f t="shared" si="5"/>
        <v>0</v>
      </c>
      <c r="Q37" s="445">
        <f t="shared" si="5"/>
        <v>0</v>
      </c>
      <c r="R37" s="461">
        <f t="shared" si="6"/>
        <v>0.10908</v>
      </c>
      <c r="S37" s="445">
        <f t="shared" si="7"/>
        <v>0</v>
      </c>
      <c r="T37" s="445">
        <f t="shared" si="8"/>
        <v>0</v>
      </c>
      <c r="U37" s="463"/>
      <c r="V37" s="462"/>
      <c r="W37" s="462"/>
      <c r="X37" s="463"/>
      <c r="Y37" s="462"/>
      <c r="Z37" s="465"/>
    </row>
    <row r="38" spans="1:26" x14ac:dyDescent="0.3">
      <c r="A38" s="464" t="s">
        <v>393</v>
      </c>
      <c r="B38" s="446" t="s">
        <v>861</v>
      </c>
      <c r="C38" s="463"/>
      <c r="D38" s="462"/>
      <c r="E38" s="462"/>
      <c r="F38" s="463"/>
      <c r="G38" s="462"/>
      <c r="H38" s="462"/>
      <c r="I38" s="463"/>
      <c r="J38" s="462"/>
      <c r="K38" s="462"/>
      <c r="L38" s="463"/>
      <c r="M38" s="462"/>
      <c r="N38" s="462"/>
      <c r="O38" s="463"/>
      <c r="P38" s="462"/>
      <c r="Q38" s="462"/>
      <c r="R38" s="461">
        <f t="shared" si="6"/>
        <v>5.9399999999999995</v>
      </c>
      <c r="S38" s="445">
        <f t="shared" si="7"/>
        <v>0</v>
      </c>
      <c r="T38" s="445">
        <f t="shared" si="8"/>
        <v>0</v>
      </c>
      <c r="U38" s="463"/>
      <c r="V38" s="462"/>
      <c r="W38" s="462"/>
      <c r="X38" s="463"/>
      <c r="Y38" s="462"/>
      <c r="Z38" s="465"/>
    </row>
    <row r="39" spans="1:26" x14ac:dyDescent="0.3">
      <c r="A39" s="447"/>
      <c r="B39" s="466" t="s">
        <v>860</v>
      </c>
      <c r="C39" s="463"/>
      <c r="D39" s="462"/>
      <c r="E39" s="462"/>
      <c r="F39" s="463"/>
      <c r="G39" s="462"/>
      <c r="H39" s="462"/>
      <c r="I39" s="463"/>
      <c r="J39" s="462"/>
      <c r="K39" s="462"/>
      <c r="L39" s="461">
        <f>D12</f>
        <v>7.0991999999999997</v>
      </c>
      <c r="M39" s="445">
        <f>E12</f>
        <v>0</v>
      </c>
      <c r="N39" s="445">
        <f>F12</f>
        <v>0</v>
      </c>
      <c r="O39" s="463"/>
      <c r="P39" s="462"/>
      <c r="Q39" s="462"/>
      <c r="R39" s="461">
        <f t="shared" si="6"/>
        <v>7.0991999999999997</v>
      </c>
      <c r="S39" s="445">
        <f t="shared" si="7"/>
        <v>0</v>
      </c>
      <c r="T39" s="445">
        <f t="shared" si="8"/>
        <v>0</v>
      </c>
      <c r="U39" s="463"/>
      <c r="V39" s="462"/>
      <c r="W39" s="462"/>
      <c r="X39" s="463"/>
      <c r="Y39" s="462"/>
      <c r="Z39" s="465"/>
    </row>
    <row r="40" spans="1:26" x14ac:dyDescent="0.3">
      <c r="A40" s="447"/>
      <c r="B40" s="446" t="s">
        <v>859</v>
      </c>
      <c r="C40" s="463"/>
      <c r="D40" s="462"/>
      <c r="E40" s="462"/>
      <c r="F40" s="463"/>
      <c r="G40" s="462"/>
      <c r="H40" s="462"/>
      <c r="I40" s="463"/>
      <c r="J40" s="462"/>
      <c r="K40" s="462"/>
      <c r="L40" s="463"/>
      <c r="M40" s="462"/>
      <c r="N40" s="462"/>
      <c r="O40" s="461">
        <f>D13</f>
        <v>7.3475999999999999</v>
      </c>
      <c r="P40" s="445">
        <f>E13</f>
        <v>0.9</v>
      </c>
      <c r="Q40" s="445">
        <f>F13</f>
        <v>0</v>
      </c>
      <c r="R40" s="461">
        <f t="shared" si="6"/>
        <v>7.3475999999999999</v>
      </c>
      <c r="S40" s="445">
        <f t="shared" si="7"/>
        <v>0.9</v>
      </c>
      <c r="T40" s="445">
        <f t="shared" si="8"/>
        <v>0</v>
      </c>
      <c r="U40" s="463"/>
      <c r="V40" s="462"/>
      <c r="W40" s="462"/>
      <c r="X40" s="463"/>
      <c r="Y40" s="462"/>
      <c r="Z40" s="465"/>
    </row>
    <row r="41" spans="1:26" x14ac:dyDescent="0.3">
      <c r="A41" s="447"/>
      <c r="B41" s="446" t="s">
        <v>858</v>
      </c>
      <c r="C41" s="463"/>
      <c r="D41" s="462"/>
      <c r="E41" s="462"/>
      <c r="F41" s="463"/>
      <c r="G41" s="462"/>
      <c r="H41" s="462"/>
      <c r="I41" s="463"/>
      <c r="J41" s="462"/>
      <c r="K41" s="462"/>
      <c r="L41" s="463"/>
      <c r="M41" s="462"/>
      <c r="N41" s="462"/>
      <c r="O41" s="463"/>
      <c r="P41" s="462"/>
      <c r="Q41" s="462"/>
      <c r="R41" s="461">
        <f t="shared" si="6"/>
        <v>0</v>
      </c>
      <c r="S41" s="445">
        <f t="shared" si="7"/>
        <v>0</v>
      </c>
      <c r="T41" s="445">
        <f t="shared" si="8"/>
        <v>0</v>
      </c>
      <c r="U41" s="463"/>
      <c r="V41" s="462"/>
      <c r="W41" s="462"/>
      <c r="X41" s="463"/>
      <c r="Y41" s="462"/>
      <c r="Z41" s="465"/>
    </row>
    <row r="42" spans="1:26" x14ac:dyDescent="0.3">
      <c r="A42" s="447"/>
      <c r="B42" s="446" t="s">
        <v>503</v>
      </c>
      <c r="C42" s="463"/>
      <c r="D42" s="462"/>
      <c r="E42" s="462"/>
      <c r="F42" s="463"/>
      <c r="G42" s="462"/>
      <c r="H42" s="462"/>
      <c r="I42" s="463"/>
      <c r="J42" s="462"/>
      <c r="K42" s="462"/>
      <c r="L42" s="463"/>
      <c r="M42" s="462"/>
      <c r="N42" s="462"/>
      <c r="O42" s="463"/>
      <c r="P42" s="462"/>
      <c r="Q42" s="462"/>
      <c r="R42" s="461">
        <f t="shared" si="6"/>
        <v>1.4112</v>
      </c>
      <c r="S42" s="445">
        <f t="shared" si="7"/>
        <v>0</v>
      </c>
      <c r="T42" s="445">
        <f t="shared" si="8"/>
        <v>0</v>
      </c>
      <c r="U42" s="461">
        <f>D15</f>
        <v>1.4112</v>
      </c>
      <c r="V42" s="445">
        <f>E15</f>
        <v>0</v>
      </c>
      <c r="W42" s="445">
        <f>F15</f>
        <v>0</v>
      </c>
      <c r="X42" s="463"/>
      <c r="Y42" s="462"/>
      <c r="Z42" s="465"/>
    </row>
    <row r="43" spans="1:26" x14ac:dyDescent="0.3">
      <c r="A43" s="447"/>
      <c r="B43" s="446" t="s">
        <v>857</v>
      </c>
      <c r="C43" s="461">
        <f>D16</f>
        <v>1.4616</v>
      </c>
      <c r="D43" s="445">
        <f>E16</f>
        <v>4.4000000000000004</v>
      </c>
      <c r="E43" s="445">
        <f>F16</f>
        <v>0</v>
      </c>
      <c r="F43" s="463"/>
      <c r="G43" s="462"/>
      <c r="H43" s="462"/>
      <c r="I43" s="461">
        <f>D16</f>
        <v>1.4616</v>
      </c>
      <c r="J43" s="445">
        <f>E16</f>
        <v>4.4000000000000004</v>
      </c>
      <c r="K43" s="445">
        <f>F16</f>
        <v>0</v>
      </c>
      <c r="L43" s="463"/>
      <c r="M43" s="462"/>
      <c r="N43" s="462"/>
      <c r="O43" s="463"/>
      <c r="P43" s="462"/>
      <c r="Q43" s="462"/>
      <c r="R43" s="461">
        <f t="shared" si="6"/>
        <v>1.4616</v>
      </c>
      <c r="S43" s="445">
        <f t="shared" si="7"/>
        <v>4.4000000000000004</v>
      </c>
      <c r="T43" s="445">
        <f t="shared" si="8"/>
        <v>0</v>
      </c>
      <c r="U43" s="463"/>
      <c r="V43" s="462"/>
      <c r="W43" s="462"/>
      <c r="X43" s="463"/>
      <c r="Y43" s="462"/>
      <c r="Z43" s="465"/>
    </row>
    <row r="44" spans="1:26" x14ac:dyDescent="0.3">
      <c r="A44" s="447"/>
      <c r="B44" s="446" t="s">
        <v>856</v>
      </c>
      <c r="C44" s="463"/>
      <c r="D44" s="462"/>
      <c r="E44" s="462"/>
      <c r="F44" s="463"/>
      <c r="G44" s="462"/>
      <c r="H44" s="462"/>
      <c r="I44" s="463"/>
      <c r="J44" s="462"/>
      <c r="K44" s="462"/>
      <c r="L44" s="463"/>
      <c r="M44" s="462"/>
      <c r="N44" s="462"/>
      <c r="O44" s="463"/>
      <c r="P44" s="462"/>
      <c r="Q44" s="462"/>
      <c r="R44" s="461">
        <f t="shared" si="6"/>
        <v>2.0592000000000001</v>
      </c>
      <c r="S44" s="445">
        <f t="shared" si="7"/>
        <v>4.2</v>
      </c>
      <c r="T44" s="445">
        <f t="shared" si="8"/>
        <v>0</v>
      </c>
      <c r="U44" s="463"/>
      <c r="V44" s="462"/>
      <c r="W44" s="462"/>
      <c r="X44" s="463"/>
      <c r="Y44" s="462"/>
      <c r="Z44" s="465"/>
    </row>
    <row r="45" spans="1:26" x14ac:dyDescent="0.3">
      <c r="A45" s="447"/>
      <c r="B45" s="446" t="s">
        <v>855</v>
      </c>
      <c r="C45" s="463"/>
      <c r="D45" s="462"/>
      <c r="E45" s="462"/>
      <c r="F45" s="461">
        <f t="shared" ref="F45:H50" si="9">D18</f>
        <v>1.8180000000000001</v>
      </c>
      <c r="G45" s="445">
        <f t="shared" si="9"/>
        <v>5.3</v>
      </c>
      <c r="H45" s="445">
        <f t="shared" si="9"/>
        <v>0</v>
      </c>
      <c r="I45" s="463"/>
      <c r="J45" s="462"/>
      <c r="K45" s="462"/>
      <c r="L45" s="463"/>
      <c r="M45" s="462"/>
      <c r="N45" s="462"/>
      <c r="O45" s="463"/>
      <c r="P45" s="462"/>
      <c r="Q45" s="462"/>
      <c r="R45" s="461">
        <f t="shared" si="6"/>
        <v>1.8180000000000001</v>
      </c>
      <c r="S45" s="445">
        <f t="shared" si="7"/>
        <v>5.3</v>
      </c>
      <c r="T45" s="445">
        <f t="shared" si="8"/>
        <v>0</v>
      </c>
      <c r="U45" s="463"/>
      <c r="V45" s="462"/>
      <c r="W45" s="462"/>
      <c r="X45" s="463"/>
      <c r="Y45" s="462"/>
      <c r="Z45" s="465"/>
    </row>
    <row r="46" spans="1:26" x14ac:dyDescent="0.3">
      <c r="A46" s="464" t="s">
        <v>854</v>
      </c>
      <c r="B46" s="446" t="s">
        <v>853</v>
      </c>
      <c r="C46" s="461">
        <f t="shared" ref="C46:E48" si="10">D19</f>
        <v>0.09</v>
      </c>
      <c r="D46" s="445">
        <f t="shared" si="10"/>
        <v>4.4000000000000004</v>
      </c>
      <c r="E46" s="445">
        <f t="shared" si="10"/>
        <v>0</v>
      </c>
      <c r="F46" s="461">
        <f t="shared" si="9"/>
        <v>0.09</v>
      </c>
      <c r="G46" s="445">
        <f t="shared" si="9"/>
        <v>4.4000000000000004</v>
      </c>
      <c r="H46" s="445">
        <f t="shared" si="9"/>
        <v>0</v>
      </c>
      <c r="I46" s="461">
        <f t="shared" ref="I46:K48" si="11">D19</f>
        <v>0.09</v>
      </c>
      <c r="J46" s="445">
        <f t="shared" si="11"/>
        <v>4.4000000000000004</v>
      </c>
      <c r="K46" s="445">
        <f t="shared" si="11"/>
        <v>0</v>
      </c>
      <c r="L46" s="463"/>
      <c r="M46" s="462"/>
      <c r="N46" s="462"/>
      <c r="O46" s="463"/>
      <c r="P46" s="462"/>
      <c r="Q46" s="462"/>
      <c r="R46" s="461">
        <f t="shared" si="6"/>
        <v>0.09</v>
      </c>
      <c r="S46" s="445">
        <f t="shared" si="7"/>
        <v>4.4000000000000004</v>
      </c>
      <c r="T46" s="445">
        <f t="shared" si="8"/>
        <v>0</v>
      </c>
      <c r="U46" s="463"/>
      <c r="V46" s="462"/>
      <c r="W46" s="462"/>
      <c r="X46" s="463"/>
      <c r="Y46" s="462"/>
      <c r="Z46" s="465"/>
    </row>
    <row r="47" spans="1:26" x14ac:dyDescent="0.3">
      <c r="A47" s="447"/>
      <c r="B47" s="446" t="s">
        <v>749</v>
      </c>
      <c r="C47" s="461">
        <f t="shared" si="10"/>
        <v>0.20879999999999999</v>
      </c>
      <c r="D47" s="445">
        <f t="shared" si="10"/>
        <v>0</v>
      </c>
      <c r="E47" s="445">
        <f t="shared" si="10"/>
        <v>1.1000000000000001</v>
      </c>
      <c r="F47" s="461">
        <f t="shared" si="9"/>
        <v>0.20879999999999999</v>
      </c>
      <c r="G47" s="445">
        <f t="shared" si="9"/>
        <v>0</v>
      </c>
      <c r="H47" s="445">
        <f t="shared" si="9"/>
        <v>1.1000000000000001</v>
      </c>
      <c r="I47" s="461">
        <f t="shared" si="11"/>
        <v>0.20879999999999999</v>
      </c>
      <c r="J47" s="445">
        <f t="shared" si="11"/>
        <v>0</v>
      </c>
      <c r="K47" s="445">
        <f t="shared" si="11"/>
        <v>1.1000000000000001</v>
      </c>
      <c r="L47" s="463"/>
      <c r="M47" s="462"/>
      <c r="N47" s="462"/>
      <c r="O47" s="463"/>
      <c r="P47" s="462"/>
      <c r="Q47" s="462"/>
      <c r="R47" s="461">
        <f t="shared" si="6"/>
        <v>0.20879999999999999</v>
      </c>
      <c r="S47" s="445">
        <f t="shared" si="7"/>
        <v>0</v>
      </c>
      <c r="T47" s="445">
        <f t="shared" si="8"/>
        <v>1.1000000000000001</v>
      </c>
      <c r="U47" s="463"/>
      <c r="V47" s="462"/>
      <c r="W47" s="462"/>
      <c r="X47" s="463"/>
      <c r="Y47" s="462"/>
      <c r="Z47" s="465"/>
    </row>
    <row r="48" spans="1:26" x14ac:dyDescent="0.3">
      <c r="A48" s="447"/>
      <c r="B48" s="446" t="s">
        <v>852</v>
      </c>
      <c r="C48" s="461">
        <f t="shared" si="10"/>
        <v>5.3999999999999999E-2</v>
      </c>
      <c r="D48" s="445">
        <f t="shared" si="10"/>
        <v>0</v>
      </c>
      <c r="E48" s="445">
        <f t="shared" si="10"/>
        <v>2.2999999999999998</v>
      </c>
      <c r="F48" s="461">
        <f t="shared" si="9"/>
        <v>5.3999999999999999E-2</v>
      </c>
      <c r="G48" s="445">
        <f t="shared" si="9"/>
        <v>0</v>
      </c>
      <c r="H48" s="445">
        <f t="shared" si="9"/>
        <v>2.2999999999999998</v>
      </c>
      <c r="I48" s="461">
        <f t="shared" si="11"/>
        <v>5.3999999999999999E-2</v>
      </c>
      <c r="J48" s="445">
        <f t="shared" si="11"/>
        <v>0</v>
      </c>
      <c r="K48" s="445">
        <f t="shared" si="11"/>
        <v>2.2999999999999998</v>
      </c>
      <c r="L48" s="463"/>
      <c r="M48" s="462"/>
      <c r="N48" s="462"/>
      <c r="O48" s="463"/>
      <c r="P48" s="462"/>
      <c r="Q48" s="462"/>
      <c r="R48" s="461">
        <f t="shared" si="6"/>
        <v>5.3999999999999999E-2</v>
      </c>
      <c r="S48" s="445">
        <f t="shared" si="7"/>
        <v>0</v>
      </c>
      <c r="T48" s="445">
        <f t="shared" si="8"/>
        <v>2.2999999999999998</v>
      </c>
      <c r="U48" s="463"/>
      <c r="V48" s="462"/>
      <c r="W48" s="462"/>
      <c r="X48" s="463"/>
      <c r="Y48" s="462"/>
      <c r="Z48" s="465"/>
    </row>
    <row r="49" spans="1:26" x14ac:dyDescent="0.3">
      <c r="A49" s="447"/>
      <c r="B49" s="446" t="s">
        <v>851</v>
      </c>
      <c r="C49" s="463"/>
      <c r="D49" s="462"/>
      <c r="E49" s="462"/>
      <c r="F49" s="461">
        <f t="shared" si="9"/>
        <v>0</v>
      </c>
      <c r="G49" s="445">
        <f t="shared" si="9"/>
        <v>0</v>
      </c>
      <c r="H49" s="445">
        <f t="shared" si="9"/>
        <v>0</v>
      </c>
      <c r="I49" s="463"/>
      <c r="J49" s="462"/>
      <c r="K49" s="462"/>
      <c r="L49" s="463"/>
      <c r="M49" s="462"/>
      <c r="N49" s="462"/>
      <c r="O49" s="463"/>
      <c r="P49" s="462"/>
      <c r="Q49" s="462"/>
      <c r="R49" s="461">
        <f t="shared" si="6"/>
        <v>0</v>
      </c>
      <c r="S49" s="445">
        <f t="shared" si="7"/>
        <v>0</v>
      </c>
      <c r="T49" s="445">
        <f t="shared" si="8"/>
        <v>0</v>
      </c>
      <c r="U49" s="463"/>
      <c r="V49" s="462"/>
      <c r="W49" s="462"/>
      <c r="X49" s="463"/>
      <c r="Y49" s="462"/>
      <c r="Z49" s="465"/>
    </row>
    <row r="50" spans="1:26" x14ac:dyDescent="0.3">
      <c r="A50" s="447"/>
      <c r="B50" s="446" t="s">
        <v>850</v>
      </c>
      <c r="C50" s="461">
        <f>D23</f>
        <v>0.57240000000000002</v>
      </c>
      <c r="D50" s="445">
        <f>E23</f>
        <v>4.3</v>
      </c>
      <c r="E50" s="445">
        <f>F23</f>
        <v>0</v>
      </c>
      <c r="F50" s="461">
        <f t="shared" si="9"/>
        <v>0.57240000000000002</v>
      </c>
      <c r="G50" s="445">
        <f t="shared" si="9"/>
        <v>4.3</v>
      </c>
      <c r="H50" s="445">
        <f t="shared" si="9"/>
        <v>0</v>
      </c>
      <c r="I50" s="463"/>
      <c r="J50" s="462"/>
      <c r="K50" s="462"/>
      <c r="L50" s="461">
        <f>D23</f>
        <v>0.57240000000000002</v>
      </c>
      <c r="M50" s="445">
        <f>E23</f>
        <v>4.3</v>
      </c>
      <c r="N50" s="445">
        <f>F23</f>
        <v>0</v>
      </c>
      <c r="O50" s="461">
        <f>D23</f>
        <v>0.57240000000000002</v>
      </c>
      <c r="P50" s="445">
        <f>E23</f>
        <v>4.3</v>
      </c>
      <c r="Q50" s="445">
        <f>F23</f>
        <v>0</v>
      </c>
      <c r="R50" s="461">
        <f t="shared" si="6"/>
        <v>0.57240000000000002</v>
      </c>
      <c r="S50" s="445">
        <f t="shared" si="7"/>
        <v>4.3</v>
      </c>
      <c r="T50" s="445">
        <f t="shared" si="8"/>
        <v>0</v>
      </c>
      <c r="U50" s="461">
        <f>D23</f>
        <v>0.57240000000000002</v>
      </c>
      <c r="V50" s="445">
        <f>E23</f>
        <v>4.3</v>
      </c>
      <c r="W50" s="445">
        <f>F23</f>
        <v>0</v>
      </c>
      <c r="X50" s="463"/>
      <c r="Y50" s="462"/>
      <c r="Z50" s="465"/>
    </row>
    <row r="51" spans="1:26" x14ac:dyDescent="0.3">
      <c r="A51" s="447"/>
      <c r="B51" s="446" t="s">
        <v>849</v>
      </c>
      <c r="C51" s="463"/>
      <c r="D51" s="462"/>
      <c r="E51" s="462"/>
      <c r="F51" s="463"/>
      <c r="G51" s="462"/>
      <c r="H51" s="462"/>
      <c r="I51" s="461">
        <f>D24</f>
        <v>0.55799999999999994</v>
      </c>
      <c r="J51" s="445">
        <f>E24</f>
        <v>4.5</v>
      </c>
      <c r="K51" s="445">
        <f>F24</f>
        <v>0.05</v>
      </c>
      <c r="L51" s="463"/>
      <c r="M51" s="462"/>
      <c r="N51" s="462"/>
      <c r="O51" s="463"/>
      <c r="P51" s="462"/>
      <c r="Q51" s="462"/>
      <c r="R51" s="463"/>
      <c r="S51" s="462"/>
      <c r="T51" s="462"/>
      <c r="U51" s="463"/>
      <c r="V51" s="462"/>
      <c r="W51" s="462"/>
      <c r="X51" s="463"/>
      <c r="Y51" s="462"/>
      <c r="Z51" s="465"/>
    </row>
    <row r="52" spans="1:26" x14ac:dyDescent="0.3">
      <c r="A52" s="464" t="s">
        <v>379</v>
      </c>
      <c r="B52" s="446" t="s">
        <v>848</v>
      </c>
      <c r="C52" s="463"/>
      <c r="D52" s="462"/>
      <c r="E52" s="462"/>
      <c r="F52" s="463"/>
      <c r="G52" s="462"/>
      <c r="H52" s="462"/>
      <c r="I52" s="463"/>
      <c r="J52" s="462"/>
      <c r="K52" s="462"/>
      <c r="L52" s="463"/>
      <c r="M52" s="462"/>
      <c r="N52" s="462"/>
      <c r="O52" s="463"/>
      <c r="P52" s="462"/>
      <c r="Q52" s="462"/>
      <c r="R52" s="463"/>
      <c r="S52" s="462"/>
      <c r="T52" s="462"/>
      <c r="U52" s="463"/>
      <c r="V52" s="462"/>
      <c r="W52" s="462"/>
      <c r="X52" s="461">
        <f t="shared" ref="X52:Z54" si="12">D25</f>
        <v>0.98639999999999994</v>
      </c>
      <c r="Y52" s="445">
        <f t="shared" si="12"/>
        <v>0.7</v>
      </c>
      <c r="Z52" s="460">
        <f t="shared" si="12"/>
        <v>0</v>
      </c>
    </row>
    <row r="53" spans="1:26" x14ac:dyDescent="0.3">
      <c r="A53" s="447"/>
      <c r="B53" s="446" t="s">
        <v>847</v>
      </c>
      <c r="C53" s="463"/>
      <c r="D53" s="462"/>
      <c r="E53" s="462"/>
      <c r="F53" s="463"/>
      <c r="G53" s="462"/>
      <c r="H53" s="462"/>
      <c r="I53" s="463"/>
      <c r="J53" s="462"/>
      <c r="K53" s="462"/>
      <c r="L53" s="463"/>
      <c r="M53" s="462"/>
      <c r="N53" s="462"/>
      <c r="O53" s="463"/>
      <c r="P53" s="462"/>
      <c r="Q53" s="462"/>
      <c r="R53" s="463"/>
      <c r="S53" s="462"/>
      <c r="T53" s="462"/>
      <c r="U53" s="463"/>
      <c r="V53" s="462"/>
      <c r="W53" s="462"/>
      <c r="X53" s="461">
        <f t="shared" si="12"/>
        <v>0.85680000000000001</v>
      </c>
      <c r="Y53" s="445">
        <f t="shared" si="12"/>
        <v>0</v>
      </c>
      <c r="Z53" s="460">
        <f t="shared" si="12"/>
        <v>0</v>
      </c>
    </row>
    <row r="54" spans="1:26" x14ac:dyDescent="0.3">
      <c r="A54" s="447"/>
      <c r="B54" s="446" t="s">
        <v>846</v>
      </c>
      <c r="C54" s="463"/>
      <c r="D54" s="462"/>
      <c r="E54" s="462"/>
      <c r="F54" s="463"/>
      <c r="G54" s="462"/>
      <c r="H54" s="462"/>
      <c r="I54" s="463"/>
      <c r="J54" s="462"/>
      <c r="K54" s="462"/>
      <c r="L54" s="463"/>
      <c r="M54" s="462"/>
      <c r="N54" s="462"/>
      <c r="O54" s="463"/>
      <c r="P54" s="462"/>
      <c r="Q54" s="462"/>
      <c r="R54" s="463"/>
      <c r="S54" s="462"/>
      <c r="T54" s="462"/>
      <c r="U54" s="463"/>
      <c r="V54" s="462"/>
      <c r="W54" s="462"/>
      <c r="X54" s="461">
        <f t="shared" si="12"/>
        <v>7.5600000000000001E-2</v>
      </c>
      <c r="Y54" s="445">
        <f t="shared" si="12"/>
        <v>9.9</v>
      </c>
      <c r="Z54" s="460">
        <f t="shared" si="12"/>
        <v>0.9</v>
      </c>
    </row>
    <row r="55" spans="1:26" x14ac:dyDescent="0.3">
      <c r="A55" s="459"/>
      <c r="B55" s="458"/>
      <c r="C55" s="457">
        <f t="shared" ref="C55:Z55" si="13">SUM(C36:C54)</f>
        <v>2.5264800000000003</v>
      </c>
      <c r="D55" s="456">
        <f t="shared" si="13"/>
        <v>13.100000000000001</v>
      </c>
      <c r="E55" s="456">
        <f t="shared" si="13"/>
        <v>3.4</v>
      </c>
      <c r="F55" s="457">
        <f t="shared" si="13"/>
        <v>2.8828800000000001</v>
      </c>
      <c r="G55" s="456">
        <f t="shared" si="13"/>
        <v>14</v>
      </c>
      <c r="H55" s="456">
        <f t="shared" si="13"/>
        <v>3.4</v>
      </c>
      <c r="I55" s="457">
        <f t="shared" si="13"/>
        <v>2.5120800000000001</v>
      </c>
      <c r="J55" s="456">
        <f t="shared" si="13"/>
        <v>13.3</v>
      </c>
      <c r="K55" s="456">
        <f t="shared" si="13"/>
        <v>3.4499999999999997</v>
      </c>
      <c r="L55" s="457">
        <f t="shared" si="13"/>
        <v>7.81128</v>
      </c>
      <c r="M55" s="456">
        <f t="shared" si="13"/>
        <v>4.3</v>
      </c>
      <c r="N55" s="456">
        <f t="shared" si="13"/>
        <v>0</v>
      </c>
      <c r="O55" s="457">
        <f t="shared" si="13"/>
        <v>8.0596800000000002</v>
      </c>
      <c r="P55" s="456">
        <f t="shared" si="13"/>
        <v>5.2</v>
      </c>
      <c r="Q55" s="456">
        <f t="shared" si="13"/>
        <v>0</v>
      </c>
      <c r="R55" s="457">
        <f t="shared" si="13"/>
        <v>28.201680000000003</v>
      </c>
      <c r="S55" s="456">
        <f t="shared" si="13"/>
        <v>23.500000000000004</v>
      </c>
      <c r="T55" s="456">
        <f t="shared" si="13"/>
        <v>3.4</v>
      </c>
      <c r="U55" s="457">
        <f t="shared" si="13"/>
        <v>1.9836</v>
      </c>
      <c r="V55" s="456">
        <f t="shared" si="13"/>
        <v>4.3</v>
      </c>
      <c r="W55" s="456">
        <f t="shared" si="13"/>
        <v>0</v>
      </c>
      <c r="X55" s="457">
        <f t="shared" si="13"/>
        <v>1.9188000000000001</v>
      </c>
      <c r="Y55" s="456">
        <f t="shared" si="13"/>
        <v>10.6</v>
      </c>
      <c r="Z55" s="455">
        <f t="shared" si="13"/>
        <v>0.9</v>
      </c>
    </row>
    <row r="58" spans="1:26" ht="20.399999999999999" thickBot="1" x14ac:dyDescent="0.45">
      <c r="A58" s="454" t="s">
        <v>788</v>
      </c>
    </row>
    <row r="59" spans="1:26" ht="15" thickTop="1" x14ac:dyDescent="0.3">
      <c r="O59" t="s">
        <v>845</v>
      </c>
    </row>
    <row r="60" spans="1:26" x14ac:dyDescent="0.3">
      <c r="A60" s="453" t="s">
        <v>844</v>
      </c>
      <c r="O60" t="s">
        <v>108</v>
      </c>
      <c r="P60">
        <f>AVERAGE(363,347,269,527)</f>
        <v>376.5</v>
      </c>
      <c r="Q60">
        <f>P60*0.0036</f>
        <v>1.3553999999999999</v>
      </c>
      <c r="R60">
        <f>AVERAGE(6.34,5.58,4.66,5)</f>
        <v>5.3949999999999996</v>
      </c>
      <c r="S60">
        <f>Q60+R60</f>
        <v>6.7503999999999991</v>
      </c>
      <c r="T60">
        <f>AVERAGE(1.4,1.3,1.5,1.2)</f>
        <v>1.35</v>
      </c>
    </row>
    <row r="61" spans="1:26" x14ac:dyDescent="0.3">
      <c r="O61" t="s">
        <v>109</v>
      </c>
      <c r="P61">
        <f>AVERAGE(2088,2133)</f>
        <v>2110.5</v>
      </c>
      <c r="Q61">
        <f>P61*0.0036</f>
        <v>7.5977999999999994</v>
      </c>
      <c r="R61">
        <f>AVERAGE(3,0.58)</f>
        <v>1.79</v>
      </c>
      <c r="S61">
        <f>Q61+R61</f>
        <v>9.3877999999999986</v>
      </c>
    </row>
    <row r="62" spans="1:26" x14ac:dyDescent="0.3">
      <c r="A62" s="452"/>
      <c r="B62" s="451"/>
      <c r="C62" s="451"/>
      <c r="D62" s="451"/>
      <c r="E62" s="451"/>
      <c r="F62" s="451"/>
      <c r="G62" s="451"/>
      <c r="H62" s="450"/>
      <c r="O62" t="s">
        <v>110</v>
      </c>
      <c r="P62">
        <f>AVERAGE(363,347,269,527)+160</f>
        <v>536.5</v>
      </c>
      <c r="Q62">
        <f>P62*0.0036</f>
        <v>1.9314</v>
      </c>
      <c r="R62">
        <f>AVERAGE(6.34,5.58,4.66,5)+2.53</f>
        <v>7.9249999999999989</v>
      </c>
      <c r="S62">
        <f>Q62+R62</f>
        <v>9.8563999999999989</v>
      </c>
      <c r="T62">
        <f>AVERAGE(1.4,1.3,1.5,1.2)</f>
        <v>1.35</v>
      </c>
    </row>
    <row r="63" spans="1:26" x14ac:dyDescent="0.3">
      <c r="A63" s="447"/>
      <c r="B63" s="446"/>
      <c r="C63" s="449" t="s">
        <v>36</v>
      </c>
      <c r="D63" s="449" t="s">
        <v>43</v>
      </c>
      <c r="E63" s="449" t="s">
        <v>607</v>
      </c>
      <c r="F63" s="449" t="s">
        <v>606</v>
      </c>
      <c r="G63" s="446"/>
      <c r="H63" s="448"/>
      <c r="O63" t="s">
        <v>111</v>
      </c>
      <c r="P63">
        <f>AVERAGE(206,348,472,395)</f>
        <v>355.25</v>
      </c>
      <c r="Q63">
        <f>P63*0.0036</f>
        <v>1.2788999999999999</v>
      </c>
      <c r="R63">
        <f>AVERAGE(0.6,0.6,1.33,1.33)</f>
        <v>0.96500000000000008</v>
      </c>
      <c r="S63">
        <f>Q63+R63</f>
        <v>2.2439</v>
      </c>
    </row>
    <row r="64" spans="1:26" x14ac:dyDescent="0.3">
      <c r="A64" s="447"/>
      <c r="B64" s="446"/>
      <c r="C64" s="449" t="s">
        <v>608</v>
      </c>
      <c r="D64" s="449" t="s">
        <v>608</v>
      </c>
      <c r="E64" s="449" t="s">
        <v>608</v>
      </c>
      <c r="F64" s="449" t="s">
        <v>608</v>
      </c>
      <c r="G64" s="446"/>
      <c r="H64" s="448"/>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3">
      <c r="A65" s="447"/>
      <c r="B65" s="446"/>
      <c r="C65" s="449"/>
      <c r="D65" s="449"/>
      <c r="E65" s="449"/>
      <c r="F65" s="449"/>
      <c r="G65" s="446"/>
      <c r="H65" s="448"/>
    </row>
    <row r="66" spans="1:24" x14ac:dyDescent="0.3">
      <c r="A66" s="447" t="s">
        <v>54</v>
      </c>
      <c r="B66" s="446" t="s">
        <v>108</v>
      </c>
      <c r="C66" s="445">
        <f>AVERAGE(C55,F55)</f>
        <v>2.7046800000000002</v>
      </c>
      <c r="D66" s="445">
        <f>AVERAGE(D55,G55)</f>
        <v>13.55</v>
      </c>
      <c r="E66" s="445">
        <f>D66+C66</f>
        <v>16.25468</v>
      </c>
      <c r="F66" s="445">
        <f>AVERAGE(E55,H55)</f>
        <v>3.4</v>
      </c>
      <c r="G66" s="445">
        <f t="shared" ref="G66:H70" si="14">C66/$E66</f>
        <v>0.16639392470353154</v>
      </c>
      <c r="H66" s="444">
        <f t="shared" si="14"/>
        <v>0.83360607529646846</v>
      </c>
      <c r="O66" t="s">
        <v>108</v>
      </c>
      <c r="Q66">
        <f t="shared" ref="Q66:R70" si="15">Q60/$S60</f>
        <v>0.20078810144584028</v>
      </c>
      <c r="R66">
        <f t="shared" si="15"/>
        <v>0.79921189855415975</v>
      </c>
      <c r="S66">
        <f>SUM(Q66:R66)</f>
        <v>1</v>
      </c>
      <c r="W66">
        <f>0.05/S64</f>
        <v>9.1809154474410959E-3</v>
      </c>
      <c r="X66">
        <f>(T64-0.05)/S64</f>
        <v>7.3447323579528767E-2</v>
      </c>
    </row>
    <row r="67" spans="1:24" x14ac:dyDescent="0.3">
      <c r="A67" s="447" t="s">
        <v>50</v>
      </c>
      <c r="B67" s="446" t="s">
        <v>109</v>
      </c>
      <c r="C67" s="445">
        <f>AVERAGE(L55,O55)</f>
        <v>7.9354800000000001</v>
      </c>
      <c r="D67" s="445">
        <f>AVERAGE(M55,P55)</f>
        <v>4.75</v>
      </c>
      <c r="E67" s="445">
        <f>D67+C67</f>
        <v>12.68548</v>
      </c>
      <c r="F67" s="445">
        <f>AVERAGE(N55,Q55)</f>
        <v>0</v>
      </c>
      <c r="G67" s="445">
        <f t="shared" si="14"/>
        <v>0.62555614765858292</v>
      </c>
      <c r="H67" s="444">
        <f t="shared" si="14"/>
        <v>0.37444385234141714</v>
      </c>
      <c r="O67" t="s">
        <v>109</v>
      </c>
      <c r="Q67">
        <f t="shared" si="15"/>
        <v>0.809326998870875</v>
      </c>
      <c r="R67">
        <f t="shared" si="15"/>
        <v>0.19067300112912508</v>
      </c>
      <c r="S67">
        <f>SUM(Q67:R67)</f>
        <v>1</v>
      </c>
    </row>
    <row r="68" spans="1:24" x14ac:dyDescent="0.3">
      <c r="A68" s="447" t="s">
        <v>56</v>
      </c>
      <c r="B68" s="446" t="s">
        <v>110</v>
      </c>
      <c r="C68" s="445">
        <f>I55</f>
        <v>2.5120800000000001</v>
      </c>
      <c r="D68" s="445">
        <f>J55</f>
        <v>13.3</v>
      </c>
      <c r="E68" s="445">
        <f>D68+C68</f>
        <v>15.812080000000002</v>
      </c>
      <c r="F68" s="445">
        <f>K55</f>
        <v>3.4499999999999997</v>
      </c>
      <c r="G68" s="445">
        <f t="shared" si="14"/>
        <v>0.15887093918067705</v>
      </c>
      <c r="H68" s="444">
        <f t="shared" si="14"/>
        <v>0.84112906081932293</v>
      </c>
      <c r="O68" t="s">
        <v>110</v>
      </c>
      <c r="Q68">
        <f t="shared" si="15"/>
        <v>0.19595389797491988</v>
      </c>
      <c r="R68">
        <f t="shared" si="15"/>
        <v>0.80404610202508009</v>
      </c>
      <c r="S68">
        <f>SUM(Q68:R68)</f>
        <v>1</v>
      </c>
    </row>
    <row r="69" spans="1:24" x14ac:dyDescent="0.3">
      <c r="A69" s="447" t="s">
        <v>59</v>
      </c>
      <c r="B69" s="446" t="s">
        <v>111</v>
      </c>
      <c r="C69" s="445">
        <f>U55</f>
        <v>1.9836</v>
      </c>
      <c r="D69" s="445">
        <f>V55</f>
        <v>4.3</v>
      </c>
      <c r="E69" s="445">
        <f>D69+C69</f>
        <v>6.2835999999999999</v>
      </c>
      <c r="F69" s="445">
        <f>W55</f>
        <v>0</v>
      </c>
      <c r="G69" s="445">
        <f t="shared" si="14"/>
        <v>0.31567891017887834</v>
      </c>
      <c r="H69" s="444">
        <f t="shared" si="14"/>
        <v>0.68432108982112161</v>
      </c>
      <c r="O69" t="s">
        <v>111</v>
      </c>
      <c r="Q69">
        <f t="shared" si="15"/>
        <v>0.5699451847230268</v>
      </c>
      <c r="R69">
        <f t="shared" si="15"/>
        <v>0.43005481527697315</v>
      </c>
      <c r="S69">
        <f>SUM(Q69:R69)</f>
        <v>1</v>
      </c>
    </row>
    <row r="70" spans="1:24" x14ac:dyDescent="0.3">
      <c r="A70" s="443" t="s">
        <v>60</v>
      </c>
      <c r="B70" s="442" t="s">
        <v>46</v>
      </c>
      <c r="C70" s="441">
        <f>X55</f>
        <v>1.9188000000000001</v>
      </c>
      <c r="D70" s="441">
        <f>Y55</f>
        <v>10.6</v>
      </c>
      <c r="E70" s="441">
        <f>D70+C70</f>
        <v>12.518799999999999</v>
      </c>
      <c r="F70" s="441">
        <f>Z55</f>
        <v>0.9</v>
      </c>
      <c r="G70" s="441">
        <f t="shared" si="14"/>
        <v>0.15327347669105668</v>
      </c>
      <c r="H70" s="440">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3">
      <c r="D74" t="s">
        <v>762</v>
      </c>
      <c r="F74" t="s">
        <v>843</v>
      </c>
      <c r="I74" s="85" t="s">
        <v>842</v>
      </c>
    </row>
    <row r="75" spans="1:24" x14ac:dyDescent="0.3">
      <c r="A75" t="s">
        <v>841</v>
      </c>
      <c r="B75" t="s">
        <v>840</v>
      </c>
      <c r="C75" t="s">
        <v>367</v>
      </c>
      <c r="D75" t="s">
        <v>36</v>
      </c>
      <c r="E75" t="s">
        <v>43</v>
      </c>
      <c r="F75" t="s">
        <v>36</v>
      </c>
      <c r="G75" t="s">
        <v>43</v>
      </c>
      <c r="I75" s="85"/>
    </row>
    <row r="76" spans="1:24" x14ac:dyDescent="0.3">
      <c r="A76" t="s">
        <v>839</v>
      </c>
      <c r="B76" t="s">
        <v>825</v>
      </c>
      <c r="C76" s="439">
        <v>56649</v>
      </c>
      <c r="D76" s="439">
        <f>$C$76*C69</f>
        <v>112368.9564</v>
      </c>
      <c r="E76" s="439">
        <f>$C$76*D69</f>
        <v>243590.69999999998</v>
      </c>
      <c r="F76" s="439"/>
      <c r="G76" s="439"/>
      <c r="I76" s="85" t="s">
        <v>111</v>
      </c>
    </row>
    <row r="77" spans="1:24" x14ac:dyDescent="0.3">
      <c r="B77" t="s">
        <v>838</v>
      </c>
      <c r="C77" s="439">
        <v>56649</v>
      </c>
      <c r="D77" s="439">
        <f>$C$77*C70</f>
        <v>108698.1012</v>
      </c>
      <c r="E77" s="439">
        <f>$C$77*D70</f>
        <v>600479.4</v>
      </c>
      <c r="F77" s="439"/>
      <c r="G77" s="439"/>
      <c r="I77" s="85" t="s">
        <v>46</v>
      </c>
    </row>
    <row r="78" spans="1:24" x14ac:dyDescent="0.3">
      <c r="B78" t="s">
        <v>617</v>
      </c>
      <c r="C78" s="439"/>
      <c r="D78" s="439">
        <f>SUM(D76:D77)</f>
        <v>221067.0576</v>
      </c>
      <c r="E78" s="439">
        <f>SUM(E76:E77)</f>
        <v>844070.1</v>
      </c>
      <c r="F78" s="439">
        <v>117716</v>
      </c>
      <c r="G78" s="439">
        <v>320398</v>
      </c>
      <c r="I78" s="85"/>
    </row>
    <row r="79" spans="1:24" x14ac:dyDescent="0.3">
      <c r="A79" t="s">
        <v>694</v>
      </c>
      <c r="B79" t="s">
        <v>391</v>
      </c>
      <c r="C79" s="439">
        <v>90878</v>
      </c>
      <c r="D79" s="439">
        <f>$C$79*C66</f>
        <v>245795.90904000003</v>
      </c>
      <c r="E79" s="439">
        <f>$C$79*D66</f>
        <v>1231396.9000000001</v>
      </c>
      <c r="F79" s="439"/>
      <c r="G79" s="439"/>
      <c r="I79" s="85" t="s">
        <v>108</v>
      </c>
    </row>
    <row r="80" spans="1:24" x14ac:dyDescent="0.3">
      <c r="B80" t="s">
        <v>824</v>
      </c>
      <c r="C80" s="439">
        <v>175908</v>
      </c>
      <c r="D80" s="439">
        <f>$C$80*C70</f>
        <v>337532.27040000004</v>
      </c>
      <c r="E80" s="439">
        <f>$C$80*D70</f>
        <v>1864624.8</v>
      </c>
      <c r="F80" s="439"/>
      <c r="G80" s="439"/>
      <c r="I80" s="85" t="s">
        <v>46</v>
      </c>
    </row>
    <row r="81" spans="1:9" x14ac:dyDescent="0.3">
      <c r="B81" t="s">
        <v>617</v>
      </c>
      <c r="C81" s="439"/>
      <c r="D81" s="439">
        <f>SUM(D79:D80)</f>
        <v>583328.17944000009</v>
      </c>
      <c r="E81" s="439">
        <f>SUM(E79:E80)</f>
        <v>3096021.7</v>
      </c>
      <c r="F81" s="439">
        <v>783416</v>
      </c>
      <c r="G81" s="439">
        <v>2041337</v>
      </c>
      <c r="I81" s="85"/>
    </row>
    <row r="82" spans="1:9" x14ac:dyDescent="0.3">
      <c r="A82" t="s">
        <v>837</v>
      </c>
      <c r="B82" t="s">
        <v>836</v>
      </c>
      <c r="C82" s="439">
        <v>111165</v>
      </c>
      <c r="D82" s="284">
        <f>$C$82*C67</f>
        <v>882147.63419999997</v>
      </c>
      <c r="E82" s="284">
        <f>$C$82*D67</f>
        <v>528033.75</v>
      </c>
      <c r="F82" s="439"/>
      <c r="G82" s="439"/>
      <c r="I82" s="85" t="s">
        <v>109</v>
      </c>
    </row>
    <row r="83" spans="1:9" x14ac:dyDescent="0.3">
      <c r="B83" t="s">
        <v>391</v>
      </c>
      <c r="C83" s="439">
        <v>190234</v>
      </c>
      <c r="D83" s="284">
        <f>$C$83*C66</f>
        <v>514522.09512000001</v>
      </c>
      <c r="E83" s="284">
        <f>$C$83*D66</f>
        <v>2577670.7000000002</v>
      </c>
      <c r="F83" s="439"/>
      <c r="G83" s="439"/>
      <c r="I83" s="85" t="s">
        <v>108</v>
      </c>
    </row>
    <row r="84" spans="1:9" x14ac:dyDescent="0.3">
      <c r="B84" t="s">
        <v>102</v>
      </c>
      <c r="C84" s="439">
        <v>152014</v>
      </c>
      <c r="D84" s="284">
        <f>$C$84*C68</f>
        <v>381871.32912000001</v>
      </c>
      <c r="E84" s="284">
        <f>$C$84*D68</f>
        <v>2021786.2000000002</v>
      </c>
      <c r="F84" s="439"/>
      <c r="G84" s="439"/>
      <c r="I84" s="85" t="s">
        <v>110</v>
      </c>
    </row>
    <row r="85" spans="1:9" x14ac:dyDescent="0.3">
      <c r="B85" t="s">
        <v>824</v>
      </c>
      <c r="C85" s="439">
        <v>754812</v>
      </c>
      <c r="D85" s="284">
        <f>$C$85*C70</f>
        <v>1448333.2656</v>
      </c>
      <c r="E85" s="284">
        <f>$C$85*D70</f>
        <v>8001007.2000000002</v>
      </c>
      <c r="F85" s="439"/>
      <c r="G85" s="439"/>
      <c r="I85" s="85" t="s">
        <v>46</v>
      </c>
    </row>
    <row r="86" spans="1:9" x14ac:dyDescent="0.3">
      <c r="B86" t="s">
        <v>617</v>
      </c>
      <c r="D86" s="284">
        <f>SUM(D82:D85)</f>
        <v>3226874.3240399999</v>
      </c>
      <c r="E86" s="284">
        <f>SUM(E82:E85)</f>
        <v>13128497.850000001</v>
      </c>
      <c r="F86" s="439">
        <v>2934585</v>
      </c>
      <c r="G86" s="439">
        <v>13959740</v>
      </c>
      <c r="I86" s="85"/>
    </row>
    <row r="87" spans="1:9" x14ac:dyDescent="0.3">
      <c r="A87" t="s">
        <v>835</v>
      </c>
      <c r="B87" t="s">
        <v>102</v>
      </c>
      <c r="C87" s="439">
        <v>743139</v>
      </c>
      <c r="D87" s="284">
        <f>$C$87*C68</f>
        <v>1866824.6191200002</v>
      </c>
      <c r="E87" s="284">
        <f>$C$87*D68</f>
        <v>9883748.7000000011</v>
      </c>
      <c r="F87" s="439">
        <v>2606339</v>
      </c>
      <c r="G87" s="439">
        <v>12324317</v>
      </c>
      <c r="I87" s="85" t="s">
        <v>110</v>
      </c>
    </row>
    <row r="88" spans="1:9" x14ac:dyDescent="0.3">
      <c r="A88" t="s">
        <v>834</v>
      </c>
      <c r="B88" t="s">
        <v>391</v>
      </c>
      <c r="C88" s="439">
        <v>189533</v>
      </c>
      <c r="D88" s="284">
        <f>$C$88*C66</f>
        <v>512626.11444000003</v>
      </c>
      <c r="E88" s="284">
        <f>$C$88*D66</f>
        <v>2568172.15</v>
      </c>
      <c r="I88" s="85" t="s">
        <v>108</v>
      </c>
    </row>
    <row r="89" spans="1:9" x14ac:dyDescent="0.3">
      <c r="B89" t="s">
        <v>824</v>
      </c>
      <c r="C89" s="439">
        <v>256439</v>
      </c>
      <c r="D89" s="284">
        <f>$C$89*C70</f>
        <v>492055.1532</v>
      </c>
      <c r="E89" s="284">
        <f>$C$89*D70</f>
        <v>2718253.4</v>
      </c>
      <c r="I89" s="85" t="s">
        <v>46</v>
      </c>
    </row>
    <row r="90" spans="1:9" x14ac:dyDescent="0.3">
      <c r="B90" t="s">
        <v>617</v>
      </c>
      <c r="D90" s="284">
        <f>SUM(D88:D89)</f>
        <v>1004681.26764</v>
      </c>
      <c r="E90" s="284">
        <f>SUM(E88:E89)</f>
        <v>5286425.55</v>
      </c>
      <c r="F90" s="439">
        <v>1289029</v>
      </c>
      <c r="G90" s="439">
        <v>4118719</v>
      </c>
      <c r="I90" s="85"/>
    </row>
    <row r="91" spans="1:9" x14ac:dyDescent="0.3">
      <c r="A91" t="s">
        <v>833</v>
      </c>
      <c r="B91" t="s">
        <v>391</v>
      </c>
      <c r="C91" s="439">
        <v>22154</v>
      </c>
      <c r="D91" s="284">
        <f>$C$91*C66</f>
        <v>59919.480720000007</v>
      </c>
      <c r="E91" s="284">
        <f>$C$91*D66</f>
        <v>300186.7</v>
      </c>
      <c r="F91" s="439"/>
      <c r="G91" s="439"/>
      <c r="I91" s="85" t="s">
        <v>108</v>
      </c>
    </row>
    <row r="92" spans="1:9" x14ac:dyDescent="0.3">
      <c r="B92" t="s">
        <v>824</v>
      </c>
      <c r="C92">
        <f>22154+48099+26257</f>
        <v>96510</v>
      </c>
      <c r="D92" s="284">
        <f>$C$92*C70</f>
        <v>185183.38800000001</v>
      </c>
      <c r="E92" s="284">
        <f>$C$92*D70</f>
        <v>1023006</v>
      </c>
      <c r="F92" s="439"/>
      <c r="G92" s="439"/>
      <c r="I92" s="85" t="s">
        <v>46</v>
      </c>
    </row>
    <row r="93" spans="1:9" x14ac:dyDescent="0.3">
      <c r="B93" t="s">
        <v>617</v>
      </c>
      <c r="D93" s="284">
        <f>SUM(D91:D92)</f>
        <v>245102.86872000003</v>
      </c>
      <c r="E93" s="284">
        <f>SUM(E91:E92)</f>
        <v>1323192.7</v>
      </c>
      <c r="F93" s="439">
        <v>517585</v>
      </c>
      <c r="G93" s="439">
        <v>1413528</v>
      </c>
      <c r="I93" s="85"/>
    </row>
    <row r="94" spans="1:9" x14ac:dyDescent="0.3">
      <c r="A94" t="s">
        <v>467</v>
      </c>
      <c r="B94" t="s">
        <v>832</v>
      </c>
      <c r="D94" s="284">
        <f>D93+D90+D86+D81+D78</f>
        <v>5281053.6974400003</v>
      </c>
      <c r="E94" s="284">
        <f>E93+E90+E86+E81+E78</f>
        <v>23678207.900000002</v>
      </c>
      <c r="F94" s="284">
        <f>SUM(F76:F93)</f>
        <v>8248670</v>
      </c>
      <c r="G94" s="284">
        <f>SUM(G76:G93)</f>
        <v>34178039</v>
      </c>
      <c r="I94" s="85"/>
    </row>
    <row r="95" spans="1:9" x14ac:dyDescent="0.3">
      <c r="I95" s="85"/>
    </row>
    <row r="96" spans="1:9" x14ac:dyDescent="0.3">
      <c r="A96" t="s">
        <v>831</v>
      </c>
      <c r="D96" t="s">
        <v>802</v>
      </c>
      <c r="E96" t="s">
        <v>43</v>
      </c>
      <c r="F96" t="s">
        <v>830</v>
      </c>
      <c r="G96" t="s">
        <v>829</v>
      </c>
      <c r="I96" s="85"/>
    </row>
    <row r="97" spans="1:9" x14ac:dyDescent="0.3">
      <c r="A97" t="s">
        <v>828</v>
      </c>
      <c r="B97" t="s">
        <v>391</v>
      </c>
      <c r="C97" s="439">
        <v>720000</v>
      </c>
      <c r="D97" s="439">
        <f>$C$97*C$66</f>
        <v>1947369.6</v>
      </c>
      <c r="E97" s="439">
        <f>$C$97*D$66</f>
        <v>9756000</v>
      </c>
      <c r="F97" s="439">
        <f>$C$97*E$66</f>
        <v>11703369.6</v>
      </c>
      <c r="G97" s="439">
        <f>$C$97*F$66</f>
        <v>2448000</v>
      </c>
      <c r="I97" s="85" t="s">
        <v>108</v>
      </c>
    </row>
    <row r="98" spans="1:9" x14ac:dyDescent="0.3">
      <c r="B98" t="s">
        <v>824</v>
      </c>
      <c r="C98" s="439">
        <v>286000</v>
      </c>
      <c r="D98" s="439">
        <f>$C$98*C$70</f>
        <v>548776.80000000005</v>
      </c>
      <c r="E98" s="439">
        <f>$C$98*D$70</f>
        <v>3031600</v>
      </c>
      <c r="F98" s="439">
        <f>$C$98*E$70</f>
        <v>3580376.8</v>
      </c>
      <c r="G98" s="439">
        <f>$C$98*F$70</f>
        <v>257400</v>
      </c>
      <c r="I98" s="85" t="s">
        <v>46</v>
      </c>
    </row>
    <row r="99" spans="1:9" x14ac:dyDescent="0.3">
      <c r="B99" t="s">
        <v>617</v>
      </c>
      <c r="C99" s="439"/>
      <c r="D99" s="439">
        <f>SUM(D97:D98)</f>
        <v>2496146.4000000004</v>
      </c>
      <c r="E99" s="439">
        <f>SUM(E97:E98)</f>
        <v>12787600</v>
      </c>
      <c r="F99" s="439">
        <f>SUM(F97:F98)</f>
        <v>15283746.399999999</v>
      </c>
      <c r="G99" s="439">
        <f>SUM(G97:G98)</f>
        <v>2705400</v>
      </c>
      <c r="I99" s="85"/>
    </row>
    <row r="100" spans="1:9" x14ac:dyDescent="0.3">
      <c r="A100" t="s">
        <v>827</v>
      </c>
      <c r="B100" t="s">
        <v>392</v>
      </c>
      <c r="C100" s="439">
        <v>260000</v>
      </c>
      <c r="D100" s="439">
        <f>$C$100*C$67</f>
        <v>2063224.8</v>
      </c>
      <c r="E100" s="439">
        <f>$C$100*D$67</f>
        <v>1235000</v>
      </c>
      <c r="F100" s="439">
        <f>$C$100*E$67</f>
        <v>3298224.8</v>
      </c>
      <c r="G100" s="439">
        <f>$C$100*F$67</f>
        <v>0</v>
      </c>
      <c r="I100" s="85" t="s">
        <v>109</v>
      </c>
    </row>
    <row r="101" spans="1:9" x14ac:dyDescent="0.3">
      <c r="B101" t="s">
        <v>824</v>
      </c>
      <c r="C101" s="439">
        <v>566000</v>
      </c>
      <c r="D101" s="439">
        <f>$C$101*C$70</f>
        <v>1086040.8</v>
      </c>
      <c r="E101" s="439">
        <f>$C$101*D$70</f>
        <v>5999600</v>
      </c>
      <c r="F101" s="439">
        <f>$C$101*E$70</f>
        <v>7085640.7999999989</v>
      </c>
      <c r="G101" s="439">
        <f>$C$101*F$70</f>
        <v>509400</v>
      </c>
      <c r="I101" s="85" t="s">
        <v>46</v>
      </c>
    </row>
    <row r="102" spans="1:9" x14ac:dyDescent="0.3">
      <c r="B102" t="s">
        <v>617</v>
      </c>
      <c r="C102" s="439"/>
      <c r="D102" s="439">
        <f>SUM(D100:D101)</f>
        <v>3149265.6</v>
      </c>
      <c r="E102" s="439">
        <f>SUM(E100:E101)</f>
        <v>7234600</v>
      </c>
      <c r="F102" s="439">
        <f>SUM(F100:F101)</f>
        <v>10383865.599999998</v>
      </c>
      <c r="G102" s="439">
        <f>SUM(G100:G101)</f>
        <v>509400</v>
      </c>
      <c r="I102" s="85"/>
    </row>
    <row r="103" spans="1:9" x14ac:dyDescent="0.3">
      <c r="A103" t="s">
        <v>695</v>
      </c>
      <c r="B103" t="s">
        <v>391</v>
      </c>
      <c r="C103" s="439">
        <v>60000</v>
      </c>
      <c r="D103" s="439">
        <f>$C$103*C$66</f>
        <v>162280.80000000002</v>
      </c>
      <c r="E103" s="439">
        <f>$C$103*D$66</f>
        <v>813000</v>
      </c>
      <c r="F103" s="439">
        <f>$C$103*E$66</f>
        <v>975280.8</v>
      </c>
      <c r="G103" s="439">
        <f>$C$103*F$66</f>
        <v>204000</v>
      </c>
      <c r="I103" s="85" t="s">
        <v>108</v>
      </c>
    </row>
    <row r="104" spans="1:9" x14ac:dyDescent="0.3">
      <c r="B104" t="s">
        <v>825</v>
      </c>
      <c r="C104" s="439">
        <v>100000</v>
      </c>
      <c r="D104" s="439">
        <f>$C$104*C$69</f>
        <v>198360</v>
      </c>
      <c r="E104" s="439">
        <f>$C$104*D$69</f>
        <v>430000</v>
      </c>
      <c r="F104" s="439">
        <f>$C$104*E$69</f>
        <v>628360</v>
      </c>
      <c r="G104" s="439">
        <f>$C$104*F$69</f>
        <v>0</v>
      </c>
      <c r="I104" s="85" t="s">
        <v>111</v>
      </c>
    </row>
    <row r="105" spans="1:9" x14ac:dyDescent="0.3">
      <c r="B105" t="s">
        <v>824</v>
      </c>
      <c r="C105" s="439">
        <v>130000</v>
      </c>
      <c r="D105" s="439">
        <f>$C$105*C$70</f>
        <v>249444</v>
      </c>
      <c r="E105" s="439">
        <f>$C$105*D$70</f>
        <v>1378000</v>
      </c>
      <c r="F105" s="439">
        <f>$C$105*E$70</f>
        <v>1627443.9999999998</v>
      </c>
      <c r="G105" s="439">
        <f>$C$105*F$70</f>
        <v>117000</v>
      </c>
      <c r="I105" s="85" t="s">
        <v>46</v>
      </c>
    </row>
    <row r="106" spans="1:9" x14ac:dyDescent="0.3">
      <c r="B106" t="s">
        <v>617</v>
      </c>
      <c r="C106" s="439"/>
      <c r="D106" s="439">
        <f>SUM(D103:D105)</f>
        <v>610084.80000000005</v>
      </c>
      <c r="E106" s="439">
        <f>SUM(E103:E105)</f>
        <v>2621000</v>
      </c>
      <c r="F106" s="439">
        <f>SUM(F103:F105)</f>
        <v>3231084.8</v>
      </c>
      <c r="G106" s="439">
        <f>SUM(G103:G105)</f>
        <v>321000</v>
      </c>
      <c r="I106" s="85"/>
    </row>
    <row r="107" spans="1:9" x14ac:dyDescent="0.3">
      <c r="A107" t="s">
        <v>826</v>
      </c>
      <c r="B107" t="s">
        <v>391</v>
      </c>
      <c r="C107" s="439">
        <v>70000</v>
      </c>
      <c r="D107" s="439">
        <f>$C$107*C$66</f>
        <v>189327.6</v>
      </c>
      <c r="E107" s="439">
        <f>$C$107*D$66</f>
        <v>948500</v>
      </c>
      <c r="F107" s="439">
        <f>$C$107*E$66</f>
        <v>1137827.6000000001</v>
      </c>
      <c r="G107" s="439">
        <f>$C$107*F$66</f>
        <v>238000</v>
      </c>
      <c r="I107" s="85" t="s">
        <v>108</v>
      </c>
    </row>
    <row r="108" spans="1:9" x14ac:dyDescent="0.3">
      <c r="B108" t="s">
        <v>825</v>
      </c>
      <c r="C108" s="439">
        <v>50000</v>
      </c>
      <c r="D108" s="439">
        <f>$C$108*C$69</f>
        <v>99180</v>
      </c>
      <c r="E108" s="439">
        <f>$C$108*D$69</f>
        <v>215000</v>
      </c>
      <c r="F108" s="439">
        <f>$C$108*E$69</f>
        <v>314180</v>
      </c>
      <c r="G108" s="439">
        <f>$C$108*F$69</f>
        <v>0</v>
      </c>
      <c r="I108" s="85" t="s">
        <v>111</v>
      </c>
    </row>
    <row r="109" spans="1:9" x14ac:dyDescent="0.3">
      <c r="B109" t="s">
        <v>824</v>
      </c>
      <c r="C109" s="439">
        <v>100000</v>
      </c>
      <c r="D109" s="439">
        <f>$C$109*C$70</f>
        <v>191880</v>
      </c>
      <c r="E109" s="439">
        <f>$C$109*D$70</f>
        <v>1060000</v>
      </c>
      <c r="F109" s="439">
        <f>$C$109*E$70</f>
        <v>1251879.9999999998</v>
      </c>
      <c r="G109" s="439">
        <f>$C$109*F$70</f>
        <v>90000</v>
      </c>
      <c r="I109" s="85" t="s">
        <v>46</v>
      </c>
    </row>
    <row r="110" spans="1:9" x14ac:dyDescent="0.3">
      <c r="B110" t="s">
        <v>617</v>
      </c>
      <c r="C110" s="439"/>
      <c r="D110" s="439">
        <f>SUM(D107:D109)</f>
        <v>480387.6</v>
      </c>
      <c r="E110" s="439">
        <f>SUM(E107:E109)</f>
        <v>2223500</v>
      </c>
      <c r="F110" s="439">
        <f>SUM(F107:F109)</f>
        <v>2703887.5999999996</v>
      </c>
      <c r="G110" s="439">
        <f>SUM(G107:G109)</f>
        <v>328000</v>
      </c>
      <c r="I110" s="85"/>
    </row>
    <row r="111" spans="1:9" x14ac:dyDescent="0.3">
      <c r="A111" t="s">
        <v>697</v>
      </c>
      <c r="B111" t="s">
        <v>825</v>
      </c>
      <c r="C111" s="439">
        <v>137000</v>
      </c>
      <c r="D111" s="439">
        <f>$C$111*C$69</f>
        <v>271753.2</v>
      </c>
      <c r="E111" s="439">
        <f>$C$111*D$69</f>
        <v>589100</v>
      </c>
      <c r="F111" s="439">
        <f>$C$111*E$69</f>
        <v>860853.2</v>
      </c>
      <c r="G111" s="439">
        <f>$C$111*F$69</f>
        <v>0</v>
      </c>
      <c r="I111" s="85" t="s">
        <v>111</v>
      </c>
    </row>
    <row r="112" spans="1:9" x14ac:dyDescent="0.3">
      <c r="B112" t="s">
        <v>824</v>
      </c>
      <c r="C112" s="439">
        <v>125000</v>
      </c>
      <c r="D112" s="439">
        <f>$C$112*C$70</f>
        <v>239850</v>
      </c>
      <c r="E112" s="439">
        <f>$C$112*D$70</f>
        <v>1325000</v>
      </c>
      <c r="F112" s="439">
        <f>$C$112*E$70</f>
        <v>1564849.9999999998</v>
      </c>
      <c r="G112" s="439">
        <f>$C$112*F$70</f>
        <v>112500</v>
      </c>
      <c r="I112" s="85" t="s">
        <v>46</v>
      </c>
    </row>
    <row r="113" spans="2:9" x14ac:dyDescent="0.3">
      <c r="B113" t="s">
        <v>617</v>
      </c>
      <c r="C113" s="439"/>
      <c r="D113" s="439">
        <f>SUM(D111:D112)</f>
        <v>511603.20000000001</v>
      </c>
      <c r="E113" s="439">
        <f>SUM(E111:E112)</f>
        <v>1914100</v>
      </c>
      <c r="F113" s="439">
        <f>SUM(F111:F112)</f>
        <v>2425703.1999999997</v>
      </c>
      <c r="G113" s="439">
        <f>SUM(G111:G112)</f>
        <v>112500</v>
      </c>
      <c r="I113" s="85"/>
    </row>
    <row r="114" spans="2:9" x14ac:dyDescent="0.3">
      <c r="F114" s="284">
        <f>F113+F110+F106+F102+F99</f>
        <v>34028287.599999994</v>
      </c>
      <c r="G114" s="284">
        <f>G113+G110+G106+G102+G99</f>
        <v>3976300</v>
      </c>
      <c r="H114" s="284">
        <f>SUM(F114:G114)</f>
        <v>38004587.599999994</v>
      </c>
      <c r="I114" s="85"/>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4.4" x14ac:dyDescent="0.3"/>
  <cols>
    <col min="2" max="2" width="19.5546875" customWidth="1"/>
    <col min="3" max="3" width="11.5546875" customWidth="1"/>
    <col min="4" max="4" width="12.109375" customWidth="1"/>
    <col min="5" max="5" width="16" customWidth="1"/>
    <col min="6" max="6" width="14.33203125" customWidth="1"/>
  </cols>
  <sheetData>
    <row r="2" spans="2:11" ht="28.8" x14ac:dyDescent="0.3">
      <c r="C2" t="s">
        <v>353</v>
      </c>
      <c r="D2" s="270" t="s">
        <v>88</v>
      </c>
      <c r="E2" s="270" t="s">
        <v>510</v>
      </c>
      <c r="F2" s="270" t="s">
        <v>510</v>
      </c>
      <c r="G2" s="270"/>
      <c r="H2" s="270"/>
      <c r="I2" s="270"/>
    </row>
    <row r="3" spans="2:11" x14ac:dyDescent="0.3">
      <c r="B3" t="s">
        <v>504</v>
      </c>
      <c r="C3" t="s">
        <v>54</v>
      </c>
      <c r="D3" t="s">
        <v>313</v>
      </c>
      <c r="E3" t="s">
        <v>30</v>
      </c>
      <c r="F3" t="s">
        <v>241</v>
      </c>
      <c r="G3" t="s">
        <v>313</v>
      </c>
      <c r="H3">
        <v>0</v>
      </c>
      <c r="I3">
        <v>13.8</v>
      </c>
      <c r="K3" t="s">
        <v>391</v>
      </c>
    </row>
    <row r="4" spans="2:11" x14ac:dyDescent="0.3">
      <c r="B4" t="s">
        <v>504</v>
      </c>
      <c r="C4" s="59" t="s">
        <v>54</v>
      </c>
      <c r="D4" s="59" t="s">
        <v>313</v>
      </c>
      <c r="E4" s="59" t="s">
        <v>30</v>
      </c>
      <c r="F4" s="59" t="s">
        <v>23</v>
      </c>
      <c r="G4" s="59" t="s">
        <v>313</v>
      </c>
      <c r="H4" s="59">
        <v>0</v>
      </c>
      <c r="I4" s="59">
        <v>3.4</v>
      </c>
    </row>
    <row r="5" spans="2:11" x14ac:dyDescent="0.3">
      <c r="B5" t="s">
        <v>504</v>
      </c>
      <c r="C5" t="s">
        <v>56</v>
      </c>
      <c r="D5" t="s">
        <v>313</v>
      </c>
      <c r="E5" t="s">
        <v>31</v>
      </c>
      <c r="F5" t="s">
        <v>243</v>
      </c>
      <c r="G5" t="s">
        <v>313</v>
      </c>
      <c r="H5">
        <v>0</v>
      </c>
      <c r="I5">
        <v>15.8</v>
      </c>
      <c r="K5" t="s">
        <v>507</v>
      </c>
    </row>
    <row r="6" spans="2:11" x14ac:dyDescent="0.3">
      <c r="B6" t="s">
        <v>504</v>
      </c>
      <c r="C6" t="s">
        <v>56</v>
      </c>
      <c r="D6" t="s">
        <v>313</v>
      </c>
      <c r="E6" t="s">
        <v>31</v>
      </c>
      <c r="F6" t="s">
        <v>23</v>
      </c>
      <c r="G6" t="s">
        <v>313</v>
      </c>
      <c r="H6">
        <v>0</v>
      </c>
      <c r="I6">
        <v>3.4</v>
      </c>
    </row>
    <row r="7" spans="2:11" x14ac:dyDescent="0.3">
      <c r="B7" t="s">
        <v>504</v>
      </c>
      <c r="C7" s="59" t="s">
        <v>56</v>
      </c>
      <c r="D7" s="59" t="s">
        <v>313</v>
      </c>
      <c r="E7" s="59" t="s">
        <v>31</v>
      </c>
      <c r="F7" s="59" t="s">
        <v>505</v>
      </c>
      <c r="G7" s="59" t="s">
        <v>313</v>
      </c>
      <c r="H7" s="59">
        <v>0</v>
      </c>
      <c r="I7" s="59">
        <v>0.05</v>
      </c>
    </row>
    <row r="8" spans="2:11" x14ac:dyDescent="0.3">
      <c r="B8" t="s">
        <v>504</v>
      </c>
      <c r="C8" s="59" t="s">
        <v>50</v>
      </c>
      <c r="D8" s="59" t="s">
        <v>313</v>
      </c>
      <c r="E8" s="59" t="s">
        <v>30</v>
      </c>
      <c r="F8" s="59" t="s">
        <v>246</v>
      </c>
      <c r="G8" s="59" t="s">
        <v>313</v>
      </c>
      <c r="H8" s="59">
        <v>0</v>
      </c>
      <c r="I8" s="59">
        <v>10.199999999999999</v>
      </c>
      <c r="K8" t="s">
        <v>392</v>
      </c>
    </row>
    <row r="9" spans="2:11" x14ac:dyDescent="0.3">
      <c r="B9" t="s">
        <v>504</v>
      </c>
      <c r="C9" t="s">
        <v>60</v>
      </c>
      <c r="D9" t="s">
        <v>313</v>
      </c>
      <c r="E9" t="s">
        <v>32</v>
      </c>
      <c r="F9" t="s">
        <v>248</v>
      </c>
      <c r="G9" t="s">
        <v>313</v>
      </c>
      <c r="H9">
        <v>0</v>
      </c>
      <c r="I9">
        <v>8</v>
      </c>
      <c r="K9" t="s">
        <v>506</v>
      </c>
    </row>
    <row r="10" spans="2:11" x14ac:dyDescent="0.3">
      <c r="B10" t="s">
        <v>504</v>
      </c>
      <c r="C10" s="59" t="s">
        <v>60</v>
      </c>
      <c r="D10" s="59" t="s">
        <v>313</v>
      </c>
      <c r="E10" s="59" t="s">
        <v>32</v>
      </c>
      <c r="F10" s="59" t="s">
        <v>505</v>
      </c>
      <c r="G10" s="59" t="s">
        <v>313</v>
      </c>
      <c r="H10" s="59">
        <v>0</v>
      </c>
      <c r="I10" s="59">
        <v>0.05</v>
      </c>
    </row>
    <row r="11" spans="2:11" x14ac:dyDescent="0.3">
      <c r="B11" t="s">
        <v>504</v>
      </c>
      <c r="C11" s="59" t="s">
        <v>59</v>
      </c>
      <c r="D11" s="59" t="s">
        <v>313</v>
      </c>
      <c r="E11" s="59" t="s">
        <v>30</v>
      </c>
      <c r="F11" s="59" t="s">
        <v>250</v>
      </c>
      <c r="G11" s="59" t="s">
        <v>313</v>
      </c>
      <c r="H11" s="59">
        <v>0</v>
      </c>
      <c r="I11" s="59">
        <v>3.85</v>
      </c>
      <c r="K11" t="s">
        <v>503</v>
      </c>
    </row>
    <row r="13" spans="2:11" x14ac:dyDescent="0.3">
      <c r="B13" t="s">
        <v>501</v>
      </c>
      <c r="C13" t="s">
        <v>54</v>
      </c>
      <c r="D13" t="s">
        <v>22</v>
      </c>
      <c r="E13" t="s">
        <v>241</v>
      </c>
      <c r="F13" t="s">
        <v>313</v>
      </c>
      <c r="G13" t="s">
        <v>493</v>
      </c>
      <c r="H13">
        <v>3</v>
      </c>
      <c r="I13">
        <v>0.17499999999999999</v>
      </c>
    </row>
    <row r="14" spans="2:11" x14ac:dyDescent="0.3">
      <c r="B14" t="s">
        <v>501</v>
      </c>
      <c r="C14" s="59" t="s">
        <v>54</v>
      </c>
      <c r="D14" s="59" t="s">
        <v>29</v>
      </c>
      <c r="E14" s="59" t="s">
        <v>241</v>
      </c>
      <c r="F14" s="59" t="s">
        <v>313</v>
      </c>
      <c r="G14" s="59" t="s">
        <v>493</v>
      </c>
      <c r="H14" s="59">
        <v>3</v>
      </c>
      <c r="I14" s="59">
        <v>0.82499999999999996</v>
      </c>
    </row>
    <row r="15" spans="2:11" x14ac:dyDescent="0.3">
      <c r="B15" t="s">
        <v>501</v>
      </c>
      <c r="C15" t="s">
        <v>56</v>
      </c>
      <c r="D15" t="s">
        <v>22</v>
      </c>
      <c r="E15" t="s">
        <v>243</v>
      </c>
      <c r="F15" t="s">
        <v>313</v>
      </c>
      <c r="G15" t="s">
        <v>493</v>
      </c>
      <c r="H15">
        <v>3</v>
      </c>
      <c r="I15">
        <v>0.159</v>
      </c>
    </row>
    <row r="16" spans="2:11" x14ac:dyDescent="0.3">
      <c r="B16" t="s">
        <v>501</v>
      </c>
      <c r="C16" s="59" t="s">
        <v>56</v>
      </c>
      <c r="D16" s="59" t="s">
        <v>29</v>
      </c>
      <c r="E16" s="59" t="s">
        <v>243</v>
      </c>
      <c r="F16" s="59" t="s">
        <v>313</v>
      </c>
      <c r="G16" s="59" t="s">
        <v>493</v>
      </c>
      <c r="H16" s="59">
        <v>3</v>
      </c>
      <c r="I16" s="59">
        <v>0.84099999999999997</v>
      </c>
    </row>
    <row r="17" spans="2:9" x14ac:dyDescent="0.3">
      <c r="B17" t="s">
        <v>501</v>
      </c>
      <c r="C17" t="s">
        <v>50</v>
      </c>
      <c r="D17" t="s">
        <v>22</v>
      </c>
      <c r="E17" t="s">
        <v>246</v>
      </c>
      <c r="F17" t="s">
        <v>313</v>
      </c>
      <c r="G17" t="s">
        <v>493</v>
      </c>
      <c r="H17">
        <v>3</v>
      </c>
      <c r="I17">
        <v>0.746</v>
      </c>
    </row>
    <row r="18" spans="2:9" x14ac:dyDescent="0.3">
      <c r="B18" t="s">
        <v>501</v>
      </c>
      <c r="C18" s="59" t="s">
        <v>50</v>
      </c>
      <c r="D18" s="59" t="s">
        <v>29</v>
      </c>
      <c r="E18" s="59" t="s">
        <v>246</v>
      </c>
      <c r="F18" s="59" t="s">
        <v>313</v>
      </c>
      <c r="G18" s="59" t="s">
        <v>493</v>
      </c>
      <c r="H18" s="59">
        <v>3</v>
      </c>
      <c r="I18" s="59">
        <v>0.254</v>
      </c>
    </row>
    <row r="19" spans="2:9" x14ac:dyDescent="0.3">
      <c r="B19" t="s">
        <v>501</v>
      </c>
      <c r="C19" t="s">
        <v>60</v>
      </c>
      <c r="D19" t="s">
        <v>22</v>
      </c>
      <c r="E19" t="s">
        <v>248</v>
      </c>
      <c r="F19" t="s">
        <v>313</v>
      </c>
      <c r="G19" t="s">
        <v>493</v>
      </c>
      <c r="H19">
        <v>3</v>
      </c>
      <c r="I19">
        <v>0.153</v>
      </c>
    </row>
    <row r="20" spans="2:9" x14ac:dyDescent="0.3">
      <c r="B20" t="s">
        <v>501</v>
      </c>
      <c r="C20" s="59" t="s">
        <v>60</v>
      </c>
      <c r="D20" s="59" t="s">
        <v>29</v>
      </c>
      <c r="E20" s="59" t="s">
        <v>248</v>
      </c>
      <c r="F20" s="59" t="s">
        <v>313</v>
      </c>
      <c r="G20" s="59" t="s">
        <v>493</v>
      </c>
      <c r="H20" s="59">
        <v>3</v>
      </c>
      <c r="I20" s="59">
        <v>0.84699999999999998</v>
      </c>
    </row>
    <row r="21" spans="2:9" x14ac:dyDescent="0.3">
      <c r="B21" t="s">
        <v>501</v>
      </c>
      <c r="C21" t="s">
        <v>59</v>
      </c>
      <c r="D21" t="s">
        <v>22</v>
      </c>
      <c r="E21" t="s">
        <v>250</v>
      </c>
      <c r="F21" t="s">
        <v>313</v>
      </c>
      <c r="G21" t="s">
        <v>493</v>
      </c>
      <c r="H21">
        <v>3</v>
      </c>
      <c r="I21">
        <v>0.441</v>
      </c>
    </row>
    <row r="22" spans="2:9" x14ac:dyDescent="0.3">
      <c r="B22" t="s">
        <v>501</v>
      </c>
      <c r="C22" s="59" t="s">
        <v>59</v>
      </c>
      <c r="D22" s="59" t="s">
        <v>29</v>
      </c>
      <c r="E22" s="59" t="s">
        <v>250</v>
      </c>
      <c r="F22" s="59" t="s">
        <v>313</v>
      </c>
      <c r="G22" s="59" t="s">
        <v>493</v>
      </c>
      <c r="H22" s="59">
        <v>3</v>
      </c>
      <c r="I22" s="59">
        <v>0.55900000000000005</v>
      </c>
    </row>
    <row r="24" spans="2:9" x14ac:dyDescent="0.3">
      <c r="B24" t="s">
        <v>499</v>
      </c>
      <c r="C24" t="s">
        <v>54</v>
      </c>
      <c r="D24" t="s">
        <v>313</v>
      </c>
      <c r="E24" t="s">
        <v>313</v>
      </c>
      <c r="F24" t="s">
        <v>313</v>
      </c>
      <c r="G24" t="s">
        <v>498</v>
      </c>
      <c r="H24">
        <v>0</v>
      </c>
      <c r="I24">
        <v>0.85</v>
      </c>
    </row>
    <row r="25" spans="2:9" x14ac:dyDescent="0.3">
      <c r="B25" t="s">
        <v>499</v>
      </c>
      <c r="C25" t="s">
        <v>56</v>
      </c>
      <c r="D25" t="s">
        <v>313</v>
      </c>
      <c r="E25" t="s">
        <v>313</v>
      </c>
      <c r="F25" t="s">
        <v>313</v>
      </c>
      <c r="G25" t="s">
        <v>498</v>
      </c>
      <c r="H25">
        <v>0</v>
      </c>
      <c r="I25">
        <v>0.85</v>
      </c>
    </row>
    <row r="26" spans="2:9" x14ac:dyDescent="0.3">
      <c r="B26" t="s">
        <v>499</v>
      </c>
      <c r="C26" t="s">
        <v>50</v>
      </c>
      <c r="D26" t="s">
        <v>313</v>
      </c>
      <c r="E26" t="s">
        <v>313</v>
      </c>
      <c r="F26" t="s">
        <v>313</v>
      </c>
      <c r="G26" t="s">
        <v>498</v>
      </c>
      <c r="H26">
        <v>0</v>
      </c>
      <c r="I26">
        <v>0.85</v>
      </c>
    </row>
    <row r="27" spans="2:9" x14ac:dyDescent="0.3">
      <c r="B27" t="s">
        <v>499</v>
      </c>
      <c r="C27" t="s">
        <v>60</v>
      </c>
      <c r="D27" t="s">
        <v>313</v>
      </c>
      <c r="E27" t="s">
        <v>313</v>
      </c>
      <c r="F27" t="s">
        <v>313</v>
      </c>
      <c r="G27" t="s">
        <v>498</v>
      </c>
      <c r="H27">
        <v>0</v>
      </c>
      <c r="I27">
        <v>0.85</v>
      </c>
    </row>
    <row r="28" spans="2:9" x14ac:dyDescent="0.3">
      <c r="B28" t="s">
        <v>499</v>
      </c>
      <c r="C28" t="s">
        <v>59</v>
      </c>
      <c r="D28" t="s">
        <v>313</v>
      </c>
      <c r="E28" t="s">
        <v>313</v>
      </c>
      <c r="F28" t="s">
        <v>313</v>
      </c>
      <c r="G28" t="s">
        <v>498</v>
      </c>
      <c r="H28">
        <v>0</v>
      </c>
      <c r="I28">
        <v>0.85</v>
      </c>
    </row>
    <row r="29" spans="2:9" x14ac:dyDescent="0.3">
      <c r="B29" t="s">
        <v>496</v>
      </c>
      <c r="C29" t="s">
        <v>54</v>
      </c>
      <c r="D29" t="s">
        <v>313</v>
      </c>
      <c r="E29" t="s">
        <v>313</v>
      </c>
      <c r="F29" t="s">
        <v>313</v>
      </c>
      <c r="G29" t="s">
        <v>495</v>
      </c>
      <c r="H29">
        <v>0</v>
      </c>
      <c r="I29">
        <v>0.85</v>
      </c>
    </row>
    <row r="30" spans="2:9" x14ac:dyDescent="0.3">
      <c r="B30" t="s">
        <v>496</v>
      </c>
      <c r="C30" t="s">
        <v>56</v>
      </c>
      <c r="D30" t="s">
        <v>313</v>
      </c>
      <c r="E30" t="s">
        <v>313</v>
      </c>
      <c r="F30" t="s">
        <v>313</v>
      </c>
      <c r="G30" t="s">
        <v>495</v>
      </c>
      <c r="H30">
        <v>0</v>
      </c>
      <c r="I30">
        <v>0.85</v>
      </c>
    </row>
    <row r="31" spans="2:9" x14ac:dyDescent="0.3">
      <c r="B31" t="s">
        <v>496</v>
      </c>
      <c r="C31" t="s">
        <v>50</v>
      </c>
      <c r="D31" t="s">
        <v>313</v>
      </c>
      <c r="E31" t="s">
        <v>313</v>
      </c>
      <c r="F31" t="s">
        <v>313</v>
      </c>
      <c r="G31" t="s">
        <v>495</v>
      </c>
      <c r="H31">
        <v>0</v>
      </c>
      <c r="I31">
        <v>0.85</v>
      </c>
    </row>
    <row r="32" spans="2:9" x14ac:dyDescent="0.3">
      <c r="B32" t="s">
        <v>496</v>
      </c>
      <c r="C32" t="s">
        <v>60</v>
      </c>
      <c r="D32" t="s">
        <v>313</v>
      </c>
      <c r="E32" t="s">
        <v>313</v>
      </c>
      <c r="F32" t="s">
        <v>313</v>
      </c>
      <c r="G32" t="s">
        <v>495</v>
      </c>
      <c r="H32">
        <v>0</v>
      </c>
      <c r="I32">
        <v>0.85</v>
      </c>
    </row>
    <row r="33" spans="2:11" x14ac:dyDescent="0.3">
      <c r="B33" t="s">
        <v>496</v>
      </c>
      <c r="C33" t="s">
        <v>59</v>
      </c>
      <c r="D33" t="s">
        <v>313</v>
      </c>
      <c r="E33" t="s">
        <v>313</v>
      </c>
      <c r="F33" t="s">
        <v>313</v>
      </c>
      <c r="G33" t="s">
        <v>495</v>
      </c>
      <c r="H33">
        <v>0</v>
      </c>
      <c r="I33">
        <v>0.85</v>
      </c>
    </row>
    <row r="34" spans="2:11" x14ac:dyDescent="0.3">
      <c r="B34" t="s">
        <v>494</v>
      </c>
      <c r="C34" t="s">
        <v>54</v>
      </c>
      <c r="D34" t="s">
        <v>313</v>
      </c>
      <c r="E34" t="s">
        <v>313</v>
      </c>
      <c r="F34" t="s">
        <v>313</v>
      </c>
      <c r="G34" t="s">
        <v>493</v>
      </c>
      <c r="H34">
        <v>0</v>
      </c>
      <c r="I34">
        <v>0</v>
      </c>
    </row>
    <row r="35" spans="2:11" x14ac:dyDescent="0.3">
      <c r="B35" t="s">
        <v>494</v>
      </c>
      <c r="C35" t="s">
        <v>56</v>
      </c>
      <c r="D35" t="s">
        <v>313</v>
      </c>
      <c r="E35" t="s">
        <v>313</v>
      </c>
      <c r="F35" t="s">
        <v>313</v>
      </c>
      <c r="G35" t="s">
        <v>493</v>
      </c>
      <c r="H35">
        <v>0</v>
      </c>
      <c r="I35">
        <v>0</v>
      </c>
    </row>
    <row r="36" spans="2:11" x14ac:dyDescent="0.3">
      <c r="B36" t="s">
        <v>494</v>
      </c>
      <c r="C36" t="s">
        <v>50</v>
      </c>
      <c r="D36" t="s">
        <v>313</v>
      </c>
      <c r="E36" t="s">
        <v>313</v>
      </c>
      <c r="F36" t="s">
        <v>313</v>
      </c>
      <c r="G36" t="s">
        <v>493</v>
      </c>
      <c r="H36">
        <v>0</v>
      </c>
      <c r="I36">
        <v>0</v>
      </c>
    </row>
    <row r="37" spans="2:11" x14ac:dyDescent="0.3">
      <c r="B37" t="s">
        <v>494</v>
      </c>
      <c r="C37" t="s">
        <v>60</v>
      </c>
      <c r="D37" t="s">
        <v>313</v>
      </c>
      <c r="E37" t="s">
        <v>313</v>
      </c>
      <c r="F37" t="s">
        <v>313</v>
      </c>
      <c r="G37" t="s">
        <v>493</v>
      </c>
      <c r="H37">
        <v>0</v>
      </c>
      <c r="I37">
        <v>0</v>
      </c>
    </row>
    <row r="38" spans="2:11" x14ac:dyDescent="0.3">
      <c r="B38" t="s">
        <v>494</v>
      </c>
      <c r="C38" t="s">
        <v>59</v>
      </c>
      <c r="D38" t="s">
        <v>313</v>
      </c>
      <c r="E38" t="s">
        <v>313</v>
      </c>
      <c r="F38" t="s">
        <v>313</v>
      </c>
      <c r="G38" t="s">
        <v>493</v>
      </c>
      <c r="H38">
        <v>0</v>
      </c>
      <c r="I38">
        <v>0</v>
      </c>
    </row>
    <row r="39" spans="2:11" x14ac:dyDescent="0.3">
      <c r="B39" t="s">
        <v>147</v>
      </c>
      <c r="C39" t="s">
        <v>54</v>
      </c>
      <c r="D39" t="s">
        <v>313</v>
      </c>
      <c r="E39" t="s">
        <v>313</v>
      </c>
      <c r="F39" t="s">
        <v>313</v>
      </c>
      <c r="G39" t="s">
        <v>313</v>
      </c>
      <c r="H39">
        <v>0</v>
      </c>
      <c r="I39">
        <v>25</v>
      </c>
    </row>
    <row r="40" spans="2:11" x14ac:dyDescent="0.3">
      <c r="B40" t="s">
        <v>147</v>
      </c>
      <c r="C40" t="s">
        <v>56</v>
      </c>
      <c r="D40" t="s">
        <v>313</v>
      </c>
      <c r="E40" t="s">
        <v>313</v>
      </c>
      <c r="F40" t="s">
        <v>313</v>
      </c>
      <c r="G40" t="s">
        <v>313</v>
      </c>
      <c r="H40">
        <v>0</v>
      </c>
      <c r="I40">
        <v>25</v>
      </c>
    </row>
    <row r="41" spans="2:11" x14ac:dyDescent="0.3">
      <c r="B41" t="s">
        <v>147</v>
      </c>
      <c r="C41" t="s">
        <v>50</v>
      </c>
      <c r="D41" t="s">
        <v>313</v>
      </c>
      <c r="E41" t="s">
        <v>313</v>
      </c>
      <c r="F41" t="s">
        <v>313</v>
      </c>
      <c r="G41" t="s">
        <v>313</v>
      </c>
      <c r="H41">
        <v>0</v>
      </c>
      <c r="I41">
        <v>25</v>
      </c>
    </row>
    <row r="42" spans="2:11" x14ac:dyDescent="0.3">
      <c r="B42" t="s">
        <v>147</v>
      </c>
      <c r="C42" t="s">
        <v>60</v>
      </c>
      <c r="D42" t="s">
        <v>313</v>
      </c>
      <c r="E42" t="s">
        <v>313</v>
      </c>
      <c r="F42" t="s">
        <v>313</v>
      </c>
      <c r="G42" t="s">
        <v>313</v>
      </c>
      <c r="H42">
        <v>0</v>
      </c>
      <c r="I42">
        <v>25</v>
      </c>
    </row>
    <row r="43" spans="2:11" x14ac:dyDescent="0.3">
      <c r="B43" t="s">
        <v>147</v>
      </c>
      <c r="C43" t="s">
        <v>59</v>
      </c>
      <c r="D43" t="s">
        <v>313</v>
      </c>
      <c r="E43" t="s">
        <v>313</v>
      </c>
      <c r="F43" t="s">
        <v>313</v>
      </c>
      <c r="G43" t="s">
        <v>313</v>
      </c>
      <c r="H43">
        <v>0</v>
      </c>
      <c r="I43">
        <v>25</v>
      </c>
    </row>
    <row r="44" spans="2:11" x14ac:dyDescent="0.3">
      <c r="B44" t="s">
        <v>171</v>
      </c>
      <c r="C44" t="s">
        <v>54</v>
      </c>
      <c r="D44" t="s">
        <v>313</v>
      </c>
      <c r="E44" t="s">
        <v>27</v>
      </c>
      <c r="F44" t="s">
        <v>313</v>
      </c>
      <c r="G44" t="s">
        <v>313</v>
      </c>
      <c r="H44">
        <v>0</v>
      </c>
      <c r="I44">
        <v>7</v>
      </c>
    </row>
    <row r="45" spans="2:11" x14ac:dyDescent="0.3">
      <c r="B45" t="s">
        <v>171</v>
      </c>
      <c r="C45" t="s">
        <v>56</v>
      </c>
      <c r="D45" t="s">
        <v>313</v>
      </c>
      <c r="E45" t="s">
        <v>27</v>
      </c>
      <c r="F45" t="s">
        <v>313</v>
      </c>
      <c r="G45" t="s">
        <v>313</v>
      </c>
      <c r="H45">
        <v>0</v>
      </c>
      <c r="I45">
        <v>7</v>
      </c>
    </row>
    <row r="46" spans="2:11" x14ac:dyDescent="0.3">
      <c r="B46" t="s">
        <v>171</v>
      </c>
      <c r="C46" t="s">
        <v>60</v>
      </c>
      <c r="D46" t="s">
        <v>313</v>
      </c>
      <c r="E46" t="s">
        <v>30</v>
      </c>
      <c r="F46" t="s">
        <v>313</v>
      </c>
      <c r="G46" t="s">
        <v>313</v>
      </c>
      <c r="H46">
        <v>0</v>
      </c>
      <c r="I46">
        <v>1.1000000000000001</v>
      </c>
    </row>
    <row r="47" spans="2:11" x14ac:dyDescent="0.3">
      <c r="B47" t="s">
        <v>171</v>
      </c>
      <c r="C47" t="s">
        <v>59</v>
      </c>
      <c r="D47" t="s">
        <v>313</v>
      </c>
      <c r="E47" t="s">
        <v>28</v>
      </c>
      <c r="F47" t="s">
        <v>313</v>
      </c>
      <c r="G47" t="s">
        <v>313</v>
      </c>
      <c r="H47">
        <v>0</v>
      </c>
      <c r="I47">
        <v>1</v>
      </c>
    </row>
    <row r="48" spans="2:11" x14ac:dyDescent="0.3">
      <c r="B48" t="s">
        <v>148</v>
      </c>
      <c r="C48" t="s">
        <v>54</v>
      </c>
      <c r="D48" t="s">
        <v>313</v>
      </c>
      <c r="E48" t="s">
        <v>313</v>
      </c>
      <c r="F48" t="s">
        <v>313</v>
      </c>
      <c r="G48" t="s">
        <v>313</v>
      </c>
      <c r="H48">
        <v>0</v>
      </c>
      <c r="I48">
        <v>1.3</v>
      </c>
      <c r="K48">
        <f>I48/(I48+I50)</f>
        <v>0.76786769049025394</v>
      </c>
    </row>
    <row r="49" spans="2:9" x14ac:dyDescent="0.3">
      <c r="B49" t="s">
        <v>148</v>
      </c>
      <c r="C49" t="s">
        <v>56</v>
      </c>
      <c r="D49" t="s">
        <v>313</v>
      </c>
      <c r="E49" t="s">
        <v>313</v>
      </c>
      <c r="F49" t="s">
        <v>313</v>
      </c>
      <c r="G49" t="s">
        <v>313</v>
      </c>
      <c r="H49">
        <v>0</v>
      </c>
      <c r="I49">
        <v>0.8</v>
      </c>
    </row>
    <row r="50" spans="2:9" x14ac:dyDescent="0.3">
      <c r="B50" t="s">
        <v>148</v>
      </c>
      <c r="C50" t="s">
        <v>50</v>
      </c>
      <c r="D50" t="s">
        <v>313</v>
      </c>
      <c r="E50" t="s">
        <v>313</v>
      </c>
      <c r="F50" t="s">
        <v>313</v>
      </c>
      <c r="G50" t="s">
        <v>313</v>
      </c>
      <c r="H50">
        <v>0</v>
      </c>
      <c r="I50">
        <v>0.39300000000000002</v>
      </c>
    </row>
    <row r="51" spans="2:9" x14ac:dyDescent="0.3">
      <c r="B51" t="s">
        <v>148</v>
      </c>
      <c r="C51" t="s">
        <v>60</v>
      </c>
      <c r="D51" t="s">
        <v>313</v>
      </c>
      <c r="E51" t="s">
        <v>313</v>
      </c>
      <c r="F51" t="s">
        <v>313</v>
      </c>
      <c r="G51" t="s">
        <v>313</v>
      </c>
      <c r="H51">
        <v>0</v>
      </c>
      <c r="I51">
        <v>2.3559999999999999</v>
      </c>
    </row>
    <row r="52" spans="2:9" x14ac:dyDescent="0.3">
      <c r="B52" t="s">
        <v>148</v>
      </c>
      <c r="C52" t="s">
        <v>59</v>
      </c>
      <c r="D52" t="s">
        <v>313</v>
      </c>
      <c r="E52" t="s">
        <v>313</v>
      </c>
      <c r="F52" t="s">
        <v>313</v>
      </c>
      <c r="G52" t="s">
        <v>313</v>
      </c>
      <c r="H52">
        <v>0</v>
      </c>
      <c r="I52">
        <v>0.79400000000000004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3:L187"/>
  <sheetViews>
    <sheetView topLeftCell="K87" zoomScale="90" zoomScaleNormal="90" workbookViewId="0">
      <selection activeCell="N77" sqref="N77"/>
    </sheetView>
  </sheetViews>
  <sheetFormatPr defaultRowHeight="14.4" x14ac:dyDescent="0.3"/>
  <cols>
    <col min="2" max="2" width="36.6640625" bestFit="1" customWidth="1"/>
    <col min="3" max="3" width="36.109375" customWidth="1"/>
    <col min="4" max="4" width="31.77734375" customWidth="1"/>
    <col min="5" max="5" width="33.33203125" customWidth="1"/>
    <col min="6" max="6" width="22.5546875" customWidth="1"/>
    <col min="7" max="7" width="24.6640625" customWidth="1"/>
    <col min="8" max="8" width="21.109375" customWidth="1"/>
    <col min="9" max="9" width="14.44140625" customWidth="1"/>
    <col min="10" max="10" width="15.88671875" customWidth="1"/>
    <col min="11" max="11" width="15.5546875" customWidth="1"/>
  </cols>
  <sheetData>
    <row r="3" spans="2:12" x14ac:dyDescent="0.3">
      <c r="B3" s="264" t="s">
        <v>1430</v>
      </c>
      <c r="L3" s="264" t="s">
        <v>1435</v>
      </c>
    </row>
    <row r="4" spans="2:12" x14ac:dyDescent="0.3">
      <c r="B4" t="s">
        <v>1431</v>
      </c>
    </row>
    <row r="5" spans="2:12" x14ac:dyDescent="0.3">
      <c r="B5" t="s">
        <v>1432</v>
      </c>
    </row>
    <row r="6" spans="2:12" x14ac:dyDescent="0.3">
      <c r="B6" t="s">
        <v>1433</v>
      </c>
    </row>
    <row r="7" spans="2:12" x14ac:dyDescent="0.3">
      <c r="B7" t="s">
        <v>1434</v>
      </c>
    </row>
    <row r="22" spans="2:6" ht="23.4" x14ac:dyDescent="0.45">
      <c r="B22" s="758" t="s">
        <v>626</v>
      </c>
      <c r="C22" s="758"/>
      <c r="D22" s="758"/>
      <c r="E22" s="758"/>
      <c r="F22" s="758"/>
    </row>
    <row r="23" spans="2:6" x14ac:dyDescent="0.3">
      <c r="B23" t="s">
        <v>1387</v>
      </c>
    </row>
    <row r="25" spans="2:6" ht="15" x14ac:dyDescent="0.3">
      <c r="B25" s="710" t="s">
        <v>279</v>
      </c>
      <c r="C25" s="710" t="s">
        <v>1418</v>
      </c>
      <c r="D25" s="710" t="s">
        <v>1419</v>
      </c>
      <c r="E25" s="710" t="s">
        <v>1420</v>
      </c>
    </row>
    <row r="26" spans="2:6" ht="15" x14ac:dyDescent="0.3">
      <c r="B26" s="711">
        <v>2008</v>
      </c>
      <c r="C26" s="712">
        <v>6182970</v>
      </c>
      <c r="D26" s="712">
        <v>8820514</v>
      </c>
      <c r="E26" s="713">
        <v>15003484</v>
      </c>
    </row>
    <row r="27" spans="2:6" ht="15" x14ac:dyDescent="0.3">
      <c r="B27" s="711">
        <v>2009</v>
      </c>
      <c r="C27" s="712">
        <v>5384794</v>
      </c>
      <c r="D27" s="712">
        <v>8949859</v>
      </c>
      <c r="E27" s="713">
        <v>14334654</v>
      </c>
    </row>
    <row r="28" spans="2:6" ht="15" x14ac:dyDescent="0.3">
      <c r="B28" s="711">
        <v>2010</v>
      </c>
      <c r="C28" s="712">
        <v>4885267</v>
      </c>
      <c r="D28" s="712">
        <v>8002110</v>
      </c>
      <c r="E28" s="713">
        <v>12887377</v>
      </c>
    </row>
    <row r="29" spans="2:6" ht="15" x14ac:dyDescent="0.3">
      <c r="B29" s="711">
        <v>2011</v>
      </c>
      <c r="C29" s="712">
        <v>5283871</v>
      </c>
      <c r="D29" s="712">
        <v>6680362</v>
      </c>
      <c r="E29" s="713">
        <v>11964232</v>
      </c>
    </row>
    <row r="30" spans="2:6" ht="15" x14ac:dyDescent="0.3">
      <c r="B30" s="711">
        <v>2012</v>
      </c>
      <c r="C30" s="712">
        <v>5467996</v>
      </c>
      <c r="D30" s="712">
        <v>8069700</v>
      </c>
      <c r="E30" s="713">
        <v>13537696</v>
      </c>
    </row>
    <row r="31" spans="2:6" ht="15" x14ac:dyDescent="0.3">
      <c r="B31" s="711">
        <v>2013</v>
      </c>
      <c r="C31" s="712">
        <v>5275130</v>
      </c>
      <c r="D31" s="712">
        <v>6459362</v>
      </c>
      <c r="E31" s="713">
        <v>11734492</v>
      </c>
    </row>
    <row r="32" spans="2:6" ht="15" x14ac:dyDescent="0.3">
      <c r="B32" s="711">
        <v>2014</v>
      </c>
      <c r="C32" s="712">
        <v>4665126</v>
      </c>
      <c r="D32" s="712">
        <v>6450170</v>
      </c>
      <c r="E32" s="713">
        <v>11115296</v>
      </c>
    </row>
    <row r="33" spans="2:5" ht="15" x14ac:dyDescent="0.3">
      <c r="B33" s="711">
        <v>2015</v>
      </c>
      <c r="C33" s="712">
        <v>4721070</v>
      </c>
      <c r="D33" s="712">
        <v>6826259</v>
      </c>
      <c r="E33" s="713">
        <v>11547329</v>
      </c>
    </row>
    <row r="34" spans="2:5" ht="15" x14ac:dyDescent="0.3">
      <c r="B34" s="711">
        <v>2016</v>
      </c>
      <c r="C34" s="714">
        <v>4329241</v>
      </c>
      <c r="D34" s="712">
        <v>6239724</v>
      </c>
      <c r="E34" s="713">
        <v>10568965</v>
      </c>
    </row>
    <row r="35" spans="2:5" ht="15" x14ac:dyDescent="0.3">
      <c r="B35" s="711">
        <v>2017</v>
      </c>
      <c r="C35" s="712">
        <v>3940269</v>
      </c>
      <c r="D35" s="712">
        <v>5841774</v>
      </c>
      <c r="E35" s="713">
        <v>9782043</v>
      </c>
    </row>
    <row r="36" spans="2:5" ht="15" x14ac:dyDescent="0.3">
      <c r="B36" s="711">
        <v>2018</v>
      </c>
      <c r="C36" s="712">
        <v>4721617</v>
      </c>
      <c r="D36" s="712">
        <v>7203843</v>
      </c>
      <c r="E36" s="713">
        <v>11925461</v>
      </c>
    </row>
    <row r="37" spans="2:5" ht="15" x14ac:dyDescent="0.3">
      <c r="B37" s="711">
        <v>2019</v>
      </c>
      <c r="C37" s="712">
        <v>4721617</v>
      </c>
      <c r="D37" s="712">
        <v>7203843</v>
      </c>
      <c r="E37" s="713">
        <v>11925461</v>
      </c>
    </row>
    <row r="38" spans="2:5" x14ac:dyDescent="0.3">
      <c r="B38" s="2"/>
      <c r="C38" s="2"/>
      <c r="D38" s="2"/>
      <c r="E38" s="2"/>
    </row>
    <row r="39" spans="2:5" x14ac:dyDescent="0.3">
      <c r="B39" s="715" t="s">
        <v>279</v>
      </c>
      <c r="C39" s="715" t="s">
        <v>278</v>
      </c>
      <c r="D39" s="715" t="s">
        <v>293</v>
      </c>
      <c r="E39" s="715" t="s">
        <v>292</v>
      </c>
    </row>
    <row r="40" spans="2:5" x14ac:dyDescent="0.3">
      <c r="B40" s="716" t="s">
        <v>1421</v>
      </c>
      <c r="C40" s="716" t="s">
        <v>95</v>
      </c>
      <c r="D40" s="716" t="s">
        <v>95</v>
      </c>
      <c r="E40" s="716" t="s">
        <v>95</v>
      </c>
    </row>
    <row r="41" spans="2:5" x14ac:dyDescent="0.3">
      <c r="B41" s="717">
        <v>2013</v>
      </c>
      <c r="C41" s="717">
        <v>1874749</v>
      </c>
      <c r="D41" s="717">
        <v>668785</v>
      </c>
      <c r="E41" s="713">
        <v>2318183</v>
      </c>
    </row>
    <row r="42" spans="2:5" x14ac:dyDescent="0.3">
      <c r="B42" s="717">
        <v>2014</v>
      </c>
      <c r="C42" s="717">
        <v>1914813</v>
      </c>
      <c r="D42" s="717">
        <v>699671</v>
      </c>
      <c r="E42" s="717">
        <v>2261790</v>
      </c>
    </row>
    <row r="43" spans="2:5" x14ac:dyDescent="0.3">
      <c r="B43" s="717">
        <v>2015</v>
      </c>
      <c r="C43" s="717">
        <v>1646320</v>
      </c>
      <c r="D43" s="717">
        <v>512081</v>
      </c>
      <c r="E43" s="717">
        <v>2289109</v>
      </c>
    </row>
    <row r="44" spans="2:5" x14ac:dyDescent="0.3">
      <c r="B44" s="717">
        <v>2016</v>
      </c>
      <c r="C44" s="717">
        <v>1466302</v>
      </c>
      <c r="D44" s="717">
        <v>501530</v>
      </c>
      <c r="E44" s="717">
        <v>2353000</v>
      </c>
    </row>
    <row r="45" spans="2:5" x14ac:dyDescent="0.3">
      <c r="B45" s="717">
        <v>2017</v>
      </c>
      <c r="C45" s="717">
        <v>1465783</v>
      </c>
      <c r="D45" s="717">
        <v>503699</v>
      </c>
      <c r="E45" s="717">
        <v>2180000</v>
      </c>
    </row>
    <row r="46" spans="2:5" x14ac:dyDescent="0.3">
      <c r="B46" s="717">
        <v>2018</v>
      </c>
      <c r="C46" s="717">
        <v>1619695</v>
      </c>
      <c r="D46" s="717">
        <v>572852</v>
      </c>
      <c r="E46" s="717">
        <v>2223000</v>
      </c>
    </row>
    <row r="47" spans="2:5" x14ac:dyDescent="0.3">
      <c r="B47" s="717">
        <v>2019</v>
      </c>
      <c r="C47" s="717">
        <v>2975453</v>
      </c>
      <c r="D47" s="717">
        <v>1883659</v>
      </c>
      <c r="E47" s="717">
        <v>2159000</v>
      </c>
    </row>
    <row r="48" spans="2:5" x14ac:dyDescent="0.3">
      <c r="E48">
        <f>SUM(E41:E47)/7</f>
        <v>2254868.8571428573</v>
      </c>
    </row>
    <row r="55" spans="2:11" x14ac:dyDescent="0.3">
      <c r="B55" s="2"/>
    </row>
    <row r="57" spans="2:11" x14ac:dyDescent="0.3">
      <c r="B57" s="328"/>
      <c r="C57" s="755" t="s">
        <v>623</v>
      </c>
      <c r="D57" s="756"/>
      <c r="E57" s="756"/>
      <c r="F57" s="756"/>
      <c r="G57" s="756"/>
      <c r="H57" s="756"/>
      <c r="I57" s="756"/>
      <c r="J57" s="757"/>
      <c r="K57" s="330" t="s">
        <v>94</v>
      </c>
    </row>
    <row r="58" spans="2:11" x14ac:dyDescent="0.3">
      <c r="B58" s="328" t="s">
        <v>279</v>
      </c>
      <c r="C58" s="328" t="s">
        <v>344</v>
      </c>
      <c r="D58" s="328" t="s">
        <v>619</v>
      </c>
      <c r="E58" s="328" t="s">
        <v>1371</v>
      </c>
      <c r="F58" s="328" t="s">
        <v>618</v>
      </c>
      <c r="G58" s="328" t="s">
        <v>1386</v>
      </c>
      <c r="H58" s="328" t="s">
        <v>622</v>
      </c>
      <c r="I58" s="328"/>
      <c r="J58" s="328" t="s">
        <v>1370</v>
      </c>
      <c r="K58" s="328"/>
    </row>
    <row r="59" spans="2:11" hidden="1" x14ac:dyDescent="0.3">
      <c r="B59" s="348">
        <v>2008</v>
      </c>
      <c r="C59" s="328"/>
      <c r="D59" s="328"/>
      <c r="E59" s="328"/>
      <c r="F59" s="328"/>
      <c r="G59" s="348">
        <v>911000</v>
      </c>
      <c r="H59" s="348">
        <v>263000</v>
      </c>
      <c r="I59" s="328"/>
      <c r="J59" s="348">
        <v>2286000</v>
      </c>
      <c r="K59" s="328"/>
    </row>
    <row r="60" spans="2:11" hidden="1" x14ac:dyDescent="0.3">
      <c r="B60" s="348">
        <v>2009</v>
      </c>
      <c r="C60" s="328"/>
      <c r="D60" s="328"/>
      <c r="E60" s="328"/>
      <c r="F60" s="328"/>
      <c r="G60" s="348">
        <v>1100000</v>
      </c>
      <c r="H60" s="348">
        <v>261000</v>
      </c>
      <c r="I60" s="328"/>
      <c r="J60" s="348">
        <v>2156000</v>
      </c>
      <c r="K60" s="328"/>
    </row>
    <row r="61" spans="2:11" hidden="1" x14ac:dyDescent="0.3">
      <c r="B61" s="348">
        <v>2010</v>
      </c>
      <c r="C61" s="328"/>
      <c r="D61" s="328"/>
      <c r="E61" s="328"/>
      <c r="F61" s="328"/>
      <c r="G61" s="348">
        <v>1150000</v>
      </c>
      <c r="H61" s="348">
        <v>251000</v>
      </c>
      <c r="I61" s="328"/>
      <c r="J61" s="348">
        <v>2469000</v>
      </c>
      <c r="K61" s="328"/>
    </row>
    <row r="62" spans="2:11" hidden="1" x14ac:dyDescent="0.3">
      <c r="B62" s="348">
        <v>2011</v>
      </c>
      <c r="C62" s="328"/>
      <c r="D62" s="328"/>
      <c r="E62" s="328"/>
      <c r="F62" s="328"/>
      <c r="G62" s="348">
        <v>1129000</v>
      </c>
      <c r="H62" s="348">
        <v>266000</v>
      </c>
      <c r="I62" s="328"/>
      <c r="J62" s="348">
        <v>2453000</v>
      </c>
      <c r="K62" s="328"/>
    </row>
    <row r="63" spans="2:11" hidden="1" x14ac:dyDescent="0.3">
      <c r="B63" s="348">
        <v>2012</v>
      </c>
      <c r="C63" s="328"/>
      <c r="D63" s="328"/>
      <c r="E63" s="328"/>
      <c r="F63" s="328"/>
      <c r="G63" s="348">
        <v>1215000</v>
      </c>
      <c r="H63" s="348">
        <v>237000</v>
      </c>
      <c r="I63" s="328"/>
      <c r="J63" s="348">
        <v>2669000</v>
      </c>
      <c r="K63" s="328"/>
    </row>
    <row r="64" spans="2:11" hidden="1" x14ac:dyDescent="0.3">
      <c r="B64" s="348">
        <v>2013</v>
      </c>
      <c r="C64" s="328"/>
      <c r="D64" s="328"/>
      <c r="E64" s="328"/>
      <c r="F64" s="328"/>
      <c r="G64" s="348">
        <v>1078000</v>
      </c>
      <c r="H64" s="348">
        <v>230000</v>
      </c>
      <c r="I64" s="328"/>
      <c r="J64" s="348">
        <v>2526000</v>
      </c>
      <c r="K64" s="328"/>
    </row>
    <row r="65" spans="2:11" hidden="1" x14ac:dyDescent="0.3">
      <c r="B65" s="348">
        <v>2014</v>
      </c>
      <c r="C65" s="328"/>
      <c r="D65" s="328"/>
      <c r="E65" s="328"/>
      <c r="F65" s="328"/>
      <c r="G65" s="348">
        <v>979000</v>
      </c>
      <c r="H65" s="348">
        <v>230000</v>
      </c>
      <c r="I65" s="328"/>
      <c r="J65" s="348">
        <v>2290000</v>
      </c>
      <c r="K65" s="328"/>
    </row>
    <row r="66" spans="2:11" hidden="1" x14ac:dyDescent="0.3">
      <c r="B66" s="348">
        <v>2015</v>
      </c>
      <c r="C66" s="328"/>
      <c r="D66" s="328"/>
      <c r="E66" s="328"/>
      <c r="F66" s="328"/>
      <c r="G66" s="348">
        <v>1052000</v>
      </c>
      <c r="H66" s="348">
        <v>220000</v>
      </c>
      <c r="I66" s="328"/>
      <c r="J66" s="348">
        <v>2415000</v>
      </c>
      <c r="K66" s="328"/>
    </row>
    <row r="67" spans="2:11" hidden="1" x14ac:dyDescent="0.3">
      <c r="B67" s="348">
        <v>2016</v>
      </c>
      <c r="C67" s="328"/>
      <c r="D67" s="328"/>
      <c r="E67" s="328"/>
      <c r="F67" s="328"/>
      <c r="G67" s="348">
        <v>1038089</v>
      </c>
      <c r="H67" s="348">
        <v>232175</v>
      </c>
      <c r="I67" s="328"/>
      <c r="J67" s="348">
        <v>2381441</v>
      </c>
      <c r="K67" s="328"/>
    </row>
    <row r="68" spans="2:11" x14ac:dyDescent="0.3">
      <c r="B68" s="328">
        <v>2017</v>
      </c>
      <c r="C68" s="328">
        <v>147493</v>
      </c>
      <c r="D68" s="328">
        <v>693796</v>
      </c>
      <c r="E68" s="328">
        <v>1022661</v>
      </c>
      <c r="F68" s="328">
        <v>46950</v>
      </c>
      <c r="G68" s="660">
        <v>46950</v>
      </c>
      <c r="H68" s="328">
        <v>228588</v>
      </c>
      <c r="I68" s="328"/>
      <c r="J68" s="328">
        <f t="shared" ref="J68:J71" si="0">SUM(C68:H68)</f>
        <v>2186438</v>
      </c>
      <c r="K68" s="659" t="s">
        <v>1385</v>
      </c>
    </row>
    <row r="69" spans="2:11" x14ac:dyDescent="0.3">
      <c r="B69" s="328">
        <v>2018</v>
      </c>
      <c r="C69" s="328">
        <v>104297</v>
      </c>
      <c r="D69" s="328">
        <v>714098</v>
      </c>
      <c r="E69" s="328">
        <v>1160204</v>
      </c>
      <c r="F69" s="328">
        <v>11151</v>
      </c>
      <c r="G69" s="660">
        <v>86168</v>
      </c>
      <c r="H69" s="328">
        <v>231732</v>
      </c>
      <c r="I69" s="328"/>
      <c r="J69" s="328">
        <f t="shared" si="0"/>
        <v>2307650</v>
      </c>
      <c r="K69" s="659" t="s">
        <v>1384</v>
      </c>
    </row>
    <row r="70" spans="2:11" x14ac:dyDescent="0.3">
      <c r="B70" s="328">
        <v>2019</v>
      </c>
      <c r="C70" s="328">
        <v>133551</v>
      </c>
      <c r="D70" s="328">
        <v>759592</v>
      </c>
      <c r="E70" s="328">
        <v>1164198</v>
      </c>
      <c r="F70" s="328">
        <v>10769</v>
      </c>
      <c r="G70" s="660">
        <v>38611</v>
      </c>
      <c r="H70" s="328">
        <v>243204</v>
      </c>
      <c r="I70" s="328"/>
      <c r="J70" s="328">
        <f t="shared" si="0"/>
        <v>2349925</v>
      </c>
      <c r="K70" s="659" t="s">
        <v>1383</v>
      </c>
    </row>
    <row r="71" spans="2:11" x14ac:dyDescent="0.3">
      <c r="B71" s="328">
        <v>2020</v>
      </c>
      <c r="C71">
        <v>73668</v>
      </c>
      <c r="D71" s="328">
        <v>568909</v>
      </c>
      <c r="E71" s="328">
        <v>998012</v>
      </c>
      <c r="F71" s="328">
        <v>6630</v>
      </c>
      <c r="G71" s="268">
        <v>139836</v>
      </c>
      <c r="H71" s="328">
        <v>205369</v>
      </c>
      <c r="I71" s="328"/>
      <c r="J71" s="328">
        <f t="shared" si="0"/>
        <v>1992424</v>
      </c>
      <c r="K71" s="659" t="s">
        <v>1382</v>
      </c>
    </row>
    <row r="72" spans="2:11" x14ac:dyDescent="0.3">
      <c r="B72" s="328">
        <v>2021</v>
      </c>
      <c r="C72" s="328">
        <v>104021</v>
      </c>
      <c r="D72" s="328">
        <v>634993</v>
      </c>
      <c r="E72" s="328">
        <v>1035602</v>
      </c>
      <c r="F72" s="328">
        <v>13400</v>
      </c>
      <c r="G72" s="268">
        <v>181455</v>
      </c>
      <c r="H72" s="328">
        <v>242005</v>
      </c>
      <c r="I72" s="328"/>
      <c r="J72" s="328">
        <f>SUM(C72:H72)</f>
        <v>2211476</v>
      </c>
      <c r="K72" s="659" t="s">
        <v>1378</v>
      </c>
    </row>
    <row r="73" spans="2:11" x14ac:dyDescent="0.3">
      <c r="B73" s="328">
        <v>2022</v>
      </c>
      <c r="C73" s="328">
        <v>87951</v>
      </c>
      <c r="D73" s="328">
        <v>703066</v>
      </c>
      <c r="E73" s="328">
        <v>1323540</v>
      </c>
      <c r="F73" s="328">
        <v>16021</v>
      </c>
      <c r="G73" s="328">
        <v>70663</v>
      </c>
      <c r="H73" s="328">
        <v>252405</v>
      </c>
      <c r="I73" s="328"/>
      <c r="J73" s="328">
        <f>SUM(C73:H73)</f>
        <v>2453646</v>
      </c>
      <c r="K73" s="659" t="s">
        <v>1377</v>
      </c>
    </row>
    <row r="74" spans="2:11" x14ac:dyDescent="0.3">
      <c r="B74" s="328">
        <v>2023</v>
      </c>
      <c r="C74" s="328"/>
      <c r="D74" s="328"/>
      <c r="E74" s="328"/>
      <c r="F74" s="328"/>
      <c r="G74" s="328"/>
      <c r="H74" s="328"/>
      <c r="I74" s="328"/>
      <c r="J74" s="328"/>
      <c r="K74" s="328"/>
    </row>
    <row r="76" spans="2:11" x14ac:dyDescent="0.3">
      <c r="J76" s="326">
        <f>SUM(J68:J73)/(6*10^6)</f>
        <v>2.2502598333333332</v>
      </c>
    </row>
    <row r="78" spans="2:11" x14ac:dyDescent="0.3">
      <c r="B78" s="328"/>
      <c r="C78" s="755" t="s">
        <v>367</v>
      </c>
      <c r="D78" s="756"/>
      <c r="E78" s="756"/>
      <c r="F78" s="756"/>
      <c r="G78" s="756"/>
      <c r="H78" s="756"/>
      <c r="I78" s="756"/>
      <c r="J78" s="757"/>
      <c r="K78" s="330" t="s">
        <v>94</v>
      </c>
    </row>
    <row r="79" spans="2:11" x14ac:dyDescent="0.3">
      <c r="B79" s="328" t="s">
        <v>620</v>
      </c>
      <c r="C79" s="328" t="s">
        <v>344</v>
      </c>
      <c r="D79" s="328" t="s">
        <v>619</v>
      </c>
      <c r="E79" s="328" t="s">
        <v>1371</v>
      </c>
      <c r="F79" s="328" t="s">
        <v>618</v>
      </c>
      <c r="G79" s="328" t="s">
        <v>1386</v>
      </c>
      <c r="H79" s="328" t="s">
        <v>622</v>
      </c>
      <c r="I79" s="328"/>
      <c r="J79" s="332" t="s">
        <v>1381</v>
      </c>
      <c r="K79" s="328"/>
    </row>
    <row r="80" spans="2:11" s="2" customFormat="1" hidden="1" x14ac:dyDescent="0.3">
      <c r="B80" s="348">
        <v>2013</v>
      </c>
      <c r="C80" s="348">
        <v>241722</v>
      </c>
      <c r="D80" s="348">
        <v>498571</v>
      </c>
      <c r="E80" s="348">
        <v>1197699</v>
      </c>
      <c r="F80" s="348">
        <v>15411</v>
      </c>
      <c r="G80" s="348">
        <v>221656</v>
      </c>
      <c r="H80" s="348">
        <v>111995</v>
      </c>
      <c r="I80" s="348"/>
      <c r="J80" s="349">
        <v>2318183</v>
      </c>
      <c r="K80" s="348"/>
    </row>
    <row r="81" spans="2:11" s="2" customFormat="1" hidden="1" x14ac:dyDescent="0.3">
      <c r="B81" s="348">
        <v>2014</v>
      </c>
      <c r="C81" s="348">
        <v>223409</v>
      </c>
      <c r="D81" s="348">
        <v>495072</v>
      </c>
      <c r="E81" s="348">
        <v>1158142</v>
      </c>
      <c r="F81" s="348">
        <v>5724</v>
      </c>
      <c r="G81" s="348">
        <v>240406</v>
      </c>
      <c r="H81" s="348">
        <v>107052</v>
      </c>
      <c r="I81" s="348"/>
      <c r="J81" s="349">
        <v>2261789</v>
      </c>
      <c r="K81" s="348"/>
    </row>
    <row r="82" spans="2:11" s="2" customFormat="1" hidden="1" x14ac:dyDescent="0.3">
      <c r="B82" s="348">
        <v>2015</v>
      </c>
      <c r="C82" s="348">
        <v>217860</v>
      </c>
      <c r="D82" s="348">
        <v>462709</v>
      </c>
      <c r="E82" s="348">
        <v>1252986</v>
      </c>
      <c r="F82" s="348">
        <v>6605</v>
      </c>
      <c r="G82" s="348">
        <v>213704</v>
      </c>
      <c r="H82" s="348">
        <v>102388</v>
      </c>
      <c r="I82" s="348"/>
      <c r="J82" s="349">
        <v>2289108</v>
      </c>
      <c r="K82" s="348"/>
    </row>
    <row r="83" spans="2:11" s="2" customFormat="1" hidden="1" x14ac:dyDescent="0.3">
      <c r="B83" s="348">
        <v>2016</v>
      </c>
      <c r="C83" s="348">
        <v>208402</v>
      </c>
      <c r="D83" s="348">
        <v>377146</v>
      </c>
      <c r="E83" s="348">
        <v>1314812</v>
      </c>
      <c r="F83" s="348">
        <v>48029</v>
      </c>
      <c r="G83" s="348">
        <v>232972</v>
      </c>
      <c r="H83" s="348">
        <v>140387</v>
      </c>
      <c r="I83" s="348"/>
      <c r="J83" s="349">
        <v>2352990</v>
      </c>
      <c r="K83" s="348"/>
    </row>
    <row r="84" spans="2:11" x14ac:dyDescent="0.3">
      <c r="B84" s="328">
        <v>2017</v>
      </c>
      <c r="C84" s="660">
        <v>180727</v>
      </c>
      <c r="D84" s="660">
        <v>342457</v>
      </c>
      <c r="E84" s="660">
        <v>1208571</v>
      </c>
      <c r="F84" s="660">
        <v>46950</v>
      </c>
      <c r="G84" s="658">
        <v>138186</v>
      </c>
      <c r="H84" s="660">
        <v>228991</v>
      </c>
      <c r="I84" s="328"/>
      <c r="J84" s="328">
        <f t="shared" ref="J84:J89" si="1">SUM(C84:H84)</f>
        <v>2145882</v>
      </c>
      <c r="K84" s="659" t="s">
        <v>1385</v>
      </c>
    </row>
    <row r="85" spans="2:11" x14ac:dyDescent="0.3">
      <c r="B85" s="328">
        <v>2018</v>
      </c>
      <c r="C85" s="660">
        <v>113912</v>
      </c>
      <c r="D85" s="660">
        <v>361238</v>
      </c>
      <c r="E85" s="660">
        <v>1325518</v>
      </c>
      <c r="F85" s="660">
        <v>11151</v>
      </c>
      <c r="G85" s="660">
        <v>135162</v>
      </c>
      <c r="H85" s="660">
        <v>239209</v>
      </c>
      <c r="I85" s="328"/>
      <c r="J85" s="328">
        <f t="shared" si="1"/>
        <v>2186190</v>
      </c>
      <c r="K85" s="659" t="s">
        <v>1384</v>
      </c>
    </row>
    <row r="86" spans="2:11" x14ac:dyDescent="0.3">
      <c r="B86" s="328">
        <v>2019</v>
      </c>
      <c r="C86" s="661">
        <v>106786</v>
      </c>
      <c r="D86" s="661">
        <v>341035</v>
      </c>
      <c r="E86" s="661">
        <v>1295692</v>
      </c>
      <c r="F86" s="661">
        <v>10769</v>
      </c>
      <c r="G86" s="661">
        <v>69065</v>
      </c>
      <c r="H86" s="661">
        <v>248153</v>
      </c>
      <c r="I86" s="329"/>
      <c r="J86" s="328">
        <f t="shared" si="1"/>
        <v>2071500</v>
      </c>
      <c r="K86" s="659" t="s">
        <v>1383</v>
      </c>
    </row>
    <row r="87" spans="2:11" x14ac:dyDescent="0.3">
      <c r="B87" s="328">
        <v>2020</v>
      </c>
      <c r="C87" s="328">
        <v>57011</v>
      </c>
      <c r="D87" s="329">
        <v>265264</v>
      </c>
      <c r="E87" s="329">
        <v>1198631</v>
      </c>
      <c r="F87" s="329">
        <v>6630</v>
      </c>
      <c r="G87" s="329">
        <v>136959</v>
      </c>
      <c r="H87" s="329">
        <v>226747</v>
      </c>
      <c r="I87" s="329"/>
      <c r="J87" s="328">
        <f t="shared" si="1"/>
        <v>1891242</v>
      </c>
      <c r="K87" s="659" t="s">
        <v>1382</v>
      </c>
    </row>
    <row r="88" spans="2:11" x14ac:dyDescent="0.3">
      <c r="B88" s="328">
        <v>2021</v>
      </c>
      <c r="C88" s="329">
        <v>80467</v>
      </c>
      <c r="D88" s="329">
        <v>306705</v>
      </c>
      <c r="E88" s="329">
        <v>1150646</v>
      </c>
      <c r="F88" s="329">
        <v>13400</v>
      </c>
      <c r="G88" s="658">
        <v>178058</v>
      </c>
      <c r="H88" s="329">
        <v>266284</v>
      </c>
      <c r="I88" s="329"/>
      <c r="J88" s="328">
        <f t="shared" si="1"/>
        <v>1995560</v>
      </c>
      <c r="K88" s="659" t="s">
        <v>1378</v>
      </c>
    </row>
    <row r="89" spans="2:11" x14ac:dyDescent="0.3">
      <c r="B89" s="328">
        <v>2022</v>
      </c>
      <c r="C89" s="329">
        <v>75197</v>
      </c>
      <c r="D89" s="329">
        <v>263951</v>
      </c>
      <c r="E89" s="329">
        <v>1256725</v>
      </c>
      <c r="F89" s="329">
        <v>16021</v>
      </c>
      <c r="G89" s="329">
        <v>80402</v>
      </c>
      <c r="H89" s="329">
        <v>270677</v>
      </c>
      <c r="I89" s="329"/>
      <c r="J89" s="328">
        <f t="shared" si="1"/>
        <v>1962973</v>
      </c>
      <c r="K89" s="659" t="s">
        <v>1377</v>
      </c>
    </row>
    <row r="90" spans="2:11" x14ac:dyDescent="0.3">
      <c r="B90" s="328">
        <v>2023</v>
      </c>
      <c r="C90" s="329"/>
      <c r="D90" s="329"/>
      <c r="E90" s="329"/>
      <c r="F90" s="329"/>
      <c r="G90" s="329"/>
      <c r="H90" s="329"/>
      <c r="I90" s="329"/>
      <c r="J90" s="333"/>
      <c r="K90" s="328"/>
    </row>
    <row r="91" spans="2:11" x14ac:dyDescent="0.3">
      <c r="C91" s="654"/>
      <c r="D91" s="654"/>
      <c r="E91" s="654"/>
      <c r="F91" s="654"/>
      <c r="G91" s="654"/>
      <c r="H91" s="654"/>
      <c r="I91" s="654"/>
      <c r="J91" s="655"/>
    </row>
    <row r="92" spans="2:11" x14ac:dyDescent="0.3">
      <c r="C92" s="654"/>
      <c r="D92" s="654"/>
      <c r="E92" s="654"/>
      <c r="F92" s="654"/>
      <c r="G92" s="654"/>
      <c r="H92" s="654"/>
      <c r="I92" s="654"/>
      <c r="J92" s="655"/>
    </row>
    <row r="93" spans="2:11" x14ac:dyDescent="0.3">
      <c r="C93" s="654"/>
      <c r="D93" s="654"/>
      <c r="E93" s="654"/>
      <c r="F93" s="654"/>
      <c r="G93" s="654"/>
      <c r="H93" s="654"/>
      <c r="I93" s="654"/>
      <c r="J93" s="655"/>
    </row>
    <row r="94" spans="2:11" x14ac:dyDescent="0.3">
      <c r="B94" s="328"/>
      <c r="C94" s="755" t="s">
        <v>1372</v>
      </c>
      <c r="D94" s="756"/>
      <c r="E94" s="756"/>
      <c r="F94" s="756"/>
      <c r="G94" s="756"/>
      <c r="H94" s="756"/>
      <c r="I94" s="756"/>
      <c r="J94" s="757"/>
      <c r="K94" s="330" t="s">
        <v>94</v>
      </c>
    </row>
    <row r="95" spans="2:11" x14ac:dyDescent="0.3">
      <c r="B95" s="328" t="s">
        <v>279</v>
      </c>
      <c r="C95" s="328" t="s">
        <v>344</v>
      </c>
      <c r="D95" s="328" t="s">
        <v>619</v>
      </c>
      <c r="E95" s="328" t="s">
        <v>1371</v>
      </c>
      <c r="F95" s="328" t="s">
        <v>618</v>
      </c>
      <c r="G95" s="328" t="s">
        <v>1386</v>
      </c>
      <c r="H95" s="328" t="s">
        <v>622</v>
      </c>
      <c r="I95" s="328"/>
      <c r="J95" s="328" t="s">
        <v>1380</v>
      </c>
      <c r="K95" s="328"/>
    </row>
    <row r="96" spans="2:11" x14ac:dyDescent="0.3">
      <c r="B96" s="328">
        <v>2017</v>
      </c>
      <c r="C96" s="328">
        <v>36980</v>
      </c>
      <c r="D96" s="328">
        <v>136243</v>
      </c>
      <c r="E96" s="328">
        <v>326947</v>
      </c>
      <c r="F96" s="328"/>
      <c r="G96" s="328">
        <v>104005</v>
      </c>
      <c r="H96" s="328">
        <v>36282</v>
      </c>
      <c r="I96" s="328"/>
      <c r="J96" s="328">
        <f t="shared" ref="J96:J98" si="2">SUM(C96:H96)</f>
        <v>640457</v>
      </c>
      <c r="K96" s="659" t="s">
        <v>1385</v>
      </c>
    </row>
    <row r="97" spans="2:11" x14ac:dyDescent="0.3">
      <c r="B97" s="328">
        <v>2018</v>
      </c>
      <c r="C97" s="328">
        <v>63094</v>
      </c>
      <c r="D97" s="328">
        <v>147793</v>
      </c>
      <c r="E97" s="328">
        <v>310034</v>
      </c>
      <c r="F97" s="328"/>
      <c r="G97" s="268">
        <v>106252</v>
      </c>
      <c r="H97" s="328">
        <v>37084</v>
      </c>
      <c r="I97" s="328"/>
      <c r="J97" s="328">
        <f t="shared" si="2"/>
        <v>664257</v>
      </c>
      <c r="K97" s="659" t="s">
        <v>1384</v>
      </c>
    </row>
    <row r="98" spans="2:11" x14ac:dyDescent="0.3">
      <c r="B98" s="328">
        <v>2019</v>
      </c>
      <c r="C98" s="328">
        <v>16913</v>
      </c>
      <c r="D98" s="328">
        <v>132569</v>
      </c>
      <c r="E98" s="328">
        <v>274131</v>
      </c>
      <c r="F98" s="328"/>
      <c r="G98" s="328">
        <v>99423</v>
      </c>
      <c r="H98" s="328">
        <v>35019</v>
      </c>
      <c r="I98" s="328"/>
      <c r="J98" s="328">
        <f t="shared" si="2"/>
        <v>558055</v>
      </c>
      <c r="K98" s="659" t="s">
        <v>1383</v>
      </c>
    </row>
    <row r="99" spans="2:11" x14ac:dyDescent="0.3">
      <c r="B99" s="328">
        <v>2020</v>
      </c>
      <c r="C99" s="328">
        <v>9701</v>
      </c>
      <c r="D99" s="328">
        <v>102976</v>
      </c>
      <c r="E99" s="328">
        <v>433184</v>
      </c>
      <c r="F99" s="328"/>
      <c r="G99" s="268">
        <v>10591</v>
      </c>
      <c r="H99" s="328">
        <v>42449</v>
      </c>
      <c r="I99" s="328"/>
      <c r="J99" s="328">
        <f>SUM(C99:H99)</f>
        <v>598901</v>
      </c>
      <c r="K99" s="659" t="s">
        <v>1382</v>
      </c>
    </row>
    <row r="100" spans="2:11" x14ac:dyDescent="0.3">
      <c r="B100" s="328">
        <v>2021</v>
      </c>
      <c r="C100" s="328">
        <v>14164</v>
      </c>
      <c r="D100" s="328">
        <v>137993</v>
      </c>
      <c r="E100" s="328">
        <v>338583</v>
      </c>
      <c r="G100" s="328">
        <v>11795</v>
      </c>
      <c r="H100" s="328">
        <v>42064</v>
      </c>
      <c r="I100" s="328"/>
      <c r="J100" s="328">
        <f>SUM(C100:H100)</f>
        <v>544599</v>
      </c>
      <c r="K100" s="659" t="s">
        <v>1378</v>
      </c>
    </row>
    <row r="101" spans="2:11" x14ac:dyDescent="0.3">
      <c r="B101" s="328">
        <v>2022</v>
      </c>
      <c r="C101" s="328">
        <v>20626</v>
      </c>
      <c r="D101" s="328">
        <v>124578</v>
      </c>
      <c r="E101" s="328">
        <v>314987</v>
      </c>
      <c r="F101" s="328"/>
      <c r="G101" s="328">
        <v>37509</v>
      </c>
      <c r="H101" s="328">
        <v>42508</v>
      </c>
      <c r="I101" s="328"/>
      <c r="J101" s="328">
        <f>SUM(C101:H101)</f>
        <v>540208</v>
      </c>
      <c r="K101" s="659" t="s">
        <v>1377</v>
      </c>
    </row>
    <row r="102" spans="2:11" x14ac:dyDescent="0.3">
      <c r="B102" s="328">
        <v>2023</v>
      </c>
      <c r="C102" s="328"/>
      <c r="D102" s="328"/>
      <c r="E102" s="328"/>
      <c r="F102" s="328"/>
      <c r="G102" s="328"/>
      <c r="H102" s="328"/>
      <c r="I102" s="328"/>
      <c r="J102" s="328"/>
      <c r="K102" s="328"/>
    </row>
    <row r="103" spans="2:11" x14ac:dyDescent="0.3">
      <c r="C103" s="654"/>
      <c r="D103" s="654"/>
      <c r="E103" s="654"/>
      <c r="F103" s="654"/>
      <c r="G103" s="654"/>
      <c r="H103" s="654"/>
      <c r="I103" s="654"/>
      <c r="J103" s="655"/>
    </row>
    <row r="104" spans="2:11" x14ac:dyDescent="0.3">
      <c r="C104" s="654"/>
      <c r="D104" s="654"/>
      <c r="E104" s="654"/>
      <c r="F104" s="654"/>
      <c r="G104" s="654"/>
      <c r="H104" s="654"/>
      <c r="I104" s="654"/>
      <c r="J104" s="655"/>
    </row>
    <row r="105" spans="2:11" x14ac:dyDescent="0.3">
      <c r="C105" s="654"/>
      <c r="D105" s="654"/>
      <c r="E105" s="654"/>
      <c r="F105" s="654"/>
      <c r="G105" s="654"/>
      <c r="H105" s="654"/>
      <c r="I105" s="654"/>
      <c r="J105" s="655"/>
    </row>
    <row r="106" spans="2:11" x14ac:dyDescent="0.3">
      <c r="B106" s="328"/>
      <c r="C106" s="755" t="s">
        <v>1373</v>
      </c>
      <c r="D106" s="756"/>
      <c r="E106" s="756"/>
      <c r="F106" s="756"/>
      <c r="G106" s="756"/>
      <c r="H106" s="756"/>
      <c r="I106" s="756"/>
      <c r="J106" s="757"/>
      <c r="K106" s="330" t="s">
        <v>94</v>
      </c>
    </row>
    <row r="107" spans="2:11" x14ac:dyDescent="0.3">
      <c r="B107" s="328" t="s">
        <v>279</v>
      </c>
      <c r="C107" s="328" t="s">
        <v>344</v>
      </c>
      <c r="D107" s="328" t="s">
        <v>619</v>
      </c>
      <c r="E107" s="328" t="s">
        <v>1371</v>
      </c>
      <c r="F107" s="328" t="s">
        <v>618</v>
      </c>
      <c r="G107" s="328" t="s">
        <v>1386</v>
      </c>
      <c r="H107" s="328" t="s">
        <v>622</v>
      </c>
      <c r="I107" s="328"/>
      <c r="J107" s="328" t="s">
        <v>1379</v>
      </c>
      <c r="K107" s="328"/>
    </row>
    <row r="108" spans="2:11" x14ac:dyDescent="0.3">
      <c r="B108" s="328">
        <v>2017</v>
      </c>
      <c r="C108" s="328">
        <v>3746</v>
      </c>
      <c r="D108" s="328">
        <v>487581</v>
      </c>
      <c r="E108" s="328">
        <v>141038</v>
      </c>
      <c r="F108" s="328"/>
      <c r="G108" s="328">
        <v>47277</v>
      </c>
      <c r="H108" s="328">
        <v>35879</v>
      </c>
      <c r="I108" s="328"/>
      <c r="J108" s="328">
        <f t="shared" ref="J108:J111" si="3">SUM(C108:H108)</f>
        <v>715521</v>
      </c>
      <c r="K108" s="659" t="s">
        <v>1385</v>
      </c>
    </row>
    <row r="109" spans="2:11" x14ac:dyDescent="0.3">
      <c r="B109" s="328">
        <v>2018</v>
      </c>
      <c r="C109" s="328">
        <v>53479</v>
      </c>
      <c r="D109" s="328">
        <v>500654</v>
      </c>
      <c r="E109" s="328">
        <v>144720</v>
      </c>
      <c r="G109" s="328">
        <v>57259</v>
      </c>
      <c r="H109" s="328">
        <v>29607</v>
      </c>
      <c r="I109" s="328"/>
      <c r="J109" s="328">
        <f t="shared" si="3"/>
        <v>785719</v>
      </c>
      <c r="K109" s="659" t="s">
        <v>1384</v>
      </c>
    </row>
    <row r="110" spans="2:11" x14ac:dyDescent="0.3">
      <c r="B110" s="328">
        <v>2019</v>
      </c>
      <c r="C110" s="328">
        <v>43678</v>
      </c>
      <c r="D110" s="328">
        <v>132569</v>
      </c>
      <c r="E110" s="328">
        <v>274131</v>
      </c>
      <c r="F110" s="328"/>
      <c r="G110" s="328">
        <v>68968</v>
      </c>
      <c r="H110" s="328">
        <v>30142</v>
      </c>
      <c r="I110" s="328"/>
      <c r="J110" s="328">
        <f t="shared" si="3"/>
        <v>549488</v>
      </c>
      <c r="K110" s="659" t="s">
        <v>1383</v>
      </c>
    </row>
    <row r="111" spans="2:11" x14ac:dyDescent="0.3">
      <c r="B111" s="328">
        <v>2020</v>
      </c>
      <c r="C111" s="328">
        <v>26359</v>
      </c>
      <c r="D111" s="328">
        <v>406622</v>
      </c>
      <c r="E111" s="328">
        <v>232564</v>
      </c>
      <c r="F111" s="328"/>
      <c r="G111" s="328">
        <v>13469</v>
      </c>
      <c r="H111" s="328">
        <v>21071</v>
      </c>
      <c r="I111" s="328"/>
      <c r="J111" s="328">
        <f t="shared" si="3"/>
        <v>700085</v>
      </c>
      <c r="K111" s="659" t="s">
        <v>1382</v>
      </c>
    </row>
    <row r="112" spans="2:11" x14ac:dyDescent="0.3">
      <c r="B112" s="328">
        <v>2021</v>
      </c>
      <c r="C112" s="328">
        <v>14164</v>
      </c>
      <c r="D112" s="328">
        <v>137993</v>
      </c>
      <c r="E112" s="328">
        <v>338583</v>
      </c>
      <c r="F112" s="328"/>
      <c r="G112" s="328">
        <v>15192</v>
      </c>
      <c r="H112" s="328">
        <v>17785</v>
      </c>
      <c r="I112" s="328"/>
      <c r="J112" s="328">
        <f>SUM(C112:H112)</f>
        <v>523717</v>
      </c>
      <c r="K112" s="659" t="s">
        <v>1378</v>
      </c>
    </row>
    <row r="113" spans="2:11" x14ac:dyDescent="0.3">
      <c r="B113" s="328">
        <v>2022</v>
      </c>
      <c r="C113" s="328">
        <v>33380</v>
      </c>
      <c r="D113" s="328">
        <v>563693</v>
      </c>
      <c r="E113" s="328">
        <v>381802</v>
      </c>
      <c r="F113" s="328"/>
      <c r="G113" s="328">
        <v>27770</v>
      </c>
      <c r="H113" s="328">
        <v>24237</v>
      </c>
      <c r="I113" s="328"/>
      <c r="J113" s="328">
        <f>SUM(C113:H113)</f>
        <v>1030882</v>
      </c>
      <c r="K113" s="659" t="s">
        <v>1377</v>
      </c>
    </row>
    <row r="114" spans="2:11" x14ac:dyDescent="0.3">
      <c r="B114" s="328">
        <v>2023</v>
      </c>
      <c r="C114" s="328"/>
      <c r="D114" s="328"/>
      <c r="E114" s="328"/>
      <c r="F114" s="328"/>
      <c r="G114" s="328"/>
      <c r="H114" s="328"/>
      <c r="I114" s="328"/>
      <c r="J114" s="328"/>
      <c r="K114" s="328"/>
    </row>
    <row r="118" spans="2:11" x14ac:dyDescent="0.3">
      <c r="B118" s="331" t="s">
        <v>621</v>
      </c>
      <c r="C118" s="328"/>
      <c r="D118" s="328"/>
      <c r="E118" s="328"/>
    </row>
    <row r="119" spans="2:11" ht="28.8" x14ac:dyDescent="0.3">
      <c r="B119" s="330" t="s">
        <v>620</v>
      </c>
      <c r="C119" s="657" t="s">
        <v>1374</v>
      </c>
      <c r="D119" s="657" t="s">
        <v>1375</v>
      </c>
      <c r="E119" s="657" t="s">
        <v>1376</v>
      </c>
      <c r="F119" s="330" t="s">
        <v>94</v>
      </c>
    </row>
    <row r="120" spans="2:11" s="2" customFormat="1" hidden="1" x14ac:dyDescent="0.3">
      <c r="B120" s="348">
        <v>2013</v>
      </c>
      <c r="C120" s="348">
        <v>96150</v>
      </c>
      <c r="D120" s="328"/>
      <c r="E120" s="328"/>
      <c r="F120" s="328"/>
      <c r="G120"/>
      <c r="H120"/>
      <c r="I120"/>
      <c r="J120"/>
      <c r="K120"/>
    </row>
    <row r="121" spans="2:11" s="2" customFormat="1" hidden="1" x14ac:dyDescent="0.3">
      <c r="B121" s="348">
        <v>2014</v>
      </c>
      <c r="C121" s="348">
        <v>87434</v>
      </c>
      <c r="D121" s="328"/>
      <c r="E121" s="328"/>
      <c r="F121" s="328"/>
      <c r="G121"/>
      <c r="H121"/>
      <c r="I121"/>
      <c r="J121"/>
      <c r="K121"/>
    </row>
    <row r="122" spans="2:11" s="2" customFormat="1" hidden="1" x14ac:dyDescent="0.3">
      <c r="B122" s="348">
        <v>2015</v>
      </c>
      <c r="C122" s="348">
        <v>102190</v>
      </c>
      <c r="D122" s="328"/>
      <c r="E122" s="328"/>
      <c r="F122" s="328"/>
      <c r="G122"/>
      <c r="H122"/>
      <c r="I122"/>
      <c r="J122"/>
      <c r="K122"/>
    </row>
    <row r="123" spans="2:11" s="2" customFormat="1" hidden="1" x14ac:dyDescent="0.3">
      <c r="B123" s="348">
        <v>2016</v>
      </c>
      <c r="C123" s="348">
        <v>102420</v>
      </c>
      <c r="D123" s="328"/>
      <c r="E123" s="328"/>
      <c r="F123" s="328"/>
      <c r="G123"/>
      <c r="H123"/>
      <c r="I123"/>
      <c r="J123"/>
      <c r="K123"/>
    </row>
    <row r="124" spans="2:11" x14ac:dyDescent="0.3">
      <c r="B124" s="328">
        <v>2017</v>
      </c>
      <c r="C124" s="328">
        <v>1282120</v>
      </c>
      <c r="D124" s="328">
        <v>55.9</v>
      </c>
      <c r="E124" s="328">
        <v>70.7</v>
      </c>
      <c r="F124" s="659" t="s">
        <v>1385</v>
      </c>
    </row>
    <row r="125" spans="2:11" x14ac:dyDescent="0.3">
      <c r="B125" s="328">
        <v>2018</v>
      </c>
      <c r="C125" s="328">
        <v>1285250</v>
      </c>
      <c r="D125" s="328">
        <v>52.9</v>
      </c>
      <c r="E125" s="328">
        <v>71.7</v>
      </c>
      <c r="F125" s="659" t="s">
        <v>1384</v>
      </c>
    </row>
    <row r="126" spans="2:11" x14ac:dyDescent="0.3">
      <c r="B126" s="328">
        <v>2019</v>
      </c>
      <c r="C126" s="328">
        <v>1201909</v>
      </c>
      <c r="D126">
        <v>55.1</v>
      </c>
      <c r="E126" s="328">
        <v>68.5</v>
      </c>
      <c r="F126" s="659" t="s">
        <v>1383</v>
      </c>
    </row>
    <row r="127" spans="2:11" x14ac:dyDescent="0.3">
      <c r="B127" s="328">
        <v>2020</v>
      </c>
      <c r="C127" s="328">
        <v>1101356</v>
      </c>
      <c r="D127" s="328">
        <v>55</v>
      </c>
      <c r="E127" s="328">
        <v>69.8</v>
      </c>
      <c r="F127" s="659" t="s">
        <v>1382</v>
      </c>
    </row>
    <row r="128" spans="2:11" x14ac:dyDescent="0.3">
      <c r="B128" s="328">
        <v>2021</v>
      </c>
      <c r="C128" s="328">
        <v>1149346</v>
      </c>
      <c r="D128" s="328">
        <v>53</v>
      </c>
      <c r="E128" s="328">
        <v>63.8</v>
      </c>
      <c r="F128" s="659" t="s">
        <v>1378</v>
      </c>
    </row>
    <row r="129" spans="2:11" x14ac:dyDescent="0.3">
      <c r="B129" s="328">
        <v>2022</v>
      </c>
      <c r="C129" s="328">
        <v>1251319</v>
      </c>
      <c r="D129" s="328">
        <v>58.4</v>
      </c>
      <c r="E129" s="328">
        <v>60.7</v>
      </c>
      <c r="F129" s="659" t="s">
        <v>1377</v>
      </c>
    </row>
    <row r="130" spans="2:11" x14ac:dyDescent="0.3">
      <c r="B130" s="328">
        <v>2023</v>
      </c>
      <c r="C130" s="328"/>
      <c r="D130" s="328"/>
      <c r="E130" s="328"/>
      <c r="F130" s="328"/>
    </row>
    <row r="133" spans="2:11" x14ac:dyDescent="0.3">
      <c r="B133" s="328"/>
      <c r="C133" s="755" t="s">
        <v>1390</v>
      </c>
      <c r="D133" s="756"/>
      <c r="E133" s="756"/>
      <c r="F133" s="757"/>
      <c r="H133" s="330" t="s">
        <v>94</v>
      </c>
    </row>
    <row r="134" spans="2:11" x14ac:dyDescent="0.3">
      <c r="B134" s="328" t="s">
        <v>279</v>
      </c>
      <c r="C134" s="328" t="s">
        <v>1388</v>
      </c>
      <c r="D134" s="328" t="s">
        <v>1389</v>
      </c>
      <c r="E134" s="328" t="s">
        <v>1391</v>
      </c>
      <c r="F134" s="328" t="s">
        <v>1392</v>
      </c>
      <c r="G134" s="328" t="s">
        <v>1135</v>
      </c>
      <c r="H134" s="328"/>
    </row>
    <row r="135" spans="2:11" s="2" customFormat="1" hidden="1" x14ac:dyDescent="0.3">
      <c r="B135" s="328">
        <v>2017</v>
      </c>
      <c r="C135" s="348"/>
      <c r="D135" s="348"/>
      <c r="E135" s="348"/>
      <c r="F135" s="348"/>
      <c r="G135" s="348"/>
      <c r="H135" s="348"/>
      <c r="I135"/>
      <c r="J135"/>
      <c r="K135"/>
    </row>
    <row r="136" spans="2:11" s="2" customFormat="1" hidden="1" x14ac:dyDescent="0.3">
      <c r="B136" s="328">
        <v>2018</v>
      </c>
      <c r="C136" s="348"/>
      <c r="D136" s="348"/>
      <c r="E136" s="348"/>
      <c r="F136" s="348"/>
      <c r="G136" s="348"/>
      <c r="H136" s="348"/>
      <c r="I136"/>
      <c r="J136"/>
      <c r="K136"/>
    </row>
    <row r="137" spans="2:11" s="2" customFormat="1" hidden="1" x14ac:dyDescent="0.3">
      <c r="B137" s="328">
        <v>2019</v>
      </c>
      <c r="C137" s="348"/>
      <c r="D137" s="348"/>
      <c r="E137" s="348"/>
      <c r="F137" s="348"/>
      <c r="G137" s="348"/>
      <c r="H137" s="348"/>
      <c r="I137"/>
      <c r="J137"/>
      <c r="K137"/>
    </row>
    <row r="138" spans="2:11" s="2" customFormat="1" hidden="1" x14ac:dyDescent="0.3">
      <c r="B138" s="328">
        <v>2020</v>
      </c>
      <c r="C138" s="348"/>
      <c r="D138" s="348"/>
      <c r="E138" s="348"/>
      <c r="F138" s="348"/>
      <c r="G138" s="348"/>
      <c r="H138" s="348"/>
      <c r="I138"/>
      <c r="J138"/>
      <c r="K138"/>
    </row>
    <row r="139" spans="2:11" x14ac:dyDescent="0.3">
      <c r="B139" s="328">
        <v>2017</v>
      </c>
      <c r="C139" s="328"/>
      <c r="D139" s="328"/>
      <c r="E139" s="328"/>
      <c r="F139" s="328"/>
      <c r="G139" s="328"/>
      <c r="H139" s="659" t="s">
        <v>1385</v>
      </c>
    </row>
    <row r="140" spans="2:11" x14ac:dyDescent="0.3">
      <c r="B140" s="328">
        <v>2018</v>
      </c>
      <c r="C140" s="328"/>
      <c r="D140" s="328"/>
      <c r="E140" s="328"/>
      <c r="F140" s="328"/>
      <c r="G140" s="328"/>
      <c r="H140" s="659" t="s">
        <v>1397</v>
      </c>
    </row>
    <row r="141" spans="2:11" x14ac:dyDescent="0.3">
      <c r="B141" s="328">
        <v>2019</v>
      </c>
      <c r="C141" s="328">
        <v>86000</v>
      </c>
      <c r="D141" s="328">
        <v>667000</v>
      </c>
      <c r="E141" s="328">
        <v>189000</v>
      </c>
      <c r="F141" s="328">
        <v>996000</v>
      </c>
      <c r="G141" s="328">
        <f t="shared" ref="G141" si="4">SUM(C141:F141)</f>
        <v>1938000</v>
      </c>
      <c r="H141" s="659" t="s">
        <v>1396</v>
      </c>
    </row>
    <row r="142" spans="2:11" x14ac:dyDescent="0.3">
      <c r="B142" s="328">
        <v>2020</v>
      </c>
      <c r="C142" s="328">
        <v>49000</v>
      </c>
      <c r="D142" s="328">
        <v>653000</v>
      </c>
      <c r="E142" s="328">
        <v>201000</v>
      </c>
      <c r="F142" s="328">
        <v>818000</v>
      </c>
      <c r="G142" s="328">
        <f>SUM(C142:F142)</f>
        <v>1721000</v>
      </c>
      <c r="H142" s="659" t="s">
        <v>1395</v>
      </c>
    </row>
    <row r="143" spans="2:11" x14ac:dyDescent="0.3">
      <c r="B143" s="328">
        <v>2021</v>
      </c>
      <c r="C143" s="328">
        <v>72000</v>
      </c>
      <c r="D143" s="328">
        <v>566000</v>
      </c>
      <c r="E143" s="328">
        <v>188000</v>
      </c>
      <c r="F143" s="328">
        <v>765000</v>
      </c>
      <c r="G143" s="328">
        <f>SUM(C143:F143)</f>
        <v>1591000</v>
      </c>
      <c r="H143" s="659" t="s">
        <v>1394</v>
      </c>
    </row>
    <row r="144" spans="2:11" x14ac:dyDescent="0.3">
      <c r="B144" s="328">
        <v>2022</v>
      </c>
      <c r="C144" s="328">
        <v>65000</v>
      </c>
      <c r="D144" s="328">
        <v>653000</v>
      </c>
      <c r="E144" s="328">
        <v>70000</v>
      </c>
      <c r="F144" s="328">
        <v>894000</v>
      </c>
      <c r="G144" s="328">
        <f>SUM(C144:F144)</f>
        <v>1682000</v>
      </c>
      <c r="H144" s="659" t="s">
        <v>1393</v>
      </c>
    </row>
    <row r="145" spans="2:11" x14ac:dyDescent="0.3">
      <c r="B145" s="328">
        <v>2023</v>
      </c>
      <c r="C145" s="328"/>
      <c r="D145" s="328"/>
      <c r="E145" s="328"/>
      <c r="F145" s="328"/>
      <c r="G145" s="328"/>
      <c r="H145" s="328"/>
    </row>
    <row r="150" spans="2:11" s="2" customFormat="1" hidden="1" x14ac:dyDescent="0.3">
      <c r="H150"/>
      <c r="I150"/>
      <c r="J150"/>
      <c r="K150"/>
    </row>
    <row r="151" spans="2:11" s="2" customFormat="1" hidden="1" x14ac:dyDescent="0.3">
      <c r="H151"/>
      <c r="I151"/>
      <c r="J151"/>
      <c r="K151"/>
    </row>
    <row r="152" spans="2:11" s="2" customFormat="1" hidden="1" x14ac:dyDescent="0.3">
      <c r="H152"/>
      <c r="I152"/>
      <c r="J152"/>
      <c r="K152"/>
    </row>
    <row r="153" spans="2:11" s="2" customFormat="1" hidden="1" x14ac:dyDescent="0.3">
      <c r="H153"/>
      <c r="I153"/>
      <c r="J153"/>
      <c r="K153"/>
    </row>
    <row r="154" spans="2:11" s="2" customFormat="1" hidden="1" x14ac:dyDescent="0.3">
      <c r="H154"/>
      <c r="I154"/>
      <c r="J154"/>
      <c r="K154"/>
    </row>
    <row r="155" spans="2:11" s="2" customFormat="1" hidden="1" x14ac:dyDescent="0.3">
      <c r="H155"/>
      <c r="I155"/>
      <c r="J155"/>
      <c r="K155"/>
    </row>
    <row r="156" spans="2:11" s="2" customFormat="1" hidden="1" x14ac:dyDescent="0.3">
      <c r="H156"/>
      <c r="I156"/>
      <c r="J156"/>
      <c r="K156"/>
    </row>
    <row r="157" spans="2:11" s="2" customFormat="1" hidden="1" x14ac:dyDescent="0.3">
      <c r="H157"/>
      <c r="I157"/>
      <c r="J157"/>
      <c r="K157"/>
    </row>
    <row r="158" spans="2:11" s="2" customFormat="1" hidden="1" x14ac:dyDescent="0.3">
      <c r="H158"/>
      <c r="I158"/>
      <c r="J158"/>
      <c r="K158"/>
    </row>
    <row r="160" spans="2:11" x14ac:dyDescent="0.3">
      <c r="B160" s="755" t="s">
        <v>1398</v>
      </c>
      <c r="C160" s="756"/>
      <c r="D160" s="756"/>
      <c r="E160" s="757"/>
    </row>
    <row r="161" spans="2:7" x14ac:dyDescent="0.3">
      <c r="B161" s="328"/>
      <c r="C161" s="330" t="s">
        <v>1400</v>
      </c>
      <c r="D161" s="330" t="s">
        <v>1401</v>
      </c>
      <c r="E161" s="330" t="s">
        <v>1399</v>
      </c>
    </row>
    <row r="162" spans="2:7" x14ac:dyDescent="0.3">
      <c r="B162" s="328" t="s">
        <v>279</v>
      </c>
      <c r="C162" s="328" t="s">
        <v>315</v>
      </c>
      <c r="D162" s="328" t="s">
        <v>315</v>
      </c>
      <c r="E162" s="328" t="s">
        <v>315</v>
      </c>
    </row>
    <row r="163" spans="2:7" x14ac:dyDescent="0.3">
      <c r="B163" s="328">
        <v>2017</v>
      </c>
      <c r="C163">
        <v>4.0599999999999996</v>
      </c>
      <c r="D163" s="328">
        <v>21</v>
      </c>
      <c r="E163" s="328">
        <v>0.48</v>
      </c>
    </row>
    <row r="164" spans="2:7" x14ac:dyDescent="0.3">
      <c r="B164" s="328">
        <v>2018</v>
      </c>
      <c r="C164" s="328">
        <v>4.5199999999999996</v>
      </c>
      <c r="D164" s="328">
        <v>24.41</v>
      </c>
      <c r="E164" s="328">
        <v>0.53</v>
      </c>
    </row>
    <row r="165" spans="2:7" x14ac:dyDescent="0.3">
      <c r="B165" s="328">
        <v>2019</v>
      </c>
      <c r="C165" s="328">
        <v>4.03</v>
      </c>
      <c r="D165" s="328">
        <v>25.22</v>
      </c>
      <c r="E165" s="328">
        <v>0.53</v>
      </c>
      <c r="F165" s="264" t="s">
        <v>1402</v>
      </c>
    </row>
    <row r="166" spans="2:7" x14ac:dyDescent="0.3">
      <c r="B166" s="328">
        <v>2020</v>
      </c>
      <c r="C166" s="328"/>
      <c r="D166" s="328"/>
      <c r="E166" s="328"/>
    </row>
    <row r="167" spans="2:7" x14ac:dyDescent="0.3">
      <c r="B167" s="328">
        <v>2021</v>
      </c>
      <c r="C167" s="328"/>
      <c r="D167" s="328"/>
      <c r="E167" s="328"/>
    </row>
    <row r="168" spans="2:7" x14ac:dyDescent="0.3">
      <c r="B168" s="328">
        <v>2022</v>
      </c>
      <c r="C168" s="328"/>
      <c r="D168" s="328"/>
      <c r="E168" s="328"/>
    </row>
    <row r="169" spans="2:7" x14ac:dyDescent="0.3">
      <c r="B169" s="328">
        <v>2023</v>
      </c>
      <c r="C169" s="328"/>
      <c r="D169" s="328"/>
      <c r="E169" s="328"/>
    </row>
    <row r="171" spans="2:7" s="2" customFormat="1" hidden="1" x14ac:dyDescent="0.3">
      <c r="F171"/>
      <c r="G171"/>
    </row>
    <row r="172" spans="2:7" s="2" customFormat="1" hidden="1" x14ac:dyDescent="0.3">
      <c r="F172"/>
      <c r="G172"/>
    </row>
    <row r="173" spans="2:7" s="2" customFormat="1" hidden="1" x14ac:dyDescent="0.3">
      <c r="F173"/>
      <c r="G173"/>
    </row>
    <row r="174" spans="2:7" s="2" customFormat="1" hidden="1" x14ac:dyDescent="0.3">
      <c r="F174"/>
      <c r="G174"/>
    </row>
    <row r="175" spans="2:7" s="2" customFormat="1" hidden="1" x14ac:dyDescent="0.3">
      <c r="F175"/>
      <c r="G175"/>
    </row>
    <row r="176" spans="2:7" s="2" customFormat="1" hidden="1" x14ac:dyDescent="0.3">
      <c r="F176"/>
      <c r="G176"/>
    </row>
    <row r="177" spans="3:7" s="2" customFormat="1" hidden="1" x14ac:dyDescent="0.3">
      <c r="F177"/>
      <c r="G177"/>
    </row>
    <row r="178" spans="3:7" s="2" customFormat="1" hidden="1" x14ac:dyDescent="0.3">
      <c r="F178"/>
      <c r="G178"/>
    </row>
    <row r="179" spans="3:7" s="2" customFormat="1" hidden="1" x14ac:dyDescent="0.3">
      <c r="F179"/>
      <c r="G179"/>
    </row>
    <row r="184" spans="3:7" x14ac:dyDescent="0.3">
      <c r="C184" s="656"/>
      <c r="D184" s="656"/>
      <c r="E184" s="656"/>
      <c r="F184" s="656"/>
      <c r="G184" s="656"/>
    </row>
    <row r="185" spans="3:7" x14ac:dyDescent="0.3">
      <c r="C185" s="656"/>
      <c r="D185" s="656"/>
      <c r="E185" s="656"/>
      <c r="F185" s="656"/>
      <c r="G185" s="656"/>
    </row>
    <row r="186" spans="3:7" x14ac:dyDescent="0.3">
      <c r="C186" s="656"/>
      <c r="D186" s="656"/>
      <c r="E186" s="656"/>
      <c r="F186" s="656"/>
      <c r="G186" s="656"/>
    </row>
    <row r="187" spans="3:7" x14ac:dyDescent="0.3">
      <c r="C187" s="656"/>
      <c r="D187" s="656"/>
      <c r="E187" s="656"/>
      <c r="F187" s="656"/>
      <c r="G187" s="656"/>
    </row>
  </sheetData>
  <mergeCells count="7">
    <mergeCell ref="B160:E160"/>
    <mergeCell ref="C94:J94"/>
    <mergeCell ref="C106:J106"/>
    <mergeCell ref="C133:F133"/>
    <mergeCell ref="B22:F22"/>
    <mergeCell ref="C78:J78"/>
    <mergeCell ref="C57:J57"/>
  </mergeCells>
  <hyperlinks>
    <hyperlink ref="K72" r:id="rId1" xr:uid="{4B46E0FF-033A-4E3C-84FF-0D1C1E92C505}"/>
    <hyperlink ref="K73" r:id="rId2" xr:uid="{E70B478E-7431-4F18-9A89-72BFA0733995}"/>
    <hyperlink ref="K88" r:id="rId3" xr:uid="{5950A460-9DBC-43E2-84C5-1B3D402D60C9}"/>
    <hyperlink ref="K89" r:id="rId4" xr:uid="{BB577927-3716-4F7F-B04F-28B3B418586F}"/>
    <hyperlink ref="K100" r:id="rId5" xr:uid="{0D5094F4-A2A0-48AC-A034-C0D2F8FBECE7}"/>
    <hyperlink ref="K101" r:id="rId6" xr:uid="{2CE18DF6-4FB5-4665-B2E6-0DB9828DB3A2}"/>
    <hyperlink ref="K112" r:id="rId7" xr:uid="{8E1553F6-BD3C-44F5-AA60-90AA8BE4AF53}"/>
    <hyperlink ref="K113" r:id="rId8" xr:uid="{12F080D1-6CFD-41B6-B67A-123CB36D0F52}"/>
    <hyperlink ref="K71" r:id="rId9" xr:uid="{99B22C90-F2CD-4450-9F01-262E3068E9A8}"/>
    <hyperlink ref="K87" r:id="rId10" xr:uid="{87D1F5E0-D3D2-41BB-B8C1-4C7B2B2BFE98}"/>
    <hyperlink ref="K99" r:id="rId11" xr:uid="{25B83FA5-B8EA-41E8-988D-A3BF12249E90}"/>
    <hyperlink ref="K111" r:id="rId12" xr:uid="{DFEFBAB7-A48A-479F-B759-1EFBEDF2D256}"/>
    <hyperlink ref="F128" r:id="rId13" xr:uid="{E1C5BFAF-3D92-4FA8-B739-058A758FD859}"/>
    <hyperlink ref="F129" r:id="rId14" xr:uid="{D751EA76-86DF-4D58-9D75-9DD829FC39CB}"/>
    <hyperlink ref="F127" r:id="rId15" xr:uid="{01243738-9771-48E8-B8BD-BD1C03937E6C}"/>
    <hyperlink ref="K110" r:id="rId16" xr:uid="{CDDFD78A-7760-4B93-A91B-61DCBFB69D6E}"/>
    <hyperlink ref="K70" r:id="rId17" xr:uid="{D25EEF35-F5E4-4768-B852-D8E589365C57}"/>
    <hyperlink ref="K86" r:id="rId18" xr:uid="{018BA303-3B87-40CF-AAED-9D8B04CEBF8C}"/>
    <hyperlink ref="K98" r:id="rId19" xr:uid="{9F747795-4352-4411-B8A2-3650C22EB828}"/>
    <hyperlink ref="F126" r:id="rId20" xr:uid="{C40A87A0-C78B-47E9-838A-40FDF0CC7CC1}"/>
    <hyperlink ref="K69" r:id="rId21" xr:uid="{61F1C3B0-C639-4EB2-AFDD-6D54B909CB46}"/>
    <hyperlink ref="K85" r:id="rId22" xr:uid="{C9D74954-ED84-40D6-89F9-DB3DBDBFAFB2}"/>
    <hyperlink ref="K97" r:id="rId23" xr:uid="{031F9B41-DF93-48C5-AF9A-5DBDE6BF6C66}"/>
    <hyperlink ref="K109" r:id="rId24" xr:uid="{08355571-165D-496E-8EAA-4567B4D0A25D}"/>
    <hyperlink ref="F125" r:id="rId25" xr:uid="{CEE84393-CD2A-42C8-ADEC-730ADBD257F4}"/>
    <hyperlink ref="K68" r:id="rId26" xr:uid="{87EBCFC3-685B-4149-977D-65AB75011DE7}"/>
    <hyperlink ref="K84" r:id="rId27" xr:uid="{CBC75EA9-DD7E-4F90-ABA8-B9A87725D38A}"/>
    <hyperlink ref="K96" r:id="rId28" xr:uid="{676A8114-2507-45FE-8D33-BA63C87F3020}"/>
    <hyperlink ref="K108" r:id="rId29" xr:uid="{4FC157FF-7038-4083-B96C-966844E0C6F1}"/>
    <hyperlink ref="F124" r:id="rId30" xr:uid="{7072C016-1D52-4B00-ACB1-0834A7009615}"/>
    <hyperlink ref="H144" r:id="rId31" xr:uid="{94E0427C-3A21-4601-93C0-6D5F2D9037B4}"/>
    <hyperlink ref="H143" r:id="rId32" xr:uid="{40DE94DE-7C56-4A18-BD37-1B857BE0AC49}"/>
    <hyperlink ref="H142" r:id="rId33" xr:uid="{A556DD68-9282-4E1A-A86A-A83CB5194D95}"/>
    <hyperlink ref="H141" r:id="rId34" xr:uid="{BFD12D70-520B-43A5-817E-F0AB4CE8D2E1}"/>
    <hyperlink ref="H140" r:id="rId35" xr:uid="{14AFCA51-7FAA-4A8D-9B4A-AD76C95B7CFB}"/>
    <hyperlink ref="H139" r:id="rId36" xr:uid="{C4B007B1-8A1D-497C-92BB-7E7120185BF6}"/>
    <hyperlink ref="F165" r:id="rId37" xr:uid="{63DCB086-D090-449C-AA04-57D575C223DC}"/>
    <hyperlink ref="B3" r:id="rId38" xr:uid="{FA1362C7-3C1C-4CB9-AC07-F3635C9FF4B7}"/>
    <hyperlink ref="L3" r:id="rId39" xr:uid="{28030F5C-CF27-4C1A-A5E5-6F67579C816A}"/>
  </hyperlinks>
  <pageMargins left="0.7" right="0.7" top="0.75" bottom="0.75" header="0.3" footer="0.3"/>
  <drawing r:id="rId4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7"/>
  <sheetViews>
    <sheetView zoomScaleNormal="100" workbookViewId="0">
      <selection activeCell="J15" sqref="J15"/>
    </sheetView>
  </sheetViews>
  <sheetFormatPr defaultRowHeight="14.4" x14ac:dyDescent="0.3"/>
  <cols>
    <col min="2" max="2" width="5" bestFit="1" customWidth="1"/>
    <col min="3" max="3" width="22.44140625" bestFit="1" customWidth="1"/>
    <col min="4" max="4" width="40.109375" bestFit="1" customWidth="1"/>
    <col min="5" max="5" width="17.88671875" bestFit="1" customWidth="1"/>
    <col min="6" max="6" width="51" bestFit="1" customWidth="1"/>
    <col min="7" max="7" width="16.109375" bestFit="1" customWidth="1"/>
    <col min="8" max="8" width="25.6640625" bestFit="1" customWidth="1"/>
    <col min="9" max="9" width="28.88671875" bestFit="1" customWidth="1"/>
    <col min="10" max="10" width="20.5546875" bestFit="1" customWidth="1"/>
  </cols>
  <sheetData>
    <row r="2" spans="2:10" ht="21" x14ac:dyDescent="0.4">
      <c r="B2" s="759" t="s">
        <v>634</v>
      </c>
      <c r="C2" s="759"/>
      <c r="D2" s="759"/>
    </row>
    <row r="4" spans="2:10" x14ac:dyDescent="0.3">
      <c r="B4" s="334" t="s">
        <v>633</v>
      </c>
      <c r="C4" s="334" t="s">
        <v>285</v>
      </c>
      <c r="D4" s="334" t="s">
        <v>1408</v>
      </c>
      <c r="E4" s="334" t="s">
        <v>632</v>
      </c>
      <c r="F4" s="334" t="s">
        <v>631</v>
      </c>
      <c r="G4" s="334" t="s">
        <v>630</v>
      </c>
      <c r="H4" s="334" t="s">
        <v>629</v>
      </c>
      <c r="I4" s="334" t="s">
        <v>628</v>
      </c>
      <c r="J4" s="328" t="s">
        <v>627</v>
      </c>
    </row>
    <row r="5" spans="2:10" s="2" customFormat="1" x14ac:dyDescent="0.3">
      <c r="B5" s="662">
        <v>2013</v>
      </c>
      <c r="C5" s="662">
        <v>1882480</v>
      </c>
      <c r="D5" s="663">
        <v>0.62</v>
      </c>
      <c r="E5" s="664">
        <v>1167137.6000000001</v>
      </c>
      <c r="F5" s="663">
        <v>0.44314885318347474</v>
      </c>
      <c r="G5" s="664">
        <v>1119394.0031414572</v>
      </c>
      <c r="H5" s="664">
        <v>47743.596858542878</v>
      </c>
      <c r="I5" s="664">
        <v>1112219</v>
      </c>
      <c r="J5" s="665">
        <v>7175.003141457215</v>
      </c>
    </row>
    <row r="6" spans="2:10" s="2" customFormat="1" x14ac:dyDescent="0.3">
      <c r="B6" s="666">
        <v>41730</v>
      </c>
      <c r="C6" s="662">
        <v>1671066</v>
      </c>
      <c r="D6" s="663">
        <v>0.64</v>
      </c>
      <c r="E6" s="664">
        <v>1069482.24</v>
      </c>
      <c r="F6" s="663">
        <v>0.46</v>
      </c>
      <c r="G6" s="664">
        <v>1053400</v>
      </c>
      <c r="H6" s="664">
        <v>16082.239999999991</v>
      </c>
      <c r="I6" s="664">
        <v>1046648</v>
      </c>
      <c r="J6" s="665">
        <v>6752</v>
      </c>
    </row>
    <row r="7" spans="2:10" s="2" customFormat="1" x14ac:dyDescent="0.3">
      <c r="B7" s="666">
        <v>42192</v>
      </c>
      <c r="C7" s="662">
        <v>1793090</v>
      </c>
      <c r="D7" s="663">
        <v>0.66701950264626986</v>
      </c>
      <c r="E7" s="662">
        <v>1196026</v>
      </c>
      <c r="F7" s="663">
        <v>0.49</v>
      </c>
      <c r="G7" s="664">
        <v>1183350</v>
      </c>
      <c r="H7" s="664">
        <v>12676</v>
      </c>
      <c r="I7" s="664">
        <v>1154870</v>
      </c>
      <c r="J7" s="665">
        <v>28480</v>
      </c>
    </row>
    <row r="8" spans="2:10" s="2" customFormat="1" x14ac:dyDescent="0.3">
      <c r="B8" s="666">
        <v>42559</v>
      </c>
      <c r="C8" s="664">
        <v>2045378.65497076</v>
      </c>
      <c r="D8" s="663">
        <v>0.68400000000000005</v>
      </c>
      <c r="E8" s="665">
        <v>1399039</v>
      </c>
      <c r="F8" s="663">
        <v>0.58699999999999997</v>
      </c>
      <c r="G8" s="664">
        <v>1397905.8669999999</v>
      </c>
      <c r="H8" s="664">
        <v>1133.1330000001471</v>
      </c>
      <c r="I8" s="664">
        <v>1388228</v>
      </c>
      <c r="J8" s="665">
        <v>9677.8669999998529</v>
      </c>
    </row>
    <row r="9" spans="2:10" x14ac:dyDescent="0.3">
      <c r="B9" s="666">
        <v>42925</v>
      </c>
      <c r="C9" s="662">
        <v>1813680</v>
      </c>
      <c r="D9" s="663">
        <v>0.71</v>
      </c>
      <c r="E9" s="664">
        <v>1287712.8</v>
      </c>
      <c r="F9" s="663">
        <v>0.56899999999999995</v>
      </c>
      <c r="G9" s="664">
        <v>1283137.1059999999</v>
      </c>
      <c r="H9" s="664">
        <v>4575.6940000001341</v>
      </c>
      <c r="I9" s="664">
        <v>1217916</v>
      </c>
      <c r="J9" s="665">
        <v>65221.105999999912</v>
      </c>
    </row>
    <row r="10" spans="2:10" x14ac:dyDescent="0.3">
      <c r="B10" s="666">
        <v>43291</v>
      </c>
      <c r="C10" s="662">
        <v>1793026</v>
      </c>
      <c r="D10" s="663">
        <v>0.71699999999999997</v>
      </c>
      <c r="E10" s="664">
        <v>1285599.642</v>
      </c>
      <c r="F10" s="663">
        <v>0.54800000000000004</v>
      </c>
      <c r="G10" s="664">
        <v>1284881.9000000001</v>
      </c>
      <c r="H10" s="664">
        <v>717.74199999985285</v>
      </c>
      <c r="I10" s="664">
        <v>1176157</v>
      </c>
      <c r="J10" s="665">
        <v>108724.90000000014</v>
      </c>
    </row>
    <row r="11" spans="2:10" x14ac:dyDescent="0.3">
      <c r="B11" s="685">
        <v>43657</v>
      </c>
      <c r="C11" s="686">
        <v>1753284.6715328465</v>
      </c>
      <c r="D11" s="687">
        <v>0.68500000000000005</v>
      </c>
      <c r="E11" s="688">
        <v>1201000</v>
      </c>
      <c r="F11" s="687">
        <v>0.54</v>
      </c>
      <c r="G11" s="686">
        <v>1165860</v>
      </c>
      <c r="H11" s="686">
        <v>35140</v>
      </c>
      <c r="I11" s="689">
        <v>1067206.565848581</v>
      </c>
      <c r="J11" s="689">
        <v>98653.434151418973</v>
      </c>
    </row>
    <row r="12" spans="2:10" x14ac:dyDescent="0.3">
      <c r="B12" s="690">
        <v>2020</v>
      </c>
      <c r="C12" s="690">
        <v>1577398</v>
      </c>
      <c r="D12" s="692">
        <v>0.7</v>
      </c>
      <c r="E12" s="690">
        <v>1101356</v>
      </c>
      <c r="F12" s="691">
        <f>1042817/1992424</f>
        <v>0.52339110550766299</v>
      </c>
      <c r="G12" s="693">
        <v>1042817</v>
      </c>
      <c r="H12" s="694">
        <v>40895</v>
      </c>
      <c r="I12" s="694">
        <v>1992424</v>
      </c>
      <c r="J12" s="694">
        <v>205369</v>
      </c>
    </row>
    <row r="13" spans="2:10" x14ac:dyDescent="0.3">
      <c r="B13" s="690">
        <v>2021</v>
      </c>
      <c r="C13" s="690">
        <v>1802925</v>
      </c>
      <c r="D13" s="691">
        <v>0.64</v>
      </c>
      <c r="E13" s="690">
        <v>1149346</v>
      </c>
      <c r="F13" s="691">
        <f>G13/I13</f>
        <v>0.47836127471483963</v>
      </c>
      <c r="G13" s="694">
        <v>1057884</v>
      </c>
      <c r="H13" s="694">
        <v>53878</v>
      </c>
      <c r="I13" s="694">
        <v>2211475</v>
      </c>
      <c r="J13" s="694">
        <v>242005</v>
      </c>
    </row>
    <row r="14" spans="2:10" x14ac:dyDescent="0.3">
      <c r="B14" s="690">
        <v>2022</v>
      </c>
      <c r="C14" s="690">
        <v>2062551</v>
      </c>
      <c r="D14" s="691">
        <v>0.61</v>
      </c>
      <c r="E14" s="690">
        <v>1251319</v>
      </c>
      <c r="F14" s="691">
        <f>G14/I14</f>
        <v>0.46744662129475023</v>
      </c>
      <c r="G14" s="694">
        <v>1146949</v>
      </c>
      <c r="H14" s="694">
        <v>52163</v>
      </c>
      <c r="I14" s="694">
        <v>2453647</v>
      </c>
      <c r="J14" s="694">
        <v>252405</v>
      </c>
    </row>
    <row r="16" spans="2:10" x14ac:dyDescent="0.3">
      <c r="B16" t="s">
        <v>625</v>
      </c>
    </row>
    <row r="17" spans="2:2" x14ac:dyDescent="0.3">
      <c r="B17" s="264" t="s">
        <v>624</v>
      </c>
    </row>
  </sheetData>
  <mergeCells count="1">
    <mergeCell ref="B2:D2"/>
  </mergeCells>
  <hyperlinks>
    <hyperlink ref="B17" r:id="rId1" xr:uid="{88EF1A56-6FB7-4F20-8E3B-FBBFCF4E5603}"/>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ChangeLog</vt:lpstr>
      <vt:lpstr>Index</vt:lpstr>
      <vt:lpstr>NameConv</vt:lpstr>
      <vt:lpstr>PP prod. and Capacity (OLD)</vt:lpstr>
      <vt:lpstr>2006 model details (OLD)</vt:lpstr>
      <vt:lpstr>TNAPP Energy Intensity (OLD) </vt:lpstr>
      <vt:lpstr>2006 PP model inputs (OLD)</vt:lpstr>
      <vt:lpstr>Paper production &amp; consumption </vt:lpstr>
      <vt:lpstr>Recovered and recycled</vt:lpstr>
      <vt:lpstr>Students report revision</vt:lpstr>
      <vt:lpstr>Carbon and energy data</vt:lpstr>
      <vt:lpstr>Mass balance</vt:lpstr>
      <vt:lpstr>Capital costs</vt:lpstr>
      <vt:lpstr>SATIM Data</vt:lpstr>
      <vt:lpstr>Methodology</vt:lpstr>
      <vt:lpstr>Methodology II</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Processes_JM </vt:lpstr>
      <vt:lpstr>REC &amp; DIS (cut outs)</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Joseph Masenda</cp:lastModifiedBy>
  <dcterms:created xsi:type="dcterms:W3CDTF">2023-05-09T10:38:02Z</dcterms:created>
  <dcterms:modified xsi:type="dcterms:W3CDTF">2023-12-08T09:54:34Z</dcterms:modified>
</cp:coreProperties>
</file>